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drawings/drawing2.xml" ContentType="application/vnd.openxmlformats-officedocument.drawing+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3.xml" ContentType="application/vnd.openxmlformats-officedocument.drawing+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tables/table86.xml" ContentType="application/vnd.openxmlformats-officedocument.spreadsheetml.table+xml"/>
  <Override PartName="/xl/tables/table87.xml" ContentType="application/vnd.openxmlformats-officedocument.spreadsheetml.table+xml"/>
  <Override PartName="/xl/tables/table88.xml" ContentType="application/vnd.openxmlformats-officedocument.spreadsheetml.table+xml"/>
  <Override PartName="/xl/tables/table89.xml" ContentType="application/vnd.openxmlformats-officedocument.spreadsheetml.table+xml"/>
  <Override PartName="/xl/tables/table90.xml" ContentType="application/vnd.openxmlformats-officedocument.spreadsheetml.table+xml"/>
  <Override PartName="/xl/tables/table91.xml" ContentType="application/vnd.openxmlformats-officedocument.spreadsheetml.tab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4.xml" ContentType="application/vnd.openxmlformats-officedocument.drawing+xml"/>
  <Override PartName="/xl/tables/table92.xml" ContentType="application/vnd.openxmlformats-officedocument.spreadsheetml.table+xml"/>
  <Override PartName="/xl/tables/table93.xml" ContentType="application/vnd.openxmlformats-officedocument.spreadsheetml.table+xml"/>
  <Override PartName="/xl/tables/table94.xml" ContentType="application/vnd.openxmlformats-officedocument.spreadsheetml.table+xml"/>
  <Override PartName="/xl/tables/table95.xml" ContentType="application/vnd.openxmlformats-officedocument.spreadsheetml.table+xml"/>
  <Override PartName="/xl/tables/table96.xml" ContentType="application/vnd.openxmlformats-officedocument.spreadsheetml.table+xml"/>
  <Override PartName="/xl/tables/table97.xml" ContentType="application/vnd.openxmlformats-officedocument.spreadsheetml.table+xml"/>
  <Override PartName="/xl/tables/table98.xml" ContentType="application/vnd.openxmlformats-officedocument.spreadsheetml.table+xml"/>
  <Override PartName="/xl/tables/table99.xml" ContentType="application/vnd.openxmlformats-officedocument.spreadsheetml.table+xml"/>
  <Override PartName="/xl/tables/table100.xml" ContentType="application/vnd.openxmlformats-officedocument.spreadsheetml.table+xml"/>
  <Override PartName="/xl/tables/table101.xml" ContentType="application/vnd.openxmlformats-officedocument.spreadsheetml.table+xml"/>
  <Override PartName="/xl/tables/table102.xml" ContentType="application/vnd.openxmlformats-officedocument.spreadsheetml.table+xml"/>
  <Override PartName="/xl/tables/table103.xml" ContentType="application/vnd.openxmlformats-officedocument.spreadsheetml.table+xml"/>
  <Override PartName="/xl/tables/table104.xml" ContentType="application/vnd.openxmlformats-officedocument.spreadsheetml.table+xml"/>
  <Override PartName="/xl/tables/table105.xml" ContentType="application/vnd.openxmlformats-officedocument.spreadsheetml.table+xml"/>
  <Override PartName="/xl/tables/table106.xml" ContentType="application/vnd.openxmlformats-officedocument.spreadsheetml.table+xml"/>
  <Override PartName="/xl/tables/table107.xml" ContentType="application/vnd.openxmlformats-officedocument.spreadsheetml.table+xml"/>
  <Override PartName="/xl/tables/table108.xml" ContentType="application/vnd.openxmlformats-officedocument.spreadsheetml.table+xml"/>
  <Override PartName="/xl/tables/table109.xml" ContentType="application/vnd.openxmlformats-officedocument.spreadsheetml.table+xml"/>
  <Override PartName="/xl/tables/table110.xml" ContentType="application/vnd.openxmlformats-officedocument.spreadsheetml.table+xml"/>
  <Override PartName="/xl/tables/table111.xml" ContentType="application/vnd.openxmlformats-officedocument.spreadsheetml.table+xml"/>
  <Override PartName="/xl/tables/table112.xml" ContentType="application/vnd.openxmlformats-officedocument.spreadsheetml.table+xml"/>
  <Override PartName="/xl/tables/table113.xml" ContentType="application/vnd.openxmlformats-officedocument.spreadsheetml.table+xml"/>
  <Override PartName="/xl/tables/table114.xml" ContentType="application/vnd.openxmlformats-officedocument.spreadsheetml.table+xml"/>
  <Override PartName="/xl/tables/table115.xml" ContentType="application/vnd.openxmlformats-officedocument.spreadsheetml.table+xml"/>
  <Override PartName="/xl/tables/table116.xml" ContentType="application/vnd.openxmlformats-officedocument.spreadsheetml.table+xml"/>
  <Override PartName="/xl/tables/table117.xml" ContentType="application/vnd.openxmlformats-officedocument.spreadsheetml.table+xml"/>
  <Override PartName="/xl/tables/table118.xml" ContentType="application/vnd.openxmlformats-officedocument.spreadsheetml.table+xml"/>
  <Override PartName="/xl/tables/table119.xml" ContentType="application/vnd.openxmlformats-officedocument.spreadsheetml.table+xml"/>
  <Override PartName="/xl/tables/table120.xml" ContentType="application/vnd.openxmlformats-officedocument.spreadsheetml.table+xml"/>
  <Override PartName="/xl/tables/table121.xml" ContentType="application/vnd.openxmlformats-officedocument.spreadsheetml.table+xml"/>
  <Override PartName="/xl/tables/table122.xml" ContentType="application/vnd.openxmlformats-officedocument.spreadsheetml.table+xml"/>
  <Override PartName="/xl/tables/table123.xml" ContentType="application/vnd.openxmlformats-officedocument.spreadsheetml.table+xml"/>
  <Override PartName="/xl/tables/table124.xml" ContentType="application/vnd.openxmlformats-officedocument.spreadsheetml.table+xml"/>
  <Override PartName="/xl/tables/table125.xml" ContentType="application/vnd.openxmlformats-officedocument.spreadsheetml.table+xml"/>
  <Override PartName="/xl/tables/table126.xml" ContentType="application/vnd.openxmlformats-officedocument.spreadsheetml.table+xml"/>
  <Override PartName="/xl/tables/table127.xml" ContentType="application/vnd.openxmlformats-officedocument.spreadsheetml.table+xml"/>
  <Override PartName="/xl/tables/table128.xml" ContentType="application/vnd.openxmlformats-officedocument.spreadsheetml.table+xml"/>
  <Override PartName="/xl/tables/table129.xml" ContentType="application/vnd.openxmlformats-officedocument.spreadsheetml.tab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drawings/drawing5.xml" ContentType="application/vnd.openxmlformats-officedocument.drawing+xml"/>
  <Override PartName="/xl/tables/table130.xml" ContentType="application/vnd.openxmlformats-officedocument.spreadsheetml.table+xml"/>
  <Override PartName="/xl/tables/table131.xml" ContentType="application/vnd.openxmlformats-officedocument.spreadsheetml.table+xml"/>
  <Override PartName="/xl/tables/table132.xml" ContentType="application/vnd.openxmlformats-officedocument.spreadsheetml.table+xml"/>
  <Override PartName="/xl/tables/table133.xml" ContentType="application/vnd.openxmlformats-officedocument.spreadsheetml.table+xml"/>
  <Override PartName="/xl/tables/table134.xml" ContentType="application/vnd.openxmlformats-officedocument.spreadsheetml.table+xml"/>
  <Override PartName="/xl/tables/table135.xml" ContentType="application/vnd.openxmlformats-officedocument.spreadsheetml.table+xml"/>
  <Override PartName="/xl/tables/table136.xml" ContentType="application/vnd.openxmlformats-officedocument.spreadsheetml.table+xml"/>
  <Override PartName="/xl/tables/table137.xml" ContentType="application/vnd.openxmlformats-officedocument.spreadsheetml.table+xml"/>
  <Override PartName="/xl/tables/table138.xml" ContentType="application/vnd.openxmlformats-officedocument.spreadsheetml.table+xml"/>
  <Override PartName="/xl/tables/table139.xml" ContentType="application/vnd.openxmlformats-officedocument.spreadsheetml.table+xml"/>
  <Override PartName="/xl/tables/table140.xml" ContentType="application/vnd.openxmlformats-officedocument.spreadsheetml.table+xml"/>
  <Override PartName="/xl/tables/table141.xml" ContentType="application/vnd.openxmlformats-officedocument.spreadsheetml.table+xml"/>
  <Override PartName="/xl/tables/table142.xml" ContentType="application/vnd.openxmlformats-officedocument.spreadsheetml.table+xml"/>
  <Override PartName="/xl/tables/table143.xml" ContentType="application/vnd.openxmlformats-officedocument.spreadsheetml.table+xml"/>
  <Override PartName="/xl/tables/table144.xml" ContentType="application/vnd.openxmlformats-officedocument.spreadsheetml.table+xml"/>
  <Override PartName="/xl/tables/table145.xml" ContentType="application/vnd.openxmlformats-officedocument.spreadsheetml.table+xml"/>
  <Override PartName="/xl/tables/table146.xml" ContentType="application/vnd.openxmlformats-officedocument.spreadsheetml.table+xml"/>
  <Override PartName="/xl/tables/table147.xml" ContentType="application/vnd.openxmlformats-officedocument.spreadsheetml.table+xml"/>
  <Override PartName="/xl/tables/table148.xml" ContentType="application/vnd.openxmlformats-officedocument.spreadsheetml.table+xml"/>
  <Override PartName="/xl/tables/table149.xml" ContentType="application/vnd.openxmlformats-officedocument.spreadsheetml.table+xml"/>
  <Override PartName="/xl/tables/table150.xml" ContentType="application/vnd.openxmlformats-officedocument.spreadsheetml.table+xml"/>
  <Override PartName="/xl/tables/table151.xml" ContentType="application/vnd.openxmlformats-officedocument.spreadsheetml.table+xml"/>
  <Override PartName="/xl/tables/table152.xml" ContentType="application/vnd.openxmlformats-officedocument.spreadsheetml.table+xml"/>
  <Override PartName="/xl/tables/table153.xml" ContentType="application/vnd.openxmlformats-officedocument.spreadsheetml.table+xml"/>
  <Override PartName="/xl/tables/table154.xml" ContentType="application/vnd.openxmlformats-officedocument.spreadsheetml.table+xml"/>
  <Override PartName="/xl/tables/table155.xml" ContentType="application/vnd.openxmlformats-officedocument.spreadsheetml.table+xml"/>
  <Override PartName="/xl/tables/table156.xml" ContentType="application/vnd.openxmlformats-officedocument.spreadsheetml.table+xml"/>
  <Override PartName="/xl/tables/table157.xml" ContentType="application/vnd.openxmlformats-officedocument.spreadsheetml.table+xml"/>
  <Override PartName="/xl/tables/table158.xml" ContentType="application/vnd.openxmlformats-officedocument.spreadsheetml.table+xml"/>
  <Override PartName="/xl/tables/table159.xml" ContentType="application/vnd.openxmlformats-officedocument.spreadsheetml.table+xml"/>
  <Override PartName="/xl/tables/table160.xml" ContentType="application/vnd.openxmlformats-officedocument.spreadsheetml.table+xml"/>
  <Override PartName="/xl/tables/table161.xml" ContentType="application/vnd.openxmlformats-officedocument.spreadsheetml.table+xml"/>
  <Override PartName="/xl/tables/table162.xml" ContentType="application/vnd.openxmlformats-officedocument.spreadsheetml.table+xml"/>
  <Override PartName="/xl/tables/table163.xml" ContentType="application/vnd.openxmlformats-officedocument.spreadsheetml.table+xml"/>
  <Override PartName="/xl/tables/table164.xml" ContentType="application/vnd.openxmlformats-officedocument.spreadsheetml.table+xml"/>
  <Override PartName="/xl/tables/table165.xml" ContentType="application/vnd.openxmlformats-officedocument.spreadsheetml.table+xml"/>
  <Override PartName="/xl/tables/table166.xml" ContentType="application/vnd.openxmlformats-officedocument.spreadsheetml.table+xml"/>
  <Override PartName="/xl/tables/table167.xml" ContentType="application/vnd.openxmlformats-officedocument.spreadsheetml.table+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charts/chart44.xml" ContentType="application/vnd.openxmlformats-officedocument.drawingml.chart+xml"/>
  <Override PartName="/xl/charts/style44.xml" ContentType="application/vnd.ms-office.chartstyle+xml"/>
  <Override PartName="/xl/charts/colors44.xml" ContentType="application/vnd.ms-office.chartcolorstyle+xml"/>
  <Override PartName="/xl/charts/chart45.xml" ContentType="application/vnd.openxmlformats-officedocument.drawingml.chart+xml"/>
  <Override PartName="/xl/charts/style45.xml" ContentType="application/vnd.ms-office.chartstyle+xml"/>
  <Override PartName="/xl/charts/colors45.xml" ContentType="application/vnd.ms-office.chartcolorstyle+xml"/>
  <Override PartName="/xl/charts/chart46.xml" ContentType="application/vnd.openxmlformats-officedocument.drawingml.chart+xml"/>
  <Override PartName="/xl/charts/style46.xml" ContentType="application/vnd.ms-office.chartstyle+xml"/>
  <Override PartName="/xl/charts/colors46.xml" ContentType="application/vnd.ms-office.chartcolorstyle+xml"/>
  <Override PartName="/xl/charts/chart47.xml" ContentType="application/vnd.openxmlformats-officedocument.drawingml.chart+xml"/>
  <Override PartName="/xl/charts/style47.xml" ContentType="application/vnd.ms-office.chartstyle+xml"/>
  <Override PartName="/xl/charts/colors47.xml" ContentType="application/vnd.ms-office.chartcolorstyle+xml"/>
  <Override PartName="/xl/charts/chart48.xml" ContentType="application/vnd.openxmlformats-officedocument.drawingml.chart+xml"/>
  <Override PartName="/xl/charts/style48.xml" ContentType="application/vnd.ms-office.chartstyle+xml"/>
  <Override PartName="/xl/charts/colors48.xml" ContentType="application/vnd.ms-office.chartcolorstyle+xml"/>
  <Override PartName="/xl/charts/chart49.xml" ContentType="application/vnd.openxmlformats-officedocument.drawingml.chart+xml"/>
  <Override PartName="/xl/charts/style49.xml" ContentType="application/vnd.ms-office.chartstyle+xml"/>
  <Override PartName="/xl/charts/colors49.xml" ContentType="application/vnd.ms-office.chartcolorstyle+xml"/>
  <Override PartName="/xl/charts/chart50.xml" ContentType="application/vnd.openxmlformats-officedocument.drawingml.chart+xml"/>
  <Override PartName="/xl/charts/style50.xml" ContentType="application/vnd.ms-office.chartstyle+xml"/>
  <Override PartName="/xl/charts/colors50.xml" ContentType="application/vnd.ms-office.chartcolorstyle+xml"/>
  <Override PartName="/xl/charts/chart51.xml" ContentType="application/vnd.openxmlformats-officedocument.drawingml.chart+xml"/>
  <Override PartName="/xl/charts/style51.xml" ContentType="application/vnd.ms-office.chartstyle+xml"/>
  <Override PartName="/xl/charts/colors51.xml" ContentType="application/vnd.ms-office.chartcolorstyle+xml"/>
  <Override PartName="/xl/charts/chart52.xml" ContentType="application/vnd.openxmlformats-officedocument.drawingml.chart+xml"/>
  <Override PartName="/xl/charts/style52.xml" ContentType="application/vnd.ms-office.chartstyle+xml"/>
  <Override PartName="/xl/charts/colors52.xml" ContentType="application/vnd.ms-office.chartcolorstyle+xml"/>
  <Override PartName="/xl/tables/table168.xml" ContentType="application/vnd.openxmlformats-officedocument.spreadsheetml.table+xml"/>
  <Override PartName="/xl/tables/table169.xml" ContentType="application/vnd.openxmlformats-officedocument.spreadsheetml.table+xml"/>
  <Override PartName="/xl/tables/table170.xml" ContentType="application/vnd.openxmlformats-officedocument.spreadsheetml.table+xml"/>
  <Override PartName="/xl/tables/table171.xml" ContentType="application/vnd.openxmlformats-officedocument.spreadsheetml.table+xml"/>
  <Override PartName="/xl/tables/table172.xml" ContentType="application/vnd.openxmlformats-officedocument.spreadsheetml.table+xml"/>
  <Override PartName="/xl/tables/table173.xml" ContentType="application/vnd.openxmlformats-officedocument.spreadsheetml.table+xml"/>
  <Override PartName="/xl/tables/table174.xml" ContentType="application/vnd.openxmlformats-officedocument.spreadsheetml.table+xml"/>
  <Override PartName="/xl/tables/table175.xml" ContentType="application/vnd.openxmlformats-officedocument.spreadsheetml.table+xml"/>
  <Override PartName="/xl/tables/table176.xml" ContentType="application/vnd.openxmlformats-officedocument.spreadsheetml.table+xml"/>
  <Override PartName="/xl/tables/table177.xml" ContentType="application/vnd.openxmlformats-officedocument.spreadsheetml.table+xml"/>
  <Override PartName="/xl/tables/table178.xml" ContentType="application/vnd.openxmlformats-officedocument.spreadsheetml.table+xml"/>
  <Override PartName="/xl/tables/table179.xml" ContentType="application/vnd.openxmlformats-officedocument.spreadsheetml.table+xml"/>
  <Override PartName="/xl/tables/table180.xml" ContentType="application/vnd.openxmlformats-officedocument.spreadsheetml.table+xml"/>
  <Override PartName="/xl/tables/table181.xml" ContentType="application/vnd.openxmlformats-officedocument.spreadsheetml.table+xml"/>
  <Override PartName="/xl/tables/table182.xml" ContentType="application/vnd.openxmlformats-officedocument.spreadsheetml.table+xml"/>
  <Override PartName="/xl/tables/table183.xml" ContentType="application/vnd.openxmlformats-officedocument.spreadsheetml.table+xml"/>
  <Override PartName="/xl/tables/table184.xml" ContentType="application/vnd.openxmlformats-officedocument.spreadsheetml.table+xml"/>
  <Override PartName="/xl/tables/table185.xml" ContentType="application/vnd.openxmlformats-officedocument.spreadsheetml.table+xml"/>
  <Override PartName="/xl/tables/table186.xml" ContentType="application/vnd.openxmlformats-officedocument.spreadsheetml.table+xml"/>
  <Override PartName="/xl/tables/table187.xml" ContentType="application/vnd.openxmlformats-officedocument.spreadsheetml.table+xml"/>
  <Override PartName="/xl/tables/table188.xml" ContentType="application/vnd.openxmlformats-officedocument.spreadsheetml.table+xml"/>
  <Override PartName="/xl/tables/table189.xml" ContentType="application/vnd.openxmlformats-officedocument.spreadsheetml.table+xml"/>
  <Override PartName="/xl/tables/table190.xml" ContentType="application/vnd.openxmlformats-officedocument.spreadsheetml.table+xml"/>
  <Override PartName="/xl/tables/table191.xml" ContentType="application/vnd.openxmlformats-officedocument.spreadsheetml.table+xml"/>
  <Override PartName="/xl/tables/table192.xml" ContentType="application/vnd.openxmlformats-officedocument.spreadsheetml.table+xml"/>
  <Override PartName="/xl/tables/table193.xml" ContentType="application/vnd.openxmlformats-officedocument.spreadsheetml.table+xml"/>
  <Override PartName="/xl/tables/table194.xml" ContentType="application/vnd.openxmlformats-officedocument.spreadsheetml.table+xml"/>
  <Override PartName="/xl/tables/table195.xml" ContentType="application/vnd.openxmlformats-officedocument.spreadsheetml.table+xml"/>
  <Override PartName="/xl/tables/table196.xml" ContentType="application/vnd.openxmlformats-officedocument.spreadsheetml.table+xml"/>
  <Override PartName="/xl/tables/table197.xml" ContentType="application/vnd.openxmlformats-officedocument.spreadsheetml.table+xml"/>
  <Override PartName="/xl/tables/table198.xml" ContentType="application/vnd.openxmlformats-officedocument.spreadsheetml.table+xml"/>
  <Override PartName="/xl/tables/table199.xml" ContentType="application/vnd.openxmlformats-officedocument.spreadsheetml.table+xml"/>
  <Override PartName="/xl/tables/table200.xml" ContentType="application/vnd.openxmlformats-officedocument.spreadsheetml.table+xml"/>
  <Override PartName="/xl/tables/table201.xml" ContentType="application/vnd.openxmlformats-officedocument.spreadsheetml.table+xml"/>
  <Override PartName="/xl/tables/table202.xml" ContentType="application/vnd.openxmlformats-officedocument.spreadsheetml.table+xml"/>
  <Override PartName="/xl/tables/table203.xml" ContentType="application/vnd.openxmlformats-officedocument.spreadsheetml.table+xml"/>
  <Override PartName="/xl/tables/table204.xml" ContentType="application/vnd.openxmlformats-officedocument.spreadsheetml.table+xml"/>
  <Override PartName="/xl/tables/table205.xml" ContentType="application/vnd.openxmlformats-officedocument.spreadsheetml.table+xml"/>
  <Override PartName="/xl/tables/table206.xml" ContentType="application/vnd.openxmlformats-officedocument.spreadsheetml.table+xml"/>
  <Override PartName="/xl/tables/table207.xml" ContentType="application/vnd.openxmlformats-officedocument.spreadsheetml.table+xml"/>
  <Override PartName="/xl/tables/table208.xml" ContentType="application/vnd.openxmlformats-officedocument.spreadsheetml.table+xml"/>
  <Override PartName="/xl/tables/table209.xml" ContentType="application/vnd.openxmlformats-officedocument.spreadsheetml.table+xml"/>
  <Override PartName="/xl/tables/table210.xml" ContentType="application/vnd.openxmlformats-officedocument.spreadsheetml.table+xml"/>
  <Override PartName="/xl/tables/table211.xml" ContentType="application/vnd.openxmlformats-officedocument.spreadsheetml.table+xml"/>
  <Override PartName="/xl/tables/table212.xml" ContentType="application/vnd.openxmlformats-officedocument.spreadsheetml.table+xml"/>
  <Override PartName="/xl/tables/table213.xml" ContentType="application/vnd.openxmlformats-officedocument.spreadsheetml.table+xml"/>
  <Override PartName="/xl/tables/table214.xml" ContentType="application/vnd.openxmlformats-officedocument.spreadsheetml.table+xml"/>
  <Override PartName="/xl/tables/table215.xml" ContentType="application/vnd.openxmlformats-officedocument.spreadsheetml.table+xml"/>
  <Override PartName="/xl/tables/table216.xml" ContentType="application/vnd.openxmlformats-officedocument.spreadsheetml.table+xml"/>
  <Override PartName="/xl/tables/table217.xml" ContentType="application/vnd.openxmlformats-officedocument.spreadsheetml.table+xml"/>
  <Override PartName="/xl/tables/table218.xml" ContentType="application/vnd.openxmlformats-officedocument.spreadsheetml.table+xml"/>
  <Override PartName="/xl/tables/table219.xml" ContentType="application/vnd.openxmlformats-officedocument.spreadsheetml.table+xml"/>
  <Override PartName="/xl/tables/table220.xml" ContentType="application/vnd.openxmlformats-officedocument.spreadsheetml.table+xml"/>
  <Override PartName="/xl/tables/table221.xml" ContentType="application/vnd.openxmlformats-officedocument.spreadsheetml.table+xml"/>
  <Override PartName="/xl/tables/table222.xml" ContentType="application/vnd.openxmlformats-officedocument.spreadsheetml.table+xml"/>
  <Override PartName="/xl/tables/table223.xml" ContentType="application/vnd.openxmlformats-officedocument.spreadsheetml.table+xml"/>
  <Override PartName="/xl/tables/table224.xml" ContentType="application/vnd.openxmlformats-officedocument.spreadsheetml.table+xml"/>
  <Override PartName="/xl/tables/table225.xml" ContentType="application/vnd.openxmlformats-officedocument.spreadsheetml.table+xml"/>
  <Override PartName="/xl/tables/table226.xml" ContentType="application/vnd.openxmlformats-officedocument.spreadsheetml.table+xml"/>
  <Override PartName="/xl/tables/table227.xml" ContentType="application/vnd.openxmlformats-officedocument.spreadsheetml.table+xml"/>
  <Override PartName="/xl/tables/table228.xml" ContentType="application/vnd.openxmlformats-officedocument.spreadsheetml.table+xml"/>
  <Override PartName="/xl/tables/table229.xml" ContentType="application/vnd.openxmlformats-officedocument.spreadsheetml.table+xml"/>
  <Override PartName="/xl/tables/table230.xml" ContentType="application/vnd.openxmlformats-officedocument.spreadsheetml.table+xml"/>
  <Override PartName="/xl/tables/table231.xml" ContentType="application/vnd.openxmlformats-officedocument.spreadsheetml.table+xml"/>
  <Override PartName="/xl/tables/table232.xml" ContentType="application/vnd.openxmlformats-officedocument.spreadsheetml.table+xml"/>
  <Override PartName="/xl/tables/table233.xml" ContentType="application/vnd.openxmlformats-officedocument.spreadsheetml.table+xml"/>
  <Override PartName="/xl/tables/table234.xml" ContentType="application/vnd.openxmlformats-officedocument.spreadsheetml.table+xml"/>
  <Override PartName="/xl/tables/table235.xml" ContentType="application/vnd.openxmlformats-officedocument.spreadsheetml.table+xml"/>
  <Override PartName="/xl/tables/table236.xml" ContentType="application/vnd.openxmlformats-officedocument.spreadsheetml.table+xml"/>
  <Override PartName="/xl/tables/table237.xml" ContentType="application/vnd.openxmlformats-officedocument.spreadsheetml.table+xml"/>
  <Override PartName="/xl/tables/table238.xml" ContentType="application/vnd.openxmlformats-officedocument.spreadsheetml.table+xml"/>
  <Override PartName="/xl/tables/table239.xml" ContentType="application/vnd.openxmlformats-officedocument.spreadsheetml.table+xml"/>
  <Override PartName="/xl/tables/table240.xml" ContentType="application/vnd.openxmlformats-officedocument.spreadsheetml.table+xml"/>
  <Override PartName="/xl/tables/table241.xml" ContentType="application/vnd.openxmlformats-officedocument.spreadsheetml.table+xml"/>
  <Override PartName="/xl/tables/table242.xml" ContentType="application/vnd.openxmlformats-officedocument.spreadsheetml.table+xml"/>
  <Override PartName="/xl/tables/table243.xml" ContentType="application/vnd.openxmlformats-officedocument.spreadsheetml.table+xml"/>
  <Override PartName="/xl/tables/table244.xml" ContentType="application/vnd.openxmlformats-officedocument.spreadsheetml.table+xml"/>
  <Override PartName="/xl/tables/table245.xml" ContentType="application/vnd.openxmlformats-officedocument.spreadsheetml.table+xml"/>
  <Override PartName="/xl/tables/table246.xml" ContentType="application/vnd.openxmlformats-officedocument.spreadsheetml.table+xml"/>
  <Override PartName="/xl/tables/table247.xml" ContentType="application/vnd.openxmlformats-officedocument.spreadsheetml.table+xml"/>
  <Override PartName="/xl/tables/table248.xml" ContentType="application/vnd.openxmlformats-officedocument.spreadsheetml.table+xml"/>
  <Override PartName="/xl/tables/table249.xml" ContentType="application/vnd.openxmlformats-officedocument.spreadsheetml.table+xml"/>
  <Override PartName="/xl/tables/table250.xml" ContentType="application/vnd.openxmlformats-officedocument.spreadsheetml.table+xml"/>
  <Override PartName="/xl/tables/table251.xml" ContentType="application/vnd.openxmlformats-officedocument.spreadsheetml.table+xml"/>
  <Override PartName="/xl/tables/table252.xml" ContentType="application/vnd.openxmlformats-officedocument.spreadsheetml.table+xml"/>
  <Override PartName="/xl/tables/table253.xml" ContentType="application/vnd.openxmlformats-officedocument.spreadsheetml.table+xml"/>
  <Override PartName="/xl/tables/table254.xml" ContentType="application/vnd.openxmlformats-officedocument.spreadsheetml.table+xml"/>
  <Override PartName="/xl/tables/table255.xml" ContentType="application/vnd.openxmlformats-officedocument.spreadsheetml.table+xml"/>
  <Override PartName="/xl/tables/table256.xml" ContentType="application/vnd.openxmlformats-officedocument.spreadsheetml.table+xml"/>
  <Override PartName="/xl/tables/table257.xml" ContentType="application/vnd.openxmlformats-officedocument.spreadsheetml.table+xml"/>
  <Override PartName="/xl/tables/table258.xml" ContentType="application/vnd.openxmlformats-officedocument.spreadsheetml.table+xml"/>
  <Override PartName="/xl/tables/table259.xml" ContentType="application/vnd.openxmlformats-officedocument.spreadsheetml.table+xml"/>
  <Override PartName="/xl/tables/table260.xml" ContentType="application/vnd.openxmlformats-officedocument.spreadsheetml.table+xml"/>
  <Override PartName="/xl/tables/table261.xml" ContentType="application/vnd.openxmlformats-officedocument.spreadsheetml.table+xml"/>
  <Override PartName="/xl/tables/table262.xml" ContentType="application/vnd.openxmlformats-officedocument.spreadsheetml.table+xml"/>
  <Override PartName="/xl/tables/table263.xml" ContentType="application/vnd.openxmlformats-officedocument.spreadsheetml.table+xml"/>
  <Override PartName="/xl/tables/table264.xml" ContentType="application/vnd.openxmlformats-officedocument.spreadsheetml.table+xml"/>
  <Override PartName="/xl/tables/table265.xml" ContentType="application/vnd.openxmlformats-officedocument.spreadsheetml.table+xml"/>
  <Override PartName="/xl/tables/table266.xml" ContentType="application/vnd.openxmlformats-officedocument.spreadsheetml.table+xml"/>
  <Override PartName="/xl/tables/table267.xml" ContentType="application/vnd.openxmlformats-officedocument.spreadsheetml.table+xml"/>
  <Override PartName="/xl/tables/table268.xml" ContentType="application/vnd.openxmlformats-officedocument.spreadsheetml.table+xml"/>
  <Override PartName="/xl/tables/table269.xml" ContentType="application/vnd.openxmlformats-officedocument.spreadsheetml.table+xml"/>
  <Override PartName="/xl/tables/table270.xml" ContentType="application/vnd.openxmlformats-officedocument.spreadsheetml.table+xml"/>
  <Override PartName="/xl/comments2.xml" ContentType="application/vnd.openxmlformats-officedocument.spreadsheetml.comments+xml"/>
  <Override PartName="/xl/threadedComments/threadedComment2.xml" ContentType="application/vnd.ms-excel.threadedcomment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916"/>
  <workbookPr defaultThemeVersion="166925"/>
  <mc:AlternateContent xmlns:mc="http://schemas.openxmlformats.org/markup-compatibility/2006">
    <mc:Choice Requires="x15">
      <x15ac:absPath xmlns:x15ac="http://schemas.microsoft.com/office/spreadsheetml/2010/11/ac" url="/Users/sabinebarets/Library/CloudStorage/GoogleDrive-sabine@labelleforet.co/.shortcut-targets-by-id/1hWSr30HhG3JD87MFeSewyTYmzPh_ltcd/La Belle Forêt/Drive La Belle Forêt 2024/3. Méthodologie et Audit/1. Référentiels/3. GFO - LBC - 20 ans/3. Méthode GFO en LBC/2. Calculateur carbone/"/>
    </mc:Choice>
  </mc:AlternateContent>
  <xr:revisionPtr revIDLastSave="0" documentId="13_ncr:1_{187F6A13-6812-6C49-9E59-D228E8228E29}" xr6:coauthVersionLast="47" xr6:coauthVersionMax="47" xr10:uidLastSave="{00000000-0000-0000-0000-000000000000}"/>
  <bookViews>
    <workbookView xWindow="-47380" yWindow="-10000" windowWidth="44220" windowHeight="23720" activeTab="3" xr2:uid="{00000000-000D-0000-FFFF-FFFF00000000}"/>
  </bookViews>
  <sheets>
    <sheet name="README" sheetId="30" r:id="rId1"/>
    <sheet name="1.GLOBAL" sheetId="39" r:id="rId2"/>
    <sheet name="2.VOL_INITIAL" sheetId="29" r:id="rId3"/>
    <sheet name="3.ESS_RÉGÉ" sheetId="32" r:id="rId4"/>
    <sheet name="INITIAL_FORET" sheetId="11" r:id="rId5"/>
    <sheet name="StrateA" sheetId="12" r:id="rId6"/>
    <sheet name="StrateB" sheetId="36" r:id="rId7"/>
    <sheet name="StrateC" sheetId="37" r:id="rId8"/>
    <sheet name="StrateD" sheetId="38" r:id="rId9"/>
    <sheet name="BILAN_STRATES" sheetId="31" r:id="rId10"/>
    <sheet name="BILAN_FORET" sheetId="20" r:id="rId11"/>
    <sheet name="VAN" sheetId="40" r:id="rId12"/>
    <sheet name="Tables" sheetId="4" r:id="rId13"/>
    <sheet name="Tables_concat" sheetId="41" r:id="rId14"/>
    <sheet name="Listes" sheetId="2" r:id="rId15"/>
    <sheet name="RiskEss" sheetId="28" r:id="rId16"/>
  </sheets>
  <definedNames>
    <definedName name="CHN">Listes!$AM$42:$AM$52</definedName>
    <definedName name="DOU">Listes!$AM$2:$AM$7</definedName>
    <definedName name="FEU">Listes!$AM$53</definedName>
    <definedName name="HET">Listes!$AM$37:$AM$41</definedName>
    <definedName name="k" localSheetId="6">StrateB!$D$13</definedName>
    <definedName name="k" localSheetId="7">StrateC!$D$13</definedName>
    <definedName name="k" localSheetId="8">StrateD!$D$13</definedName>
    <definedName name="k">StrateA!$D$13</definedName>
    <definedName name="Niv_engt">INITIAL_FORET!$C$8</definedName>
    <definedName name="Nom_forêt">INITIAL_FORET!$C$2</definedName>
    <definedName name="PIM">Listes!$AM$33:$AM$36</definedName>
    <definedName name="PIS">Listes!$AM$12:$AM$16</definedName>
    <definedName name="Propriete">Listes!$C$2:$C$3</definedName>
    <definedName name="Région">INITIAL_FORET!$C$6</definedName>
    <definedName name="RES">Listes!$AM$17:$AM$32</definedName>
    <definedName name="SAP">Listes!$AM$8:$AM$11</definedName>
    <definedName name="Surf_boisée">INITIAL_FORET!$C$5</definedName>
    <definedName name="Surf_pté">INITIAL_FORET!$C$4</definedName>
    <definedName name="Surface_tot">INITIAL_FORET!$C$5</definedName>
    <definedName name="Traitement">Listes!$B$2:$B$3</definedName>
    <definedName name="Type_pté">INITIAL_FORET!$C$3</definedName>
    <definedName name="WW">Listes!$I$33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C24" i="32" l="1"/>
  <c r="D24" i="32"/>
  <c r="E24" i="32"/>
  <c r="C25" i="32"/>
  <c r="D25" i="32"/>
  <c r="E25" i="32"/>
  <c r="C26" i="32"/>
  <c r="D26" i="32"/>
  <c r="E26" i="32"/>
  <c r="C27" i="32"/>
  <c r="D27" i="32"/>
  <c r="E27" i="32"/>
  <c r="C28" i="32"/>
  <c r="D28" i="32"/>
  <c r="E28" i="32"/>
  <c r="C29" i="32"/>
  <c r="D29" i="32"/>
  <c r="E29" i="32"/>
  <c r="C30" i="32"/>
  <c r="D30" i="32"/>
  <c r="E30" i="32"/>
  <c r="C31" i="32"/>
  <c r="D31" i="32"/>
  <c r="E31" i="32"/>
  <c r="C32" i="32"/>
  <c r="D32" i="32"/>
  <c r="E32" i="32"/>
  <c r="C33" i="32"/>
  <c r="D33" i="32"/>
  <c r="E33" i="32"/>
  <c r="C34" i="32"/>
  <c r="D34" i="32"/>
  <c r="E34" i="32"/>
  <c r="C35" i="32"/>
  <c r="D35" i="32"/>
  <c r="E35" i="32"/>
  <c r="C36" i="32"/>
  <c r="D36" i="32"/>
  <c r="E36" i="32"/>
  <c r="C37" i="32"/>
  <c r="D37" i="32"/>
  <c r="E37" i="32"/>
  <c r="C38" i="32"/>
  <c r="D38" i="32"/>
  <c r="E38" i="32"/>
  <c r="C39" i="32"/>
  <c r="D39" i="32"/>
  <c r="E39" i="32"/>
  <c r="C40" i="32"/>
  <c r="D40" i="32"/>
  <c r="E40" i="32"/>
  <c r="C41" i="32"/>
  <c r="D41" i="32"/>
  <c r="E41" i="32"/>
  <c r="C42" i="32"/>
  <c r="D42" i="32"/>
  <c r="E42" i="32"/>
  <c r="C43" i="32"/>
  <c r="D43" i="32"/>
  <c r="E43" i="32"/>
  <c r="C44" i="32"/>
  <c r="D44" i="32"/>
  <c r="E44" i="32"/>
  <c r="C45" i="32"/>
  <c r="D45" i="32"/>
  <c r="E45" i="32"/>
  <c r="C46" i="32"/>
  <c r="D46" i="32"/>
  <c r="E46" i="32"/>
  <c r="C47" i="32"/>
  <c r="D47" i="32"/>
  <c r="E47" i="32"/>
  <c r="C48" i="32"/>
  <c r="D48" i="32"/>
  <c r="E48" i="32"/>
  <c r="C49" i="32"/>
  <c r="D49" i="32"/>
  <c r="E49" i="32"/>
  <c r="C50" i="32"/>
  <c r="D50" i="32"/>
  <c r="E50" i="32"/>
  <c r="C51" i="32"/>
  <c r="D51" i="32"/>
  <c r="E51" i="32"/>
  <c r="C52" i="32"/>
  <c r="D52" i="32"/>
  <c r="E52" i="32"/>
  <c r="E23" i="32"/>
  <c r="D23" i="32"/>
  <c r="C23" i="32"/>
  <c r="G22" i="39"/>
  <c r="G23" i="39"/>
  <c r="G24" i="39"/>
  <c r="G25" i="39"/>
  <c r="Q7" i="11"/>
  <c r="Q8" i="11"/>
  <c r="Q9" i="11"/>
  <c r="Q10" i="11"/>
  <c r="Q11" i="11"/>
  <c r="Q12" i="11"/>
  <c r="Q13" i="11"/>
  <c r="D80" i="39" l="1"/>
  <c r="D79" i="39"/>
  <c r="D78" i="39"/>
  <c r="D77" i="39"/>
  <c r="D72" i="39"/>
  <c r="D71" i="39"/>
  <c r="D70" i="39"/>
  <c r="D69" i="39"/>
  <c r="D64" i="39"/>
  <c r="D63" i="39"/>
  <c r="D62" i="39"/>
  <c r="D61" i="39"/>
  <c r="D54" i="39"/>
  <c r="D55" i="39"/>
  <c r="D56" i="39"/>
  <c r="D53" i="39"/>
  <c r="E41" i="39"/>
  <c r="E42" i="39"/>
  <c r="E43" i="39"/>
  <c r="E44" i="39"/>
  <c r="E45" i="39"/>
  <c r="E46" i="39"/>
  <c r="E47" i="39"/>
  <c r="AR2" i="2" l="1"/>
  <c r="AR3" i="2"/>
  <c r="AR4" i="2"/>
  <c r="AR5" i="2"/>
  <c r="AR6" i="2"/>
  <c r="AR7" i="2"/>
  <c r="AR8" i="2"/>
  <c r="AR9" i="2"/>
  <c r="AR10" i="2"/>
  <c r="AR11" i="2"/>
  <c r="AR12" i="2"/>
  <c r="AR13" i="2"/>
  <c r="AR14" i="2"/>
  <c r="AR15" i="2"/>
  <c r="AR16" i="2"/>
  <c r="AR17" i="2"/>
  <c r="AR18" i="2"/>
  <c r="AR19" i="2"/>
  <c r="AR20" i="2"/>
  <c r="AR21" i="2"/>
  <c r="AR22" i="2"/>
  <c r="AR23" i="2"/>
  <c r="AR24" i="2"/>
  <c r="AR25" i="2"/>
  <c r="AR26" i="2"/>
  <c r="AR27" i="2"/>
  <c r="AR28" i="2"/>
  <c r="AR29" i="2"/>
  <c r="AR30" i="2"/>
  <c r="V82" i="31"/>
  <c r="V55" i="31"/>
  <c r="V28" i="31"/>
  <c r="V1" i="31"/>
  <c r="C25" i="20" l="1"/>
  <c r="D3" i="41"/>
  <c r="D4" i="41"/>
  <c r="D5" i="41"/>
  <c r="D6" i="41"/>
  <c r="D7" i="41"/>
  <c r="D8" i="41"/>
  <c r="D9" i="41"/>
  <c r="D10" i="41"/>
  <c r="D11" i="41"/>
  <c r="D12" i="41"/>
  <c r="D13" i="41"/>
  <c r="D14" i="41"/>
  <c r="D15" i="41"/>
  <c r="D16" i="41"/>
  <c r="D17" i="41"/>
  <c r="D18" i="41"/>
  <c r="D19" i="41"/>
  <c r="D20" i="41"/>
  <c r="D21" i="41"/>
  <c r="D22" i="41"/>
  <c r="D23" i="41"/>
  <c r="D24" i="41"/>
  <c r="D25" i="41"/>
  <c r="D26" i="41"/>
  <c r="D27" i="41"/>
  <c r="D28" i="41"/>
  <c r="D29" i="41"/>
  <c r="D30" i="41"/>
  <c r="D31" i="41"/>
  <c r="D32" i="41"/>
  <c r="D33" i="41"/>
  <c r="D34" i="41"/>
  <c r="D35" i="41"/>
  <c r="D36" i="41"/>
  <c r="D37" i="41"/>
  <c r="D38" i="41"/>
  <c r="D39" i="41"/>
  <c r="D40" i="41"/>
  <c r="D41" i="41"/>
  <c r="D42" i="41"/>
  <c r="D43" i="41"/>
  <c r="D44" i="41"/>
  <c r="D45" i="41"/>
  <c r="D46" i="41"/>
  <c r="D47" i="41"/>
  <c r="D48" i="41"/>
  <c r="D49" i="41"/>
  <c r="D50" i="41"/>
  <c r="D51" i="41"/>
  <c r="D52" i="41"/>
  <c r="D53" i="41"/>
  <c r="D54" i="41"/>
  <c r="D55" i="41"/>
  <c r="D56" i="41"/>
  <c r="D57" i="41"/>
  <c r="D58" i="41"/>
  <c r="D59" i="41"/>
  <c r="D60" i="41"/>
  <c r="D61" i="41"/>
  <c r="D62" i="41"/>
  <c r="D63" i="41"/>
  <c r="D64" i="41"/>
  <c r="D65" i="41"/>
  <c r="D66" i="41"/>
  <c r="D67" i="41"/>
  <c r="D68" i="41"/>
  <c r="D69" i="41"/>
  <c r="D70" i="41"/>
  <c r="D71" i="41"/>
  <c r="D72" i="41"/>
  <c r="D73" i="41"/>
  <c r="D74" i="41"/>
  <c r="D75" i="41"/>
  <c r="D76" i="41"/>
  <c r="D77" i="41"/>
  <c r="D78" i="41"/>
  <c r="D79" i="41"/>
  <c r="D80" i="41"/>
  <c r="D81" i="41"/>
  <c r="D82" i="41"/>
  <c r="D83" i="41"/>
  <c r="D84" i="41"/>
  <c r="D85" i="41"/>
  <c r="D86" i="41"/>
  <c r="D87" i="41"/>
  <c r="D88" i="41"/>
  <c r="D89" i="41"/>
  <c r="D90" i="41"/>
  <c r="D91" i="41"/>
  <c r="D92" i="41"/>
  <c r="D93" i="41"/>
  <c r="D94" i="41"/>
  <c r="D95" i="41"/>
  <c r="D96" i="41"/>
  <c r="D97" i="41"/>
  <c r="D98" i="41"/>
  <c r="D99" i="41"/>
  <c r="D100" i="41"/>
  <c r="D101" i="41"/>
  <c r="D102" i="41"/>
  <c r="D103" i="41"/>
  <c r="D104" i="41"/>
  <c r="D105" i="41"/>
  <c r="D106" i="41"/>
  <c r="D107" i="41"/>
  <c r="D108" i="41"/>
  <c r="D109" i="41"/>
  <c r="D110" i="41"/>
  <c r="D111" i="41"/>
  <c r="D112" i="41"/>
  <c r="D113" i="41"/>
  <c r="D114" i="41"/>
  <c r="D115" i="41"/>
  <c r="D116" i="41"/>
  <c r="D117" i="41"/>
  <c r="D118" i="41"/>
  <c r="D119" i="41"/>
  <c r="D120" i="41"/>
  <c r="D121" i="41"/>
  <c r="D122" i="41"/>
  <c r="D123" i="41"/>
  <c r="D124" i="41"/>
  <c r="D125" i="41"/>
  <c r="D126" i="41"/>
  <c r="D127" i="41"/>
  <c r="D128" i="41"/>
  <c r="D129" i="41"/>
  <c r="D130" i="41"/>
  <c r="D131" i="41"/>
  <c r="D132" i="41"/>
  <c r="D133" i="41"/>
  <c r="D134" i="41"/>
  <c r="D135" i="41"/>
  <c r="D136" i="41"/>
  <c r="D137" i="41"/>
  <c r="D138" i="41"/>
  <c r="D139" i="41"/>
  <c r="D140" i="41"/>
  <c r="D141" i="41"/>
  <c r="D142" i="41"/>
  <c r="D143" i="41"/>
  <c r="D144" i="41"/>
  <c r="D145" i="41"/>
  <c r="D146" i="41"/>
  <c r="D147" i="41"/>
  <c r="D148" i="41"/>
  <c r="D149" i="41"/>
  <c r="D150" i="41"/>
  <c r="D151" i="41"/>
  <c r="D152" i="41"/>
  <c r="D153" i="41"/>
  <c r="D154" i="41"/>
  <c r="D155" i="41"/>
  <c r="D156" i="41"/>
  <c r="D157" i="41"/>
  <c r="D158" i="41"/>
  <c r="D159" i="41"/>
  <c r="D160" i="41"/>
  <c r="D161" i="41"/>
  <c r="D162" i="41"/>
  <c r="D163" i="41"/>
  <c r="D164" i="41"/>
  <c r="D165" i="41"/>
  <c r="D166" i="41"/>
  <c r="D167" i="41"/>
  <c r="D168" i="41"/>
  <c r="D169" i="41"/>
  <c r="D170" i="41"/>
  <c r="D171" i="41"/>
  <c r="D172" i="41"/>
  <c r="D173" i="41"/>
  <c r="D174" i="41"/>
  <c r="D175" i="41"/>
  <c r="D176" i="41"/>
  <c r="D177" i="41"/>
  <c r="D178" i="41"/>
  <c r="D179" i="41"/>
  <c r="D180" i="41"/>
  <c r="D181" i="41"/>
  <c r="D182" i="41"/>
  <c r="D183" i="41"/>
  <c r="D184" i="41"/>
  <c r="D185" i="41"/>
  <c r="D186" i="41"/>
  <c r="D187" i="41"/>
  <c r="D188" i="41"/>
  <c r="D189" i="41"/>
  <c r="D190" i="41"/>
  <c r="D191" i="41"/>
  <c r="D192" i="41"/>
  <c r="D193" i="41"/>
  <c r="D194" i="41"/>
  <c r="D195" i="41"/>
  <c r="D196" i="41"/>
  <c r="D197" i="41"/>
  <c r="D198" i="41"/>
  <c r="D199" i="41"/>
  <c r="D200" i="41"/>
  <c r="D201" i="41"/>
  <c r="D202" i="41"/>
  <c r="D203" i="41"/>
  <c r="D204" i="41"/>
  <c r="D205" i="41"/>
  <c r="D206" i="41"/>
  <c r="D207" i="41"/>
  <c r="D208" i="41"/>
  <c r="D209" i="41"/>
  <c r="D210" i="41"/>
  <c r="D211" i="41"/>
  <c r="D212" i="41"/>
  <c r="D213" i="41"/>
  <c r="D214" i="41"/>
  <c r="D215" i="41"/>
  <c r="D216" i="41"/>
  <c r="D217" i="41"/>
  <c r="D218" i="41"/>
  <c r="D219" i="41"/>
  <c r="D220" i="41"/>
  <c r="D221" i="41"/>
  <c r="D222" i="41"/>
  <c r="D223" i="41"/>
  <c r="D224" i="41"/>
  <c r="D225" i="41"/>
  <c r="D226" i="41"/>
  <c r="D227" i="41"/>
  <c r="D228" i="41"/>
  <c r="D229" i="41"/>
  <c r="D230" i="41"/>
  <c r="D231" i="41"/>
  <c r="D232" i="41"/>
  <c r="D233" i="41"/>
  <c r="D234" i="41"/>
  <c r="D235" i="41"/>
  <c r="D236" i="41"/>
  <c r="D237" i="41"/>
  <c r="D238" i="41"/>
  <c r="D239" i="41"/>
  <c r="D240" i="41"/>
  <c r="D241" i="41"/>
  <c r="D242" i="41"/>
  <c r="D243" i="41"/>
  <c r="D244" i="41"/>
  <c r="D245" i="41"/>
  <c r="D246" i="41"/>
  <c r="D247" i="41"/>
  <c r="D248" i="41"/>
  <c r="D249" i="41"/>
  <c r="D250" i="41"/>
  <c r="D251" i="41"/>
  <c r="D252" i="41"/>
  <c r="D253" i="41"/>
  <c r="D254" i="41"/>
  <c r="D255" i="41"/>
  <c r="D256" i="41"/>
  <c r="D257" i="41"/>
  <c r="D258" i="41"/>
  <c r="D259" i="41"/>
  <c r="D260" i="41"/>
  <c r="D261" i="41"/>
  <c r="D262" i="41"/>
  <c r="D263" i="41"/>
  <c r="D264" i="41"/>
  <c r="D265" i="41"/>
  <c r="D266" i="41"/>
  <c r="D267" i="41"/>
  <c r="D268" i="41"/>
  <c r="D269" i="41"/>
  <c r="D270" i="41"/>
  <c r="D271" i="41"/>
  <c r="D272" i="41"/>
  <c r="D273" i="41"/>
  <c r="D274" i="41"/>
  <c r="D275" i="41"/>
  <c r="D276" i="41"/>
  <c r="D277" i="41"/>
  <c r="D278" i="41"/>
  <c r="D279" i="41"/>
  <c r="D280" i="41"/>
  <c r="D281" i="41"/>
  <c r="D282" i="41"/>
  <c r="D283" i="41"/>
  <c r="D284" i="41"/>
  <c r="D285" i="41"/>
  <c r="D286" i="41"/>
  <c r="D287" i="41"/>
  <c r="D288" i="41"/>
  <c r="D289" i="41"/>
  <c r="D290" i="41"/>
  <c r="D291" i="41"/>
  <c r="D292" i="41"/>
  <c r="D293" i="41"/>
  <c r="D294" i="41"/>
  <c r="D295" i="41"/>
  <c r="D296" i="41"/>
  <c r="D297" i="41"/>
  <c r="D298" i="41"/>
  <c r="D299" i="41"/>
  <c r="D300" i="41"/>
  <c r="D301" i="41"/>
  <c r="D302" i="41"/>
  <c r="D303" i="41"/>
  <c r="D304" i="41"/>
  <c r="D305" i="41"/>
  <c r="D306" i="41"/>
  <c r="D307" i="41"/>
  <c r="D308" i="41"/>
  <c r="D309" i="41"/>
  <c r="D310" i="41"/>
  <c r="D311" i="41"/>
  <c r="D312" i="41"/>
  <c r="D313" i="41"/>
  <c r="D314" i="41"/>
  <c r="D315" i="41"/>
  <c r="D316" i="41"/>
  <c r="D317" i="41"/>
  <c r="D318" i="41"/>
  <c r="D319" i="41"/>
  <c r="D320" i="41"/>
  <c r="D321" i="41"/>
  <c r="D322" i="41"/>
  <c r="D323" i="41"/>
  <c r="D324" i="41"/>
  <c r="D325" i="41"/>
  <c r="D326" i="41"/>
  <c r="D327" i="41"/>
  <c r="D328" i="41"/>
  <c r="D329" i="41"/>
  <c r="D330" i="41"/>
  <c r="D331" i="41"/>
  <c r="D332" i="41"/>
  <c r="D333" i="41"/>
  <c r="D334" i="41"/>
  <c r="D335" i="41"/>
  <c r="D336" i="41"/>
  <c r="D337" i="41"/>
  <c r="D338" i="41"/>
  <c r="D339" i="41"/>
  <c r="D340" i="41"/>
  <c r="D341" i="41"/>
  <c r="D342" i="41"/>
  <c r="D343" i="41"/>
  <c r="D344" i="41"/>
  <c r="D345" i="41"/>
  <c r="D346" i="41"/>
  <c r="D347" i="41"/>
  <c r="D348" i="41"/>
  <c r="D349" i="41"/>
  <c r="D350" i="41"/>
  <c r="D351" i="41"/>
  <c r="D352" i="41"/>
  <c r="D353" i="41"/>
  <c r="D354" i="41"/>
  <c r="D355" i="41"/>
  <c r="D356" i="41"/>
  <c r="D357" i="41"/>
  <c r="D358" i="41"/>
  <c r="D359" i="41"/>
  <c r="D360" i="41"/>
  <c r="D361" i="41"/>
  <c r="D362" i="41"/>
  <c r="D363" i="41"/>
  <c r="D364" i="41"/>
  <c r="D365" i="41"/>
  <c r="D366" i="41"/>
  <c r="D367" i="41"/>
  <c r="D368" i="41"/>
  <c r="D369" i="41"/>
  <c r="D370" i="41"/>
  <c r="D371" i="41"/>
  <c r="D372" i="41"/>
  <c r="D373" i="41"/>
  <c r="D374" i="41"/>
  <c r="D375" i="41"/>
  <c r="D376" i="41"/>
  <c r="D377" i="41"/>
  <c r="D378" i="41"/>
  <c r="D379" i="41"/>
  <c r="D380" i="41"/>
  <c r="D381" i="41"/>
  <c r="D382" i="41"/>
  <c r="D383" i="41"/>
  <c r="D384" i="41"/>
  <c r="D385" i="41"/>
  <c r="D386" i="41"/>
  <c r="D387" i="41"/>
  <c r="D388" i="41"/>
  <c r="D389" i="41"/>
  <c r="D390" i="41"/>
  <c r="D391" i="41"/>
  <c r="D392" i="41"/>
  <c r="D393" i="41"/>
  <c r="D394" i="41"/>
  <c r="D395" i="41"/>
  <c r="D396" i="41"/>
  <c r="D397" i="41"/>
  <c r="D398" i="41"/>
  <c r="D399" i="41"/>
  <c r="D400" i="41"/>
  <c r="D401" i="41"/>
  <c r="D402" i="41"/>
  <c r="D403" i="41"/>
  <c r="D404" i="41"/>
  <c r="D405" i="41"/>
  <c r="D406" i="41"/>
  <c r="D407" i="41"/>
  <c r="D408" i="41"/>
  <c r="D409" i="41"/>
  <c r="D410" i="41"/>
  <c r="D411" i="41"/>
  <c r="D412" i="41"/>
  <c r="D413" i="41"/>
  <c r="D414" i="41"/>
  <c r="D415" i="41"/>
  <c r="D416" i="41"/>
  <c r="D417" i="41"/>
  <c r="D418" i="41"/>
  <c r="D419" i="41"/>
  <c r="D420" i="41"/>
  <c r="D421" i="41"/>
  <c r="D422" i="41"/>
  <c r="D423" i="41"/>
  <c r="D424" i="41"/>
  <c r="D425" i="41"/>
  <c r="D426" i="41"/>
  <c r="D427" i="41"/>
  <c r="D428" i="41"/>
  <c r="D429" i="41"/>
  <c r="D430" i="41"/>
  <c r="D431" i="41"/>
  <c r="D432" i="41"/>
  <c r="D433" i="41"/>
  <c r="D434" i="41"/>
  <c r="D435" i="41"/>
  <c r="D436" i="41"/>
  <c r="D437" i="41"/>
  <c r="D438" i="41"/>
  <c r="D439" i="41"/>
  <c r="D440" i="41"/>
  <c r="D441" i="41"/>
  <c r="D442" i="41"/>
  <c r="D443" i="41"/>
  <c r="D444" i="41"/>
  <c r="D445" i="41"/>
  <c r="D446" i="41"/>
  <c r="D447" i="41"/>
  <c r="D448" i="41"/>
  <c r="D449" i="41"/>
  <c r="D450" i="41"/>
  <c r="D451" i="41"/>
  <c r="D452" i="41"/>
  <c r="D453" i="41"/>
  <c r="D454" i="41"/>
  <c r="D455" i="41"/>
  <c r="D456" i="41"/>
  <c r="D457" i="41"/>
  <c r="D458" i="41"/>
  <c r="D459" i="41"/>
  <c r="D460" i="41"/>
  <c r="D461" i="41"/>
  <c r="D462" i="41"/>
  <c r="D463" i="41"/>
  <c r="D464" i="41"/>
  <c r="D465" i="41"/>
  <c r="D466" i="41"/>
  <c r="D467" i="41"/>
  <c r="D468" i="41"/>
  <c r="D469" i="41"/>
  <c r="D470" i="41"/>
  <c r="D471" i="41"/>
  <c r="D472" i="41"/>
  <c r="D473" i="41"/>
  <c r="D474" i="41"/>
  <c r="D475" i="41"/>
  <c r="D476" i="41"/>
  <c r="D477" i="41"/>
  <c r="D478" i="41"/>
  <c r="D479" i="41"/>
  <c r="D480" i="41"/>
  <c r="D481" i="41"/>
  <c r="D482" i="41"/>
  <c r="D483" i="41"/>
  <c r="D484" i="41"/>
  <c r="D485" i="41"/>
  <c r="D486" i="41"/>
  <c r="D487" i="41"/>
  <c r="D488" i="41"/>
  <c r="D489" i="41"/>
  <c r="D490" i="41"/>
  <c r="D491" i="41"/>
  <c r="D492" i="41"/>
  <c r="D493" i="41"/>
  <c r="D494" i="41"/>
  <c r="D495" i="41"/>
  <c r="D496" i="41"/>
  <c r="D497" i="41"/>
  <c r="D498" i="41"/>
  <c r="D499" i="41"/>
  <c r="D500" i="41"/>
  <c r="D501" i="41"/>
  <c r="D502" i="41"/>
  <c r="D503" i="41"/>
  <c r="D504" i="41"/>
  <c r="D505" i="41"/>
  <c r="D506" i="41"/>
  <c r="D507" i="41"/>
  <c r="D508" i="41"/>
  <c r="D509" i="41"/>
  <c r="D510" i="41"/>
  <c r="D511" i="41"/>
  <c r="D512" i="41"/>
  <c r="D513" i="41"/>
  <c r="D514" i="41"/>
  <c r="D515" i="41"/>
  <c r="D516" i="41"/>
  <c r="D517" i="41"/>
  <c r="D518" i="41"/>
  <c r="D519" i="41"/>
  <c r="D520" i="41"/>
  <c r="D521" i="41"/>
  <c r="D522" i="41"/>
  <c r="D523" i="41"/>
  <c r="D524" i="41"/>
  <c r="D525" i="41"/>
  <c r="D526" i="41"/>
  <c r="D527" i="41"/>
  <c r="D528" i="41"/>
  <c r="D529" i="41"/>
  <c r="D530" i="41"/>
  <c r="D531" i="41"/>
  <c r="D532" i="41"/>
  <c r="D533" i="41"/>
  <c r="D534" i="41"/>
  <c r="D535" i="41"/>
  <c r="D536" i="41"/>
  <c r="D537" i="41"/>
  <c r="D538" i="41"/>
  <c r="D539" i="41"/>
  <c r="D540" i="41"/>
  <c r="D541" i="41"/>
  <c r="D542" i="41"/>
  <c r="D543" i="41"/>
  <c r="D544" i="41"/>
  <c r="D545" i="41"/>
  <c r="D546" i="41"/>
  <c r="D547" i="41"/>
  <c r="D548" i="41"/>
  <c r="D549" i="41"/>
  <c r="D550" i="41"/>
  <c r="D551" i="41"/>
  <c r="D552" i="41"/>
  <c r="D553" i="41"/>
  <c r="D554" i="41"/>
  <c r="D555" i="41"/>
  <c r="D556" i="41"/>
  <c r="D557" i="41"/>
  <c r="D558" i="41"/>
  <c r="D559" i="41"/>
  <c r="D560" i="41"/>
  <c r="D561" i="41"/>
  <c r="D562" i="41"/>
  <c r="D563" i="41"/>
  <c r="D564" i="41"/>
  <c r="D565" i="41"/>
  <c r="D566" i="41"/>
  <c r="D567" i="41"/>
  <c r="D568" i="41"/>
  <c r="D569" i="41"/>
  <c r="D570" i="41"/>
  <c r="D571" i="41"/>
  <c r="D572" i="41"/>
  <c r="D573" i="41"/>
  <c r="D574" i="41"/>
  <c r="D575" i="41"/>
  <c r="D576" i="41"/>
  <c r="D577" i="41"/>
  <c r="D578" i="41"/>
  <c r="D579" i="41"/>
  <c r="D580" i="41"/>
  <c r="D581" i="41"/>
  <c r="D582" i="41"/>
  <c r="D583" i="41"/>
  <c r="D584" i="41"/>
  <c r="D585" i="41"/>
  <c r="D586" i="41"/>
  <c r="D587" i="41"/>
  <c r="D588" i="41"/>
  <c r="D589" i="41"/>
  <c r="D590" i="41"/>
  <c r="D591" i="41"/>
  <c r="D592" i="41"/>
  <c r="D593" i="41"/>
  <c r="D594" i="41"/>
  <c r="D595" i="41"/>
  <c r="D596" i="41"/>
  <c r="D597" i="41"/>
  <c r="D598" i="41"/>
  <c r="D599" i="41"/>
  <c r="D600" i="41"/>
  <c r="D601" i="41"/>
  <c r="D602" i="41"/>
  <c r="D603" i="41"/>
  <c r="D604" i="41"/>
  <c r="D605" i="41"/>
  <c r="D606" i="41"/>
  <c r="D607" i="41"/>
  <c r="D608" i="41"/>
  <c r="D609" i="41"/>
  <c r="D610" i="41"/>
  <c r="D611" i="41"/>
  <c r="D612" i="41"/>
  <c r="D613" i="41"/>
  <c r="D614" i="41"/>
  <c r="D615" i="41"/>
  <c r="D616" i="41"/>
  <c r="D617" i="41"/>
  <c r="D618" i="41"/>
  <c r="D619" i="41"/>
  <c r="D620" i="41"/>
  <c r="D621" i="41"/>
  <c r="D622" i="41"/>
  <c r="D623" i="41"/>
  <c r="D624" i="41"/>
  <c r="D625" i="41"/>
  <c r="D626" i="41"/>
  <c r="D627" i="41"/>
  <c r="D628" i="41"/>
  <c r="D629" i="41"/>
  <c r="D630" i="41"/>
  <c r="D631" i="41"/>
  <c r="D632" i="41"/>
  <c r="D633" i="41"/>
  <c r="D634" i="41"/>
  <c r="D635" i="41"/>
  <c r="D636" i="41"/>
  <c r="D637" i="41"/>
  <c r="D638" i="41"/>
  <c r="D639" i="41"/>
  <c r="D640" i="41"/>
  <c r="D641" i="41"/>
  <c r="D642" i="41"/>
  <c r="D643" i="41"/>
  <c r="D644" i="41"/>
  <c r="D645" i="41"/>
  <c r="D646" i="41"/>
  <c r="D647" i="41"/>
  <c r="D648" i="41"/>
  <c r="D649" i="41"/>
  <c r="D650" i="41"/>
  <c r="D651" i="41"/>
  <c r="D652" i="41"/>
  <c r="D653" i="41"/>
  <c r="D654" i="41"/>
  <c r="D655" i="41"/>
  <c r="D656" i="41"/>
  <c r="D657" i="41"/>
  <c r="D658" i="41"/>
  <c r="D659" i="41"/>
  <c r="D660" i="41"/>
  <c r="D661" i="41"/>
  <c r="D662" i="41"/>
  <c r="D663" i="41"/>
  <c r="D664" i="41"/>
  <c r="D665" i="41"/>
  <c r="D666" i="41"/>
  <c r="D667" i="41"/>
  <c r="D668" i="41"/>
  <c r="D669" i="41"/>
  <c r="D670" i="41"/>
  <c r="D671" i="41"/>
  <c r="D672" i="41"/>
  <c r="D673" i="41"/>
  <c r="D674" i="41"/>
  <c r="D675" i="41"/>
  <c r="D676" i="41"/>
  <c r="D677" i="41"/>
  <c r="D678" i="41"/>
  <c r="D679" i="41"/>
  <c r="D680" i="41"/>
  <c r="D681" i="41"/>
  <c r="D682" i="41"/>
  <c r="D683" i="41"/>
  <c r="D684" i="41"/>
  <c r="D685" i="41"/>
  <c r="D686" i="41"/>
  <c r="D687" i="41"/>
  <c r="D688" i="41"/>
  <c r="D689" i="41"/>
  <c r="D690" i="41"/>
  <c r="D691" i="41"/>
  <c r="D692" i="41"/>
  <c r="D693" i="41"/>
  <c r="D694" i="41"/>
  <c r="D695" i="41"/>
  <c r="D696" i="41"/>
  <c r="D697" i="41"/>
  <c r="D698" i="41"/>
  <c r="D699" i="41"/>
  <c r="D700" i="41"/>
  <c r="D701" i="41"/>
  <c r="D702" i="41"/>
  <c r="D703" i="41"/>
  <c r="D704" i="41"/>
  <c r="D705" i="41"/>
  <c r="D706" i="41"/>
  <c r="D707" i="41"/>
  <c r="D708" i="41"/>
  <c r="D709" i="41"/>
  <c r="D710" i="41"/>
  <c r="D711" i="41"/>
  <c r="D712" i="41"/>
  <c r="D713" i="41"/>
  <c r="D714" i="41"/>
  <c r="D715" i="41"/>
  <c r="D716" i="41"/>
  <c r="D717" i="41"/>
  <c r="D718" i="41"/>
  <c r="D719" i="41"/>
  <c r="D720" i="41"/>
  <c r="D721" i="41"/>
  <c r="D722" i="41"/>
  <c r="D723" i="41"/>
  <c r="D724" i="41"/>
  <c r="D725" i="41"/>
  <c r="D726" i="41"/>
  <c r="D727" i="41"/>
  <c r="D728" i="41"/>
  <c r="D729" i="41"/>
  <c r="D730" i="41"/>
  <c r="D731" i="41"/>
  <c r="D732" i="41"/>
  <c r="D733" i="41"/>
  <c r="D734" i="41"/>
  <c r="D735" i="41"/>
  <c r="D736" i="41"/>
  <c r="D737" i="41"/>
  <c r="D738" i="41"/>
  <c r="D739" i="41"/>
  <c r="D740" i="41"/>
  <c r="D741" i="41"/>
  <c r="D742" i="41"/>
  <c r="D743" i="41"/>
  <c r="D744" i="41"/>
  <c r="D745" i="41"/>
  <c r="D746" i="41"/>
  <c r="D747" i="41"/>
  <c r="D748" i="41"/>
  <c r="D749" i="41"/>
  <c r="D750" i="41"/>
  <c r="D751" i="41"/>
  <c r="D752" i="41"/>
  <c r="D753" i="41"/>
  <c r="D754" i="41"/>
  <c r="D755" i="41"/>
  <c r="D756" i="41"/>
  <c r="D757" i="41"/>
  <c r="D758" i="41"/>
  <c r="D759" i="41"/>
  <c r="D760" i="41"/>
  <c r="D761" i="41"/>
  <c r="D762" i="41"/>
  <c r="D763" i="41"/>
  <c r="D764" i="41"/>
  <c r="D765" i="41"/>
  <c r="D766" i="41"/>
  <c r="D767" i="41"/>
  <c r="D768" i="41"/>
  <c r="D769" i="41"/>
  <c r="D770" i="41"/>
  <c r="D771" i="41"/>
  <c r="D772" i="41"/>
  <c r="D773" i="41"/>
  <c r="D774" i="41"/>
  <c r="D775" i="41"/>
  <c r="D776" i="41"/>
  <c r="D777" i="41"/>
  <c r="D778" i="41"/>
  <c r="D779" i="41"/>
  <c r="D780" i="41"/>
  <c r="D781" i="41"/>
  <c r="D782" i="41"/>
  <c r="D783" i="41"/>
  <c r="D784" i="41"/>
  <c r="D785" i="41"/>
  <c r="D786" i="41"/>
  <c r="D787" i="41"/>
  <c r="D788" i="41"/>
  <c r="D789" i="41"/>
  <c r="D790" i="41"/>
  <c r="D791" i="41"/>
  <c r="D792" i="41"/>
  <c r="D793" i="41"/>
  <c r="D794" i="41"/>
  <c r="D795" i="41"/>
  <c r="D796" i="41"/>
  <c r="D797" i="41"/>
  <c r="D798" i="41"/>
  <c r="D799" i="41"/>
  <c r="D800" i="41"/>
  <c r="D801" i="41"/>
  <c r="D802" i="41"/>
  <c r="D803" i="41"/>
  <c r="D804" i="41"/>
  <c r="D805" i="41"/>
  <c r="D806" i="41"/>
  <c r="D807" i="41"/>
  <c r="D808" i="41"/>
  <c r="D809" i="41"/>
  <c r="D810" i="41"/>
  <c r="D811" i="41"/>
  <c r="D812" i="41"/>
  <c r="D813" i="41"/>
  <c r="D814" i="41"/>
  <c r="D815" i="41"/>
  <c r="D816" i="41"/>
  <c r="D817" i="41"/>
  <c r="D818" i="41"/>
  <c r="D819" i="41"/>
  <c r="D820" i="41"/>
  <c r="D821" i="41"/>
  <c r="D822" i="41"/>
  <c r="D823" i="41"/>
  <c r="D824" i="41"/>
  <c r="D825" i="41"/>
  <c r="D826" i="41"/>
  <c r="D827" i="41"/>
  <c r="D828" i="41"/>
  <c r="D829" i="41"/>
  <c r="D830" i="41"/>
  <c r="D831" i="41"/>
  <c r="D832" i="41"/>
  <c r="D833" i="41"/>
  <c r="D834" i="41"/>
  <c r="D835" i="41"/>
  <c r="D836" i="41"/>
  <c r="D837" i="41"/>
  <c r="D838" i="41"/>
  <c r="D839" i="41"/>
  <c r="D840" i="41"/>
  <c r="D841" i="41"/>
  <c r="D842" i="41"/>
  <c r="D843" i="41"/>
  <c r="D844" i="41"/>
  <c r="D845" i="41"/>
  <c r="D846" i="41"/>
  <c r="D847" i="41"/>
  <c r="D848" i="41"/>
  <c r="D849" i="41"/>
  <c r="D850" i="41"/>
  <c r="D851" i="41"/>
  <c r="D852" i="41"/>
  <c r="D853" i="41"/>
  <c r="D854" i="41"/>
  <c r="D855" i="41"/>
  <c r="D856" i="41"/>
  <c r="D857" i="41"/>
  <c r="D858" i="41"/>
  <c r="D859" i="41"/>
  <c r="D860" i="41"/>
  <c r="D861" i="41"/>
  <c r="D862" i="41"/>
  <c r="D863" i="41"/>
  <c r="D864" i="41"/>
  <c r="D865" i="41"/>
  <c r="D866" i="41"/>
  <c r="D867" i="41"/>
  <c r="D868" i="41"/>
  <c r="D869" i="41"/>
  <c r="D870" i="41"/>
  <c r="D871" i="41"/>
  <c r="D872" i="41"/>
  <c r="D873" i="41"/>
  <c r="D874" i="41"/>
  <c r="D875" i="41"/>
  <c r="D876" i="41"/>
  <c r="D877" i="41"/>
  <c r="D878" i="41"/>
  <c r="D879" i="41"/>
  <c r="D880" i="41"/>
  <c r="D881" i="41"/>
  <c r="D882" i="41"/>
  <c r="D883" i="41"/>
  <c r="D884" i="41"/>
  <c r="D885" i="41"/>
  <c r="D886" i="41"/>
  <c r="D887" i="41"/>
  <c r="D888" i="41"/>
  <c r="D889" i="41"/>
  <c r="D890" i="41"/>
  <c r="D891" i="41"/>
  <c r="D892" i="41"/>
  <c r="D893" i="41"/>
  <c r="D894" i="41"/>
  <c r="D895" i="41"/>
  <c r="D896" i="41"/>
  <c r="D897" i="41"/>
  <c r="D898" i="41"/>
  <c r="D899" i="41"/>
  <c r="D900" i="41"/>
  <c r="D901" i="41"/>
  <c r="D902" i="41"/>
  <c r="D903" i="41"/>
  <c r="D904" i="41"/>
  <c r="D905" i="41"/>
  <c r="D906" i="41"/>
  <c r="D907" i="41"/>
  <c r="D908" i="41"/>
  <c r="D909" i="41"/>
  <c r="D910" i="41"/>
  <c r="D911" i="41"/>
  <c r="D912" i="41"/>
  <c r="D913" i="41"/>
  <c r="D914" i="41"/>
  <c r="D915" i="41"/>
  <c r="D916" i="41"/>
  <c r="D917" i="41"/>
  <c r="D918" i="41"/>
  <c r="D919" i="41"/>
  <c r="D920" i="41"/>
  <c r="D921" i="41"/>
  <c r="D922" i="41"/>
  <c r="D923" i="41"/>
  <c r="D924" i="41"/>
  <c r="D925" i="41"/>
  <c r="D926" i="41"/>
  <c r="D927" i="41"/>
  <c r="D928" i="41"/>
  <c r="D929" i="41"/>
  <c r="D930" i="41"/>
  <c r="D931" i="41"/>
  <c r="D932" i="41"/>
  <c r="D933" i="41"/>
  <c r="D934" i="41"/>
  <c r="D935" i="41"/>
  <c r="D936" i="41"/>
  <c r="D937" i="41"/>
  <c r="D938" i="41"/>
  <c r="D939" i="41"/>
  <c r="D940" i="41"/>
  <c r="D941" i="41"/>
  <c r="D942" i="41"/>
  <c r="D943" i="41"/>
  <c r="D944" i="41"/>
  <c r="D945" i="41"/>
  <c r="D946" i="41"/>
  <c r="D947" i="41"/>
  <c r="D948" i="41"/>
  <c r="D949" i="41"/>
  <c r="D950" i="41"/>
  <c r="D951" i="41"/>
  <c r="D952" i="41"/>
  <c r="D953" i="41"/>
  <c r="D954" i="41"/>
  <c r="D955" i="41"/>
  <c r="D956" i="41"/>
  <c r="D957" i="41"/>
  <c r="D958" i="41"/>
  <c r="D959" i="41"/>
  <c r="D960" i="41"/>
  <c r="D961" i="41"/>
  <c r="D962" i="41"/>
  <c r="D963" i="41"/>
  <c r="D964" i="41"/>
  <c r="D965" i="41"/>
  <c r="D966" i="41"/>
  <c r="D967" i="41"/>
  <c r="D968" i="41"/>
  <c r="D969" i="41"/>
  <c r="D970" i="41"/>
  <c r="D971" i="41"/>
  <c r="D972" i="41"/>
  <c r="D973" i="41"/>
  <c r="D974" i="41"/>
  <c r="D975" i="41"/>
  <c r="D976" i="41"/>
  <c r="D977" i="41"/>
  <c r="D978" i="41"/>
  <c r="D979" i="41"/>
  <c r="D980" i="41"/>
  <c r="D981" i="41"/>
  <c r="D982" i="41"/>
  <c r="D983" i="41"/>
  <c r="D984" i="41"/>
  <c r="D985" i="41"/>
  <c r="D986" i="41"/>
  <c r="D987" i="41"/>
  <c r="D988" i="41"/>
  <c r="D989" i="41"/>
  <c r="D990" i="41"/>
  <c r="D991" i="41"/>
  <c r="D992" i="41"/>
  <c r="D993" i="41"/>
  <c r="D994" i="41"/>
  <c r="D995" i="41"/>
  <c r="D996" i="41"/>
  <c r="D997" i="41"/>
  <c r="D998" i="41"/>
  <c r="D999" i="41"/>
  <c r="D1000" i="41"/>
  <c r="D1001" i="41"/>
  <c r="D1002" i="41"/>
  <c r="D1003" i="41"/>
  <c r="D1004" i="41"/>
  <c r="D1005" i="41"/>
  <c r="D1006" i="41"/>
  <c r="D1007" i="41"/>
  <c r="D1008" i="41"/>
  <c r="D1009" i="41"/>
  <c r="D1010" i="41"/>
  <c r="D1011" i="41"/>
  <c r="D1012" i="41"/>
  <c r="D1013" i="41"/>
  <c r="D1014" i="41"/>
  <c r="D1015" i="41"/>
  <c r="D1016" i="41"/>
  <c r="D1017" i="41"/>
  <c r="D1018" i="41"/>
  <c r="D1019" i="41"/>
  <c r="D1020" i="41"/>
  <c r="D1021" i="41"/>
  <c r="D1022" i="41"/>
  <c r="D1023" i="41"/>
  <c r="D1024" i="41"/>
  <c r="D1025" i="41"/>
  <c r="D1026" i="41"/>
  <c r="D1027" i="41"/>
  <c r="D1028" i="41"/>
  <c r="D1029" i="41"/>
  <c r="D1030" i="41"/>
  <c r="D1031" i="41"/>
  <c r="D1032" i="41"/>
  <c r="D1033" i="41"/>
  <c r="D1034" i="41"/>
  <c r="D1035" i="41"/>
  <c r="D1036" i="41"/>
  <c r="D1037" i="41"/>
  <c r="D1038" i="41"/>
  <c r="D1039" i="41"/>
  <c r="D1040" i="41"/>
  <c r="D1041" i="41"/>
  <c r="D1042" i="41"/>
  <c r="D1043" i="41"/>
  <c r="D1044" i="41"/>
  <c r="D1045" i="41"/>
  <c r="D1046" i="41"/>
  <c r="D1047" i="41"/>
  <c r="D1048" i="41"/>
  <c r="D1049" i="41"/>
  <c r="D1050" i="41"/>
  <c r="D1051" i="41"/>
  <c r="D1052" i="41"/>
  <c r="D1053" i="41"/>
  <c r="D1054" i="41"/>
  <c r="D1055" i="41"/>
  <c r="D1056" i="41"/>
  <c r="D1057" i="41"/>
  <c r="D1058" i="41"/>
  <c r="D1059" i="41"/>
  <c r="D1060" i="41"/>
  <c r="D1061" i="41"/>
  <c r="D1062" i="41"/>
  <c r="D1063" i="41"/>
  <c r="D1064" i="41"/>
  <c r="D1065" i="41"/>
  <c r="D1066" i="41"/>
  <c r="D1067" i="41"/>
  <c r="D1068" i="41"/>
  <c r="D1069" i="41"/>
  <c r="D1070" i="41"/>
  <c r="D1071" i="41"/>
  <c r="D1072" i="41"/>
  <c r="D1073" i="41"/>
  <c r="D1074" i="41"/>
  <c r="D1075" i="41"/>
  <c r="D1076" i="41"/>
  <c r="D1077" i="41"/>
  <c r="D1078" i="41"/>
  <c r="D1079" i="41"/>
  <c r="D1080" i="41"/>
  <c r="D1081" i="41"/>
  <c r="D1082" i="41"/>
  <c r="D1083" i="41"/>
  <c r="D1084" i="41"/>
  <c r="D1085" i="41"/>
  <c r="D1086" i="41"/>
  <c r="D1087" i="41"/>
  <c r="D1088" i="41"/>
  <c r="D1089" i="41"/>
  <c r="D1090" i="41"/>
  <c r="D1091" i="41"/>
  <c r="D1092" i="41"/>
  <c r="D1093" i="41"/>
  <c r="D1094" i="41"/>
  <c r="D1095" i="41"/>
  <c r="D1096" i="41"/>
  <c r="D1097" i="41"/>
  <c r="D1098" i="41"/>
  <c r="D1099" i="41"/>
  <c r="D1100" i="41"/>
  <c r="D1101" i="41"/>
  <c r="D1102" i="41"/>
  <c r="D1103" i="41"/>
  <c r="D1104" i="41"/>
  <c r="D1105" i="41"/>
  <c r="D1106" i="41"/>
  <c r="D1107" i="41"/>
  <c r="D1108" i="41"/>
  <c r="D1109" i="41"/>
  <c r="D1110" i="41"/>
  <c r="D1111" i="41"/>
  <c r="D1112" i="41"/>
  <c r="D1113" i="41"/>
  <c r="D1114" i="41"/>
  <c r="D1115" i="41"/>
  <c r="D1116" i="41"/>
  <c r="D1117" i="41"/>
  <c r="D1118" i="41"/>
  <c r="D1119" i="41"/>
  <c r="D1120" i="41"/>
  <c r="D1121" i="41"/>
  <c r="D1122" i="41"/>
  <c r="D1123" i="41"/>
  <c r="D1124" i="41"/>
  <c r="D1125" i="41"/>
  <c r="D1126" i="41"/>
  <c r="D1127" i="41"/>
  <c r="D1128" i="41"/>
  <c r="D1129" i="41"/>
  <c r="D1130" i="41"/>
  <c r="D1131" i="41"/>
  <c r="D1132" i="41"/>
  <c r="D1133" i="41"/>
  <c r="D1134" i="41"/>
  <c r="D1135" i="41"/>
  <c r="D1136" i="41"/>
  <c r="D1137" i="41"/>
  <c r="D1138" i="41"/>
  <c r="D1139" i="41"/>
  <c r="D1140" i="41"/>
  <c r="D1141" i="41"/>
  <c r="D1142" i="41"/>
  <c r="D1143" i="41"/>
  <c r="D1144" i="41"/>
  <c r="D1145" i="41"/>
  <c r="D1146" i="41"/>
  <c r="D1147" i="41"/>
  <c r="D1148" i="41"/>
  <c r="D1149" i="41"/>
  <c r="D1150" i="41"/>
  <c r="D1151" i="41"/>
  <c r="D1152" i="41"/>
  <c r="D1153" i="41"/>
  <c r="D1154" i="41"/>
  <c r="D1155" i="41"/>
  <c r="D1156" i="41"/>
  <c r="D1157" i="41"/>
  <c r="D1158" i="41"/>
  <c r="D1159" i="41"/>
  <c r="D1160" i="41"/>
  <c r="D1161" i="41"/>
  <c r="D1162" i="41"/>
  <c r="D1163" i="41"/>
  <c r="D1164" i="41"/>
  <c r="D1165" i="41"/>
  <c r="D1166" i="41"/>
  <c r="D1167" i="41"/>
  <c r="D1168" i="41"/>
  <c r="D1169" i="41"/>
  <c r="D1170" i="41"/>
  <c r="D1171" i="41"/>
  <c r="D1172" i="41"/>
  <c r="D1173" i="41"/>
  <c r="D1174" i="41"/>
  <c r="D1175" i="41"/>
  <c r="D1176" i="41"/>
  <c r="D1177" i="41"/>
  <c r="D1178" i="41"/>
  <c r="D1179" i="41"/>
  <c r="D1180" i="41"/>
  <c r="D1181" i="41"/>
  <c r="D1182" i="41"/>
  <c r="D1183" i="41"/>
  <c r="D1184" i="41"/>
  <c r="D1185" i="41"/>
  <c r="D1186" i="41"/>
  <c r="D1187" i="41"/>
  <c r="D1188" i="41"/>
  <c r="D1189" i="41"/>
  <c r="D1190" i="41"/>
  <c r="D1191" i="41"/>
  <c r="D1192" i="41"/>
  <c r="D1193" i="41"/>
  <c r="D1194" i="41"/>
  <c r="D1195" i="41"/>
  <c r="D1196" i="41"/>
  <c r="D1197" i="41"/>
  <c r="D1198" i="41"/>
  <c r="D1199" i="41"/>
  <c r="D1200" i="41"/>
  <c r="D1201" i="41"/>
  <c r="D1202" i="41"/>
  <c r="D1203" i="41"/>
  <c r="D1204" i="41"/>
  <c r="D1205" i="41"/>
  <c r="D1206" i="41"/>
  <c r="D1207" i="41"/>
  <c r="D1208" i="41"/>
  <c r="D1209" i="41"/>
  <c r="D1210" i="41"/>
  <c r="D1211" i="41"/>
  <c r="D1212" i="41"/>
  <c r="D1213" i="41"/>
  <c r="D1214" i="41"/>
  <c r="D1215" i="41"/>
  <c r="D1216" i="41"/>
  <c r="D1217" i="41"/>
  <c r="D1218" i="41"/>
  <c r="D1219" i="41"/>
  <c r="D1220" i="41"/>
  <c r="D1221" i="41"/>
  <c r="D1222" i="41"/>
  <c r="D1223" i="41"/>
  <c r="D1224" i="41"/>
  <c r="D1225" i="41"/>
  <c r="D1226" i="41"/>
  <c r="D1227" i="41"/>
  <c r="D1228" i="41"/>
  <c r="D1229" i="41"/>
  <c r="D1230" i="41"/>
  <c r="D1231" i="41"/>
  <c r="D1232" i="41"/>
  <c r="D1233" i="41"/>
  <c r="D1234" i="41"/>
  <c r="D1235" i="41"/>
  <c r="D1236" i="41"/>
  <c r="D1237" i="41"/>
  <c r="D1238" i="41"/>
  <c r="D1239" i="41"/>
  <c r="D1240" i="41"/>
  <c r="D1241" i="41"/>
  <c r="D1242" i="41"/>
  <c r="D1243" i="41"/>
  <c r="D1244" i="41"/>
  <c r="D1245" i="41"/>
  <c r="D1246" i="41"/>
  <c r="D1247" i="41"/>
  <c r="D1248" i="41"/>
  <c r="D1249" i="41"/>
  <c r="D1250" i="41"/>
  <c r="D1251" i="41"/>
  <c r="D1252" i="41"/>
  <c r="D1253" i="41"/>
  <c r="D1254" i="41"/>
  <c r="D1255" i="41"/>
  <c r="D1256" i="41"/>
  <c r="D1257" i="41"/>
  <c r="D1258" i="41"/>
  <c r="D1259" i="41"/>
  <c r="D1260" i="41"/>
  <c r="D1261" i="41"/>
  <c r="D1262" i="41"/>
  <c r="D1263" i="41"/>
  <c r="D1264" i="41"/>
  <c r="D1265" i="41"/>
  <c r="D1266" i="41"/>
  <c r="D1267" i="41"/>
  <c r="D1268" i="41"/>
  <c r="D1269" i="41"/>
  <c r="D1270" i="41"/>
  <c r="D1271" i="41"/>
  <c r="D1272" i="41"/>
  <c r="D1273" i="41"/>
  <c r="D1274" i="41"/>
  <c r="D1275" i="41"/>
  <c r="D1276" i="41"/>
  <c r="D1277" i="41"/>
  <c r="D1278" i="41"/>
  <c r="D1279" i="41"/>
  <c r="D1280" i="41"/>
  <c r="D1281" i="41"/>
  <c r="D1282" i="41"/>
  <c r="D1283" i="41"/>
  <c r="D1284" i="41"/>
  <c r="D1285" i="41"/>
  <c r="D1286" i="41"/>
  <c r="D1287" i="41"/>
  <c r="D1288" i="41"/>
  <c r="D1289" i="41"/>
  <c r="D1290" i="41"/>
  <c r="D1291" i="41"/>
  <c r="D1292" i="41"/>
  <c r="D1293" i="41"/>
  <c r="D1294" i="41"/>
  <c r="D1295" i="41"/>
  <c r="D1296" i="41"/>
  <c r="D1297" i="41"/>
  <c r="D1298" i="41"/>
  <c r="D1299" i="41"/>
  <c r="D1300" i="41"/>
  <c r="D1301" i="41"/>
  <c r="D1302" i="41"/>
  <c r="D1303" i="41"/>
  <c r="D1304" i="41"/>
  <c r="D1305" i="41"/>
  <c r="D1306" i="41"/>
  <c r="D1307" i="41"/>
  <c r="D1308" i="41"/>
  <c r="D1309" i="41"/>
  <c r="D1310" i="41"/>
  <c r="D1311" i="41"/>
  <c r="D1312" i="41"/>
  <c r="D1313" i="41"/>
  <c r="D1314" i="41"/>
  <c r="D1315" i="41"/>
  <c r="D1316" i="41"/>
  <c r="D1317" i="41"/>
  <c r="D1318" i="41"/>
  <c r="D1319" i="41"/>
  <c r="D1320" i="41"/>
  <c r="D1321" i="41"/>
  <c r="D1322" i="41"/>
  <c r="D1323" i="41"/>
  <c r="D1324" i="41"/>
  <c r="D1325" i="41"/>
  <c r="D1326" i="41"/>
  <c r="D1327" i="41"/>
  <c r="D1328" i="41"/>
  <c r="D1329" i="41"/>
  <c r="D1330" i="41"/>
  <c r="D1331" i="41"/>
  <c r="D1332" i="41"/>
  <c r="D1333" i="41"/>
  <c r="D1334" i="41"/>
  <c r="D1335" i="41"/>
  <c r="D1336" i="41"/>
  <c r="D1337" i="41"/>
  <c r="D1338" i="41"/>
  <c r="D1339" i="41"/>
  <c r="D1340" i="41"/>
  <c r="D1341" i="41"/>
  <c r="D1342" i="41"/>
  <c r="D1343" i="41"/>
  <c r="D1344" i="41"/>
  <c r="D1345" i="41"/>
  <c r="D1346" i="41"/>
  <c r="D1347" i="41"/>
  <c r="D1348" i="41"/>
  <c r="D1349" i="41"/>
  <c r="D1350" i="41"/>
  <c r="D1351" i="41"/>
  <c r="D1352" i="41"/>
  <c r="D1353" i="41"/>
  <c r="D1354" i="41"/>
  <c r="D1355" i="41"/>
  <c r="D1356" i="41"/>
  <c r="D1357" i="41"/>
  <c r="D1358" i="41"/>
  <c r="D1359" i="41"/>
  <c r="D1360" i="41"/>
  <c r="D1361" i="41"/>
  <c r="D1362" i="41"/>
  <c r="D1363" i="41"/>
  <c r="D1364" i="41"/>
  <c r="D1365" i="41"/>
  <c r="D1366" i="41"/>
  <c r="D1367" i="41"/>
  <c r="D1368" i="41"/>
  <c r="D1369" i="41"/>
  <c r="D1370" i="41"/>
  <c r="D1371" i="41"/>
  <c r="D1372" i="41"/>
  <c r="D1373" i="41"/>
  <c r="D1374" i="41"/>
  <c r="D1375" i="41"/>
  <c r="D1376" i="41"/>
  <c r="D1377" i="41"/>
  <c r="D1378" i="41"/>
  <c r="D1379" i="41"/>
  <c r="D1380" i="41"/>
  <c r="D1381" i="41"/>
  <c r="D1382" i="41"/>
  <c r="D1383" i="41"/>
  <c r="D1384" i="41"/>
  <c r="D1385" i="41"/>
  <c r="D1386" i="41"/>
  <c r="D1387" i="41"/>
  <c r="D1388" i="41"/>
  <c r="D1389" i="41"/>
  <c r="D1390" i="41"/>
  <c r="D1391" i="41"/>
  <c r="D1392" i="41"/>
  <c r="D1393" i="41"/>
  <c r="D1394" i="41"/>
  <c r="D1395" i="41"/>
  <c r="D1396" i="41"/>
  <c r="D1397" i="41"/>
  <c r="D1398" i="41"/>
  <c r="D1399" i="41"/>
  <c r="D1400" i="41"/>
  <c r="D1401" i="41"/>
  <c r="D1402" i="41"/>
  <c r="D1403" i="41"/>
  <c r="D1404" i="41"/>
  <c r="D1405" i="41"/>
  <c r="D1406" i="41"/>
  <c r="D1407" i="41"/>
  <c r="D1408" i="41"/>
  <c r="D1409" i="41"/>
  <c r="D1410" i="41"/>
  <c r="D1411" i="41"/>
  <c r="D1412" i="41"/>
  <c r="D1413" i="41"/>
  <c r="D1414" i="41"/>
  <c r="D1415" i="41"/>
  <c r="D1416" i="41"/>
  <c r="D1417" i="41"/>
  <c r="D1418" i="41"/>
  <c r="D1419" i="41"/>
  <c r="D1420" i="41"/>
  <c r="D1421" i="41"/>
  <c r="D1422" i="41"/>
  <c r="D1423" i="41"/>
  <c r="D1424" i="41"/>
  <c r="D1425" i="41"/>
  <c r="D1426" i="41"/>
  <c r="D1427" i="41"/>
  <c r="D1428" i="41"/>
  <c r="D1429" i="41"/>
  <c r="D1430" i="41"/>
  <c r="D1431" i="41"/>
  <c r="D1432" i="41"/>
  <c r="D1433" i="41"/>
  <c r="D1434" i="41"/>
  <c r="D1435" i="41"/>
  <c r="D1436" i="41"/>
  <c r="D1437" i="41"/>
  <c r="D1438" i="41"/>
  <c r="D1439" i="41"/>
  <c r="D1440" i="41"/>
  <c r="D1441" i="41"/>
  <c r="D1442" i="41"/>
  <c r="D1443" i="41"/>
  <c r="D1444" i="41"/>
  <c r="D1445" i="41"/>
  <c r="D1446" i="41"/>
  <c r="D1447" i="41"/>
  <c r="D1448" i="41"/>
  <c r="D1449" i="41"/>
  <c r="D1450" i="41"/>
  <c r="D1451" i="41"/>
  <c r="D1452" i="41"/>
  <c r="D1453" i="41"/>
  <c r="D1454" i="41"/>
  <c r="D1455" i="41"/>
  <c r="D1456" i="41"/>
  <c r="D1457" i="41"/>
  <c r="D1458" i="41"/>
  <c r="D1459" i="41"/>
  <c r="D1460" i="41"/>
  <c r="D1461" i="41"/>
  <c r="D1462" i="41"/>
  <c r="D1463" i="41"/>
  <c r="D1464" i="41"/>
  <c r="D1465" i="41"/>
  <c r="D1466" i="41"/>
  <c r="D1467" i="41"/>
  <c r="D1468" i="41"/>
  <c r="D1469" i="41"/>
  <c r="D1470" i="41"/>
  <c r="D1471" i="41"/>
  <c r="D1472" i="41"/>
  <c r="D1473" i="41"/>
  <c r="D1474" i="41"/>
  <c r="D1475" i="41"/>
  <c r="D1476" i="41"/>
  <c r="D1477" i="41"/>
  <c r="D1478" i="41"/>
  <c r="D1479" i="41"/>
  <c r="D1480" i="41"/>
  <c r="D1481" i="41"/>
  <c r="D1482" i="41"/>
  <c r="D1483" i="41"/>
  <c r="D1484" i="41"/>
  <c r="D1485" i="41"/>
  <c r="D1486" i="41"/>
  <c r="D1487" i="41"/>
  <c r="D1488" i="41"/>
  <c r="D1489" i="41"/>
  <c r="D1490" i="41"/>
  <c r="D1491" i="41"/>
  <c r="D1492" i="41"/>
  <c r="D1493" i="41"/>
  <c r="D1494" i="41"/>
  <c r="D1495" i="41"/>
  <c r="D1496" i="41"/>
  <c r="D1497" i="41"/>
  <c r="D1498" i="41"/>
  <c r="D1499" i="41"/>
  <c r="D1500" i="41"/>
  <c r="D1501" i="41"/>
  <c r="D1502" i="41"/>
  <c r="D1503" i="41"/>
  <c r="D1504" i="41"/>
  <c r="D1505" i="41"/>
  <c r="D1506" i="41"/>
  <c r="D1507" i="41"/>
  <c r="D1508" i="41"/>
  <c r="D1509" i="41"/>
  <c r="D1510" i="41"/>
  <c r="D1511" i="41"/>
  <c r="D1512" i="41"/>
  <c r="D1513" i="41"/>
  <c r="D1514" i="41"/>
  <c r="D1515" i="41"/>
  <c r="D1516" i="41"/>
  <c r="D1517" i="41"/>
  <c r="D1518" i="41"/>
  <c r="D1519" i="41"/>
  <c r="D1520" i="41"/>
  <c r="D1521" i="41"/>
  <c r="D1522" i="41"/>
  <c r="D1523" i="41"/>
  <c r="D1524" i="41"/>
  <c r="D1525" i="41"/>
  <c r="D1526" i="41"/>
  <c r="D1527" i="41"/>
  <c r="D1528" i="41"/>
  <c r="D1529" i="41"/>
  <c r="D1530" i="41"/>
  <c r="D1531" i="41"/>
  <c r="D1532" i="41"/>
  <c r="D1533" i="41"/>
  <c r="D1534" i="41"/>
  <c r="D1535" i="41"/>
  <c r="D1536" i="41"/>
  <c r="D1537" i="41"/>
  <c r="D1538" i="41"/>
  <c r="D1539" i="41"/>
  <c r="D1540" i="41"/>
  <c r="D1541" i="41"/>
  <c r="D1542" i="41"/>
  <c r="D1543" i="41"/>
  <c r="D1544" i="41"/>
  <c r="D1545" i="41"/>
  <c r="D1546" i="41"/>
  <c r="D1547" i="41"/>
  <c r="D1548" i="41"/>
  <c r="D1549" i="41"/>
  <c r="D1550" i="41"/>
  <c r="D1551" i="41"/>
  <c r="D1552" i="41"/>
  <c r="D1553" i="41"/>
  <c r="D1554" i="41"/>
  <c r="D1555" i="41"/>
  <c r="D1556" i="41"/>
  <c r="D1557" i="41"/>
  <c r="D1558" i="41"/>
  <c r="D1559" i="41"/>
  <c r="D1560" i="41"/>
  <c r="D1561" i="41"/>
  <c r="D2" i="41"/>
  <c r="V37" i="2"/>
  <c r="U37" i="2"/>
  <c r="D50" i="39" l="1"/>
  <c r="K2" i="11" s="1"/>
  <c r="L2" i="11" s="1"/>
  <c r="P10" i="29"/>
  <c r="R10" i="29"/>
  <c r="Q10" i="29"/>
  <c r="O10" i="29"/>
  <c r="N10" i="29"/>
  <c r="M10" i="29"/>
  <c r="L10" i="29"/>
  <c r="K10" i="29"/>
  <c r="J10" i="29"/>
  <c r="I10" i="29"/>
  <c r="H10" i="29"/>
  <c r="G10" i="29"/>
  <c r="F10" i="29"/>
  <c r="D76" i="39"/>
  <c r="N5" i="11" s="1"/>
  <c r="D75" i="39"/>
  <c r="M5" i="11" s="1"/>
  <c r="C20" i="20" s="1"/>
  <c r="D68" i="39"/>
  <c r="N4" i="11" s="1"/>
  <c r="D67" i="39"/>
  <c r="M4" i="11" s="1"/>
  <c r="D60" i="39"/>
  <c r="N3" i="11" s="1"/>
  <c r="D59" i="39"/>
  <c r="M3" i="11" s="1"/>
  <c r="D52" i="39"/>
  <c r="N2" i="11" s="1"/>
  <c r="D51" i="39"/>
  <c r="M2" i="11" s="1"/>
  <c r="D74" i="39"/>
  <c r="K5" i="11" s="1"/>
  <c r="L5" i="11" s="1"/>
  <c r="D66" i="39"/>
  <c r="K4" i="11" s="1"/>
  <c r="L4" i="11" s="1"/>
  <c r="D58" i="39"/>
  <c r="K3" i="11" s="1"/>
  <c r="L3" i="11" s="1"/>
  <c r="C23" i="39"/>
  <c r="C24" i="39"/>
  <c r="C25" i="39"/>
  <c r="C26" i="39"/>
  <c r="C27" i="39"/>
  <c r="C28" i="39"/>
  <c r="C29" i="39"/>
  <c r="C30" i="39"/>
  <c r="C31" i="39"/>
  <c r="C32" i="39"/>
  <c r="C33" i="39"/>
  <c r="C22" i="39"/>
  <c r="D16" i="39"/>
  <c r="D18" i="39"/>
  <c r="D19" i="39"/>
  <c r="C13" i="11" s="1"/>
  <c r="D17" i="39"/>
  <c r="C8" i="11" s="1"/>
  <c r="D15" i="39"/>
  <c r="C7" i="11" s="1"/>
  <c r="D11" i="39"/>
  <c r="C3" i="11" s="1"/>
  <c r="D12" i="39"/>
  <c r="C4" i="11" s="1"/>
  <c r="D13" i="39"/>
  <c r="C5" i="11" s="1"/>
  <c r="D10" i="39"/>
  <c r="C2" i="11" s="1"/>
  <c r="D14" i="39"/>
  <c r="C6" i="11" s="1"/>
  <c r="AA21" i="11"/>
  <c r="C19" i="20" l="1"/>
  <c r="C18" i="20"/>
  <c r="B36" i="39" a="1"/>
  <c r="C17" i="20"/>
  <c r="S13" i="11"/>
  <c r="U12" i="11"/>
  <c r="S9" i="11"/>
  <c r="R8" i="11"/>
  <c r="U11" i="11"/>
  <c r="U10" i="11"/>
  <c r="D10" i="29"/>
  <c r="E10" i="29"/>
  <c r="C10" i="29"/>
  <c r="D29" i="39"/>
  <c r="E29" i="39" s="1"/>
  <c r="D28" i="39"/>
  <c r="E28" i="39" s="1"/>
  <c r="R12" i="11"/>
  <c r="D27" i="39"/>
  <c r="E27" i="39" s="1"/>
  <c r="F29" i="39"/>
  <c r="G29" i="39" s="1"/>
  <c r="F28" i="39"/>
  <c r="G28" i="39" s="1"/>
  <c r="F27" i="39"/>
  <c r="G27" i="39" s="1"/>
  <c r="D30" i="39"/>
  <c r="E30" i="39" s="1"/>
  <c r="F30" i="39"/>
  <c r="G30" i="39" s="1"/>
  <c r="D22" i="39"/>
  <c r="E22" i="39" s="1"/>
  <c r="D26" i="39"/>
  <c r="E26" i="39" s="1"/>
  <c r="F22" i="39"/>
  <c r="F26" i="39"/>
  <c r="G26" i="39" s="1"/>
  <c r="D33" i="39"/>
  <c r="E33" i="39" s="1"/>
  <c r="D25" i="39"/>
  <c r="E25" i="39" s="1"/>
  <c r="F33" i="39"/>
  <c r="G33" i="39" s="1"/>
  <c r="F25" i="39"/>
  <c r="D32" i="39"/>
  <c r="E32" i="39" s="1"/>
  <c r="D24" i="39"/>
  <c r="E24" i="39" s="1"/>
  <c r="F32" i="39"/>
  <c r="G32" i="39" s="1"/>
  <c r="F24" i="39"/>
  <c r="D31" i="39"/>
  <c r="E31" i="39" s="1"/>
  <c r="D23" i="39"/>
  <c r="E23" i="39" s="1"/>
  <c r="F31" i="39"/>
  <c r="G31" i="39" s="1"/>
  <c r="F23" i="39"/>
  <c r="E40" i="39" l="1"/>
  <c r="Q5" i="11"/>
  <c r="U5" i="11" s="1"/>
  <c r="Q3" i="11"/>
  <c r="U3" i="11" s="1"/>
  <c r="Q4" i="11"/>
  <c r="U4" i="11" s="1"/>
  <c r="Q6" i="11"/>
  <c r="T6" i="11" s="1"/>
  <c r="E38" i="39"/>
  <c r="E39" i="39"/>
  <c r="E37" i="39"/>
  <c r="B36" i="39"/>
  <c r="R7" i="11"/>
  <c r="S11" i="11"/>
  <c r="R11" i="11"/>
  <c r="T13" i="11"/>
  <c r="R5" i="11"/>
  <c r="R13" i="11"/>
  <c r="T11" i="11"/>
  <c r="T5" i="11"/>
  <c r="U13" i="11"/>
  <c r="T10" i="11"/>
  <c r="T3" i="11"/>
  <c r="S12" i="11"/>
  <c r="U8" i="11"/>
  <c r="U7" i="11"/>
  <c r="U9" i="11"/>
  <c r="S10" i="11"/>
  <c r="T8" i="11"/>
  <c r="R9" i="11"/>
  <c r="S7" i="11"/>
  <c r="R10" i="11"/>
  <c r="T9" i="11"/>
  <c r="T7" i="11"/>
  <c r="T12" i="11"/>
  <c r="S8" i="11"/>
  <c r="R4" i="11"/>
  <c r="K84" i="31"/>
  <c r="K57" i="31"/>
  <c r="K30" i="31"/>
  <c r="C82" i="31"/>
  <c r="R6" i="11" l="1"/>
  <c r="R3" i="11"/>
  <c r="T4" i="11"/>
  <c r="S5" i="11"/>
  <c r="S3" i="11"/>
  <c r="S6" i="11"/>
  <c r="U6" i="11"/>
  <c r="S4" i="11"/>
  <c r="E36" i="39"/>
  <c r="Q2" i="11"/>
  <c r="K3" i="31"/>
  <c r="C55" i="31"/>
  <c r="C28" i="31"/>
  <c r="C1" i="31"/>
  <c r="J17" i="11"/>
  <c r="S2" i="11" l="1"/>
  <c r="U2" i="11"/>
  <c r="T2" i="11"/>
  <c r="R2" i="11"/>
  <c r="D44" i="20"/>
  <c r="J15" i="11" l="1"/>
  <c r="K17" i="11" s="1"/>
  <c r="C6" i="12"/>
  <c r="C6" i="36"/>
  <c r="C307" i="12" l="1"/>
  <c r="C307" i="36"/>
  <c r="C85" i="36"/>
  <c r="C201" i="36"/>
  <c r="C85" i="12"/>
  <c r="AA22" i="11"/>
  <c r="AA23" i="11"/>
  <c r="AA24" i="11"/>
  <c r="AA25" i="11"/>
  <c r="AA26" i="11"/>
  <c r="AA27" i="11"/>
  <c r="AA28" i="11"/>
  <c r="AA29" i="11"/>
  <c r="AA30" i="11"/>
  <c r="AA31" i="11"/>
  <c r="AA32" i="11"/>
  <c r="AA33" i="11"/>
  <c r="AA34" i="11"/>
  <c r="AA35" i="11"/>
  <c r="AA36" i="11"/>
  <c r="F699" i="4" l="1"/>
  <c r="F698" i="4"/>
  <c r="G699" i="4" s="1"/>
  <c r="F697" i="4"/>
  <c r="G698" i="4" s="1"/>
  <c r="F696" i="4"/>
  <c r="G697" i="4" s="1"/>
  <c r="F695" i="4"/>
  <c r="G696" i="4" s="1"/>
  <c r="F694" i="4"/>
  <c r="G695" i="4" s="1"/>
  <c r="F693" i="4"/>
  <c r="G694" i="4" s="1"/>
  <c r="F692" i="4"/>
  <c r="G693" i="4" s="1"/>
  <c r="F691" i="4"/>
  <c r="G692" i="4" s="1"/>
  <c r="F690" i="4"/>
  <c r="G691" i="4" s="1"/>
  <c r="F689" i="4"/>
  <c r="G690" i="4" s="1"/>
  <c r="F688" i="4"/>
  <c r="G689" i="4" s="1"/>
  <c r="F687" i="4"/>
  <c r="G688" i="4" s="1"/>
  <c r="F686" i="4"/>
  <c r="G687" i="4" s="1"/>
  <c r="F685" i="4"/>
  <c r="G686" i="4" s="1"/>
  <c r="F684" i="4"/>
  <c r="G685" i="4" s="1"/>
  <c r="F683" i="4"/>
  <c r="F682" i="4"/>
  <c r="F681" i="4"/>
  <c r="F680" i="4"/>
  <c r="F679" i="4"/>
  <c r="F678" i="4"/>
  <c r="F677" i="4"/>
  <c r="F676" i="4"/>
  <c r="F675" i="4"/>
  <c r="F674" i="4"/>
  <c r="F673" i="4"/>
  <c r="F672" i="4"/>
  <c r="F671" i="4"/>
  <c r="F670" i="4"/>
  <c r="D19" i="38" l="1"/>
  <c r="E19" i="38"/>
  <c r="C19" i="38"/>
  <c r="D19" i="37"/>
  <c r="E19" i="37"/>
  <c r="C19" i="37"/>
  <c r="D19" i="36"/>
  <c r="E19" i="36"/>
  <c r="C19" i="36"/>
  <c r="C32" i="20"/>
  <c r="W278" i="38"/>
  <c r="W277" i="38"/>
  <c r="V277" i="38"/>
  <c r="W276" i="38"/>
  <c r="V276" i="38"/>
  <c r="U276" i="38"/>
  <c r="W275" i="38"/>
  <c r="V275" i="38"/>
  <c r="U275" i="38"/>
  <c r="T275" i="38"/>
  <c r="W274" i="38"/>
  <c r="V274" i="38"/>
  <c r="U274" i="38"/>
  <c r="T274" i="38"/>
  <c r="S274" i="38"/>
  <c r="W273" i="38"/>
  <c r="V273" i="38"/>
  <c r="U273" i="38"/>
  <c r="T273" i="38"/>
  <c r="S273" i="38"/>
  <c r="R273" i="38"/>
  <c r="W272" i="38"/>
  <c r="V272" i="38"/>
  <c r="U272" i="38"/>
  <c r="T272" i="38"/>
  <c r="S272" i="38"/>
  <c r="R272" i="38"/>
  <c r="Q272" i="38"/>
  <c r="W271" i="38"/>
  <c r="V271" i="38"/>
  <c r="U271" i="38"/>
  <c r="T271" i="38"/>
  <c r="S271" i="38"/>
  <c r="R271" i="38"/>
  <c r="Q271" i="38"/>
  <c r="P271" i="38"/>
  <c r="W270" i="38"/>
  <c r="V270" i="38"/>
  <c r="U270" i="38"/>
  <c r="T270" i="38"/>
  <c r="S270" i="38"/>
  <c r="R270" i="38"/>
  <c r="Q270" i="38"/>
  <c r="P270" i="38"/>
  <c r="O270" i="38"/>
  <c r="W269" i="38"/>
  <c r="V269" i="38"/>
  <c r="U269" i="38"/>
  <c r="T269" i="38"/>
  <c r="S269" i="38"/>
  <c r="R269" i="38"/>
  <c r="Q269" i="38"/>
  <c r="P269" i="38"/>
  <c r="O269" i="38"/>
  <c r="N269" i="38"/>
  <c r="W268" i="38"/>
  <c r="V268" i="38"/>
  <c r="U268" i="38"/>
  <c r="T268" i="38"/>
  <c r="S268" i="38"/>
  <c r="R268" i="38"/>
  <c r="Q268" i="38"/>
  <c r="P268" i="38"/>
  <c r="O268" i="38"/>
  <c r="N268" i="38"/>
  <c r="M268" i="38"/>
  <c r="W267" i="38"/>
  <c r="V267" i="38"/>
  <c r="U267" i="38"/>
  <c r="T267" i="38"/>
  <c r="S267" i="38"/>
  <c r="R267" i="38"/>
  <c r="Q267" i="38"/>
  <c r="P267" i="38"/>
  <c r="O267" i="38"/>
  <c r="N267" i="38"/>
  <c r="M267" i="38"/>
  <c r="L267" i="38"/>
  <c r="W266" i="38"/>
  <c r="V266" i="38"/>
  <c r="U266" i="38"/>
  <c r="T266" i="38"/>
  <c r="S266" i="38"/>
  <c r="R266" i="38"/>
  <c r="Q266" i="38"/>
  <c r="P266" i="38"/>
  <c r="O266" i="38"/>
  <c r="N266" i="38"/>
  <c r="M266" i="38"/>
  <c r="L266" i="38"/>
  <c r="K266" i="38"/>
  <c r="W265" i="38"/>
  <c r="V265" i="38"/>
  <c r="U265" i="38"/>
  <c r="T265" i="38"/>
  <c r="S265" i="38"/>
  <c r="R265" i="38"/>
  <c r="Q265" i="38"/>
  <c r="P265" i="38"/>
  <c r="O265" i="38"/>
  <c r="N265" i="38"/>
  <c r="M265" i="38"/>
  <c r="L265" i="38"/>
  <c r="K265" i="38"/>
  <c r="J265" i="38"/>
  <c r="W264" i="38"/>
  <c r="V264" i="38"/>
  <c r="U264" i="38"/>
  <c r="T264" i="38"/>
  <c r="S264" i="38"/>
  <c r="R264" i="38"/>
  <c r="Q264" i="38"/>
  <c r="P264" i="38"/>
  <c r="O264" i="38"/>
  <c r="N264" i="38"/>
  <c r="M264" i="38"/>
  <c r="L264" i="38"/>
  <c r="K264" i="38"/>
  <c r="J264" i="38"/>
  <c r="I264" i="38"/>
  <c r="W263" i="38"/>
  <c r="V263" i="38"/>
  <c r="U263" i="38"/>
  <c r="T263" i="38"/>
  <c r="S263" i="38"/>
  <c r="R263" i="38"/>
  <c r="Q263" i="38"/>
  <c r="P263" i="38"/>
  <c r="O263" i="38"/>
  <c r="N263" i="38"/>
  <c r="M263" i="38"/>
  <c r="L263" i="38"/>
  <c r="K263" i="38"/>
  <c r="J263" i="38"/>
  <c r="I263" i="38"/>
  <c r="H263" i="38"/>
  <c r="W262" i="38"/>
  <c r="V262" i="38"/>
  <c r="U262" i="38"/>
  <c r="T262" i="38"/>
  <c r="S262" i="38"/>
  <c r="R262" i="38"/>
  <c r="Q262" i="38"/>
  <c r="P262" i="38"/>
  <c r="O262" i="38"/>
  <c r="N262" i="38"/>
  <c r="M262" i="38"/>
  <c r="L262" i="38"/>
  <c r="K262" i="38"/>
  <c r="J262" i="38"/>
  <c r="I262" i="38"/>
  <c r="H262" i="38"/>
  <c r="G262" i="38"/>
  <c r="W261" i="38"/>
  <c r="V261" i="38"/>
  <c r="U261" i="38"/>
  <c r="T261" i="38"/>
  <c r="S261" i="38"/>
  <c r="R261" i="38"/>
  <c r="Q261" i="38"/>
  <c r="P261" i="38"/>
  <c r="O261" i="38"/>
  <c r="N261" i="38"/>
  <c r="M261" i="38"/>
  <c r="L261" i="38"/>
  <c r="K261" i="38"/>
  <c r="J261" i="38"/>
  <c r="I261" i="38"/>
  <c r="H261" i="38"/>
  <c r="G261" i="38"/>
  <c r="F261" i="38"/>
  <c r="W260" i="38"/>
  <c r="V260" i="38"/>
  <c r="U260" i="38"/>
  <c r="T260" i="38"/>
  <c r="S260" i="38"/>
  <c r="R260" i="38"/>
  <c r="Q260" i="38"/>
  <c r="P260" i="38"/>
  <c r="O260" i="38"/>
  <c r="N260" i="38"/>
  <c r="M260" i="38"/>
  <c r="L260" i="38"/>
  <c r="K260" i="38"/>
  <c r="J260" i="38"/>
  <c r="I260" i="38"/>
  <c r="H260" i="38"/>
  <c r="G260" i="38"/>
  <c r="F260" i="38"/>
  <c r="E260" i="38"/>
  <c r="AB176" i="38"/>
  <c r="S176" i="38"/>
  <c r="J176" i="38"/>
  <c r="A176" i="38"/>
  <c r="W163" i="38"/>
  <c r="W162" i="38"/>
  <c r="V162" i="38"/>
  <c r="W161" i="38"/>
  <c r="V161" i="38"/>
  <c r="U161" i="38"/>
  <c r="W160" i="38"/>
  <c r="V160" i="38"/>
  <c r="U160" i="38"/>
  <c r="T160" i="38"/>
  <c r="W159" i="38"/>
  <c r="V159" i="38"/>
  <c r="U159" i="38"/>
  <c r="T159" i="38"/>
  <c r="S159" i="38"/>
  <c r="W158" i="38"/>
  <c r="V158" i="38"/>
  <c r="U158" i="38"/>
  <c r="T158" i="38"/>
  <c r="S158" i="38"/>
  <c r="R158" i="38"/>
  <c r="W157" i="38"/>
  <c r="V157" i="38"/>
  <c r="U157" i="38"/>
  <c r="T157" i="38"/>
  <c r="S157" i="38"/>
  <c r="R157" i="38"/>
  <c r="Q157" i="38"/>
  <c r="W156" i="38"/>
  <c r="V156" i="38"/>
  <c r="U156" i="38"/>
  <c r="T156" i="38"/>
  <c r="S156" i="38"/>
  <c r="R156" i="38"/>
  <c r="Q156" i="38"/>
  <c r="P156" i="38"/>
  <c r="W155" i="38"/>
  <c r="V155" i="38"/>
  <c r="U155" i="38"/>
  <c r="T155" i="38"/>
  <c r="S155" i="38"/>
  <c r="R155" i="38"/>
  <c r="Q155" i="38"/>
  <c r="P155" i="38"/>
  <c r="O155" i="38"/>
  <c r="W154" i="38"/>
  <c r="V154" i="38"/>
  <c r="U154" i="38"/>
  <c r="T154" i="38"/>
  <c r="S154" i="38"/>
  <c r="R154" i="38"/>
  <c r="Q154" i="38"/>
  <c r="P154" i="38"/>
  <c r="O154" i="38"/>
  <c r="N154" i="38"/>
  <c r="W153" i="38"/>
  <c r="V153" i="38"/>
  <c r="U153" i="38"/>
  <c r="T153" i="38"/>
  <c r="S153" i="38"/>
  <c r="R153" i="38"/>
  <c r="Q153" i="38"/>
  <c r="P153" i="38"/>
  <c r="O153" i="38"/>
  <c r="N153" i="38"/>
  <c r="M153" i="38"/>
  <c r="W152" i="38"/>
  <c r="V152" i="38"/>
  <c r="U152" i="38"/>
  <c r="T152" i="38"/>
  <c r="S152" i="38"/>
  <c r="R152" i="38"/>
  <c r="Q152" i="38"/>
  <c r="P152" i="38"/>
  <c r="O152" i="38"/>
  <c r="N152" i="38"/>
  <c r="M152" i="38"/>
  <c r="L152" i="38"/>
  <c r="W151" i="38"/>
  <c r="V151" i="38"/>
  <c r="U151" i="38"/>
  <c r="T151" i="38"/>
  <c r="S151" i="38"/>
  <c r="R151" i="38"/>
  <c r="Q151" i="38"/>
  <c r="P151" i="38"/>
  <c r="O151" i="38"/>
  <c r="N151" i="38"/>
  <c r="M151" i="38"/>
  <c r="L151" i="38"/>
  <c r="K151" i="38"/>
  <c r="W150" i="38"/>
  <c r="V150" i="38"/>
  <c r="U150" i="38"/>
  <c r="T150" i="38"/>
  <c r="S150" i="38"/>
  <c r="R150" i="38"/>
  <c r="Q150" i="38"/>
  <c r="P150" i="38"/>
  <c r="O150" i="38"/>
  <c r="N150" i="38"/>
  <c r="M150" i="38"/>
  <c r="L150" i="38"/>
  <c r="K150" i="38"/>
  <c r="J150" i="38"/>
  <c r="W149" i="38"/>
  <c r="V149" i="38"/>
  <c r="U149" i="38"/>
  <c r="T149" i="38"/>
  <c r="S149" i="38"/>
  <c r="R149" i="38"/>
  <c r="Q149" i="38"/>
  <c r="P149" i="38"/>
  <c r="O149" i="38"/>
  <c r="N149" i="38"/>
  <c r="M149" i="38"/>
  <c r="L149" i="38"/>
  <c r="K149" i="38"/>
  <c r="J149" i="38"/>
  <c r="I149" i="38"/>
  <c r="W148" i="38"/>
  <c r="V148" i="38"/>
  <c r="U148" i="38"/>
  <c r="T148" i="38"/>
  <c r="S148" i="38"/>
  <c r="R148" i="38"/>
  <c r="Q148" i="38"/>
  <c r="P148" i="38"/>
  <c r="O148" i="38"/>
  <c r="N148" i="38"/>
  <c r="M148" i="38"/>
  <c r="L148" i="38"/>
  <c r="K148" i="38"/>
  <c r="J148" i="38"/>
  <c r="I148" i="38"/>
  <c r="H148" i="38"/>
  <c r="W147" i="38"/>
  <c r="V147" i="38"/>
  <c r="U147" i="38"/>
  <c r="T147" i="38"/>
  <c r="S147" i="38"/>
  <c r="R147" i="38"/>
  <c r="Q147" i="38"/>
  <c r="P147" i="38"/>
  <c r="O147" i="38"/>
  <c r="N147" i="38"/>
  <c r="M147" i="38"/>
  <c r="L147" i="38"/>
  <c r="K147" i="38"/>
  <c r="J147" i="38"/>
  <c r="I147" i="38"/>
  <c r="H147" i="38"/>
  <c r="G147" i="38"/>
  <c r="W146" i="38"/>
  <c r="V146" i="38"/>
  <c r="U146" i="38"/>
  <c r="T146" i="38"/>
  <c r="S146" i="38"/>
  <c r="R146" i="38"/>
  <c r="Q146" i="38"/>
  <c r="P146" i="38"/>
  <c r="O146" i="38"/>
  <c r="N146" i="38"/>
  <c r="M146" i="38"/>
  <c r="L146" i="38"/>
  <c r="K146" i="38"/>
  <c r="J146" i="38"/>
  <c r="I146" i="38"/>
  <c r="H146" i="38"/>
  <c r="G146" i="38"/>
  <c r="F146" i="38"/>
  <c r="W145" i="38"/>
  <c r="V145" i="38"/>
  <c r="U145" i="38"/>
  <c r="T145" i="38"/>
  <c r="S145" i="38"/>
  <c r="R145" i="38"/>
  <c r="Q145" i="38"/>
  <c r="P145" i="38"/>
  <c r="O145" i="38"/>
  <c r="N145" i="38"/>
  <c r="M145" i="38"/>
  <c r="L145" i="38"/>
  <c r="K145" i="38"/>
  <c r="J145" i="38"/>
  <c r="I145" i="38"/>
  <c r="H145" i="38"/>
  <c r="G145" i="38"/>
  <c r="F145" i="38"/>
  <c r="E145" i="38"/>
  <c r="A144" i="38"/>
  <c r="AO117" i="38"/>
  <c r="AB57" i="38"/>
  <c r="AE117" i="38" s="1"/>
  <c r="S57" i="38"/>
  <c r="U117" i="38" s="1"/>
  <c r="J57" i="38"/>
  <c r="K117" i="38" s="1"/>
  <c r="A57" i="38"/>
  <c r="A117" i="38" s="1"/>
  <c r="F7" i="38"/>
  <c r="F6" i="38"/>
  <c r="C6" i="38"/>
  <c r="F5" i="38"/>
  <c r="C5" i="38"/>
  <c r="C168" i="38" s="1"/>
  <c r="F4" i="38"/>
  <c r="W278" i="37"/>
  <c r="W277" i="37"/>
  <c r="V277" i="37"/>
  <c r="W276" i="37"/>
  <c r="V276" i="37"/>
  <c r="U276" i="37"/>
  <c r="W275" i="37"/>
  <c r="V275" i="37"/>
  <c r="U275" i="37"/>
  <c r="T275" i="37"/>
  <c r="W274" i="37"/>
  <c r="V274" i="37"/>
  <c r="U274" i="37"/>
  <c r="T274" i="37"/>
  <c r="S274" i="37"/>
  <c r="W273" i="37"/>
  <c r="V273" i="37"/>
  <c r="U273" i="37"/>
  <c r="T273" i="37"/>
  <c r="S273" i="37"/>
  <c r="R273" i="37"/>
  <c r="W272" i="37"/>
  <c r="V272" i="37"/>
  <c r="U272" i="37"/>
  <c r="T272" i="37"/>
  <c r="S272" i="37"/>
  <c r="R272" i="37"/>
  <c r="Q272" i="37"/>
  <c r="W271" i="37"/>
  <c r="V271" i="37"/>
  <c r="U271" i="37"/>
  <c r="T271" i="37"/>
  <c r="S271" i="37"/>
  <c r="R271" i="37"/>
  <c r="Q271" i="37"/>
  <c r="P271" i="37"/>
  <c r="W270" i="37"/>
  <c r="V270" i="37"/>
  <c r="U270" i="37"/>
  <c r="T270" i="37"/>
  <c r="S270" i="37"/>
  <c r="R270" i="37"/>
  <c r="Q270" i="37"/>
  <c r="P270" i="37"/>
  <c r="O270" i="37"/>
  <c r="W269" i="37"/>
  <c r="V269" i="37"/>
  <c r="U269" i="37"/>
  <c r="T269" i="37"/>
  <c r="S269" i="37"/>
  <c r="R269" i="37"/>
  <c r="Q269" i="37"/>
  <c r="P269" i="37"/>
  <c r="O269" i="37"/>
  <c r="N269" i="37"/>
  <c r="W268" i="37"/>
  <c r="V268" i="37"/>
  <c r="U268" i="37"/>
  <c r="T268" i="37"/>
  <c r="S268" i="37"/>
  <c r="R268" i="37"/>
  <c r="Q268" i="37"/>
  <c r="P268" i="37"/>
  <c r="O268" i="37"/>
  <c r="N268" i="37"/>
  <c r="M268" i="37"/>
  <c r="W267" i="37"/>
  <c r="V267" i="37"/>
  <c r="U267" i="37"/>
  <c r="T267" i="37"/>
  <c r="S267" i="37"/>
  <c r="R267" i="37"/>
  <c r="Q267" i="37"/>
  <c r="P267" i="37"/>
  <c r="O267" i="37"/>
  <c r="N267" i="37"/>
  <c r="M267" i="37"/>
  <c r="L267" i="37"/>
  <c r="W266" i="37"/>
  <c r="V266" i="37"/>
  <c r="U266" i="37"/>
  <c r="T266" i="37"/>
  <c r="S266" i="37"/>
  <c r="R266" i="37"/>
  <c r="Q266" i="37"/>
  <c r="P266" i="37"/>
  <c r="O266" i="37"/>
  <c r="N266" i="37"/>
  <c r="M266" i="37"/>
  <c r="L266" i="37"/>
  <c r="K266" i="37"/>
  <c r="W265" i="37"/>
  <c r="V265" i="37"/>
  <c r="U265" i="37"/>
  <c r="T265" i="37"/>
  <c r="S265" i="37"/>
  <c r="R265" i="37"/>
  <c r="Q265" i="37"/>
  <c r="P265" i="37"/>
  <c r="O265" i="37"/>
  <c r="N265" i="37"/>
  <c r="M265" i="37"/>
  <c r="L265" i="37"/>
  <c r="K265" i="37"/>
  <c r="J265" i="37"/>
  <c r="W264" i="37"/>
  <c r="V264" i="37"/>
  <c r="U264" i="37"/>
  <c r="T264" i="37"/>
  <c r="S264" i="37"/>
  <c r="R264" i="37"/>
  <c r="Q264" i="37"/>
  <c r="P264" i="37"/>
  <c r="O264" i="37"/>
  <c r="N264" i="37"/>
  <c r="M264" i="37"/>
  <c r="L264" i="37"/>
  <c r="K264" i="37"/>
  <c r="J264" i="37"/>
  <c r="I264" i="37"/>
  <c r="W263" i="37"/>
  <c r="V263" i="37"/>
  <c r="U263" i="37"/>
  <c r="T263" i="37"/>
  <c r="S263" i="37"/>
  <c r="R263" i="37"/>
  <c r="Q263" i="37"/>
  <c r="P263" i="37"/>
  <c r="O263" i="37"/>
  <c r="N263" i="37"/>
  <c r="M263" i="37"/>
  <c r="L263" i="37"/>
  <c r="K263" i="37"/>
  <c r="J263" i="37"/>
  <c r="I263" i="37"/>
  <c r="H263" i="37"/>
  <c r="W262" i="37"/>
  <c r="V262" i="37"/>
  <c r="U262" i="37"/>
  <c r="T262" i="37"/>
  <c r="S262" i="37"/>
  <c r="R262" i="37"/>
  <c r="Q262" i="37"/>
  <c r="P262" i="37"/>
  <c r="O262" i="37"/>
  <c r="N262" i="37"/>
  <c r="M262" i="37"/>
  <c r="L262" i="37"/>
  <c r="K262" i="37"/>
  <c r="J262" i="37"/>
  <c r="I262" i="37"/>
  <c r="H262" i="37"/>
  <c r="G262" i="37"/>
  <c r="W261" i="37"/>
  <c r="V261" i="37"/>
  <c r="U261" i="37"/>
  <c r="T261" i="37"/>
  <c r="S261" i="37"/>
  <c r="R261" i="37"/>
  <c r="Q261" i="37"/>
  <c r="P261" i="37"/>
  <c r="O261" i="37"/>
  <c r="N261" i="37"/>
  <c r="M261" i="37"/>
  <c r="L261" i="37"/>
  <c r="K261" i="37"/>
  <c r="J261" i="37"/>
  <c r="I261" i="37"/>
  <c r="H261" i="37"/>
  <c r="G261" i="37"/>
  <c r="F261" i="37"/>
  <c r="W260" i="37"/>
  <c r="V260" i="37"/>
  <c r="U260" i="37"/>
  <c r="T260" i="37"/>
  <c r="S260" i="37"/>
  <c r="R260" i="37"/>
  <c r="Q260" i="37"/>
  <c r="P260" i="37"/>
  <c r="O260" i="37"/>
  <c r="N260" i="37"/>
  <c r="M260" i="37"/>
  <c r="L260" i="37"/>
  <c r="K260" i="37"/>
  <c r="J260" i="37"/>
  <c r="I260" i="37"/>
  <c r="H260" i="37"/>
  <c r="G260" i="37"/>
  <c r="F260" i="37"/>
  <c r="E260" i="37"/>
  <c r="AB176" i="37"/>
  <c r="S176" i="37"/>
  <c r="J176" i="37"/>
  <c r="A176" i="37"/>
  <c r="W163" i="37"/>
  <c r="W162" i="37"/>
  <c r="V162" i="37"/>
  <c r="W161" i="37"/>
  <c r="V161" i="37"/>
  <c r="U161" i="37"/>
  <c r="W160" i="37"/>
  <c r="V160" i="37"/>
  <c r="U160" i="37"/>
  <c r="T160" i="37"/>
  <c r="W159" i="37"/>
  <c r="V159" i="37"/>
  <c r="U159" i="37"/>
  <c r="T159" i="37"/>
  <c r="S159" i="37"/>
  <c r="W158" i="37"/>
  <c r="V158" i="37"/>
  <c r="U158" i="37"/>
  <c r="T158" i="37"/>
  <c r="S158" i="37"/>
  <c r="R158" i="37"/>
  <c r="W157" i="37"/>
  <c r="V157" i="37"/>
  <c r="U157" i="37"/>
  <c r="T157" i="37"/>
  <c r="S157" i="37"/>
  <c r="R157" i="37"/>
  <c r="Q157" i="37"/>
  <c r="W156" i="37"/>
  <c r="V156" i="37"/>
  <c r="U156" i="37"/>
  <c r="T156" i="37"/>
  <c r="S156" i="37"/>
  <c r="R156" i="37"/>
  <c r="Q156" i="37"/>
  <c r="P156" i="37"/>
  <c r="W155" i="37"/>
  <c r="V155" i="37"/>
  <c r="U155" i="37"/>
  <c r="T155" i="37"/>
  <c r="S155" i="37"/>
  <c r="R155" i="37"/>
  <c r="Q155" i="37"/>
  <c r="P155" i="37"/>
  <c r="O155" i="37"/>
  <c r="W154" i="37"/>
  <c r="V154" i="37"/>
  <c r="U154" i="37"/>
  <c r="T154" i="37"/>
  <c r="S154" i="37"/>
  <c r="R154" i="37"/>
  <c r="Q154" i="37"/>
  <c r="P154" i="37"/>
  <c r="O154" i="37"/>
  <c r="N154" i="37"/>
  <c r="W153" i="37"/>
  <c r="V153" i="37"/>
  <c r="U153" i="37"/>
  <c r="T153" i="37"/>
  <c r="S153" i="37"/>
  <c r="R153" i="37"/>
  <c r="Q153" i="37"/>
  <c r="P153" i="37"/>
  <c r="O153" i="37"/>
  <c r="N153" i="37"/>
  <c r="M153" i="37"/>
  <c r="W152" i="37"/>
  <c r="V152" i="37"/>
  <c r="U152" i="37"/>
  <c r="T152" i="37"/>
  <c r="S152" i="37"/>
  <c r="R152" i="37"/>
  <c r="Q152" i="37"/>
  <c r="P152" i="37"/>
  <c r="O152" i="37"/>
  <c r="N152" i="37"/>
  <c r="M152" i="37"/>
  <c r="L152" i="37"/>
  <c r="W151" i="37"/>
  <c r="V151" i="37"/>
  <c r="U151" i="37"/>
  <c r="T151" i="37"/>
  <c r="S151" i="37"/>
  <c r="R151" i="37"/>
  <c r="Q151" i="37"/>
  <c r="P151" i="37"/>
  <c r="O151" i="37"/>
  <c r="N151" i="37"/>
  <c r="M151" i="37"/>
  <c r="L151" i="37"/>
  <c r="K151" i="37"/>
  <c r="W150" i="37"/>
  <c r="V150" i="37"/>
  <c r="U150" i="37"/>
  <c r="T150" i="37"/>
  <c r="S150" i="37"/>
  <c r="R150" i="37"/>
  <c r="Q150" i="37"/>
  <c r="P150" i="37"/>
  <c r="O150" i="37"/>
  <c r="N150" i="37"/>
  <c r="M150" i="37"/>
  <c r="L150" i="37"/>
  <c r="K150" i="37"/>
  <c r="J150" i="37"/>
  <c r="W149" i="37"/>
  <c r="V149" i="37"/>
  <c r="U149" i="37"/>
  <c r="T149" i="37"/>
  <c r="S149" i="37"/>
  <c r="R149" i="37"/>
  <c r="Q149" i="37"/>
  <c r="P149" i="37"/>
  <c r="O149" i="37"/>
  <c r="N149" i="37"/>
  <c r="M149" i="37"/>
  <c r="L149" i="37"/>
  <c r="K149" i="37"/>
  <c r="J149" i="37"/>
  <c r="I149" i="37"/>
  <c r="W148" i="37"/>
  <c r="V148" i="37"/>
  <c r="U148" i="37"/>
  <c r="T148" i="37"/>
  <c r="S148" i="37"/>
  <c r="R148" i="37"/>
  <c r="Q148" i="37"/>
  <c r="P148" i="37"/>
  <c r="O148" i="37"/>
  <c r="N148" i="37"/>
  <c r="M148" i="37"/>
  <c r="L148" i="37"/>
  <c r="K148" i="37"/>
  <c r="J148" i="37"/>
  <c r="I148" i="37"/>
  <c r="H148" i="37"/>
  <c r="W147" i="37"/>
  <c r="V147" i="37"/>
  <c r="U147" i="37"/>
  <c r="T147" i="37"/>
  <c r="S147" i="37"/>
  <c r="R147" i="37"/>
  <c r="Q147" i="37"/>
  <c r="P147" i="37"/>
  <c r="O147" i="37"/>
  <c r="N147" i="37"/>
  <c r="M147" i="37"/>
  <c r="L147" i="37"/>
  <c r="K147" i="37"/>
  <c r="J147" i="37"/>
  <c r="I147" i="37"/>
  <c r="H147" i="37"/>
  <c r="G147" i="37"/>
  <c r="W146" i="37"/>
  <c r="V146" i="37"/>
  <c r="U146" i="37"/>
  <c r="T146" i="37"/>
  <c r="S146" i="37"/>
  <c r="R146" i="37"/>
  <c r="Q146" i="37"/>
  <c r="P146" i="37"/>
  <c r="O146" i="37"/>
  <c r="N146" i="37"/>
  <c r="M146" i="37"/>
  <c r="L146" i="37"/>
  <c r="K146" i="37"/>
  <c r="J146" i="37"/>
  <c r="I146" i="37"/>
  <c r="H146" i="37"/>
  <c r="G146" i="37"/>
  <c r="F146" i="37"/>
  <c r="W145" i="37"/>
  <c r="V145" i="37"/>
  <c r="U145" i="37"/>
  <c r="T145" i="37"/>
  <c r="S145" i="37"/>
  <c r="R145" i="37"/>
  <c r="Q145" i="37"/>
  <c r="P145" i="37"/>
  <c r="O145" i="37"/>
  <c r="N145" i="37"/>
  <c r="M145" i="37"/>
  <c r="L145" i="37"/>
  <c r="K145" i="37"/>
  <c r="J145" i="37"/>
  <c r="I145" i="37"/>
  <c r="H145" i="37"/>
  <c r="G145" i="37"/>
  <c r="F145" i="37"/>
  <c r="E145" i="37"/>
  <c r="A144" i="37"/>
  <c r="AO117" i="37"/>
  <c r="AB57" i="37"/>
  <c r="AB60" i="37" s="1"/>
  <c r="S57" i="37"/>
  <c r="S60" i="37" s="1"/>
  <c r="J57" i="37"/>
  <c r="J60" i="37" s="1"/>
  <c r="A57" i="37"/>
  <c r="A117" i="37" s="1"/>
  <c r="F7" i="37"/>
  <c r="F6" i="37"/>
  <c r="C6" i="37"/>
  <c r="F5" i="37"/>
  <c r="C5" i="37"/>
  <c r="C168" i="37" s="1"/>
  <c r="F4" i="37"/>
  <c r="W278" i="36"/>
  <c r="W277" i="36"/>
  <c r="V277" i="36"/>
  <c r="W276" i="36"/>
  <c r="V276" i="36"/>
  <c r="U276" i="36"/>
  <c r="W275" i="36"/>
  <c r="V275" i="36"/>
  <c r="U275" i="36"/>
  <c r="T275" i="36"/>
  <c r="W274" i="36"/>
  <c r="V274" i="36"/>
  <c r="U274" i="36"/>
  <c r="T274" i="36"/>
  <c r="S274" i="36"/>
  <c r="W273" i="36"/>
  <c r="V273" i="36"/>
  <c r="U273" i="36"/>
  <c r="T273" i="36"/>
  <c r="S273" i="36"/>
  <c r="R273" i="36"/>
  <c r="W272" i="36"/>
  <c r="V272" i="36"/>
  <c r="U272" i="36"/>
  <c r="T272" i="36"/>
  <c r="S272" i="36"/>
  <c r="R272" i="36"/>
  <c r="Q272" i="36"/>
  <c r="W271" i="36"/>
  <c r="V271" i="36"/>
  <c r="U271" i="36"/>
  <c r="T271" i="36"/>
  <c r="S271" i="36"/>
  <c r="R271" i="36"/>
  <c r="Q271" i="36"/>
  <c r="P271" i="36"/>
  <c r="W270" i="36"/>
  <c r="V270" i="36"/>
  <c r="U270" i="36"/>
  <c r="T270" i="36"/>
  <c r="S270" i="36"/>
  <c r="R270" i="36"/>
  <c r="Q270" i="36"/>
  <c r="P270" i="36"/>
  <c r="O270" i="36"/>
  <c r="W269" i="36"/>
  <c r="V269" i="36"/>
  <c r="U269" i="36"/>
  <c r="T269" i="36"/>
  <c r="S269" i="36"/>
  <c r="R269" i="36"/>
  <c r="Q269" i="36"/>
  <c r="P269" i="36"/>
  <c r="O269" i="36"/>
  <c r="N269" i="36"/>
  <c r="W268" i="36"/>
  <c r="V268" i="36"/>
  <c r="U268" i="36"/>
  <c r="T268" i="36"/>
  <c r="S268" i="36"/>
  <c r="R268" i="36"/>
  <c r="Q268" i="36"/>
  <c r="P268" i="36"/>
  <c r="O268" i="36"/>
  <c r="N268" i="36"/>
  <c r="M268" i="36"/>
  <c r="W267" i="36"/>
  <c r="V267" i="36"/>
  <c r="U267" i="36"/>
  <c r="T267" i="36"/>
  <c r="S267" i="36"/>
  <c r="R267" i="36"/>
  <c r="Q267" i="36"/>
  <c r="P267" i="36"/>
  <c r="O267" i="36"/>
  <c r="N267" i="36"/>
  <c r="M267" i="36"/>
  <c r="L267" i="36"/>
  <c r="W266" i="36"/>
  <c r="V266" i="36"/>
  <c r="U266" i="36"/>
  <c r="T266" i="36"/>
  <c r="S266" i="36"/>
  <c r="R266" i="36"/>
  <c r="Q266" i="36"/>
  <c r="P266" i="36"/>
  <c r="O266" i="36"/>
  <c r="N266" i="36"/>
  <c r="M266" i="36"/>
  <c r="L266" i="36"/>
  <c r="K266" i="36"/>
  <c r="W265" i="36"/>
  <c r="V265" i="36"/>
  <c r="U265" i="36"/>
  <c r="T265" i="36"/>
  <c r="S265" i="36"/>
  <c r="R265" i="36"/>
  <c r="Q265" i="36"/>
  <c r="P265" i="36"/>
  <c r="O265" i="36"/>
  <c r="N265" i="36"/>
  <c r="M265" i="36"/>
  <c r="L265" i="36"/>
  <c r="K265" i="36"/>
  <c r="J265" i="36"/>
  <c r="W264" i="36"/>
  <c r="V264" i="36"/>
  <c r="U264" i="36"/>
  <c r="T264" i="36"/>
  <c r="S264" i="36"/>
  <c r="R264" i="36"/>
  <c r="Q264" i="36"/>
  <c r="P264" i="36"/>
  <c r="O264" i="36"/>
  <c r="N264" i="36"/>
  <c r="M264" i="36"/>
  <c r="L264" i="36"/>
  <c r="K264" i="36"/>
  <c r="J264" i="36"/>
  <c r="I264" i="36"/>
  <c r="W263" i="36"/>
  <c r="V263" i="36"/>
  <c r="U263" i="36"/>
  <c r="T263" i="36"/>
  <c r="S263" i="36"/>
  <c r="R263" i="36"/>
  <c r="Q263" i="36"/>
  <c r="P263" i="36"/>
  <c r="O263" i="36"/>
  <c r="N263" i="36"/>
  <c r="M263" i="36"/>
  <c r="L263" i="36"/>
  <c r="K263" i="36"/>
  <c r="J263" i="36"/>
  <c r="I263" i="36"/>
  <c r="H263" i="36"/>
  <c r="W262" i="36"/>
  <c r="V262" i="36"/>
  <c r="U262" i="36"/>
  <c r="T262" i="36"/>
  <c r="S262" i="36"/>
  <c r="R262" i="36"/>
  <c r="Q262" i="36"/>
  <c r="P262" i="36"/>
  <c r="O262" i="36"/>
  <c r="N262" i="36"/>
  <c r="M262" i="36"/>
  <c r="L262" i="36"/>
  <c r="K262" i="36"/>
  <c r="J262" i="36"/>
  <c r="I262" i="36"/>
  <c r="H262" i="36"/>
  <c r="G262" i="36"/>
  <c r="W261" i="36"/>
  <c r="V261" i="36"/>
  <c r="U261" i="36"/>
  <c r="T261" i="36"/>
  <c r="S261" i="36"/>
  <c r="R261" i="36"/>
  <c r="Q261" i="36"/>
  <c r="P261" i="36"/>
  <c r="O261" i="36"/>
  <c r="N261" i="36"/>
  <c r="M261" i="36"/>
  <c r="L261" i="36"/>
  <c r="K261" i="36"/>
  <c r="J261" i="36"/>
  <c r="I261" i="36"/>
  <c r="H261" i="36"/>
  <c r="G261" i="36"/>
  <c r="F261" i="36"/>
  <c r="W260" i="36"/>
  <c r="V260" i="36"/>
  <c r="U260" i="36"/>
  <c r="T260" i="36"/>
  <c r="S260" i="36"/>
  <c r="R260" i="36"/>
  <c r="Q260" i="36"/>
  <c r="P260" i="36"/>
  <c r="O260" i="36"/>
  <c r="N260" i="36"/>
  <c r="M260" i="36"/>
  <c r="L260" i="36"/>
  <c r="K260" i="36"/>
  <c r="J260" i="36"/>
  <c r="I260" i="36"/>
  <c r="H260" i="36"/>
  <c r="G260" i="36"/>
  <c r="F260" i="36"/>
  <c r="E260" i="36"/>
  <c r="AB176" i="36"/>
  <c r="S176" i="36"/>
  <c r="J176" i="36"/>
  <c r="A176" i="36"/>
  <c r="W163" i="36"/>
  <c r="W162" i="36"/>
  <c r="V162" i="36"/>
  <c r="W161" i="36"/>
  <c r="V161" i="36"/>
  <c r="U161" i="36"/>
  <c r="W160" i="36"/>
  <c r="V160" i="36"/>
  <c r="U160" i="36"/>
  <c r="T160" i="36"/>
  <c r="W159" i="36"/>
  <c r="V159" i="36"/>
  <c r="U159" i="36"/>
  <c r="T159" i="36"/>
  <c r="S159" i="36"/>
  <c r="W158" i="36"/>
  <c r="V158" i="36"/>
  <c r="U158" i="36"/>
  <c r="T158" i="36"/>
  <c r="S158" i="36"/>
  <c r="R158" i="36"/>
  <c r="W157" i="36"/>
  <c r="V157" i="36"/>
  <c r="U157" i="36"/>
  <c r="T157" i="36"/>
  <c r="S157" i="36"/>
  <c r="R157" i="36"/>
  <c r="Q157" i="36"/>
  <c r="W156" i="36"/>
  <c r="V156" i="36"/>
  <c r="U156" i="36"/>
  <c r="T156" i="36"/>
  <c r="S156" i="36"/>
  <c r="R156" i="36"/>
  <c r="Q156" i="36"/>
  <c r="P156" i="36"/>
  <c r="W155" i="36"/>
  <c r="V155" i="36"/>
  <c r="U155" i="36"/>
  <c r="T155" i="36"/>
  <c r="S155" i="36"/>
  <c r="R155" i="36"/>
  <c r="Q155" i="36"/>
  <c r="P155" i="36"/>
  <c r="O155" i="36"/>
  <c r="W154" i="36"/>
  <c r="V154" i="36"/>
  <c r="U154" i="36"/>
  <c r="T154" i="36"/>
  <c r="S154" i="36"/>
  <c r="R154" i="36"/>
  <c r="Q154" i="36"/>
  <c r="P154" i="36"/>
  <c r="O154" i="36"/>
  <c r="N154" i="36"/>
  <c r="W153" i="36"/>
  <c r="V153" i="36"/>
  <c r="U153" i="36"/>
  <c r="T153" i="36"/>
  <c r="S153" i="36"/>
  <c r="R153" i="36"/>
  <c r="Q153" i="36"/>
  <c r="P153" i="36"/>
  <c r="O153" i="36"/>
  <c r="N153" i="36"/>
  <c r="M153" i="36"/>
  <c r="W152" i="36"/>
  <c r="V152" i="36"/>
  <c r="U152" i="36"/>
  <c r="T152" i="36"/>
  <c r="S152" i="36"/>
  <c r="R152" i="36"/>
  <c r="Q152" i="36"/>
  <c r="P152" i="36"/>
  <c r="O152" i="36"/>
  <c r="N152" i="36"/>
  <c r="M152" i="36"/>
  <c r="L152" i="36"/>
  <c r="W151" i="36"/>
  <c r="V151" i="36"/>
  <c r="U151" i="36"/>
  <c r="T151" i="36"/>
  <c r="S151" i="36"/>
  <c r="R151" i="36"/>
  <c r="Q151" i="36"/>
  <c r="P151" i="36"/>
  <c r="O151" i="36"/>
  <c r="N151" i="36"/>
  <c r="M151" i="36"/>
  <c r="L151" i="36"/>
  <c r="K151" i="36"/>
  <c r="W150" i="36"/>
  <c r="V150" i="36"/>
  <c r="U150" i="36"/>
  <c r="T150" i="36"/>
  <c r="S150" i="36"/>
  <c r="R150" i="36"/>
  <c r="Q150" i="36"/>
  <c r="P150" i="36"/>
  <c r="O150" i="36"/>
  <c r="N150" i="36"/>
  <c r="M150" i="36"/>
  <c r="L150" i="36"/>
  <c r="K150" i="36"/>
  <c r="J150" i="36"/>
  <c r="W149" i="36"/>
  <c r="V149" i="36"/>
  <c r="U149" i="36"/>
  <c r="T149" i="36"/>
  <c r="S149" i="36"/>
  <c r="R149" i="36"/>
  <c r="Q149" i="36"/>
  <c r="P149" i="36"/>
  <c r="O149" i="36"/>
  <c r="N149" i="36"/>
  <c r="M149" i="36"/>
  <c r="L149" i="36"/>
  <c r="K149" i="36"/>
  <c r="J149" i="36"/>
  <c r="I149" i="36"/>
  <c r="W148" i="36"/>
  <c r="V148" i="36"/>
  <c r="U148" i="36"/>
  <c r="T148" i="36"/>
  <c r="S148" i="36"/>
  <c r="R148" i="36"/>
  <c r="Q148" i="36"/>
  <c r="P148" i="36"/>
  <c r="O148" i="36"/>
  <c r="N148" i="36"/>
  <c r="M148" i="36"/>
  <c r="L148" i="36"/>
  <c r="K148" i="36"/>
  <c r="J148" i="36"/>
  <c r="I148" i="36"/>
  <c r="H148" i="36"/>
  <c r="W147" i="36"/>
  <c r="V147" i="36"/>
  <c r="U147" i="36"/>
  <c r="T147" i="36"/>
  <c r="S147" i="36"/>
  <c r="R147" i="36"/>
  <c r="Q147" i="36"/>
  <c r="P147" i="36"/>
  <c r="O147" i="36"/>
  <c r="N147" i="36"/>
  <c r="M147" i="36"/>
  <c r="L147" i="36"/>
  <c r="K147" i="36"/>
  <c r="J147" i="36"/>
  <c r="I147" i="36"/>
  <c r="H147" i="36"/>
  <c r="G147" i="36"/>
  <c r="W146" i="36"/>
  <c r="V146" i="36"/>
  <c r="U146" i="36"/>
  <c r="T146" i="36"/>
  <c r="S146" i="36"/>
  <c r="R146" i="36"/>
  <c r="Q146" i="36"/>
  <c r="P146" i="36"/>
  <c r="O146" i="36"/>
  <c r="N146" i="36"/>
  <c r="M146" i="36"/>
  <c r="L146" i="36"/>
  <c r="K146" i="36"/>
  <c r="J146" i="36"/>
  <c r="I146" i="36"/>
  <c r="H146" i="36"/>
  <c r="G146" i="36"/>
  <c r="F146" i="36"/>
  <c r="W145" i="36"/>
  <c r="V145" i="36"/>
  <c r="U145" i="36"/>
  <c r="T145" i="36"/>
  <c r="S145" i="36"/>
  <c r="R145" i="36"/>
  <c r="Q145" i="36"/>
  <c r="P145" i="36"/>
  <c r="O145" i="36"/>
  <c r="N145" i="36"/>
  <c r="M145" i="36"/>
  <c r="L145" i="36"/>
  <c r="K145" i="36"/>
  <c r="J145" i="36"/>
  <c r="I145" i="36"/>
  <c r="H145" i="36"/>
  <c r="G145" i="36"/>
  <c r="F145" i="36"/>
  <c r="E145" i="36"/>
  <c r="A144" i="36"/>
  <c r="AO117" i="36"/>
  <c r="AB57" i="36"/>
  <c r="AB60" i="36" s="1"/>
  <c r="S57" i="36"/>
  <c r="J57" i="36"/>
  <c r="A57" i="36"/>
  <c r="A117" i="36" s="1"/>
  <c r="F7" i="36"/>
  <c r="F6" i="36"/>
  <c r="F5" i="36"/>
  <c r="C5" i="36"/>
  <c r="C168" i="36" s="1"/>
  <c r="F4" i="36"/>
  <c r="E260" i="12"/>
  <c r="F260" i="12"/>
  <c r="F261" i="12"/>
  <c r="G260" i="12"/>
  <c r="G261" i="12"/>
  <c r="G262" i="12"/>
  <c r="H260" i="12"/>
  <c r="H261" i="12"/>
  <c r="H262" i="12"/>
  <c r="H263" i="12"/>
  <c r="I260" i="12"/>
  <c r="I261" i="12"/>
  <c r="I262" i="12"/>
  <c r="I263" i="12"/>
  <c r="I264" i="12"/>
  <c r="J260" i="12"/>
  <c r="J261" i="12"/>
  <c r="J262" i="12"/>
  <c r="J263" i="12"/>
  <c r="J264" i="12"/>
  <c r="J265" i="12"/>
  <c r="K260" i="12"/>
  <c r="K261" i="12"/>
  <c r="K262" i="12"/>
  <c r="K263" i="12"/>
  <c r="K264" i="12"/>
  <c r="K265" i="12"/>
  <c r="K266" i="12"/>
  <c r="L260" i="12"/>
  <c r="L261" i="12"/>
  <c r="L262" i="12"/>
  <c r="L263" i="12"/>
  <c r="L264" i="12"/>
  <c r="L265" i="12"/>
  <c r="L266" i="12"/>
  <c r="L267" i="12"/>
  <c r="M260" i="12"/>
  <c r="M261" i="12"/>
  <c r="M262" i="12"/>
  <c r="M263" i="12"/>
  <c r="M264" i="12"/>
  <c r="M265" i="12"/>
  <c r="M266" i="12"/>
  <c r="M267" i="12"/>
  <c r="M268" i="12"/>
  <c r="N260" i="12"/>
  <c r="N261" i="12"/>
  <c r="N262" i="12"/>
  <c r="N263" i="12"/>
  <c r="N264" i="12"/>
  <c r="N265" i="12"/>
  <c r="N266" i="12"/>
  <c r="N267" i="12"/>
  <c r="N268" i="12"/>
  <c r="N269" i="12"/>
  <c r="O260" i="12"/>
  <c r="O261" i="12"/>
  <c r="O262" i="12"/>
  <c r="O263" i="12"/>
  <c r="O264" i="12"/>
  <c r="O265" i="12"/>
  <c r="O266" i="12"/>
  <c r="O267" i="12"/>
  <c r="O268" i="12"/>
  <c r="O269" i="12"/>
  <c r="O270" i="12"/>
  <c r="P260" i="12"/>
  <c r="P261" i="12"/>
  <c r="P262" i="12"/>
  <c r="P263" i="12"/>
  <c r="P264" i="12"/>
  <c r="P265" i="12"/>
  <c r="P266" i="12"/>
  <c r="P267" i="12"/>
  <c r="P268" i="12"/>
  <c r="P269" i="12"/>
  <c r="P270" i="12"/>
  <c r="P271" i="12"/>
  <c r="Q260" i="12"/>
  <c r="Q261" i="12"/>
  <c r="Q262" i="12"/>
  <c r="Q263" i="12"/>
  <c r="Q264" i="12"/>
  <c r="Q265" i="12"/>
  <c r="Q266" i="12"/>
  <c r="Q267" i="12"/>
  <c r="Q268" i="12"/>
  <c r="Q269" i="12"/>
  <c r="Q270" i="12"/>
  <c r="Q271" i="12"/>
  <c r="Q272" i="12"/>
  <c r="R260" i="12"/>
  <c r="R261" i="12"/>
  <c r="R262" i="12"/>
  <c r="R263" i="12"/>
  <c r="R264" i="12"/>
  <c r="R265" i="12"/>
  <c r="R266" i="12"/>
  <c r="R267" i="12"/>
  <c r="R268" i="12"/>
  <c r="R269" i="12"/>
  <c r="R270" i="12"/>
  <c r="R271" i="12"/>
  <c r="R272" i="12"/>
  <c r="R273" i="12"/>
  <c r="S260" i="12"/>
  <c r="S261" i="12"/>
  <c r="S262" i="12"/>
  <c r="S263" i="12"/>
  <c r="S264" i="12"/>
  <c r="S265" i="12"/>
  <c r="S266" i="12"/>
  <c r="S267" i="12"/>
  <c r="S268" i="12"/>
  <c r="S269" i="12"/>
  <c r="S270" i="12"/>
  <c r="S271" i="12"/>
  <c r="S272" i="12"/>
  <c r="S273" i="12"/>
  <c r="S274" i="12"/>
  <c r="T260" i="12"/>
  <c r="T261" i="12"/>
  <c r="T262" i="12"/>
  <c r="T263" i="12"/>
  <c r="T264" i="12"/>
  <c r="T265" i="12"/>
  <c r="T266" i="12"/>
  <c r="T267" i="12"/>
  <c r="T268" i="12"/>
  <c r="T269" i="12"/>
  <c r="T270" i="12"/>
  <c r="T271" i="12"/>
  <c r="T272" i="12"/>
  <c r="T273" i="12"/>
  <c r="T274" i="12"/>
  <c r="T275" i="12"/>
  <c r="U260" i="12"/>
  <c r="U261" i="12"/>
  <c r="U262" i="12"/>
  <c r="U263" i="12"/>
  <c r="U264" i="12"/>
  <c r="U265" i="12"/>
  <c r="U266" i="12"/>
  <c r="U267" i="12"/>
  <c r="U268" i="12"/>
  <c r="U269" i="12"/>
  <c r="U270" i="12"/>
  <c r="U271" i="12"/>
  <c r="U272" i="12"/>
  <c r="U273" i="12"/>
  <c r="U274" i="12"/>
  <c r="U275" i="12"/>
  <c r="U276" i="12"/>
  <c r="V260" i="12"/>
  <c r="V261" i="12"/>
  <c r="V262" i="12"/>
  <c r="V263" i="12"/>
  <c r="V264" i="12"/>
  <c r="V265" i="12"/>
  <c r="V266" i="12"/>
  <c r="V267" i="12"/>
  <c r="V268" i="12"/>
  <c r="V269" i="12"/>
  <c r="V270" i="12"/>
  <c r="V271" i="12"/>
  <c r="V272" i="12"/>
  <c r="V273" i="12"/>
  <c r="V274" i="12"/>
  <c r="V275" i="12"/>
  <c r="V276" i="12"/>
  <c r="V277" i="12"/>
  <c r="W260" i="12"/>
  <c r="W261" i="12"/>
  <c r="W262" i="12"/>
  <c r="W263" i="12"/>
  <c r="W264" i="12"/>
  <c r="W265" i="12"/>
  <c r="W266" i="12"/>
  <c r="W267" i="12"/>
  <c r="W268" i="12"/>
  <c r="W269" i="12"/>
  <c r="W270" i="12"/>
  <c r="W271" i="12"/>
  <c r="W272" i="12"/>
  <c r="W273" i="12"/>
  <c r="W274" i="12"/>
  <c r="W275" i="12"/>
  <c r="W276" i="12"/>
  <c r="W277" i="12"/>
  <c r="W278" i="12"/>
  <c r="E145" i="12"/>
  <c r="F145" i="12"/>
  <c r="F146" i="12"/>
  <c r="G145" i="12"/>
  <c r="G146" i="12"/>
  <c r="G147" i="12"/>
  <c r="H145" i="12"/>
  <c r="H146" i="12"/>
  <c r="H147" i="12"/>
  <c r="H148" i="12"/>
  <c r="I145" i="12"/>
  <c r="I146" i="12"/>
  <c r="I147" i="12"/>
  <c r="I148" i="12"/>
  <c r="I149" i="12"/>
  <c r="J145" i="12"/>
  <c r="J146" i="12"/>
  <c r="J147" i="12"/>
  <c r="J148" i="12"/>
  <c r="J149" i="12"/>
  <c r="J150" i="12"/>
  <c r="K145" i="12"/>
  <c r="K146" i="12"/>
  <c r="K147" i="12"/>
  <c r="K148" i="12"/>
  <c r="K149" i="12"/>
  <c r="K150" i="12"/>
  <c r="K151" i="12"/>
  <c r="L145" i="12"/>
  <c r="L146" i="12"/>
  <c r="L147" i="12"/>
  <c r="L148" i="12"/>
  <c r="L149" i="12"/>
  <c r="L150" i="12"/>
  <c r="L151" i="12"/>
  <c r="L152" i="12"/>
  <c r="M145" i="12"/>
  <c r="M146" i="12"/>
  <c r="M147" i="12"/>
  <c r="M148" i="12"/>
  <c r="M149" i="12"/>
  <c r="M150" i="12"/>
  <c r="M151" i="12"/>
  <c r="M152" i="12"/>
  <c r="M153" i="12"/>
  <c r="N145" i="12"/>
  <c r="N146" i="12"/>
  <c r="N147" i="12"/>
  <c r="N148" i="12"/>
  <c r="N149" i="12"/>
  <c r="N150" i="12"/>
  <c r="N151" i="12"/>
  <c r="N152" i="12"/>
  <c r="N153" i="12"/>
  <c r="N154" i="12"/>
  <c r="O145" i="12"/>
  <c r="O146" i="12"/>
  <c r="O147" i="12"/>
  <c r="O148" i="12"/>
  <c r="O149" i="12"/>
  <c r="O150" i="12"/>
  <c r="O151" i="12"/>
  <c r="O152" i="12"/>
  <c r="O153" i="12"/>
  <c r="O154" i="12"/>
  <c r="O155" i="12"/>
  <c r="P145" i="12"/>
  <c r="P146" i="12"/>
  <c r="P147" i="12"/>
  <c r="P148" i="12"/>
  <c r="P149" i="12"/>
  <c r="P150" i="12"/>
  <c r="P151" i="12"/>
  <c r="P152" i="12"/>
  <c r="P153" i="12"/>
  <c r="P154" i="12"/>
  <c r="P155" i="12"/>
  <c r="P156" i="12"/>
  <c r="Q145" i="12"/>
  <c r="Q146" i="12"/>
  <c r="Q147" i="12"/>
  <c r="Q148" i="12"/>
  <c r="Q149" i="12"/>
  <c r="Q150" i="12"/>
  <c r="Q151" i="12"/>
  <c r="Q152" i="12"/>
  <c r="Q153" i="12"/>
  <c r="Q154" i="12"/>
  <c r="Q155" i="12"/>
  <c r="Q156" i="12"/>
  <c r="Q157" i="12"/>
  <c r="R145" i="12"/>
  <c r="R146" i="12"/>
  <c r="R147" i="12"/>
  <c r="R148" i="12"/>
  <c r="R149" i="12"/>
  <c r="R150" i="12"/>
  <c r="R151" i="12"/>
  <c r="R152" i="12"/>
  <c r="R153" i="12"/>
  <c r="R154" i="12"/>
  <c r="R155" i="12"/>
  <c r="R156" i="12"/>
  <c r="R157" i="12"/>
  <c r="R158" i="12"/>
  <c r="S145" i="12"/>
  <c r="S146" i="12"/>
  <c r="S147" i="12"/>
  <c r="S148" i="12"/>
  <c r="S149" i="12"/>
  <c r="S150" i="12"/>
  <c r="S151" i="12"/>
  <c r="S152" i="12"/>
  <c r="S153" i="12"/>
  <c r="S154" i="12"/>
  <c r="S155" i="12"/>
  <c r="S156" i="12"/>
  <c r="S157" i="12"/>
  <c r="S158" i="12"/>
  <c r="S159" i="12"/>
  <c r="T145" i="12"/>
  <c r="T146" i="12"/>
  <c r="T147" i="12"/>
  <c r="T148" i="12"/>
  <c r="T149" i="12"/>
  <c r="T150" i="12"/>
  <c r="T151" i="12"/>
  <c r="T152" i="12"/>
  <c r="T153" i="12"/>
  <c r="T154" i="12"/>
  <c r="T155" i="12"/>
  <c r="T156" i="12"/>
  <c r="T157" i="12"/>
  <c r="T158" i="12"/>
  <c r="T159" i="12"/>
  <c r="T160" i="12"/>
  <c r="U145" i="12"/>
  <c r="U146" i="12"/>
  <c r="U147" i="12"/>
  <c r="U148" i="12"/>
  <c r="U149" i="12"/>
  <c r="U150" i="12"/>
  <c r="U151" i="12"/>
  <c r="U152" i="12"/>
  <c r="U153" i="12"/>
  <c r="U154" i="12"/>
  <c r="U155" i="12"/>
  <c r="U156" i="12"/>
  <c r="U157" i="12"/>
  <c r="U158" i="12"/>
  <c r="U159" i="12"/>
  <c r="U160" i="12"/>
  <c r="U161" i="12"/>
  <c r="V145" i="12"/>
  <c r="V146" i="12"/>
  <c r="V147" i="12"/>
  <c r="V148" i="12"/>
  <c r="V149" i="12"/>
  <c r="V150" i="12"/>
  <c r="V151" i="12"/>
  <c r="V152" i="12"/>
  <c r="V153" i="12"/>
  <c r="V154" i="12"/>
  <c r="V155" i="12"/>
  <c r="V156" i="12"/>
  <c r="V157" i="12"/>
  <c r="V158" i="12"/>
  <c r="V159" i="12"/>
  <c r="V160" i="12"/>
  <c r="V161" i="12"/>
  <c r="V162" i="12"/>
  <c r="W145" i="12"/>
  <c r="W146" i="12"/>
  <c r="W147" i="12"/>
  <c r="W148" i="12"/>
  <c r="W149" i="12"/>
  <c r="W150" i="12"/>
  <c r="W151" i="12"/>
  <c r="W152" i="12"/>
  <c r="W153" i="12"/>
  <c r="W154" i="12"/>
  <c r="W155" i="12"/>
  <c r="W156" i="12"/>
  <c r="W157" i="12"/>
  <c r="W158" i="12"/>
  <c r="W159" i="12"/>
  <c r="W160" i="12"/>
  <c r="W161" i="12"/>
  <c r="W162" i="12"/>
  <c r="W163" i="12"/>
  <c r="M10" i="11"/>
  <c r="M11" i="11"/>
  <c r="M12" i="11"/>
  <c r="M9" i="11"/>
  <c r="C4" i="38"/>
  <c r="C307" i="37" l="1"/>
  <c r="C307" i="38"/>
  <c r="D13" i="38"/>
  <c r="J16" i="11"/>
  <c r="K21" i="11" s="1"/>
  <c r="C4" i="37"/>
  <c r="K12" i="11"/>
  <c r="L12" i="11" s="1"/>
  <c r="K10" i="11"/>
  <c r="L10" i="11" s="1"/>
  <c r="S60" i="38"/>
  <c r="A60" i="38"/>
  <c r="J60" i="38"/>
  <c r="C52" i="38"/>
  <c r="C4" i="36"/>
  <c r="C53" i="38"/>
  <c r="C169" i="38"/>
  <c r="C201" i="38"/>
  <c r="C85" i="38"/>
  <c r="AB60" i="38"/>
  <c r="AE117" i="37"/>
  <c r="A60" i="37"/>
  <c r="K117" i="37"/>
  <c r="C201" i="37"/>
  <c r="C85" i="37"/>
  <c r="C169" i="37"/>
  <c r="U117" i="37"/>
  <c r="C53" i="37"/>
  <c r="AE117" i="36"/>
  <c r="A60" i="36"/>
  <c r="U117" i="36"/>
  <c r="S60" i="36"/>
  <c r="C169" i="36"/>
  <c r="C53" i="36"/>
  <c r="K117" i="36"/>
  <c r="J60" i="36"/>
  <c r="K9" i="11"/>
  <c r="L9" i="11" s="1"/>
  <c r="K11" i="11"/>
  <c r="L11" i="11" s="1"/>
  <c r="C4" i="12"/>
  <c r="AB176" i="12"/>
  <c r="A176" i="12"/>
  <c r="J176" i="12"/>
  <c r="S176" i="12"/>
  <c r="N11" i="11" l="1"/>
  <c r="C7" i="37" s="1"/>
  <c r="I19" i="37" s="1"/>
  <c r="K22" i="11"/>
  <c r="D13" i="12"/>
  <c r="D13" i="36"/>
  <c r="C52" i="37"/>
  <c r="D13" i="37"/>
  <c r="N12" i="11"/>
  <c r="C7" i="38" s="1"/>
  <c r="C52" i="36"/>
  <c r="N9" i="11"/>
  <c r="N10" i="11"/>
  <c r="C7" i="36" s="1"/>
  <c r="M1006" i="4"/>
  <c r="M1007" i="4"/>
  <c r="M1008" i="4"/>
  <c r="M1009" i="4"/>
  <c r="G1000" i="4"/>
  <c r="G1001" i="4"/>
  <c r="G1002" i="4"/>
  <c r="G1003" i="4"/>
  <c r="G1004" i="4"/>
  <c r="G1005" i="4"/>
  <c r="G1006" i="4"/>
  <c r="G1007" i="4"/>
  <c r="G1008" i="4"/>
  <c r="G1009" i="4"/>
  <c r="G937" i="4"/>
  <c r="G938" i="4"/>
  <c r="G939" i="4"/>
  <c r="G940" i="4"/>
  <c r="M968" i="4"/>
  <c r="M969" i="4"/>
  <c r="M970" i="4"/>
  <c r="M971" i="4"/>
  <c r="M972" i="4"/>
  <c r="M973" i="4"/>
  <c r="M974" i="4"/>
  <c r="M975" i="4"/>
  <c r="G963" i="4"/>
  <c r="G964" i="4"/>
  <c r="G965" i="4"/>
  <c r="G966" i="4"/>
  <c r="G967" i="4"/>
  <c r="G968" i="4"/>
  <c r="G969" i="4"/>
  <c r="G970" i="4"/>
  <c r="G971" i="4"/>
  <c r="G972" i="4"/>
  <c r="G973" i="4"/>
  <c r="G974" i="4"/>
  <c r="G975" i="4"/>
  <c r="D935" i="4"/>
  <c r="G935" i="4" s="1"/>
  <c r="D933" i="4"/>
  <c r="G933" i="4" s="1"/>
  <c r="D931" i="4"/>
  <c r="G931" i="4" s="1"/>
  <c r="D926" i="4"/>
  <c r="G926" i="4" s="1"/>
  <c r="D921" i="4"/>
  <c r="D922" i="4" s="1"/>
  <c r="D871" i="4"/>
  <c r="G871" i="4" s="1"/>
  <c r="G845" i="4"/>
  <c r="G846" i="4"/>
  <c r="G847" i="4"/>
  <c r="G848" i="4"/>
  <c r="G849" i="4"/>
  <c r="G850" i="4"/>
  <c r="G851" i="4"/>
  <c r="G852" i="4"/>
  <c r="G853" i="4"/>
  <c r="G854" i="4"/>
  <c r="G855" i="4"/>
  <c r="G856" i="4"/>
  <c r="G857" i="4"/>
  <c r="G795" i="4"/>
  <c r="G796" i="4"/>
  <c r="G797" i="4"/>
  <c r="G798" i="4"/>
  <c r="G799" i="4"/>
  <c r="G800" i="4"/>
  <c r="G801" i="4"/>
  <c r="G802" i="4"/>
  <c r="G803" i="4"/>
  <c r="G804" i="4"/>
  <c r="G805" i="4"/>
  <c r="D734" i="4"/>
  <c r="G734" i="4" s="1"/>
  <c r="G736" i="4"/>
  <c r="G737" i="4"/>
  <c r="G738" i="4"/>
  <c r="G739" i="4"/>
  <c r="G740" i="4"/>
  <c r="G741" i="4"/>
  <c r="G742" i="4"/>
  <c r="G743" i="4"/>
  <c r="G744" i="4"/>
  <c r="G745" i="4"/>
  <c r="G746" i="4"/>
  <c r="G747" i="4"/>
  <c r="G748" i="4"/>
  <c r="G749" i="4"/>
  <c r="G750" i="4"/>
  <c r="G641" i="4"/>
  <c r="G642" i="4"/>
  <c r="G643" i="4"/>
  <c r="G644" i="4"/>
  <c r="G645" i="4"/>
  <c r="G646" i="4"/>
  <c r="G647" i="4"/>
  <c r="G648" i="4"/>
  <c r="G649" i="4"/>
  <c r="G650" i="4"/>
  <c r="G651" i="4"/>
  <c r="G652" i="4"/>
  <c r="G653" i="4"/>
  <c r="G654" i="4"/>
  <c r="G655" i="4"/>
  <c r="G656" i="4"/>
  <c r="G657" i="4"/>
  <c r="G658" i="4"/>
  <c r="G659" i="4"/>
  <c r="G660" i="4"/>
  <c r="G661" i="4"/>
  <c r="G662" i="4"/>
  <c r="G663" i="4"/>
  <c r="G664" i="4"/>
  <c r="G665" i="4"/>
  <c r="G666" i="4"/>
  <c r="P578" i="4"/>
  <c r="S578" i="4" s="1"/>
  <c r="J578" i="4"/>
  <c r="J579" i="4" s="1"/>
  <c r="J580" i="4" s="1"/>
  <c r="J581" i="4" s="1"/>
  <c r="J573" i="4"/>
  <c r="J574" i="4" s="1"/>
  <c r="J575" i="4" s="1"/>
  <c r="J576" i="4" s="1"/>
  <c r="D578" i="4"/>
  <c r="D579" i="4" s="1"/>
  <c r="D580" i="4" s="1"/>
  <c r="D581" i="4" s="1"/>
  <c r="D573" i="4"/>
  <c r="D574" i="4" s="1"/>
  <c r="D575" i="4" s="1"/>
  <c r="D576" i="4" s="1"/>
  <c r="G583" i="4"/>
  <c r="G584" i="4"/>
  <c r="G585" i="4"/>
  <c r="G586" i="4"/>
  <c r="G587" i="4"/>
  <c r="G588" i="4"/>
  <c r="G589" i="4"/>
  <c r="G590" i="4"/>
  <c r="G591" i="4"/>
  <c r="G592" i="4"/>
  <c r="G593" i="4"/>
  <c r="G594" i="4"/>
  <c r="G595" i="4"/>
  <c r="G596" i="4"/>
  <c r="G597" i="4"/>
  <c r="G598" i="4"/>
  <c r="G599" i="4"/>
  <c r="G600" i="4"/>
  <c r="G601" i="4"/>
  <c r="G602" i="4"/>
  <c r="G603" i="4"/>
  <c r="G604" i="4"/>
  <c r="G605" i="4"/>
  <c r="G606" i="4"/>
  <c r="G607" i="4"/>
  <c r="G525" i="4"/>
  <c r="G526" i="4"/>
  <c r="G527" i="4"/>
  <c r="G528" i="4"/>
  <c r="G529" i="4"/>
  <c r="G530" i="4"/>
  <c r="G531" i="4"/>
  <c r="G532" i="4"/>
  <c r="G533" i="4"/>
  <c r="G534" i="4"/>
  <c r="G535" i="4"/>
  <c r="G536" i="4"/>
  <c r="G537" i="4"/>
  <c r="G538" i="4"/>
  <c r="G539" i="4"/>
  <c r="G540" i="4"/>
  <c r="G541" i="4"/>
  <c r="G542" i="4"/>
  <c r="G543" i="4"/>
  <c r="G544" i="4"/>
  <c r="G545" i="4"/>
  <c r="G546" i="4"/>
  <c r="G547" i="4"/>
  <c r="G548" i="4"/>
  <c r="G549" i="4"/>
  <c r="D197" i="4"/>
  <c r="D198" i="4" s="1"/>
  <c r="D191" i="4"/>
  <c r="G191" i="4" s="1"/>
  <c r="D185" i="4"/>
  <c r="D186" i="4" s="1"/>
  <c r="D179" i="4"/>
  <c r="D180" i="4" s="1"/>
  <c r="D472" i="4"/>
  <c r="D473" i="4" s="1"/>
  <c r="D474" i="4" s="1"/>
  <c r="D475" i="4" s="1"/>
  <c r="D476" i="4" s="1"/>
  <c r="D477" i="4" s="1"/>
  <c r="D478" i="4" s="1"/>
  <c r="D479" i="4" s="1"/>
  <c r="D480" i="4" s="1"/>
  <c r="G178" i="4"/>
  <c r="G184" i="4"/>
  <c r="G190" i="4"/>
  <c r="G196" i="4"/>
  <c r="G202" i="4"/>
  <c r="G482" i="4"/>
  <c r="G483" i="4"/>
  <c r="G484" i="4"/>
  <c r="G485" i="4"/>
  <c r="G486" i="4"/>
  <c r="G487" i="4"/>
  <c r="G488" i="4"/>
  <c r="AB438" i="4"/>
  <c r="AB439" i="4" s="1"/>
  <c r="AB440" i="4" s="1"/>
  <c r="AB441" i="4" s="1"/>
  <c r="AB442" i="4" s="1"/>
  <c r="AB434" i="4"/>
  <c r="AE434" i="4" s="1"/>
  <c r="AB430" i="4"/>
  <c r="AE430" i="4" s="1"/>
  <c r="AB426" i="4"/>
  <c r="AB427" i="4" s="1"/>
  <c r="AB428" i="4" s="1"/>
  <c r="AB422" i="4"/>
  <c r="AE422" i="4" s="1"/>
  <c r="V438" i="4"/>
  <c r="V439" i="4" s="1"/>
  <c r="V440" i="4" s="1"/>
  <c r="V441" i="4" s="1"/>
  <c r="V442" i="4" s="1"/>
  <c r="V434" i="4"/>
  <c r="Y434" i="4" s="1"/>
  <c r="V430" i="4"/>
  <c r="V431" i="4" s="1"/>
  <c r="V432" i="4" s="1"/>
  <c r="V426" i="4"/>
  <c r="Y426" i="4" s="1"/>
  <c r="V422" i="4"/>
  <c r="V423" i="4" s="1"/>
  <c r="V424" i="4" s="1"/>
  <c r="P438" i="4"/>
  <c r="P439" i="4" s="1"/>
  <c r="P440" i="4" s="1"/>
  <c r="P441" i="4" s="1"/>
  <c r="P442" i="4" s="1"/>
  <c r="P434" i="4"/>
  <c r="P435" i="4" s="1"/>
  <c r="P436" i="4" s="1"/>
  <c r="P430" i="4"/>
  <c r="S430" i="4" s="1"/>
  <c r="P426" i="4"/>
  <c r="P427" i="4" s="1"/>
  <c r="P428" i="4" s="1"/>
  <c r="P422" i="4"/>
  <c r="P423" i="4" s="1"/>
  <c r="P424" i="4" s="1"/>
  <c r="J438" i="4"/>
  <c r="J439" i="4" s="1"/>
  <c r="J440" i="4" s="1"/>
  <c r="J441" i="4" s="1"/>
  <c r="J442" i="4" s="1"/>
  <c r="J434" i="4"/>
  <c r="J435" i="4" s="1"/>
  <c r="J436" i="4" s="1"/>
  <c r="J430" i="4"/>
  <c r="J431" i="4" s="1"/>
  <c r="J432" i="4" s="1"/>
  <c r="J426" i="4"/>
  <c r="M426" i="4" s="1"/>
  <c r="J422" i="4"/>
  <c r="M422" i="4" s="1"/>
  <c r="D438" i="4"/>
  <c r="D439" i="4" s="1"/>
  <c r="D440" i="4" s="1"/>
  <c r="D441" i="4" s="1"/>
  <c r="D442" i="4" s="1"/>
  <c r="D434" i="4"/>
  <c r="G434" i="4" s="1"/>
  <c r="D430" i="4"/>
  <c r="D431" i="4" s="1"/>
  <c r="D432" i="4" s="1"/>
  <c r="D426" i="4"/>
  <c r="D427" i="4" s="1"/>
  <c r="D428" i="4" s="1"/>
  <c r="D422" i="4"/>
  <c r="D423" i="4" s="1"/>
  <c r="D424" i="4" s="1"/>
  <c r="Y422" i="4"/>
  <c r="G444" i="4"/>
  <c r="G445" i="4"/>
  <c r="G446" i="4"/>
  <c r="G447" i="4"/>
  <c r="G448" i="4"/>
  <c r="P72" i="4"/>
  <c r="S72" i="4" s="1"/>
  <c r="P67" i="4"/>
  <c r="P68" i="4" s="1"/>
  <c r="P69" i="4" s="1"/>
  <c r="P70" i="4" s="1"/>
  <c r="P62" i="4"/>
  <c r="P63" i="4" s="1"/>
  <c r="P64" i="4" s="1"/>
  <c r="P65" i="4" s="1"/>
  <c r="J72" i="4"/>
  <c r="M72" i="4" s="1"/>
  <c r="J67" i="4"/>
  <c r="J68" i="4" s="1"/>
  <c r="J69" i="4" s="1"/>
  <c r="J70" i="4" s="1"/>
  <c r="J62" i="4"/>
  <c r="M62" i="4" s="1"/>
  <c r="D62" i="4"/>
  <c r="D63" i="4" s="1"/>
  <c r="D64" i="4" s="1"/>
  <c r="D65" i="4" s="1"/>
  <c r="D72" i="4"/>
  <c r="G72" i="4" s="1"/>
  <c r="D67" i="4"/>
  <c r="D68" i="4" s="1"/>
  <c r="D69" i="4" s="1"/>
  <c r="D70" i="4" s="1"/>
  <c r="G77" i="4"/>
  <c r="G78" i="4"/>
  <c r="G79" i="4"/>
  <c r="G80" i="4"/>
  <c r="G81" i="4"/>
  <c r="G82" i="4"/>
  <c r="G83" i="4"/>
  <c r="G84" i="4"/>
  <c r="J391" i="4"/>
  <c r="J392" i="4" s="1"/>
  <c r="J393" i="4" s="1"/>
  <c r="J394" i="4" s="1"/>
  <c r="D391" i="4"/>
  <c r="D392" i="4" s="1"/>
  <c r="D393" i="4" s="1"/>
  <c r="D394" i="4" s="1"/>
  <c r="G396" i="4"/>
  <c r="G397" i="4"/>
  <c r="G398" i="4"/>
  <c r="G399" i="4"/>
  <c r="G400" i="4"/>
  <c r="G401" i="4"/>
  <c r="G402" i="4"/>
  <c r="G403" i="4"/>
  <c r="G404" i="4"/>
  <c r="G405" i="4"/>
  <c r="G355" i="4"/>
  <c r="G356" i="4"/>
  <c r="G357" i="4"/>
  <c r="G358" i="4"/>
  <c r="G359" i="4"/>
  <c r="G360" i="4"/>
  <c r="G361" i="4"/>
  <c r="G362" i="4"/>
  <c r="V345" i="4"/>
  <c r="V346" i="4" s="1"/>
  <c r="P345" i="4"/>
  <c r="S345" i="4" s="1"/>
  <c r="J345" i="4"/>
  <c r="J346" i="4" s="1"/>
  <c r="D345" i="4"/>
  <c r="G345" i="4" s="1"/>
  <c r="P311" i="4"/>
  <c r="P312" i="4" s="1"/>
  <c r="J309" i="4"/>
  <c r="M309" i="4" s="1"/>
  <c r="J306" i="4"/>
  <c r="J307" i="4" s="1"/>
  <c r="D309" i="4"/>
  <c r="D310" i="4" s="1"/>
  <c r="D311" i="4" s="1"/>
  <c r="D312" i="4" s="1"/>
  <c r="D304" i="4"/>
  <c r="D305" i="4" s="1"/>
  <c r="D306" i="4" s="1"/>
  <c r="D307" i="4" s="1"/>
  <c r="D301" i="4"/>
  <c r="G301" i="4" s="1"/>
  <c r="G314" i="4"/>
  <c r="G315" i="4"/>
  <c r="G316" i="4"/>
  <c r="G317" i="4"/>
  <c r="G318" i="4"/>
  <c r="G319" i="4"/>
  <c r="G320" i="4"/>
  <c r="G321" i="4"/>
  <c r="P267" i="4"/>
  <c r="P268" i="4" s="1"/>
  <c r="P269" i="4" s="1"/>
  <c r="P270" i="4" s="1"/>
  <c r="J267" i="4"/>
  <c r="J268" i="4" s="1"/>
  <c r="J269" i="4" s="1"/>
  <c r="J270" i="4" s="1"/>
  <c r="J264" i="4"/>
  <c r="M264" i="4" s="1"/>
  <c r="D267" i="4"/>
  <c r="D268" i="4" s="1"/>
  <c r="D269" i="4" s="1"/>
  <c r="D270" i="4" s="1"/>
  <c r="D262" i="4"/>
  <c r="D263" i="4" s="1"/>
  <c r="D264" i="4" s="1"/>
  <c r="D265" i="4" s="1"/>
  <c r="G272" i="4"/>
  <c r="G273" i="4"/>
  <c r="G274" i="4"/>
  <c r="G275" i="4"/>
  <c r="G276" i="4"/>
  <c r="G277" i="4"/>
  <c r="G278" i="4"/>
  <c r="G279" i="4"/>
  <c r="P230" i="4"/>
  <c r="P231" i="4" s="1"/>
  <c r="P232" i="4" s="1"/>
  <c r="P233" i="4" s="1"/>
  <c r="P234" i="4" s="1"/>
  <c r="P227" i="4"/>
  <c r="S227" i="4" s="1"/>
  <c r="P224" i="4"/>
  <c r="P225" i="4" s="1"/>
  <c r="J233" i="4"/>
  <c r="J234" i="4" s="1"/>
  <c r="J235" i="4" s="1"/>
  <c r="J236" i="4" s="1"/>
  <c r="J237" i="4" s="1"/>
  <c r="L237" i="4" s="1"/>
  <c r="J227" i="4"/>
  <c r="J224" i="4"/>
  <c r="J225" i="4" s="1"/>
  <c r="J221" i="4"/>
  <c r="J222" i="4" s="1"/>
  <c r="S91" i="4"/>
  <c r="S92" i="4"/>
  <c r="S93" i="4"/>
  <c r="S94" i="4"/>
  <c r="S95" i="4"/>
  <c r="S96" i="4"/>
  <c r="S97" i="4"/>
  <c r="S98" i="4"/>
  <c r="S99" i="4"/>
  <c r="S100" i="4"/>
  <c r="S101" i="4"/>
  <c r="S102" i="4"/>
  <c r="S103" i="4"/>
  <c r="S104" i="4"/>
  <c r="S105" i="4"/>
  <c r="S106" i="4"/>
  <c r="S107" i="4"/>
  <c r="S108" i="4"/>
  <c r="S109" i="4"/>
  <c r="S110" i="4"/>
  <c r="S111" i="4"/>
  <c r="S112" i="4"/>
  <c r="S113" i="4"/>
  <c r="S114" i="4"/>
  <c r="S115" i="4"/>
  <c r="S116" i="4"/>
  <c r="S117" i="4"/>
  <c r="S118" i="4"/>
  <c r="S119" i="4"/>
  <c r="S120" i="4"/>
  <c r="S121" i="4"/>
  <c r="S122" i="4"/>
  <c r="S123" i="4"/>
  <c r="S124" i="4"/>
  <c r="S125" i="4"/>
  <c r="S126" i="4"/>
  <c r="S127" i="4"/>
  <c r="S128" i="4"/>
  <c r="S129" i="4"/>
  <c r="S130" i="4"/>
  <c r="S131" i="4"/>
  <c r="S132" i="4"/>
  <c r="S133" i="4"/>
  <c r="S134" i="4"/>
  <c r="S135" i="4"/>
  <c r="S136" i="4"/>
  <c r="S137" i="4"/>
  <c r="S138" i="4"/>
  <c r="S139" i="4"/>
  <c r="S140" i="4"/>
  <c r="S141" i="4"/>
  <c r="S142" i="4"/>
  <c r="S143" i="4"/>
  <c r="S144" i="4"/>
  <c r="S145" i="4"/>
  <c r="S146" i="4"/>
  <c r="S147" i="4"/>
  <c r="S148" i="4"/>
  <c r="S149" i="4"/>
  <c r="S150" i="4"/>
  <c r="S151" i="4"/>
  <c r="S152" i="4"/>
  <c r="S153" i="4"/>
  <c r="S154" i="4"/>
  <c r="S155" i="4"/>
  <c r="S156" i="4"/>
  <c r="S157" i="4"/>
  <c r="S158" i="4"/>
  <c r="S159" i="4"/>
  <c r="S160" i="4"/>
  <c r="S161" i="4"/>
  <c r="S162" i="4"/>
  <c r="S90" i="4"/>
  <c r="M91" i="4"/>
  <c r="M92" i="4"/>
  <c r="M93" i="4"/>
  <c r="M94" i="4"/>
  <c r="M95" i="4"/>
  <c r="M96" i="4"/>
  <c r="M97" i="4"/>
  <c r="M98" i="4"/>
  <c r="M99" i="4"/>
  <c r="M100" i="4"/>
  <c r="M101" i="4"/>
  <c r="M102" i="4"/>
  <c r="M103" i="4"/>
  <c r="M104" i="4"/>
  <c r="M105" i="4"/>
  <c r="M106" i="4"/>
  <c r="M107" i="4"/>
  <c r="M108" i="4"/>
  <c r="M109" i="4"/>
  <c r="M110" i="4"/>
  <c r="M111" i="4"/>
  <c r="M112" i="4"/>
  <c r="M113" i="4"/>
  <c r="M114" i="4"/>
  <c r="M115" i="4"/>
  <c r="M116" i="4"/>
  <c r="M117" i="4"/>
  <c r="M118" i="4"/>
  <c r="M119" i="4"/>
  <c r="M120" i="4"/>
  <c r="M121" i="4"/>
  <c r="M122" i="4"/>
  <c r="M123" i="4"/>
  <c r="M124" i="4"/>
  <c r="M125" i="4"/>
  <c r="M126" i="4"/>
  <c r="M127" i="4"/>
  <c r="M128" i="4"/>
  <c r="M129" i="4"/>
  <c r="M130" i="4"/>
  <c r="M131" i="4"/>
  <c r="M132" i="4"/>
  <c r="M133" i="4"/>
  <c r="M134" i="4"/>
  <c r="M135" i="4"/>
  <c r="M136" i="4"/>
  <c r="M137" i="4"/>
  <c r="M138" i="4"/>
  <c r="M139" i="4"/>
  <c r="M140" i="4"/>
  <c r="M141" i="4"/>
  <c r="M142" i="4"/>
  <c r="M143" i="4"/>
  <c r="M144" i="4"/>
  <c r="M145" i="4"/>
  <c r="M146" i="4"/>
  <c r="M147" i="4"/>
  <c r="M148" i="4"/>
  <c r="M149" i="4"/>
  <c r="M150" i="4"/>
  <c r="M151" i="4"/>
  <c r="M152" i="4"/>
  <c r="M153" i="4"/>
  <c r="M90" i="4"/>
  <c r="G91" i="4"/>
  <c r="G92" i="4"/>
  <c r="G93" i="4"/>
  <c r="G94" i="4"/>
  <c r="G95" i="4"/>
  <c r="G96" i="4"/>
  <c r="G97" i="4"/>
  <c r="G98" i="4"/>
  <c r="G99" i="4"/>
  <c r="G100" i="4"/>
  <c r="G101" i="4"/>
  <c r="G102" i="4"/>
  <c r="G103" i="4"/>
  <c r="G104" i="4"/>
  <c r="G105" i="4"/>
  <c r="G106" i="4"/>
  <c r="G107" i="4"/>
  <c r="G108" i="4"/>
  <c r="G109" i="4"/>
  <c r="G110" i="4"/>
  <c r="G111" i="4"/>
  <c r="G112" i="4"/>
  <c r="G113" i="4"/>
  <c r="G114" i="4"/>
  <c r="G115" i="4"/>
  <c r="G116" i="4"/>
  <c r="G117" i="4"/>
  <c r="G118" i="4"/>
  <c r="G119" i="4"/>
  <c r="G120" i="4"/>
  <c r="G121" i="4"/>
  <c r="G122" i="4"/>
  <c r="G123" i="4"/>
  <c r="G124" i="4"/>
  <c r="G125" i="4"/>
  <c r="G126" i="4"/>
  <c r="G127" i="4"/>
  <c r="G128" i="4"/>
  <c r="G129" i="4"/>
  <c r="G130" i="4"/>
  <c r="G131" i="4"/>
  <c r="G132" i="4"/>
  <c r="G133" i="4"/>
  <c r="G134" i="4"/>
  <c r="G135" i="4"/>
  <c r="G136" i="4"/>
  <c r="G137" i="4"/>
  <c r="G138" i="4"/>
  <c r="G139" i="4"/>
  <c r="G140" i="4"/>
  <c r="G90" i="4"/>
  <c r="G236" i="4"/>
  <c r="G237" i="4"/>
  <c r="P29" i="4"/>
  <c r="S29" i="4" s="1"/>
  <c r="P19" i="4"/>
  <c r="S19" i="4" s="1"/>
  <c r="J32" i="4"/>
  <c r="J33" i="4" s="1"/>
  <c r="J34" i="4" s="1"/>
  <c r="J35" i="4" s="1"/>
  <c r="J36" i="4" s="1"/>
  <c r="J37" i="4" s="1"/>
  <c r="J38" i="4" s="1"/>
  <c r="J39" i="4" s="1"/>
  <c r="J40" i="4" s="1"/>
  <c r="J41" i="4" s="1"/>
  <c r="J23" i="4"/>
  <c r="J24" i="4" s="1"/>
  <c r="J25" i="4" s="1"/>
  <c r="J26" i="4" s="1"/>
  <c r="J27" i="4" s="1"/>
  <c r="J28" i="4" s="1"/>
  <c r="J29" i="4" s="1"/>
  <c r="J30" i="4" s="1"/>
  <c r="D14" i="4"/>
  <c r="D15" i="4" s="1"/>
  <c r="D16" i="4" s="1"/>
  <c r="D17" i="4" s="1"/>
  <c r="D18" i="4" s="1"/>
  <c r="G36" i="4"/>
  <c r="G37" i="4"/>
  <c r="G38" i="4"/>
  <c r="G39" i="4"/>
  <c r="D886" i="4"/>
  <c r="D887" i="4" s="1"/>
  <c r="D888" i="4" s="1"/>
  <c r="D889" i="4" s="1"/>
  <c r="D890" i="4" s="1"/>
  <c r="D877" i="4"/>
  <c r="D878" i="4" s="1"/>
  <c r="D861" i="4"/>
  <c r="F39" i="4"/>
  <c r="D19" i="12"/>
  <c r="E19" i="12"/>
  <c r="C19" i="12"/>
  <c r="E3" i="32"/>
  <c r="F3" i="32"/>
  <c r="G3" i="32"/>
  <c r="H3" i="32"/>
  <c r="I3" i="32"/>
  <c r="J3" i="32"/>
  <c r="K3" i="32"/>
  <c r="L3" i="32"/>
  <c r="M3" i="32"/>
  <c r="N3" i="32"/>
  <c r="O3" i="32"/>
  <c r="P3" i="32"/>
  <c r="Q3" i="32"/>
  <c r="R3" i="32"/>
  <c r="S3" i="32"/>
  <c r="D3" i="32"/>
  <c r="C26" i="20"/>
  <c r="C28" i="20" s="1"/>
  <c r="M434" i="4" l="1"/>
  <c r="I20" i="37"/>
  <c r="I19" i="38"/>
  <c r="K23" i="11"/>
  <c r="I19" i="36"/>
  <c r="I20" i="36"/>
  <c r="C7" i="12"/>
  <c r="I19" i="12" s="1"/>
  <c r="M224" i="4"/>
  <c r="G262" i="4"/>
  <c r="Y438" i="4"/>
  <c r="S422" i="4"/>
  <c r="S62" i="4"/>
  <c r="D872" i="4"/>
  <c r="D873" i="4" s="1"/>
  <c r="M345" i="4"/>
  <c r="V427" i="4"/>
  <c r="V428" i="4" s="1"/>
  <c r="AE426" i="4"/>
  <c r="S67" i="4"/>
  <c r="M438" i="4"/>
  <c r="S426" i="4"/>
  <c r="G921" i="4"/>
  <c r="M67" i="4"/>
  <c r="J423" i="4"/>
  <c r="J424" i="4" s="1"/>
  <c r="P431" i="4"/>
  <c r="P432" i="4" s="1"/>
  <c r="D927" i="4"/>
  <c r="D928" i="4" s="1"/>
  <c r="G179" i="4"/>
  <c r="D73" i="4"/>
  <c r="D74" i="4" s="1"/>
  <c r="D75" i="4" s="1"/>
  <c r="M430" i="4"/>
  <c r="G578" i="4"/>
  <c r="M578" i="4"/>
  <c r="D923" i="4"/>
  <c r="D176" i="4"/>
  <c r="G267" i="4"/>
  <c r="G426" i="4"/>
  <c r="G877" i="4"/>
  <c r="Y430" i="4"/>
  <c r="AB435" i="4"/>
  <c r="AB436" i="4" s="1"/>
  <c r="G573" i="4"/>
  <c r="M233" i="4"/>
  <c r="P228" i="4"/>
  <c r="J310" i="4"/>
  <c r="J311" i="4" s="1"/>
  <c r="J312" i="4" s="1"/>
  <c r="S438" i="4"/>
  <c r="AE438" i="4"/>
  <c r="AB423" i="4"/>
  <c r="AB424" i="4" s="1"/>
  <c r="D173" i="4"/>
  <c r="M573" i="4"/>
  <c r="P579" i="4"/>
  <c r="P580" i="4" s="1"/>
  <c r="P581" i="4" s="1"/>
  <c r="Y345" i="4"/>
  <c r="S224" i="4"/>
  <c r="D435" i="4"/>
  <c r="D436" i="4" s="1"/>
  <c r="S434" i="4"/>
  <c r="D172" i="4"/>
  <c r="F734" i="4"/>
  <c r="G735" i="4" s="1"/>
  <c r="D879" i="4"/>
  <c r="D174" i="4"/>
  <c r="S267" i="4"/>
  <c r="G185" i="4"/>
  <c r="G886" i="4"/>
  <c r="J347" i="4"/>
  <c r="G180" i="4"/>
  <c r="D181" i="4"/>
  <c r="D187" i="4"/>
  <c r="D188" i="4" s="1"/>
  <c r="D189" i="4" s="1"/>
  <c r="G186" i="4"/>
  <c r="V347" i="4"/>
  <c r="D199" i="4"/>
  <c r="D200" i="4" s="1"/>
  <c r="D201" i="4" s="1"/>
  <c r="G201" i="4" s="1"/>
  <c r="G198" i="4"/>
  <c r="D302" i="4"/>
  <c r="G422" i="4"/>
  <c r="V435" i="4"/>
  <c r="V436" i="4" s="1"/>
  <c r="AB431" i="4"/>
  <c r="AB432" i="4" s="1"/>
  <c r="G472" i="4"/>
  <c r="G197" i="4"/>
  <c r="D175" i="4"/>
  <c r="D192" i="4"/>
  <c r="J427" i="4"/>
  <c r="J428" i="4" s="1"/>
  <c r="J73" i="4"/>
  <c r="J74" i="4" s="1"/>
  <c r="J75" i="4" s="1"/>
  <c r="G304" i="4"/>
  <c r="G391" i="4"/>
  <c r="J63" i="4"/>
  <c r="J64" i="4" s="1"/>
  <c r="J65" i="4" s="1"/>
  <c r="P73" i="4"/>
  <c r="P74" i="4" s="1"/>
  <c r="P75" i="4" s="1"/>
  <c r="G438" i="4"/>
  <c r="D171" i="4"/>
  <c r="D168" i="4"/>
  <c r="G168" i="4" s="1"/>
  <c r="D170" i="4"/>
  <c r="L236" i="4"/>
  <c r="M237" i="4" s="1"/>
  <c r="G309" i="4"/>
  <c r="D346" i="4"/>
  <c r="G430" i="4"/>
  <c r="D177" i="4"/>
  <c r="D169" i="4"/>
  <c r="S230" i="4"/>
  <c r="S311" i="4"/>
  <c r="P30" i="4"/>
  <c r="P31" i="4" s="1"/>
  <c r="P32" i="4" s="1"/>
  <c r="P33" i="4" s="1"/>
  <c r="P34" i="4" s="1"/>
  <c r="P35" i="4" s="1"/>
  <c r="P36" i="4" s="1"/>
  <c r="P37" i="4" s="1"/>
  <c r="P38" i="4" s="1"/>
  <c r="P39" i="4" s="1"/>
  <c r="P40" i="4" s="1"/>
  <c r="M306" i="4"/>
  <c r="M267" i="4"/>
  <c r="J265" i="4"/>
  <c r="G14" i="4"/>
  <c r="M221" i="4"/>
  <c r="D891" i="4"/>
  <c r="P20" i="4"/>
  <c r="P21" i="4" s="1"/>
  <c r="P22" i="4" s="1"/>
  <c r="P23" i="4" s="1"/>
  <c r="P24" i="4" s="1"/>
  <c r="P25" i="4" s="1"/>
  <c r="P26" i="4" s="1"/>
  <c r="P27" i="4" s="1"/>
  <c r="M227" i="4"/>
  <c r="J228" i="4"/>
  <c r="J229" i="4" s="1"/>
  <c r="J230" i="4" s="1"/>
  <c r="J231" i="4" s="1"/>
  <c r="I21" i="38" l="1"/>
  <c r="I20" i="38"/>
  <c r="I21" i="36"/>
  <c r="K24" i="11"/>
  <c r="I21" i="37"/>
  <c r="I21" i="12"/>
  <c r="I20" i="12"/>
  <c r="C169" i="12"/>
  <c r="G199" i="4"/>
  <c r="G200" i="4"/>
  <c r="D929" i="4"/>
  <c r="D874" i="4"/>
  <c r="D924" i="4"/>
  <c r="D880" i="4"/>
  <c r="V348" i="4"/>
  <c r="D182" i="4"/>
  <c r="G181" i="4"/>
  <c r="D347" i="4"/>
  <c r="G192" i="4"/>
  <c r="D193" i="4"/>
  <c r="J348" i="4"/>
  <c r="G187" i="4"/>
  <c r="D892" i="4"/>
  <c r="F891" i="4"/>
  <c r="R40" i="29"/>
  <c r="S2" i="32" s="1"/>
  <c r="Q40" i="29"/>
  <c r="R2" i="32" s="1"/>
  <c r="P40" i="29"/>
  <c r="Q2" i="32" s="1"/>
  <c r="O40" i="29"/>
  <c r="P2" i="32" s="1"/>
  <c r="N40" i="29"/>
  <c r="O2" i="32" s="1"/>
  <c r="M40" i="29"/>
  <c r="N2" i="32" s="1"/>
  <c r="L40" i="29"/>
  <c r="M2" i="32" s="1"/>
  <c r="K40" i="29"/>
  <c r="L2" i="32" s="1"/>
  <c r="J40" i="29"/>
  <c r="K2" i="32" s="1"/>
  <c r="I40" i="29"/>
  <c r="J2" i="32" s="1"/>
  <c r="H40" i="29"/>
  <c r="I2" i="32" s="1"/>
  <c r="G40" i="29"/>
  <c r="H2" i="32" s="1"/>
  <c r="F40" i="29"/>
  <c r="G2" i="32" s="1"/>
  <c r="E40" i="29"/>
  <c r="F2" i="32" s="1"/>
  <c r="D40" i="29"/>
  <c r="E2" i="32" s="1"/>
  <c r="C40" i="29"/>
  <c r="D2" i="32" s="1"/>
  <c r="P100" i="2"/>
  <c r="O100" i="2"/>
  <c r="N100" i="2"/>
  <c r="P99" i="2"/>
  <c r="O99" i="2"/>
  <c r="N99" i="2"/>
  <c r="P98" i="2"/>
  <c r="O98" i="2"/>
  <c r="N98" i="2"/>
  <c r="P97" i="2"/>
  <c r="O97" i="2"/>
  <c r="N97" i="2"/>
  <c r="P96" i="2"/>
  <c r="O96" i="2"/>
  <c r="N96" i="2"/>
  <c r="P95" i="2"/>
  <c r="O95" i="2"/>
  <c r="N95" i="2"/>
  <c r="P94" i="2"/>
  <c r="O94" i="2"/>
  <c r="N94" i="2"/>
  <c r="P93" i="2"/>
  <c r="O93" i="2"/>
  <c r="N93" i="2"/>
  <c r="P92" i="2"/>
  <c r="O92" i="2"/>
  <c r="N92" i="2"/>
  <c r="P91" i="2"/>
  <c r="O91" i="2"/>
  <c r="N91" i="2"/>
  <c r="P90" i="2"/>
  <c r="O90" i="2"/>
  <c r="N90" i="2"/>
  <c r="P89" i="2"/>
  <c r="O89" i="2"/>
  <c r="N89" i="2"/>
  <c r="P88" i="2"/>
  <c r="O88" i="2"/>
  <c r="N88" i="2"/>
  <c r="P87" i="2"/>
  <c r="O87" i="2"/>
  <c r="N87" i="2"/>
  <c r="P85" i="2"/>
  <c r="O85" i="2"/>
  <c r="N85" i="2"/>
  <c r="P84" i="2"/>
  <c r="O84" i="2"/>
  <c r="N84" i="2"/>
  <c r="P83" i="2"/>
  <c r="O83" i="2"/>
  <c r="N83" i="2"/>
  <c r="P82" i="2"/>
  <c r="O82" i="2"/>
  <c r="N82" i="2"/>
  <c r="P81" i="2"/>
  <c r="O81" i="2"/>
  <c r="N81" i="2"/>
  <c r="P80" i="2"/>
  <c r="O80" i="2"/>
  <c r="N80" i="2"/>
  <c r="P79" i="2"/>
  <c r="O79" i="2"/>
  <c r="N79" i="2"/>
  <c r="P78" i="2"/>
  <c r="O78" i="2"/>
  <c r="N78" i="2"/>
  <c r="P77" i="2"/>
  <c r="O77" i="2"/>
  <c r="N77" i="2"/>
  <c r="I22" i="38" l="1"/>
  <c r="I22" i="12"/>
  <c r="K25" i="11"/>
  <c r="I22" i="37"/>
  <c r="I22" i="36"/>
  <c r="D8" i="32"/>
  <c r="E8" i="32" s="1"/>
  <c r="M19" i="32" s="1"/>
  <c r="D7" i="32"/>
  <c r="E7" i="32" s="1"/>
  <c r="G19" i="32" s="1"/>
  <c r="D9" i="32"/>
  <c r="E9" i="32" s="1"/>
  <c r="S19" i="32" s="1"/>
  <c r="D6" i="32"/>
  <c r="E6" i="32" s="1"/>
  <c r="A19" i="32" s="1"/>
  <c r="D881" i="4"/>
  <c r="D875" i="4"/>
  <c r="G892" i="4"/>
  <c r="G193" i="4"/>
  <c r="D194" i="4"/>
  <c r="G182" i="4"/>
  <c r="D183" i="4"/>
  <c r="G183" i="4" s="1"/>
  <c r="D348" i="4"/>
  <c r="J349" i="4"/>
  <c r="V349" i="4"/>
  <c r="G189" i="4"/>
  <c r="G188" i="4"/>
  <c r="D893" i="4"/>
  <c r="F892" i="4"/>
  <c r="X2" i="29" a="1"/>
  <c r="O24" i="32" l="1"/>
  <c r="Q26" i="32"/>
  <c r="P29" i="32"/>
  <c r="D26" i="37" s="1"/>
  <c r="O32" i="32"/>
  <c r="C29" i="37" s="1"/>
  <c r="Q34" i="32"/>
  <c r="E31" i="37" s="1"/>
  <c r="P37" i="32"/>
  <c r="D34" i="37" s="1"/>
  <c r="O40" i="32"/>
  <c r="C37" i="37" s="1"/>
  <c r="Q42" i="32"/>
  <c r="E39" i="37" s="1"/>
  <c r="P45" i="32"/>
  <c r="O48" i="32"/>
  <c r="C45" i="37" s="1"/>
  <c r="Q50" i="32"/>
  <c r="E47" i="37" s="1"/>
  <c r="Q27" i="32"/>
  <c r="E24" i="37" s="1"/>
  <c r="P30" i="32"/>
  <c r="D27" i="37" s="1"/>
  <c r="Q35" i="32"/>
  <c r="E32" i="37" s="1"/>
  <c r="P38" i="32"/>
  <c r="D35" i="37" s="1"/>
  <c r="Q43" i="32"/>
  <c r="E40" i="37" s="1"/>
  <c r="O49" i="32"/>
  <c r="P23" i="32"/>
  <c r="O28" i="32"/>
  <c r="C25" i="37" s="1"/>
  <c r="P33" i="32"/>
  <c r="D30" i="37" s="1"/>
  <c r="Q38" i="32"/>
  <c r="E35" i="37" s="1"/>
  <c r="Q46" i="32"/>
  <c r="E43" i="37" s="1"/>
  <c r="O23" i="32"/>
  <c r="C20" i="37" s="1"/>
  <c r="P24" i="32"/>
  <c r="D21" i="37" s="1"/>
  <c r="O27" i="32"/>
  <c r="Q29" i="32"/>
  <c r="E26" i="37" s="1"/>
  <c r="P32" i="32"/>
  <c r="D29" i="37" s="1"/>
  <c r="O35" i="32"/>
  <c r="C32" i="37" s="1"/>
  <c r="Q37" i="32"/>
  <c r="E34" i="37" s="1"/>
  <c r="P40" i="32"/>
  <c r="D37" i="37" s="1"/>
  <c r="O43" i="32"/>
  <c r="C40" i="37" s="1"/>
  <c r="Q45" i="32"/>
  <c r="E42" i="37" s="1"/>
  <c r="P48" i="32"/>
  <c r="O51" i="32"/>
  <c r="C48" i="37" s="1"/>
  <c r="Q24" i="32"/>
  <c r="P27" i="32"/>
  <c r="D24" i="37" s="1"/>
  <c r="O30" i="32"/>
  <c r="C27" i="37" s="1"/>
  <c r="Q32" i="32"/>
  <c r="E29" i="37" s="1"/>
  <c r="P35" i="32"/>
  <c r="D32" i="37" s="1"/>
  <c r="O38" i="32"/>
  <c r="C35" i="37" s="1"/>
  <c r="Q40" i="32"/>
  <c r="P43" i="32"/>
  <c r="D40" i="37" s="1"/>
  <c r="O46" i="32"/>
  <c r="C43" i="37" s="1"/>
  <c r="Q48" i="32"/>
  <c r="E45" i="37" s="1"/>
  <c r="P51" i="32"/>
  <c r="D48" i="37" s="1"/>
  <c r="Q23" i="32"/>
  <c r="E20" i="37" s="1"/>
  <c r="O25" i="32"/>
  <c r="C22" i="37" s="1"/>
  <c r="O33" i="32"/>
  <c r="C30" i="37" s="1"/>
  <c r="O41" i="32"/>
  <c r="P46" i="32"/>
  <c r="D43" i="37" s="1"/>
  <c r="Q51" i="32"/>
  <c r="E48" i="37" s="1"/>
  <c r="P25" i="32"/>
  <c r="D22" i="37" s="1"/>
  <c r="O36" i="32"/>
  <c r="C33" i="37" s="1"/>
  <c r="O44" i="32"/>
  <c r="C41" i="37" s="1"/>
  <c r="O26" i="32"/>
  <c r="C23" i="37" s="1"/>
  <c r="Q28" i="32"/>
  <c r="E25" i="37" s="1"/>
  <c r="P31" i="32"/>
  <c r="O34" i="32"/>
  <c r="C31" i="37" s="1"/>
  <c r="Q36" i="32"/>
  <c r="E33" i="37" s="1"/>
  <c r="P39" i="32"/>
  <c r="D36" i="37" s="1"/>
  <c r="O42" i="32"/>
  <c r="C39" i="37" s="1"/>
  <c r="Q44" i="32"/>
  <c r="E41" i="37" s="1"/>
  <c r="P47" i="32"/>
  <c r="D44" i="37" s="1"/>
  <c r="O50" i="32"/>
  <c r="C47" i="37" s="1"/>
  <c r="Q52" i="32"/>
  <c r="P26" i="32"/>
  <c r="D23" i="37" s="1"/>
  <c r="O29" i="32"/>
  <c r="C26" i="37" s="1"/>
  <c r="Q31" i="32"/>
  <c r="E28" i="37" s="1"/>
  <c r="P34" i="32"/>
  <c r="D31" i="37" s="1"/>
  <c r="O37" i="32"/>
  <c r="C34" i="37" s="1"/>
  <c r="Q39" i="32"/>
  <c r="E36" i="37" s="1"/>
  <c r="P42" i="32"/>
  <c r="D39" i="37" s="1"/>
  <c r="O45" i="32"/>
  <c r="Q47" i="32"/>
  <c r="E44" i="37" s="1"/>
  <c r="P50" i="32"/>
  <c r="D47" i="37" s="1"/>
  <c r="Q30" i="32"/>
  <c r="E27" i="37" s="1"/>
  <c r="P41" i="32"/>
  <c r="D38" i="37" s="1"/>
  <c r="P49" i="32"/>
  <c r="D46" i="37" s="1"/>
  <c r="Q33" i="32"/>
  <c r="E30" i="37" s="1"/>
  <c r="P52" i="32"/>
  <c r="D49" i="37" s="1"/>
  <c r="O39" i="32"/>
  <c r="C36" i="37" s="1"/>
  <c r="P36" i="32"/>
  <c r="D33" i="37" s="1"/>
  <c r="Q41" i="32"/>
  <c r="E38" i="37" s="1"/>
  <c r="Q25" i="32"/>
  <c r="E22" i="37" s="1"/>
  <c r="O47" i="32"/>
  <c r="C44" i="37" s="1"/>
  <c r="P28" i="32"/>
  <c r="D25" i="37" s="1"/>
  <c r="Q49" i="32"/>
  <c r="E46" i="37" s="1"/>
  <c r="O31" i="32"/>
  <c r="C28" i="37" s="1"/>
  <c r="O52" i="32"/>
  <c r="C49" i="37" s="1"/>
  <c r="P44" i="32"/>
  <c r="D41" i="37" s="1"/>
  <c r="V26" i="32"/>
  <c r="D23" i="38" s="1"/>
  <c r="U29" i="32"/>
  <c r="C26" i="38" s="1"/>
  <c r="W31" i="32"/>
  <c r="E28" i="38" s="1"/>
  <c r="V34" i="32"/>
  <c r="D31" i="38" s="1"/>
  <c r="U37" i="32"/>
  <c r="C34" i="38" s="1"/>
  <c r="W39" i="32"/>
  <c r="E36" i="38" s="1"/>
  <c r="V42" i="32"/>
  <c r="U45" i="32"/>
  <c r="C42" i="38" s="1"/>
  <c r="W47" i="32"/>
  <c r="E44" i="38" s="1"/>
  <c r="V50" i="32"/>
  <c r="D47" i="38" s="1"/>
  <c r="V23" i="32"/>
  <c r="D20" i="38" s="1"/>
  <c r="V24" i="32"/>
  <c r="D21" i="38" s="1"/>
  <c r="W24" i="32"/>
  <c r="E21" i="38" s="1"/>
  <c r="U30" i="32"/>
  <c r="C27" i="38" s="1"/>
  <c r="W32" i="32"/>
  <c r="V35" i="32"/>
  <c r="D32" i="38" s="1"/>
  <c r="U38" i="32"/>
  <c r="C35" i="38" s="1"/>
  <c r="V43" i="32"/>
  <c r="D40" i="38" s="1"/>
  <c r="U46" i="32"/>
  <c r="C43" i="38" s="1"/>
  <c r="W48" i="32"/>
  <c r="E45" i="38" s="1"/>
  <c r="V51" i="32"/>
  <c r="D48" i="38" s="1"/>
  <c r="W27" i="32"/>
  <c r="E24" i="38" s="1"/>
  <c r="U33" i="32"/>
  <c r="W43" i="32"/>
  <c r="U49" i="32"/>
  <c r="C46" i="38" s="1"/>
  <c r="U24" i="32"/>
  <c r="C21" i="38" s="1"/>
  <c r="W26" i="32"/>
  <c r="E23" i="38" s="1"/>
  <c r="V29" i="32"/>
  <c r="D26" i="38" s="1"/>
  <c r="U32" i="32"/>
  <c r="C29" i="38" s="1"/>
  <c r="W34" i="32"/>
  <c r="E31" i="38" s="1"/>
  <c r="V37" i="32"/>
  <c r="D34" i="38" s="1"/>
  <c r="U40" i="32"/>
  <c r="C37" i="38" s="1"/>
  <c r="W42" i="32"/>
  <c r="E39" i="38" s="1"/>
  <c r="V45" i="32"/>
  <c r="D42" i="38" s="1"/>
  <c r="U48" i="32"/>
  <c r="C45" i="38" s="1"/>
  <c r="W50" i="32"/>
  <c r="E47" i="38" s="1"/>
  <c r="U23" i="32"/>
  <c r="C20" i="38" s="1"/>
  <c r="U27" i="32"/>
  <c r="C24" i="38" s="1"/>
  <c r="W29" i="32"/>
  <c r="E26" i="38" s="1"/>
  <c r="V32" i="32"/>
  <c r="D29" i="38" s="1"/>
  <c r="U35" i="32"/>
  <c r="C32" i="38" s="1"/>
  <c r="W37" i="32"/>
  <c r="E34" i="38" s="1"/>
  <c r="V40" i="32"/>
  <c r="D37" i="38" s="1"/>
  <c r="U43" i="32"/>
  <c r="C40" i="38" s="1"/>
  <c r="W45" i="32"/>
  <c r="E42" i="38" s="1"/>
  <c r="V48" i="32"/>
  <c r="D45" i="38" s="1"/>
  <c r="U51" i="32"/>
  <c r="C48" i="38" s="1"/>
  <c r="W40" i="32"/>
  <c r="E37" i="38" s="1"/>
  <c r="W35" i="32"/>
  <c r="E32" i="38" s="1"/>
  <c r="W25" i="32"/>
  <c r="E22" i="38" s="1"/>
  <c r="V28" i="32"/>
  <c r="D25" i="38" s="1"/>
  <c r="U31" i="32"/>
  <c r="C28" i="38" s="1"/>
  <c r="W33" i="32"/>
  <c r="E30" i="38" s="1"/>
  <c r="V36" i="32"/>
  <c r="D33" i="38" s="1"/>
  <c r="U39" i="32"/>
  <c r="C36" i="38" s="1"/>
  <c r="W41" i="32"/>
  <c r="E38" i="38" s="1"/>
  <c r="V44" i="32"/>
  <c r="D41" i="38" s="1"/>
  <c r="U47" i="32"/>
  <c r="C44" i="38" s="1"/>
  <c r="W49" i="32"/>
  <c r="E46" i="38" s="1"/>
  <c r="V52" i="32"/>
  <c r="D49" i="38" s="1"/>
  <c r="U26" i="32"/>
  <c r="C23" i="38" s="1"/>
  <c r="W28" i="32"/>
  <c r="E25" i="38" s="1"/>
  <c r="V31" i="32"/>
  <c r="D28" i="38" s="1"/>
  <c r="U34" i="32"/>
  <c r="C31" i="38" s="1"/>
  <c r="W36" i="32"/>
  <c r="E33" i="38" s="1"/>
  <c r="V39" i="32"/>
  <c r="D36" i="38" s="1"/>
  <c r="U42" i="32"/>
  <c r="C39" i="38" s="1"/>
  <c r="W44" i="32"/>
  <c r="E41" i="38" s="1"/>
  <c r="V47" i="32"/>
  <c r="D44" i="38" s="1"/>
  <c r="U50" i="32"/>
  <c r="C47" i="38" s="1"/>
  <c r="W52" i="32"/>
  <c r="E49" i="38" s="1"/>
  <c r="W23" i="32"/>
  <c r="E20" i="38" s="1"/>
  <c r="V27" i="32"/>
  <c r="D24" i="38" s="1"/>
  <c r="U25" i="32"/>
  <c r="C22" i="38" s="1"/>
  <c r="V30" i="32"/>
  <c r="D27" i="38" s="1"/>
  <c r="V38" i="32"/>
  <c r="D35" i="38" s="1"/>
  <c r="U41" i="32"/>
  <c r="C38" i="38" s="1"/>
  <c r="V46" i="32"/>
  <c r="D43" i="38" s="1"/>
  <c r="W51" i="32"/>
  <c r="E48" i="38" s="1"/>
  <c r="V41" i="32"/>
  <c r="D38" i="38" s="1"/>
  <c r="V49" i="32"/>
  <c r="D46" i="38" s="1"/>
  <c r="U52" i="32"/>
  <c r="C49" i="38" s="1"/>
  <c r="U44" i="32"/>
  <c r="C41" i="38" s="1"/>
  <c r="V25" i="32"/>
  <c r="D22" i="38" s="1"/>
  <c r="W46" i="32"/>
  <c r="E43" i="38" s="1"/>
  <c r="U28" i="32"/>
  <c r="C25" i="38" s="1"/>
  <c r="W30" i="32"/>
  <c r="E27" i="38" s="1"/>
  <c r="U36" i="32"/>
  <c r="C33" i="38" s="1"/>
  <c r="W38" i="32"/>
  <c r="E35" i="38" s="1"/>
  <c r="V33" i="32"/>
  <c r="D30" i="38" s="1"/>
  <c r="I25" i="32"/>
  <c r="C22" i="36" s="1"/>
  <c r="K27" i="32"/>
  <c r="E24" i="36" s="1"/>
  <c r="J30" i="32"/>
  <c r="D27" i="36" s="1"/>
  <c r="I33" i="32"/>
  <c r="C30" i="36" s="1"/>
  <c r="K35" i="32"/>
  <c r="J38" i="32"/>
  <c r="D35" i="36" s="1"/>
  <c r="I41" i="32"/>
  <c r="C38" i="36" s="1"/>
  <c r="K43" i="32"/>
  <c r="E40" i="36" s="1"/>
  <c r="J46" i="32"/>
  <c r="D43" i="36" s="1"/>
  <c r="I49" i="32"/>
  <c r="C46" i="36" s="1"/>
  <c r="K51" i="32"/>
  <c r="E48" i="36" s="1"/>
  <c r="J28" i="32"/>
  <c r="D25" i="36" s="1"/>
  <c r="J44" i="32"/>
  <c r="D41" i="36" s="1"/>
  <c r="J52" i="32"/>
  <c r="D49" i="36" s="1"/>
  <c r="J31" i="32"/>
  <c r="D28" i="36" s="1"/>
  <c r="K36" i="32"/>
  <c r="E33" i="36" s="1"/>
  <c r="I42" i="32"/>
  <c r="C39" i="36" s="1"/>
  <c r="K52" i="32"/>
  <c r="E49" i="36" s="1"/>
  <c r="J25" i="32"/>
  <c r="D22" i="36" s="1"/>
  <c r="I28" i="32"/>
  <c r="C25" i="36" s="1"/>
  <c r="K30" i="32"/>
  <c r="J33" i="32"/>
  <c r="D30" i="36" s="1"/>
  <c r="I36" i="32"/>
  <c r="C33" i="36" s="1"/>
  <c r="K38" i="32"/>
  <c r="E35" i="36" s="1"/>
  <c r="J41" i="32"/>
  <c r="D38" i="36" s="1"/>
  <c r="I44" i="32"/>
  <c r="C41" i="36" s="1"/>
  <c r="K46" i="32"/>
  <c r="E43" i="36" s="1"/>
  <c r="J49" i="32"/>
  <c r="D46" i="36" s="1"/>
  <c r="I52" i="32"/>
  <c r="K25" i="32"/>
  <c r="E22" i="36" s="1"/>
  <c r="I31" i="32"/>
  <c r="C28" i="36" s="1"/>
  <c r="K33" i="32"/>
  <c r="E30" i="36" s="1"/>
  <c r="J36" i="32"/>
  <c r="D33" i="36" s="1"/>
  <c r="I39" i="32"/>
  <c r="C36" i="36" s="1"/>
  <c r="K41" i="32"/>
  <c r="E38" i="36" s="1"/>
  <c r="I47" i="32"/>
  <c r="C44" i="36" s="1"/>
  <c r="K49" i="32"/>
  <c r="I26" i="32"/>
  <c r="C23" i="36" s="1"/>
  <c r="K28" i="32"/>
  <c r="E25" i="36" s="1"/>
  <c r="I34" i="32"/>
  <c r="C31" i="36" s="1"/>
  <c r="J39" i="32"/>
  <c r="D36" i="36" s="1"/>
  <c r="K44" i="32"/>
  <c r="E41" i="36" s="1"/>
  <c r="I50" i="32"/>
  <c r="C47" i="36" s="1"/>
  <c r="J24" i="32"/>
  <c r="D21" i="36" s="1"/>
  <c r="I27" i="32"/>
  <c r="K29" i="32"/>
  <c r="E26" i="36" s="1"/>
  <c r="J32" i="32"/>
  <c r="D29" i="36" s="1"/>
  <c r="I35" i="32"/>
  <c r="C32" i="36" s="1"/>
  <c r="K37" i="32"/>
  <c r="E34" i="36" s="1"/>
  <c r="J40" i="32"/>
  <c r="D37" i="36" s="1"/>
  <c r="I43" i="32"/>
  <c r="C40" i="36" s="1"/>
  <c r="K45" i="32"/>
  <c r="E42" i="36" s="1"/>
  <c r="J48" i="32"/>
  <c r="I51" i="32"/>
  <c r="C48" i="36" s="1"/>
  <c r="I23" i="32"/>
  <c r="C20" i="36" s="1"/>
  <c r="K24" i="32"/>
  <c r="E21" i="36" s="1"/>
  <c r="J27" i="32"/>
  <c r="D24" i="36" s="1"/>
  <c r="I30" i="32"/>
  <c r="C27" i="36" s="1"/>
  <c r="K32" i="32"/>
  <c r="E29" i="36" s="1"/>
  <c r="J35" i="32"/>
  <c r="D32" i="36" s="1"/>
  <c r="I38" i="32"/>
  <c r="C35" i="36" s="1"/>
  <c r="K40" i="32"/>
  <c r="J43" i="32"/>
  <c r="D40" i="36" s="1"/>
  <c r="I46" i="32"/>
  <c r="C43" i="36" s="1"/>
  <c r="K48" i="32"/>
  <c r="E45" i="36" s="1"/>
  <c r="J51" i="32"/>
  <c r="D48" i="36" s="1"/>
  <c r="J47" i="32"/>
  <c r="D44" i="36" s="1"/>
  <c r="J34" i="32"/>
  <c r="D31" i="36" s="1"/>
  <c r="I45" i="32"/>
  <c r="C42" i="36" s="1"/>
  <c r="I24" i="32"/>
  <c r="C21" i="36" s="1"/>
  <c r="K34" i="32"/>
  <c r="E31" i="36" s="1"/>
  <c r="J45" i="32"/>
  <c r="D42" i="36" s="1"/>
  <c r="J26" i="32"/>
  <c r="D23" i="36" s="1"/>
  <c r="I37" i="32"/>
  <c r="C34" i="36" s="1"/>
  <c r="K47" i="32"/>
  <c r="E44" i="36" s="1"/>
  <c r="J37" i="32"/>
  <c r="D34" i="36" s="1"/>
  <c r="I48" i="32"/>
  <c r="I29" i="32"/>
  <c r="C26" i="36" s="1"/>
  <c r="K39" i="32"/>
  <c r="E36" i="36" s="1"/>
  <c r="J50" i="32"/>
  <c r="D47" i="36" s="1"/>
  <c r="J29" i="32"/>
  <c r="D26" i="36" s="1"/>
  <c r="K50" i="32"/>
  <c r="E47" i="36" s="1"/>
  <c r="K31" i="32"/>
  <c r="E28" i="36" s="1"/>
  <c r="J42" i="32"/>
  <c r="D39" i="36" s="1"/>
  <c r="K23" i="32"/>
  <c r="E20" i="36" s="1"/>
  <c r="I32" i="32"/>
  <c r="C29" i="36" s="1"/>
  <c r="K42" i="32"/>
  <c r="E39" i="36" s="1"/>
  <c r="J23" i="32"/>
  <c r="D20" i="36" s="1"/>
  <c r="K26" i="32"/>
  <c r="E23" i="36" s="1"/>
  <c r="I40" i="32"/>
  <c r="C37" i="36" s="1"/>
  <c r="X30" i="40"/>
  <c r="E27" i="36"/>
  <c r="C45" i="36"/>
  <c r="C24" i="36"/>
  <c r="D45" i="36"/>
  <c r="E37" i="36"/>
  <c r="C49" i="36"/>
  <c r="E46" i="36"/>
  <c r="E32" i="36"/>
  <c r="X82" i="40"/>
  <c r="E40" i="38"/>
  <c r="E29" i="38"/>
  <c r="C30" i="38"/>
  <c r="D39" i="38"/>
  <c r="X56" i="40"/>
  <c r="C42" i="37"/>
  <c r="C21" i="37"/>
  <c r="E23" i="37"/>
  <c r="D42" i="37"/>
  <c r="D20" i="37"/>
  <c r="C24" i="37"/>
  <c r="D45" i="37"/>
  <c r="E21" i="37"/>
  <c r="E37" i="37"/>
  <c r="C38" i="37"/>
  <c r="C46" i="37"/>
  <c r="D28" i="37"/>
  <c r="E49" i="37"/>
  <c r="X4" i="40"/>
  <c r="C21" i="12"/>
  <c r="E23" i="12"/>
  <c r="D26" i="12"/>
  <c r="C29" i="12"/>
  <c r="E31" i="12"/>
  <c r="D34" i="12"/>
  <c r="C37" i="12"/>
  <c r="E39" i="12"/>
  <c r="D42" i="12"/>
  <c r="C45" i="12"/>
  <c r="E47" i="12"/>
  <c r="C20" i="12"/>
  <c r="E25" i="12"/>
  <c r="D44" i="12"/>
  <c r="C34" i="12"/>
  <c r="D21" i="12"/>
  <c r="C24" i="12"/>
  <c r="E26" i="12"/>
  <c r="D29" i="12"/>
  <c r="C32" i="12"/>
  <c r="E34" i="12"/>
  <c r="D37" i="12"/>
  <c r="C40" i="12"/>
  <c r="E42" i="12"/>
  <c r="D45" i="12"/>
  <c r="C48" i="12"/>
  <c r="D20" i="12"/>
  <c r="D28" i="12"/>
  <c r="E49" i="12"/>
  <c r="E36" i="12"/>
  <c r="E21" i="12"/>
  <c r="D24" i="12"/>
  <c r="C27" i="12"/>
  <c r="E29" i="12"/>
  <c r="D32" i="12"/>
  <c r="C35" i="12"/>
  <c r="E37" i="12"/>
  <c r="D40" i="12"/>
  <c r="C43" i="12"/>
  <c r="E45" i="12"/>
  <c r="D48" i="12"/>
  <c r="E33" i="12"/>
  <c r="D31" i="12"/>
  <c r="E20" i="12"/>
  <c r="C22" i="12"/>
  <c r="E24" i="12"/>
  <c r="D27" i="12"/>
  <c r="C30" i="12"/>
  <c r="E32" i="12"/>
  <c r="D35" i="12"/>
  <c r="C38" i="12"/>
  <c r="E40" i="12"/>
  <c r="D43" i="12"/>
  <c r="C46" i="12"/>
  <c r="E48" i="12"/>
  <c r="D36" i="12"/>
  <c r="C26" i="12"/>
  <c r="D22" i="12"/>
  <c r="C25" i="12"/>
  <c r="E27" i="12"/>
  <c r="D30" i="12"/>
  <c r="C33" i="12"/>
  <c r="E35" i="12"/>
  <c r="D38" i="12"/>
  <c r="C41" i="12"/>
  <c r="E43" i="12"/>
  <c r="D46" i="12"/>
  <c r="C49" i="12"/>
  <c r="E38" i="12"/>
  <c r="C31" i="12"/>
  <c r="C47" i="12"/>
  <c r="D23" i="12"/>
  <c r="D39" i="12"/>
  <c r="C42" i="12"/>
  <c r="E44" i="12"/>
  <c r="E22" i="12"/>
  <c r="D25" i="12"/>
  <c r="C28" i="12"/>
  <c r="E30" i="12"/>
  <c r="D33" i="12"/>
  <c r="C36" i="12"/>
  <c r="D41" i="12"/>
  <c r="C44" i="12"/>
  <c r="E46" i="12"/>
  <c r="D49" i="12"/>
  <c r="C23" i="12"/>
  <c r="C39" i="12"/>
  <c r="E41" i="12"/>
  <c r="E28" i="12"/>
  <c r="D47" i="12"/>
  <c r="X27" i="29"/>
  <c r="Y8" i="11" s="1"/>
  <c r="G6" i="36" s="1"/>
  <c r="X35" i="29"/>
  <c r="Y16" i="11" s="1"/>
  <c r="X29" i="29"/>
  <c r="Y10" i="11" s="1"/>
  <c r="X22" i="29"/>
  <c r="Y3" i="11" s="1"/>
  <c r="X30" i="29"/>
  <c r="Y11" i="11" s="1"/>
  <c r="X26" i="29"/>
  <c r="Y7" i="11" s="1"/>
  <c r="G5" i="36" s="1"/>
  <c r="X34" i="29"/>
  <c r="Y15" i="11" s="1"/>
  <c r="X23" i="29"/>
  <c r="Y4" i="11" s="1"/>
  <c r="X25" i="29"/>
  <c r="Y6" i="11" s="1"/>
  <c r="G4" i="36" s="1"/>
  <c r="X33" i="29"/>
  <c r="Y14" i="11" s="1"/>
  <c r="X24" i="29"/>
  <c r="Y5" i="11" s="1"/>
  <c r="X31" i="29"/>
  <c r="Y12" i="11" s="1"/>
  <c r="X32" i="29"/>
  <c r="Y13" i="11" s="1"/>
  <c r="X28" i="29"/>
  <c r="Y9" i="11" s="1"/>
  <c r="G7" i="36" s="1"/>
  <c r="X36" i="29"/>
  <c r="Y17" i="11" s="1"/>
  <c r="I23" i="12"/>
  <c r="I23" i="38"/>
  <c r="I23" i="37"/>
  <c r="K26" i="11"/>
  <c r="I24" i="38" s="1"/>
  <c r="I23" i="36"/>
  <c r="G893" i="4"/>
  <c r="D882" i="4"/>
  <c r="J350" i="4"/>
  <c r="D195" i="4"/>
  <c r="G195" i="4" s="1"/>
  <c r="G194" i="4"/>
  <c r="D349" i="4"/>
  <c r="V350" i="4"/>
  <c r="D894" i="4"/>
  <c r="F893" i="4"/>
  <c r="X2" i="29"/>
  <c r="X21" i="29" s="1"/>
  <c r="Y2" i="11" s="1"/>
  <c r="H4" i="36" l="1"/>
  <c r="P4" i="36"/>
  <c r="H6" i="36"/>
  <c r="P6" i="36"/>
  <c r="P7" i="36"/>
  <c r="H7" i="36"/>
  <c r="H5" i="36"/>
  <c r="P5" i="36"/>
  <c r="Y21" i="29"/>
  <c r="AI27" i="29"/>
  <c r="AK8" i="11" s="1"/>
  <c r="AZ34" i="29"/>
  <c r="BB15" i="11" s="1"/>
  <c r="AI29" i="29"/>
  <c r="AK10" i="11" s="1"/>
  <c r="AX29" i="29"/>
  <c r="AZ10" i="11" s="1"/>
  <c r="AA29" i="29"/>
  <c r="AC10" i="11" s="1"/>
  <c r="AW29" i="29"/>
  <c r="AY10" i="11" s="1"/>
  <c r="AV29" i="29"/>
  <c r="AX10" i="11" s="1"/>
  <c r="AP29" i="29"/>
  <c r="AR10" i="11" s="1"/>
  <c r="AR24" i="29"/>
  <c r="AT5" i="11" s="1"/>
  <c r="BA34" i="29"/>
  <c r="BC15" i="11" s="1"/>
  <c r="AW34" i="29"/>
  <c r="AY15" i="11" s="1"/>
  <c r="AD29" i="29"/>
  <c r="AF10" i="11" s="1"/>
  <c r="AE29" i="29"/>
  <c r="AG10" i="11" s="1"/>
  <c r="AW26" i="29"/>
  <c r="AY7" i="11" s="1"/>
  <c r="AF29" i="29"/>
  <c r="AH10" i="11" s="1"/>
  <c r="AP34" i="29"/>
  <c r="AR15" i="11" s="1"/>
  <c r="Z29" i="29"/>
  <c r="AB10" i="11" s="1"/>
  <c r="AM33" i="29"/>
  <c r="AO14" i="11" s="1"/>
  <c r="AN33" i="29"/>
  <c r="AP14" i="11" s="1"/>
  <c r="AZ25" i="29"/>
  <c r="BB6" i="11" s="1"/>
  <c r="AR25" i="29"/>
  <c r="AT6" i="11" s="1"/>
  <c r="AH21" i="29"/>
  <c r="AJ2" i="11" s="1"/>
  <c r="AO33" i="29"/>
  <c r="AQ14" i="11" s="1"/>
  <c r="AP33" i="29"/>
  <c r="AR14" i="11" s="1"/>
  <c r="AQ33" i="29"/>
  <c r="AS14" i="11" s="1"/>
  <c r="AL33" i="29"/>
  <c r="AN14" i="11" s="1"/>
  <c r="Y26" i="29"/>
  <c r="AA7" i="11" s="1"/>
  <c r="AB26" i="11" s="1"/>
  <c r="AT29" i="29"/>
  <c r="AV10" i="11" s="1"/>
  <c r="Y30" i="29"/>
  <c r="AD30" i="29"/>
  <c r="AF11" i="11" s="1"/>
  <c r="AS35" i="29"/>
  <c r="AU16" i="11" s="1"/>
  <c r="AY31" i="29"/>
  <c r="BA12" i="11" s="1"/>
  <c r="AE31" i="29"/>
  <c r="AG12" i="11" s="1"/>
  <c r="AG29" i="29"/>
  <c r="AI10" i="11" s="1"/>
  <c r="AX33" i="29"/>
  <c r="AZ14" i="11" s="1"/>
  <c r="AY25" i="29"/>
  <c r="BA6" i="11" s="1"/>
  <c r="AH35" i="29"/>
  <c r="AJ16" i="11" s="1"/>
  <c r="AP25" i="29"/>
  <c r="AR6" i="11" s="1"/>
  <c r="AP26" i="29"/>
  <c r="AR7" i="11" s="1"/>
  <c r="Y29" i="29"/>
  <c r="AA10" i="11" s="1"/>
  <c r="AB29" i="11" s="1"/>
  <c r="AL29" i="29"/>
  <c r="AN10" i="11" s="1"/>
  <c r="AC34" i="29"/>
  <c r="AE15" i="11" s="1"/>
  <c r="AS25" i="29"/>
  <c r="AU6" i="11" s="1"/>
  <c r="AE30" i="29"/>
  <c r="AG11" i="11" s="1"/>
  <c r="Y31" i="29"/>
  <c r="AA12" i="11" s="1"/>
  <c r="AB31" i="11" s="1"/>
  <c r="AQ25" i="29"/>
  <c r="AS6" i="11" s="1"/>
  <c r="AQ30" i="29"/>
  <c r="AS11" i="11" s="1"/>
  <c r="AM25" i="29"/>
  <c r="AO6" i="11" s="1"/>
  <c r="AN29" i="29"/>
  <c r="AP10" i="11" s="1"/>
  <c r="AS33" i="29"/>
  <c r="AU14" i="11" s="1"/>
  <c r="BA31" i="29"/>
  <c r="BC12" i="11" s="1"/>
  <c r="AT33" i="29"/>
  <c r="AV14" i="11" s="1"/>
  <c r="AB29" i="29"/>
  <c r="AD10" i="11" s="1"/>
  <c r="AL25" i="29"/>
  <c r="AN6" i="11" s="1"/>
  <c r="AO34" i="29"/>
  <c r="AQ15" i="11" s="1"/>
  <c r="AZ29" i="29"/>
  <c r="BB10" i="11" s="1"/>
  <c r="AK29" i="29"/>
  <c r="AM10" i="11" s="1"/>
  <c r="AB34" i="29"/>
  <c r="AD15" i="11" s="1"/>
  <c r="AS28" i="29"/>
  <c r="AU9" i="11" s="1"/>
  <c r="AU25" i="29"/>
  <c r="AW6" i="11" s="1"/>
  <c r="AR33" i="29"/>
  <c r="AT14" i="11" s="1"/>
  <c r="AT25" i="29"/>
  <c r="AV6" i="11" s="1"/>
  <c r="Y34" i="29"/>
  <c r="AA15" i="11" s="1"/>
  <c r="AB34" i="11" s="1"/>
  <c r="AS34" i="29"/>
  <c r="AU15" i="11" s="1"/>
  <c r="AN34" i="29"/>
  <c r="AP15" i="11" s="1"/>
  <c r="AE25" i="29"/>
  <c r="AG6" i="11" s="1"/>
  <c r="Y25" i="29"/>
  <c r="AJ22" i="29"/>
  <c r="AL3" i="11" s="1"/>
  <c r="BA25" i="29"/>
  <c r="BC6" i="11" s="1"/>
  <c r="AO28" i="29"/>
  <c r="AQ9" i="11" s="1"/>
  <c r="AL34" i="29"/>
  <c r="AN15" i="11" s="1"/>
  <c r="AR29" i="29"/>
  <c r="AT10" i="11" s="1"/>
  <c r="AB25" i="29"/>
  <c r="AD6" i="11" s="1"/>
  <c r="AX25" i="29"/>
  <c r="AZ6" i="11" s="1"/>
  <c r="AV34" i="29"/>
  <c r="AX15" i="11" s="1"/>
  <c r="AJ34" i="29"/>
  <c r="AL15" i="11" s="1"/>
  <c r="AA25" i="29"/>
  <c r="AC6" i="11" s="1"/>
  <c r="AC24" i="29"/>
  <c r="AE5" i="11" s="1"/>
  <c r="AK33" i="29"/>
  <c r="AM14" i="11" s="1"/>
  <c r="AW25" i="29"/>
  <c r="AY6" i="11" s="1"/>
  <c r="AU33" i="29"/>
  <c r="AW14" i="11" s="1"/>
  <c r="AV25" i="29"/>
  <c r="AX6" i="11" s="1"/>
  <c r="AT34" i="29"/>
  <c r="AV15" i="11" s="1"/>
  <c r="AF30" i="29"/>
  <c r="AH11" i="11" s="1"/>
  <c r="BA29" i="29"/>
  <c r="BC10" i="11" s="1"/>
  <c r="AO29" i="29"/>
  <c r="AQ10" i="11" s="1"/>
  <c r="Y35" i="29"/>
  <c r="AA16" i="11" s="1"/>
  <c r="AB35" i="11" s="1"/>
  <c r="AF35" i="29"/>
  <c r="AH16" i="11" s="1"/>
  <c r="Y23" i="29"/>
  <c r="AA4" i="11" s="1"/>
  <c r="AB23" i="11" s="1"/>
  <c r="AN31" i="29"/>
  <c r="AP12" i="11" s="1"/>
  <c r="AX31" i="29"/>
  <c r="AZ12" i="11" s="1"/>
  <c r="AC23" i="29"/>
  <c r="AE4" i="11" s="1"/>
  <c r="Y24" i="29"/>
  <c r="AA5" i="11" s="1"/>
  <c r="AB24" i="11" s="1"/>
  <c r="AS23" i="29"/>
  <c r="AU4" i="11" s="1"/>
  <c r="AE23" i="29"/>
  <c r="AG4" i="11" s="1"/>
  <c r="AK24" i="29"/>
  <c r="AM5" i="11" s="1"/>
  <c r="AG24" i="29"/>
  <c r="AI5" i="11" s="1"/>
  <c r="AT28" i="29"/>
  <c r="AV9" i="11" s="1"/>
  <c r="AY33" i="29"/>
  <c r="BA14" i="11" s="1"/>
  <c r="AS24" i="29"/>
  <c r="AU5" i="11" s="1"/>
  <c r="AW33" i="29"/>
  <c r="AY14" i="11" s="1"/>
  <c r="AY24" i="29"/>
  <c r="BA5" i="11" s="1"/>
  <c r="AJ21" i="29"/>
  <c r="AL2" i="11" s="1"/>
  <c r="AX26" i="29"/>
  <c r="AZ7" i="11" s="1"/>
  <c r="AR34" i="29"/>
  <c r="AT15" i="11" s="1"/>
  <c r="AK34" i="29"/>
  <c r="AM15" i="11" s="1"/>
  <c r="AP30" i="29"/>
  <c r="AR11" i="11" s="1"/>
  <c r="AX27" i="29"/>
  <c r="AZ8" i="11" s="1"/>
  <c r="AL35" i="29"/>
  <c r="AN16" i="11" s="1"/>
  <c r="AF34" i="29"/>
  <c r="AH15" i="11" s="1"/>
  <c r="AF25" i="29"/>
  <c r="AH6" i="11" s="1"/>
  <c r="AK26" i="29"/>
  <c r="AM7" i="11" s="1"/>
  <c r="AL22" i="29"/>
  <c r="AN3" i="11" s="1"/>
  <c r="AW35" i="29"/>
  <c r="AY16" i="11" s="1"/>
  <c r="AL27" i="29"/>
  <c r="AN8" i="11" s="1"/>
  <c r="AD26" i="29"/>
  <c r="AF7" i="11" s="1"/>
  <c r="AF23" i="29"/>
  <c r="AH4" i="11" s="1"/>
  <c r="AT35" i="29"/>
  <c r="AV16" i="11" s="1"/>
  <c r="AK35" i="29"/>
  <c r="AM16" i="11" s="1"/>
  <c r="AT27" i="29"/>
  <c r="AV8" i="11" s="1"/>
  <c r="AC26" i="29"/>
  <c r="AE7" i="11" s="1"/>
  <c r="Z31" i="29"/>
  <c r="AB12" i="11" s="1"/>
  <c r="AW31" i="29"/>
  <c r="AY12" i="11" s="1"/>
  <c r="AQ31" i="29"/>
  <c r="AS12" i="11" s="1"/>
  <c r="AZ31" i="29"/>
  <c r="BB12" i="11" s="1"/>
  <c r="AH31" i="29"/>
  <c r="AJ12" i="11" s="1"/>
  <c r="AK31" i="29"/>
  <c r="AM12" i="11" s="1"/>
  <c r="BA23" i="29"/>
  <c r="BC4" i="11" s="1"/>
  <c r="AZ23" i="29"/>
  <c r="BB4" i="11" s="1"/>
  <c r="AO26" i="29"/>
  <c r="AQ7" i="11" s="1"/>
  <c r="Z23" i="29"/>
  <c r="AB4" i="11" s="1"/>
  <c r="Z24" i="29"/>
  <c r="AB5" i="11" s="1"/>
  <c r="AG23" i="29"/>
  <c r="AI4" i="11" s="1"/>
  <c r="AL23" i="29"/>
  <c r="AN4" i="11" s="1"/>
  <c r="AM23" i="29"/>
  <c r="AO4" i="11" s="1"/>
  <c r="AN28" i="29"/>
  <c r="AP9" i="11" s="1"/>
  <c r="AO24" i="29"/>
  <c r="AQ5" i="11" s="1"/>
  <c r="BA33" i="29"/>
  <c r="BC14" i="11" s="1"/>
  <c r="Y28" i="29"/>
  <c r="AA9" i="11" s="1"/>
  <c r="AB28" i="11" s="1"/>
  <c r="AM24" i="29"/>
  <c r="AO5" i="11" s="1"/>
  <c r="AS31" i="29"/>
  <c r="AU12" i="11" s="1"/>
  <c r="AM31" i="29"/>
  <c r="AO12" i="11" s="1"/>
  <c r="AV31" i="29"/>
  <c r="AX12" i="11" s="1"/>
  <c r="AZ24" i="29"/>
  <c r="BB5" i="11" s="1"/>
  <c r="AF24" i="29"/>
  <c r="AH5" i="11" s="1"/>
  <c r="AQ23" i="29"/>
  <c r="AS4" i="11" s="1"/>
  <c r="AT23" i="29"/>
  <c r="AV4" i="11" s="1"/>
  <c r="AM28" i="29"/>
  <c r="AO9" i="11" s="1"/>
  <c r="BA26" i="29"/>
  <c r="BC7" i="11" s="1"/>
  <c r="AT26" i="29"/>
  <c r="AV7" i="11" s="1"/>
  <c r="AT30" i="29"/>
  <c r="AV11" i="11" s="1"/>
  <c r="Y27" i="29"/>
  <c r="AA8" i="11" s="1"/>
  <c r="AB27" i="11" s="1"/>
  <c r="AP35" i="29"/>
  <c r="AR16" i="11" s="1"/>
  <c r="AH26" i="29"/>
  <c r="AJ7" i="11" s="1"/>
  <c r="Z26" i="29"/>
  <c r="AB7" i="11" s="1"/>
  <c r="AE35" i="29"/>
  <c r="AG16" i="11" s="1"/>
  <c r="AP23" i="29"/>
  <c r="AR4" i="11" s="1"/>
  <c r="AJ29" i="29"/>
  <c r="AL10" i="11" s="1"/>
  <c r="BA35" i="29"/>
  <c r="BC16" i="11" s="1"/>
  <c r="AP27" i="29"/>
  <c r="AR8" i="11" s="1"/>
  <c r="AG34" i="29"/>
  <c r="AI15" i="11" s="1"/>
  <c r="AJ25" i="29"/>
  <c r="AL6" i="11" s="1"/>
  <c r="AB35" i="29"/>
  <c r="AD16" i="11" s="1"/>
  <c r="AP31" i="29"/>
  <c r="AR12" i="11" s="1"/>
  <c r="AU31" i="29"/>
  <c r="AW12" i="11" s="1"/>
  <c r="BA28" i="29"/>
  <c r="BC9" i="11" s="1"/>
  <c r="AL24" i="29"/>
  <c r="AN5" i="11" s="1"/>
  <c r="AT31" i="29"/>
  <c r="AV12" i="11" s="1"/>
  <c r="AW24" i="29"/>
  <c r="AY5" i="11" s="1"/>
  <c r="AL31" i="29"/>
  <c r="AN12" i="11" s="1"/>
  <c r="AV33" i="29"/>
  <c r="AX14" i="11" s="1"/>
  <c r="AZ28" i="29"/>
  <c r="BB9" i="11" s="1"/>
  <c r="AJ31" i="29"/>
  <c r="AL12" i="11" s="1"/>
  <c r="Y33" i="29"/>
  <c r="AA14" i="11" s="1"/>
  <c r="AB33" i="11" s="1"/>
  <c r="AJ33" i="29"/>
  <c r="AL14" i="11" s="1"/>
  <c r="AR31" i="29"/>
  <c r="AT12" i="11" s="1"/>
  <c r="AU24" i="29"/>
  <c r="AW5" i="11" s="1"/>
  <c r="AZ33" i="29"/>
  <c r="BB14" i="11" s="1"/>
  <c r="BA24" i="29"/>
  <c r="BC5" i="11" s="1"/>
  <c r="AK25" i="29"/>
  <c r="AM6" i="11" s="1"/>
  <c r="AC30" i="29"/>
  <c r="AE11" i="11" s="1"/>
  <c r="AX34" i="29"/>
  <c r="AZ15" i="11" s="1"/>
  <c r="AS26" i="29"/>
  <c r="AU7" i="11" s="1"/>
  <c r="AL26" i="29"/>
  <c r="AN7" i="11" s="1"/>
  <c r="AV30" i="29"/>
  <c r="AX11" i="11" s="1"/>
  <c r="AS29" i="29"/>
  <c r="AU10" i="11" s="1"/>
  <c r="AE24" i="29"/>
  <c r="AG5" i="11" s="1"/>
  <c r="AX35" i="29"/>
  <c r="AZ16" i="11" s="1"/>
  <c r="AO35" i="29"/>
  <c r="AQ16" i="11" s="1"/>
  <c r="AG26" i="29"/>
  <c r="AI7" i="11" s="1"/>
  <c r="AI25" i="29"/>
  <c r="AK6" i="11" s="1"/>
  <c r="AA35" i="29"/>
  <c r="AC16" i="11" s="1"/>
  <c r="AS36" i="29"/>
  <c r="AU17" i="11" s="1"/>
  <c r="AQ32" i="29"/>
  <c r="AS13" i="11" s="1"/>
  <c r="AV28" i="29"/>
  <c r="AX9" i="11" s="1"/>
  <c r="AW32" i="29"/>
  <c r="AY13" i="11" s="1"/>
  <c r="AK23" i="29"/>
  <c r="AM4" i="11" s="1"/>
  <c r="AD22" i="29"/>
  <c r="AF3" i="11" s="1"/>
  <c r="AO31" i="29"/>
  <c r="AQ12" i="11" s="1"/>
  <c r="AV23" i="29"/>
  <c r="AX4" i="11" s="1"/>
  <c r="AL32" i="29"/>
  <c r="AN13" i="11" s="1"/>
  <c r="AQ28" i="29"/>
  <c r="AS9" i="11" s="1"/>
  <c r="AH28" i="29"/>
  <c r="AJ9" i="11" s="1"/>
  <c r="AH23" i="29"/>
  <c r="AJ4" i="11" s="1"/>
  <c r="AA32" i="29"/>
  <c r="AC13" i="11" s="1"/>
  <c r="AX30" i="29"/>
  <c r="AZ11" i="11" s="1"/>
  <c r="AR22" i="29"/>
  <c r="AT3" i="11" s="1"/>
  <c r="AM22" i="29"/>
  <c r="AO3" i="11" s="1"/>
  <c r="AG32" i="29"/>
  <c r="AI13" i="11" s="1"/>
  <c r="AA28" i="29"/>
  <c r="AC9" i="11" s="1"/>
  <c r="AW22" i="29"/>
  <c r="AY3" i="11" s="1"/>
  <c r="AG31" i="29"/>
  <c r="AI12" i="11" s="1"/>
  <c r="AA24" i="29"/>
  <c r="AC5" i="11" s="1"/>
  <c r="AK28" i="29"/>
  <c r="AM9" i="11" s="1"/>
  <c r="AY35" i="29"/>
  <c r="BA16" i="11" s="1"/>
  <c r="AU35" i="29"/>
  <c r="AW16" i="11" s="1"/>
  <c r="AQ35" i="29"/>
  <c r="AS16" i="11" s="1"/>
  <c r="AM35" i="29"/>
  <c r="AO16" i="11" s="1"/>
  <c r="AI31" i="29"/>
  <c r="AK12" i="11" s="1"/>
  <c r="AC29" i="29"/>
  <c r="AE10" i="11" s="1"/>
  <c r="AH34" i="29"/>
  <c r="AJ15" i="11" s="1"/>
  <c r="AD34" i="29"/>
  <c r="AF15" i="11" s="1"/>
  <c r="Z34" i="29"/>
  <c r="AB15" i="11" s="1"/>
  <c r="AG25" i="29"/>
  <c r="AI6" i="11" s="1"/>
  <c r="AC25" i="29"/>
  <c r="AE6" i="11" s="1"/>
  <c r="AG35" i="29"/>
  <c r="AI16" i="11" s="1"/>
  <c r="AC35" i="29"/>
  <c r="AE16" i="11" s="1"/>
  <c r="AZ36" i="29"/>
  <c r="BB17" i="11" s="1"/>
  <c r="AR36" i="29"/>
  <c r="AT17" i="11" s="1"/>
  <c r="AG36" i="29"/>
  <c r="AI17" i="11" s="1"/>
  <c r="AU28" i="29"/>
  <c r="AW9" i="11" s="1"/>
  <c r="Z36" i="29"/>
  <c r="AB17" i="11" s="1"/>
  <c r="AV32" i="29"/>
  <c r="AX13" i="11" s="1"/>
  <c r="AJ32" i="29"/>
  <c r="AL13" i="11" s="1"/>
  <c r="AI28" i="29"/>
  <c r="AK9" i="11" s="1"/>
  <c r="Z21" i="29"/>
  <c r="AB2" i="11" s="1"/>
  <c r="AU23" i="29"/>
  <c r="AW4" i="11" s="1"/>
  <c r="AP28" i="29"/>
  <c r="AR9" i="11" s="1"/>
  <c r="AF32" i="29"/>
  <c r="AH13" i="11" s="1"/>
  <c r="AG28" i="29"/>
  <c r="AI9" i="11" s="1"/>
  <c r="AA21" i="29"/>
  <c r="AC2" i="11" s="1"/>
  <c r="AW30" i="29"/>
  <c r="AY11" i="11" s="1"/>
  <c r="AQ22" i="29"/>
  <c r="AS3" i="11" s="1"/>
  <c r="AL30" i="29"/>
  <c r="AN11" i="11" s="1"/>
  <c r="AG21" i="29"/>
  <c r="AI2" i="11" s="1"/>
  <c r="Z30" i="29"/>
  <c r="AB11" i="11" s="1"/>
  <c r="AV22" i="29"/>
  <c r="AX3" i="11" s="1"/>
  <c r="AX21" i="29"/>
  <c r="AZ2" i="11" s="1"/>
  <c r="AT21" i="29"/>
  <c r="AV2" i="11" s="1"/>
  <c r="AP21" i="29"/>
  <c r="AR2" i="11" s="1"/>
  <c r="AL21" i="29"/>
  <c r="AN2" i="11" s="1"/>
  <c r="AF36" i="29"/>
  <c r="AH17" i="11" s="1"/>
  <c r="AJ28" i="29"/>
  <c r="AL9" i="11" s="1"/>
  <c r="AY27" i="29"/>
  <c r="BA8" i="11" s="1"/>
  <c r="AU27" i="29"/>
  <c r="AW8" i="11" s="1"/>
  <c r="AQ27" i="29"/>
  <c r="AS8" i="11" s="1"/>
  <c r="AM27" i="29"/>
  <c r="AO8" i="11" s="1"/>
  <c r="AI21" i="29"/>
  <c r="AK2" i="11" s="1"/>
  <c r="AB31" i="29"/>
  <c r="AD12" i="11" s="1"/>
  <c r="AF33" i="29"/>
  <c r="AH14" i="11" s="1"/>
  <c r="AB33" i="29"/>
  <c r="AD14" i="11" s="1"/>
  <c r="AG27" i="29"/>
  <c r="AI8" i="11" s="1"/>
  <c r="AC27" i="29"/>
  <c r="AE8" i="11" s="1"/>
  <c r="AU32" i="29"/>
  <c r="AW13" i="11" s="1"/>
  <c r="AF22" i="29"/>
  <c r="AH3" i="11" s="1"/>
  <c r="AP36" i="29"/>
  <c r="AR17" i="11" s="1"/>
  <c r="AI22" i="29"/>
  <c r="AK3" i="11" s="1"/>
  <c r="AH24" i="29"/>
  <c r="AJ5" i="11" s="1"/>
  <c r="AA36" i="29"/>
  <c r="AC17" i="11" s="1"/>
  <c r="AE32" i="29"/>
  <c r="AG13" i="11" s="1"/>
  <c r="AU30" i="29"/>
  <c r="AW11" i="11" s="1"/>
  <c r="AP22" i="29"/>
  <c r="AR3" i="11" s="1"/>
  <c r="AK30" i="29"/>
  <c r="AM11" i="11" s="1"/>
  <c r="AE28" i="29"/>
  <c r="AG9" i="11" s="1"/>
  <c r="Y22" i="29"/>
  <c r="AS30" i="29"/>
  <c r="AU11" i="11" s="1"/>
  <c r="BA21" i="29"/>
  <c r="BC2" i="11" s="1"/>
  <c r="AW21" i="29"/>
  <c r="AY2" i="11" s="1"/>
  <c r="AS21" i="29"/>
  <c r="AU2" i="11" s="1"/>
  <c r="AO21" i="29"/>
  <c r="AQ2" i="11" s="1"/>
  <c r="AK21" i="29"/>
  <c r="AM2" i="11" s="1"/>
  <c r="AO36" i="29"/>
  <c r="AQ17" i="11" s="1"/>
  <c r="AG30" i="29"/>
  <c r="AI11" i="11" s="1"/>
  <c r="AA22" i="29"/>
  <c r="AC3" i="11" s="1"/>
  <c r="AI33" i="29"/>
  <c r="AK14" i="11" s="1"/>
  <c r="AE33" i="29"/>
  <c r="AG14" i="11" s="1"/>
  <c r="AA33" i="29"/>
  <c r="AC14" i="11" s="1"/>
  <c r="AF27" i="29"/>
  <c r="AH8" i="11" s="1"/>
  <c r="AB27" i="29"/>
  <c r="AD8" i="11" s="1"/>
  <c r="AF31" i="29"/>
  <c r="AH12" i="11" s="1"/>
  <c r="AH32" i="29"/>
  <c r="AJ13" i="11" s="1"/>
  <c r="Y32" i="29"/>
  <c r="AS32" i="29"/>
  <c r="AU13" i="11" s="1"/>
  <c r="AN36" i="29"/>
  <c r="AP17" i="11" s="1"/>
  <c r="AF21" i="29"/>
  <c r="AH2" i="11" s="1"/>
  <c r="AX36" i="29"/>
  <c r="AZ17" i="11" s="1"/>
  <c r="AY36" i="29"/>
  <c r="BA17" i="11" s="1"/>
  <c r="AY28" i="29"/>
  <c r="BA9" i="11" s="1"/>
  <c r="AQ24" i="29"/>
  <c r="AS5" i="11" s="1"/>
  <c r="AD31" i="29"/>
  <c r="AF12" i="11" s="1"/>
  <c r="AZ32" i="29"/>
  <c r="BB13" i="11" s="1"/>
  <c r="AP24" i="29"/>
  <c r="AR5" i="11" s="1"/>
  <c r="AC22" i="29"/>
  <c r="AE3" i="11" s="1"/>
  <c r="AJ23" i="29"/>
  <c r="AL4" i="11" s="1"/>
  <c r="AR23" i="29"/>
  <c r="AT4" i="11" s="1"/>
  <c r="AD21" i="29"/>
  <c r="AF2" i="11" s="1"/>
  <c r="AO23" i="29"/>
  <c r="AQ4" i="11" s="1"/>
  <c r="AR32" i="29"/>
  <c r="AT13" i="11" s="1"/>
  <c r="AN25" i="29"/>
  <c r="AP6" i="11" s="1"/>
  <c r="AX24" i="29"/>
  <c r="AZ5" i="11" s="1"/>
  <c r="AY23" i="29"/>
  <c r="BA4" i="11" s="1"/>
  <c r="AP32" i="29"/>
  <c r="AR13" i="11" s="1"/>
  <c r="AC36" i="29"/>
  <c r="AE17" i="11" s="1"/>
  <c r="AK36" i="29"/>
  <c r="AM17" i="11" s="1"/>
  <c r="AA23" i="29"/>
  <c r="AC4" i="11" s="1"/>
  <c r="AZ26" i="29"/>
  <c r="BB7" i="11" s="1"/>
  <c r="AV26" i="29"/>
  <c r="AX7" i="11" s="1"/>
  <c r="AR26" i="29"/>
  <c r="AT7" i="11" s="1"/>
  <c r="AN26" i="29"/>
  <c r="AP7" i="11" s="1"/>
  <c r="AJ24" i="29"/>
  <c r="AL5" i="11" s="1"/>
  <c r="AD23" i="29"/>
  <c r="AF4" i="11" s="1"/>
  <c r="BA30" i="29"/>
  <c r="BC11" i="11" s="1"/>
  <c r="AT22" i="29"/>
  <c r="AV3" i="11" s="1"/>
  <c r="AN30" i="29"/>
  <c r="AP11" i="11" s="1"/>
  <c r="AJ30" i="29"/>
  <c r="AL11" i="11" s="1"/>
  <c r="AC32" i="29"/>
  <c r="AE13" i="11" s="1"/>
  <c r="AZ22" i="29"/>
  <c r="BB3" i="11" s="1"/>
  <c r="AO30" i="29"/>
  <c r="AQ11" i="11" s="1"/>
  <c r="AZ21" i="29"/>
  <c r="BB2" i="11" s="1"/>
  <c r="AV21" i="29"/>
  <c r="AX2" i="11" s="1"/>
  <c r="AR21" i="29"/>
  <c r="AT2" i="11" s="1"/>
  <c r="AN21" i="29"/>
  <c r="AP2" i="11" s="1"/>
  <c r="AI35" i="29"/>
  <c r="AK16" i="11" s="1"/>
  <c r="AC31" i="29"/>
  <c r="AE12" i="11" s="1"/>
  <c r="AM36" i="29"/>
  <c r="AO17" i="11" s="1"/>
  <c r="AD28" i="29"/>
  <c r="AF9" i="11" s="1"/>
  <c r="BA27" i="29"/>
  <c r="BC8" i="11" s="1"/>
  <c r="AW27" i="29"/>
  <c r="AY8" i="11" s="1"/>
  <c r="AS27" i="29"/>
  <c r="AU8" i="11" s="1"/>
  <c r="AO27" i="29"/>
  <c r="AQ8" i="11" s="1"/>
  <c r="AK27" i="29"/>
  <c r="AM8" i="11" s="1"/>
  <c r="AE36" i="29"/>
  <c r="AG17" i="11" s="1"/>
  <c r="AJ26" i="29"/>
  <c r="AL7" i="11" s="1"/>
  <c r="AF26" i="29"/>
  <c r="AH7" i="11" s="1"/>
  <c r="AB26" i="29"/>
  <c r="AD7" i="11" s="1"/>
  <c r="AH33" i="29"/>
  <c r="AJ14" i="11" s="1"/>
  <c r="AD33" i="29"/>
  <c r="AF14" i="11" s="1"/>
  <c r="Z33" i="29"/>
  <c r="AB14" i="11" s="1"/>
  <c r="AE27" i="29"/>
  <c r="AG8" i="11" s="1"/>
  <c r="AA27" i="29"/>
  <c r="AC8" i="11" s="1"/>
  <c r="AD32" i="29"/>
  <c r="AF13" i="11" s="1"/>
  <c r="AT32" i="29"/>
  <c r="AV13" i="11" s="1"/>
  <c r="AQ36" i="29"/>
  <c r="AS17" i="11" s="1"/>
  <c r="AB21" i="29"/>
  <c r="AD2" i="11" s="1"/>
  <c r="BA22" i="29"/>
  <c r="BC3" i="11" s="1"/>
  <c r="AV36" i="29"/>
  <c r="AX17" i="11" s="1"/>
  <c r="AW36" i="29"/>
  <c r="AY17" i="11" s="1"/>
  <c r="AX28" i="29"/>
  <c r="AZ9" i="11" s="1"/>
  <c r="AB28" i="29"/>
  <c r="AD9" i="11" s="1"/>
  <c r="AY32" i="29"/>
  <c r="BA13" i="11" s="1"/>
  <c r="Z32" i="29"/>
  <c r="AB13" i="11" s="1"/>
  <c r="AA6" i="11"/>
  <c r="AB25" i="11" s="1"/>
  <c r="AA31" i="29"/>
  <c r="AC12" i="11" s="1"/>
  <c r="AM32" i="29"/>
  <c r="AO13" i="11" s="1"/>
  <c r="AK32" i="29"/>
  <c r="AM13" i="11" s="1"/>
  <c r="AV24" i="29"/>
  <c r="AX5" i="11" s="1"/>
  <c r="AX23" i="29"/>
  <c r="AZ4" i="11" s="1"/>
  <c r="AO25" i="29"/>
  <c r="AQ6" i="11" s="1"/>
  <c r="AA30" i="29"/>
  <c r="AC11" i="11" s="1"/>
  <c r="AJ36" i="29"/>
  <c r="AL17" i="11" s="1"/>
  <c r="AY34" i="29"/>
  <c r="BA15" i="11" s="1"/>
  <c r="AU34" i="29"/>
  <c r="AW15" i="11" s="1"/>
  <c r="AQ34" i="29"/>
  <c r="AS15" i="11" s="1"/>
  <c r="AM34" i="29"/>
  <c r="AO15" i="11" s="1"/>
  <c r="AI30" i="29"/>
  <c r="AK11" i="11" s="1"/>
  <c r="AC28" i="29"/>
  <c r="AE9" i="11" s="1"/>
  <c r="AZ30" i="29"/>
  <c r="BB11" i="11" s="1"/>
  <c r="AS22" i="29"/>
  <c r="AU3" i="11" s="1"/>
  <c r="AN22" i="29"/>
  <c r="AP3" i="11" s="1"/>
  <c r="AI36" i="29"/>
  <c r="AK17" i="11" s="1"/>
  <c r="AC21" i="29"/>
  <c r="AE2" i="11" s="1"/>
  <c r="AY22" i="29"/>
  <c r="BA3" i="11" s="1"/>
  <c r="AH30" i="29"/>
  <c r="AJ11" i="11" s="1"/>
  <c r="AY29" i="29"/>
  <c r="BA10" i="11" s="1"/>
  <c r="AU29" i="29"/>
  <c r="AW10" i="11" s="1"/>
  <c r="AQ29" i="29"/>
  <c r="AS10" i="11" s="1"/>
  <c r="AM29" i="29"/>
  <c r="AO10" i="11" s="1"/>
  <c r="AI23" i="29"/>
  <c r="AK4" i="11" s="1"/>
  <c r="AB36" i="29"/>
  <c r="AD17" i="11" s="1"/>
  <c r="AL36" i="29"/>
  <c r="AN17" i="11" s="1"/>
  <c r="AB32" i="29"/>
  <c r="AD13" i="11" s="1"/>
  <c r="AZ35" i="29"/>
  <c r="BB16" i="11" s="1"/>
  <c r="AV35" i="29"/>
  <c r="AX16" i="11" s="1"/>
  <c r="AR35" i="29"/>
  <c r="AT16" i="11" s="1"/>
  <c r="AN35" i="29"/>
  <c r="AP16" i="11" s="1"/>
  <c r="AJ35" i="29"/>
  <c r="AL16" i="11" s="1"/>
  <c r="AE22" i="29"/>
  <c r="AG3" i="11" s="1"/>
  <c r="AI34" i="29"/>
  <c r="AK15" i="11" s="1"/>
  <c r="AE34" i="29"/>
  <c r="AG15" i="11" s="1"/>
  <c r="AA34" i="29"/>
  <c r="AC15" i="11" s="1"/>
  <c r="AH25" i="29"/>
  <c r="AJ6" i="11" s="1"/>
  <c r="AD25" i="29"/>
  <c r="AF6" i="11" s="1"/>
  <c r="Z25" i="29"/>
  <c r="AB6" i="11" s="1"/>
  <c r="AD35" i="29"/>
  <c r="AF16" i="11" s="1"/>
  <c r="Z35" i="29"/>
  <c r="AB16" i="11" s="1"/>
  <c r="AG22" i="29"/>
  <c r="AI3" i="11" s="1"/>
  <c r="AO32" i="29"/>
  <c r="AQ13" i="11" s="1"/>
  <c r="AH22" i="29"/>
  <c r="AJ3" i="11" s="1"/>
  <c r="BA36" i="29"/>
  <c r="BC17" i="11" s="1"/>
  <c r="Y36" i="29"/>
  <c r="BA32" i="29"/>
  <c r="BC13" i="11" s="1"/>
  <c r="AD36" i="29"/>
  <c r="AF17" i="11" s="1"/>
  <c r="AE21" i="29"/>
  <c r="AG2" i="11" s="1"/>
  <c r="AA11" i="11"/>
  <c r="AB30" i="11" s="1"/>
  <c r="AU22" i="29"/>
  <c r="AW3" i="11" s="1"/>
  <c r="AO22" i="29"/>
  <c r="AQ3" i="11" s="1"/>
  <c r="AK22" i="29"/>
  <c r="AM3" i="11" s="1"/>
  <c r="AT36" i="29"/>
  <c r="AV17" i="11" s="1"/>
  <c r="AU36" i="29"/>
  <c r="AW17" i="11" s="1"/>
  <c r="AW28" i="29"/>
  <c r="AY9" i="11" s="1"/>
  <c r="Z22" i="29"/>
  <c r="AB3" i="11" s="1"/>
  <c r="AX32" i="29"/>
  <c r="AZ13" i="11" s="1"/>
  <c r="AN32" i="29"/>
  <c r="AP13" i="11" s="1"/>
  <c r="AB24" i="29"/>
  <c r="AD5" i="11" s="1"/>
  <c r="AN24" i="29"/>
  <c r="AP5" i="11" s="1"/>
  <c r="AF28" i="29"/>
  <c r="AH9" i="11" s="1"/>
  <c r="AT24" i="29"/>
  <c r="AV5" i="11" s="1"/>
  <c r="AW23" i="29"/>
  <c r="AY4" i="11" s="1"/>
  <c r="AN23" i="29"/>
  <c r="AP4" i="11" s="1"/>
  <c r="AR28" i="29"/>
  <c r="AT9" i="11" s="1"/>
  <c r="AI32" i="29"/>
  <c r="AK13" i="11" s="1"/>
  <c r="AY26" i="29"/>
  <c r="BA7" i="11" s="1"/>
  <c r="AU26" i="29"/>
  <c r="AW7" i="11" s="1"/>
  <c r="AQ26" i="29"/>
  <c r="AS7" i="11" s="1"/>
  <c r="AM26" i="29"/>
  <c r="AO7" i="11" s="1"/>
  <c r="AH36" i="29"/>
  <c r="AJ17" i="11" s="1"/>
  <c r="AB30" i="29"/>
  <c r="AD11" i="11" s="1"/>
  <c r="AY30" i="29"/>
  <c r="BA11" i="11" s="1"/>
  <c r="AR30" i="29"/>
  <c r="AT11" i="11" s="1"/>
  <c r="AM30" i="29"/>
  <c r="AO11" i="11" s="1"/>
  <c r="AI24" i="29"/>
  <c r="AK5" i="11" s="1"/>
  <c r="AB23" i="29"/>
  <c r="AD4" i="11" s="1"/>
  <c r="AX22" i="29"/>
  <c r="AZ3" i="11" s="1"/>
  <c r="AY21" i="29"/>
  <c r="BA2" i="11" s="1"/>
  <c r="AU21" i="29"/>
  <c r="AW2" i="11" s="1"/>
  <c r="AQ21" i="29"/>
  <c r="AS2" i="11" s="1"/>
  <c r="AM21" i="29"/>
  <c r="AO2" i="11" s="1"/>
  <c r="AH29" i="29"/>
  <c r="AJ10" i="11" s="1"/>
  <c r="AB22" i="29"/>
  <c r="AD3" i="11" s="1"/>
  <c r="AL28" i="29"/>
  <c r="AN9" i="11" s="1"/>
  <c r="Z28" i="29"/>
  <c r="AB9" i="11" s="1"/>
  <c r="AZ27" i="29"/>
  <c r="BB8" i="11" s="1"/>
  <c r="AV27" i="29"/>
  <c r="AX8" i="11" s="1"/>
  <c r="AR27" i="29"/>
  <c r="AT8" i="11" s="1"/>
  <c r="AN27" i="29"/>
  <c r="AP8" i="11" s="1"/>
  <c r="AJ27" i="29"/>
  <c r="AL8" i="11" s="1"/>
  <c r="AD24" i="29"/>
  <c r="AF5" i="11" s="1"/>
  <c r="AI26" i="29"/>
  <c r="AK7" i="11" s="1"/>
  <c r="AE26" i="29"/>
  <c r="AG7" i="11" s="1"/>
  <c r="AA26" i="29"/>
  <c r="AC7" i="11" s="1"/>
  <c r="AG33" i="29"/>
  <c r="AI14" i="11" s="1"/>
  <c r="AC33" i="29"/>
  <c r="AE14" i="11" s="1"/>
  <c r="AH27" i="29"/>
  <c r="AJ8" i="11" s="1"/>
  <c r="AD27" i="29"/>
  <c r="AF8" i="11" s="1"/>
  <c r="Z27" i="29"/>
  <c r="AB8" i="11" s="1"/>
  <c r="K27" i="11"/>
  <c r="I24" i="37"/>
  <c r="I24" i="36"/>
  <c r="I24" i="12"/>
  <c r="Z5" i="11"/>
  <c r="G7" i="12"/>
  <c r="T58" i="36"/>
  <c r="L54" i="40" s="1"/>
  <c r="L55" i="40" s="1"/>
  <c r="Z13" i="11"/>
  <c r="G7" i="37"/>
  <c r="Z11" i="11"/>
  <c r="G5" i="37"/>
  <c r="Z17" i="11"/>
  <c r="G7" i="38"/>
  <c r="Z3" i="11"/>
  <c r="G5" i="12"/>
  <c r="Z10" i="11"/>
  <c r="G4" i="37"/>
  <c r="Z16" i="11"/>
  <c r="G6" i="38"/>
  <c r="Z4" i="11"/>
  <c r="G6" i="12"/>
  <c r="Z12" i="11"/>
  <c r="G6" i="37"/>
  <c r="B58" i="36"/>
  <c r="B54" i="40" s="1"/>
  <c r="B55" i="40" s="1"/>
  <c r="Z14" i="11"/>
  <c r="G4" i="38"/>
  <c r="K58" i="36"/>
  <c r="G54" i="40" s="1"/>
  <c r="G55" i="40" s="1"/>
  <c r="AC58" i="36"/>
  <c r="Q54" i="40" s="1"/>
  <c r="Q55" i="40" s="1"/>
  <c r="Z15" i="11"/>
  <c r="G5" i="38"/>
  <c r="Z8" i="11"/>
  <c r="Z7" i="11"/>
  <c r="Z9" i="11"/>
  <c r="Z6" i="11"/>
  <c r="D883" i="4"/>
  <c r="G894" i="4"/>
  <c r="V351" i="4"/>
  <c r="D350" i="4"/>
  <c r="J351" i="4"/>
  <c r="D895" i="4"/>
  <c r="F894" i="4"/>
  <c r="G4" i="12"/>
  <c r="H6" i="37" l="1"/>
  <c r="P6" i="37"/>
  <c r="H5" i="12"/>
  <c r="P5" i="12"/>
  <c r="H5" i="38"/>
  <c r="P5" i="38"/>
  <c r="H7" i="12"/>
  <c r="P7" i="12"/>
  <c r="H4" i="37"/>
  <c r="P4" i="37"/>
  <c r="H7" i="37"/>
  <c r="P7" i="37"/>
  <c r="H6" i="12"/>
  <c r="P6" i="12"/>
  <c r="P7" i="38"/>
  <c r="H7" i="38"/>
  <c r="P6" i="38"/>
  <c r="H6" i="38"/>
  <c r="H5" i="37"/>
  <c r="P5" i="37"/>
  <c r="P4" i="12"/>
  <c r="H4" i="12"/>
  <c r="H4" i="38"/>
  <c r="P4" i="38"/>
  <c r="AC29" i="11"/>
  <c r="AD29" i="11" s="1"/>
  <c r="AE29" i="11" s="1"/>
  <c r="AF29" i="11" s="1"/>
  <c r="AG29" i="11" s="1"/>
  <c r="AH29" i="11" s="1"/>
  <c r="AI29" i="11" s="1"/>
  <c r="AJ29" i="11" s="1"/>
  <c r="AK29" i="11" s="1"/>
  <c r="AL29" i="11" s="1"/>
  <c r="AM29" i="11" s="1"/>
  <c r="AN29" i="11" s="1"/>
  <c r="AO29" i="11" s="1"/>
  <c r="AP29" i="11" s="1"/>
  <c r="AQ29" i="11" s="1"/>
  <c r="AR29" i="11" s="1"/>
  <c r="AS29" i="11" s="1"/>
  <c r="AT29" i="11" s="1"/>
  <c r="AU29" i="11" s="1"/>
  <c r="AV29" i="11" s="1"/>
  <c r="AW29" i="11" s="1"/>
  <c r="AX29" i="11" s="1"/>
  <c r="AY29" i="11" s="1"/>
  <c r="AZ29" i="11" s="1"/>
  <c r="BA29" i="11" s="1"/>
  <c r="BB29" i="11" s="1"/>
  <c r="BC29" i="11" s="1"/>
  <c r="AC23" i="11"/>
  <c r="AD23" i="11" s="1"/>
  <c r="AE23" i="11" s="1"/>
  <c r="AF23" i="11" s="1"/>
  <c r="AG23" i="11" s="1"/>
  <c r="AH23" i="11" s="1"/>
  <c r="AI23" i="11" s="1"/>
  <c r="AJ23" i="11" s="1"/>
  <c r="AK23" i="11" s="1"/>
  <c r="AL23" i="11" s="1"/>
  <c r="AM23" i="11" s="1"/>
  <c r="AN23" i="11" s="1"/>
  <c r="AO23" i="11" s="1"/>
  <c r="AP23" i="11" s="1"/>
  <c r="AQ23" i="11" s="1"/>
  <c r="AR23" i="11" s="1"/>
  <c r="AS23" i="11" s="1"/>
  <c r="AT23" i="11" s="1"/>
  <c r="AU23" i="11" s="1"/>
  <c r="AV23" i="11" s="1"/>
  <c r="AW23" i="11" s="1"/>
  <c r="AX23" i="11" s="1"/>
  <c r="AY23" i="11" s="1"/>
  <c r="AZ23" i="11" s="1"/>
  <c r="BA23" i="11" s="1"/>
  <c r="BB23" i="11" s="1"/>
  <c r="BC23" i="11" s="1"/>
  <c r="AC34" i="11"/>
  <c r="AD34" i="11" s="1"/>
  <c r="AE34" i="11" s="1"/>
  <c r="AF34" i="11" s="1"/>
  <c r="AG34" i="11" s="1"/>
  <c r="AH34" i="11" s="1"/>
  <c r="AI34" i="11" s="1"/>
  <c r="AJ34" i="11" s="1"/>
  <c r="AK34" i="11" s="1"/>
  <c r="AL34" i="11" s="1"/>
  <c r="AM34" i="11" s="1"/>
  <c r="AN34" i="11" s="1"/>
  <c r="AO34" i="11" s="1"/>
  <c r="AP34" i="11" s="1"/>
  <c r="AQ34" i="11" s="1"/>
  <c r="AR34" i="11" s="1"/>
  <c r="AS34" i="11" s="1"/>
  <c r="AT34" i="11" s="1"/>
  <c r="AU34" i="11" s="1"/>
  <c r="AV34" i="11" s="1"/>
  <c r="AW34" i="11" s="1"/>
  <c r="AX34" i="11" s="1"/>
  <c r="AY34" i="11" s="1"/>
  <c r="AZ34" i="11" s="1"/>
  <c r="BA34" i="11" s="1"/>
  <c r="BB34" i="11" s="1"/>
  <c r="BC34" i="11" s="1"/>
  <c r="AC24" i="11"/>
  <c r="AD24" i="11" s="1"/>
  <c r="AE24" i="11" s="1"/>
  <c r="AF24" i="11" s="1"/>
  <c r="AG24" i="11" s="1"/>
  <c r="AH24" i="11" s="1"/>
  <c r="AI24" i="11" s="1"/>
  <c r="AJ24" i="11" s="1"/>
  <c r="AK24" i="11" s="1"/>
  <c r="AL24" i="11" s="1"/>
  <c r="AM24" i="11" s="1"/>
  <c r="AN24" i="11" s="1"/>
  <c r="AO24" i="11" s="1"/>
  <c r="AP24" i="11" s="1"/>
  <c r="AQ24" i="11" s="1"/>
  <c r="AR24" i="11" s="1"/>
  <c r="AS24" i="11" s="1"/>
  <c r="AT24" i="11" s="1"/>
  <c r="AU24" i="11" s="1"/>
  <c r="AV24" i="11" s="1"/>
  <c r="AW24" i="11" s="1"/>
  <c r="AX24" i="11" s="1"/>
  <c r="AY24" i="11" s="1"/>
  <c r="AZ24" i="11" s="1"/>
  <c r="BA24" i="11" s="1"/>
  <c r="BB24" i="11" s="1"/>
  <c r="BC24" i="11" s="1"/>
  <c r="AC31" i="11"/>
  <c r="AD31" i="11" s="1"/>
  <c r="AE31" i="11" s="1"/>
  <c r="AF31" i="11" s="1"/>
  <c r="AG31" i="11" s="1"/>
  <c r="AH31" i="11" s="1"/>
  <c r="AI31" i="11" s="1"/>
  <c r="AJ31" i="11" s="1"/>
  <c r="AK31" i="11" s="1"/>
  <c r="AL31" i="11" s="1"/>
  <c r="AM31" i="11" s="1"/>
  <c r="AN31" i="11" s="1"/>
  <c r="AO31" i="11" s="1"/>
  <c r="AP31" i="11" s="1"/>
  <c r="AQ31" i="11" s="1"/>
  <c r="AR31" i="11" s="1"/>
  <c r="AS31" i="11" s="1"/>
  <c r="AT31" i="11" s="1"/>
  <c r="AU31" i="11" s="1"/>
  <c r="AV31" i="11" s="1"/>
  <c r="AW31" i="11" s="1"/>
  <c r="AX31" i="11" s="1"/>
  <c r="AY31" i="11" s="1"/>
  <c r="AZ31" i="11" s="1"/>
  <c r="BA31" i="11" s="1"/>
  <c r="BB31" i="11" s="1"/>
  <c r="BC31" i="11" s="1"/>
  <c r="AC35" i="11"/>
  <c r="AD35" i="11" s="1"/>
  <c r="AE35" i="11" s="1"/>
  <c r="AF35" i="11" s="1"/>
  <c r="AG35" i="11" s="1"/>
  <c r="AH35" i="11" s="1"/>
  <c r="AI35" i="11" s="1"/>
  <c r="AJ35" i="11" s="1"/>
  <c r="AK35" i="11" s="1"/>
  <c r="AL35" i="11" s="1"/>
  <c r="AM35" i="11" s="1"/>
  <c r="AN35" i="11" s="1"/>
  <c r="AO35" i="11" s="1"/>
  <c r="AP35" i="11" s="1"/>
  <c r="AQ35" i="11" s="1"/>
  <c r="AR35" i="11" s="1"/>
  <c r="AS35" i="11" s="1"/>
  <c r="AT35" i="11" s="1"/>
  <c r="AU35" i="11" s="1"/>
  <c r="AV35" i="11" s="1"/>
  <c r="AW35" i="11" s="1"/>
  <c r="AX35" i="11" s="1"/>
  <c r="AY35" i="11" s="1"/>
  <c r="AZ35" i="11" s="1"/>
  <c r="BA35" i="11" s="1"/>
  <c r="BB35" i="11" s="1"/>
  <c r="BC35" i="11" s="1"/>
  <c r="AC30" i="11"/>
  <c r="AD30" i="11" s="1"/>
  <c r="AE30" i="11" s="1"/>
  <c r="AF30" i="11" s="1"/>
  <c r="AG30" i="11" s="1"/>
  <c r="AH30" i="11" s="1"/>
  <c r="AI30" i="11" s="1"/>
  <c r="AJ30" i="11" s="1"/>
  <c r="AK30" i="11" s="1"/>
  <c r="AL30" i="11" s="1"/>
  <c r="AM30" i="11" s="1"/>
  <c r="AN30" i="11" s="1"/>
  <c r="AO30" i="11" s="1"/>
  <c r="AP30" i="11" s="1"/>
  <c r="AQ30" i="11" s="1"/>
  <c r="AR30" i="11" s="1"/>
  <c r="AS30" i="11" s="1"/>
  <c r="AT30" i="11" s="1"/>
  <c r="AU30" i="11" s="1"/>
  <c r="AV30" i="11" s="1"/>
  <c r="AW30" i="11" s="1"/>
  <c r="AX30" i="11" s="1"/>
  <c r="AY30" i="11" s="1"/>
  <c r="AZ30" i="11" s="1"/>
  <c r="BA30" i="11" s="1"/>
  <c r="BB30" i="11" s="1"/>
  <c r="BC30" i="11" s="1"/>
  <c r="AC26" i="11"/>
  <c r="AD26" i="11" s="1"/>
  <c r="AE26" i="11" s="1"/>
  <c r="AF26" i="11" s="1"/>
  <c r="AG26" i="11" s="1"/>
  <c r="AH26" i="11" s="1"/>
  <c r="AI26" i="11" s="1"/>
  <c r="AJ26" i="11" s="1"/>
  <c r="AK26" i="11" s="1"/>
  <c r="AL26" i="11" s="1"/>
  <c r="AM26" i="11" s="1"/>
  <c r="AN26" i="11" s="1"/>
  <c r="AO26" i="11" s="1"/>
  <c r="AP26" i="11" s="1"/>
  <c r="AQ26" i="11" s="1"/>
  <c r="AR26" i="11" s="1"/>
  <c r="AS26" i="11" s="1"/>
  <c r="AT26" i="11" s="1"/>
  <c r="AU26" i="11" s="1"/>
  <c r="AV26" i="11" s="1"/>
  <c r="AW26" i="11" s="1"/>
  <c r="AX26" i="11" s="1"/>
  <c r="AY26" i="11" s="1"/>
  <c r="AZ26" i="11" s="1"/>
  <c r="BA26" i="11" s="1"/>
  <c r="BB26" i="11" s="1"/>
  <c r="BC26" i="11" s="1"/>
  <c r="AC28" i="11"/>
  <c r="AD28" i="11" s="1"/>
  <c r="AE28" i="11" s="1"/>
  <c r="AF28" i="11" s="1"/>
  <c r="AG28" i="11" s="1"/>
  <c r="AH28" i="11" s="1"/>
  <c r="AI28" i="11" s="1"/>
  <c r="AJ28" i="11" s="1"/>
  <c r="AK28" i="11" s="1"/>
  <c r="AL28" i="11" s="1"/>
  <c r="AM28" i="11" s="1"/>
  <c r="AN28" i="11" s="1"/>
  <c r="AO28" i="11" s="1"/>
  <c r="AP28" i="11" s="1"/>
  <c r="AQ28" i="11" s="1"/>
  <c r="AR28" i="11" s="1"/>
  <c r="AS28" i="11" s="1"/>
  <c r="AT28" i="11" s="1"/>
  <c r="AU28" i="11" s="1"/>
  <c r="AV28" i="11" s="1"/>
  <c r="AW28" i="11" s="1"/>
  <c r="AX28" i="11" s="1"/>
  <c r="AY28" i="11" s="1"/>
  <c r="AZ28" i="11" s="1"/>
  <c r="BA28" i="11" s="1"/>
  <c r="BB28" i="11" s="1"/>
  <c r="BC28" i="11" s="1"/>
  <c r="AC25" i="11"/>
  <c r="AD25" i="11" s="1"/>
  <c r="AE25" i="11" s="1"/>
  <c r="AF25" i="11" s="1"/>
  <c r="AG25" i="11" s="1"/>
  <c r="AH25" i="11" s="1"/>
  <c r="AI25" i="11" s="1"/>
  <c r="AJ25" i="11" s="1"/>
  <c r="AK25" i="11" s="1"/>
  <c r="AL25" i="11" s="1"/>
  <c r="AM25" i="11" s="1"/>
  <c r="AN25" i="11" s="1"/>
  <c r="AO25" i="11" s="1"/>
  <c r="AP25" i="11" s="1"/>
  <c r="AQ25" i="11" s="1"/>
  <c r="AR25" i="11" s="1"/>
  <c r="AS25" i="11" s="1"/>
  <c r="AT25" i="11" s="1"/>
  <c r="AU25" i="11" s="1"/>
  <c r="AV25" i="11" s="1"/>
  <c r="AW25" i="11" s="1"/>
  <c r="AX25" i="11" s="1"/>
  <c r="AY25" i="11" s="1"/>
  <c r="AZ25" i="11" s="1"/>
  <c r="BA25" i="11" s="1"/>
  <c r="BB25" i="11" s="1"/>
  <c r="BC25" i="11" s="1"/>
  <c r="AC27" i="11"/>
  <c r="AD27" i="11" s="1"/>
  <c r="AE27" i="11" s="1"/>
  <c r="AF27" i="11" s="1"/>
  <c r="AG27" i="11" s="1"/>
  <c r="AH27" i="11" s="1"/>
  <c r="AI27" i="11" s="1"/>
  <c r="AJ27" i="11" s="1"/>
  <c r="AK27" i="11" s="1"/>
  <c r="AL27" i="11" s="1"/>
  <c r="AM27" i="11" s="1"/>
  <c r="AN27" i="11" s="1"/>
  <c r="AO27" i="11" s="1"/>
  <c r="AP27" i="11" s="1"/>
  <c r="AQ27" i="11" s="1"/>
  <c r="AR27" i="11" s="1"/>
  <c r="AS27" i="11" s="1"/>
  <c r="AT27" i="11" s="1"/>
  <c r="AU27" i="11" s="1"/>
  <c r="AV27" i="11" s="1"/>
  <c r="AW27" i="11" s="1"/>
  <c r="AX27" i="11" s="1"/>
  <c r="AY27" i="11" s="1"/>
  <c r="AZ27" i="11" s="1"/>
  <c r="BA27" i="11" s="1"/>
  <c r="BB27" i="11" s="1"/>
  <c r="BC27" i="11" s="1"/>
  <c r="AC33" i="11"/>
  <c r="AD33" i="11" s="1"/>
  <c r="AE33" i="11" s="1"/>
  <c r="AF33" i="11" s="1"/>
  <c r="AG33" i="11" s="1"/>
  <c r="AH33" i="11" s="1"/>
  <c r="AI33" i="11" s="1"/>
  <c r="AJ33" i="11" s="1"/>
  <c r="AK33" i="11" s="1"/>
  <c r="AL33" i="11" s="1"/>
  <c r="AM33" i="11" s="1"/>
  <c r="AN33" i="11" s="1"/>
  <c r="AO33" i="11" s="1"/>
  <c r="AP33" i="11" s="1"/>
  <c r="AQ33" i="11" s="1"/>
  <c r="AR33" i="11" s="1"/>
  <c r="AS33" i="11" s="1"/>
  <c r="AT33" i="11" s="1"/>
  <c r="AU33" i="11" s="1"/>
  <c r="AV33" i="11" s="1"/>
  <c r="AW33" i="11" s="1"/>
  <c r="AX33" i="11" s="1"/>
  <c r="AY33" i="11" s="1"/>
  <c r="AZ33" i="11" s="1"/>
  <c r="BA33" i="11" s="1"/>
  <c r="BB33" i="11" s="1"/>
  <c r="BC33" i="11" s="1"/>
  <c r="AA17" i="11"/>
  <c r="AB36" i="11" s="1"/>
  <c r="AC36" i="11" s="1"/>
  <c r="AD36" i="11" s="1"/>
  <c r="AE36" i="11" s="1"/>
  <c r="AF36" i="11" s="1"/>
  <c r="AG36" i="11" s="1"/>
  <c r="AH36" i="11" s="1"/>
  <c r="AI36" i="11" s="1"/>
  <c r="AJ36" i="11" s="1"/>
  <c r="AK36" i="11" s="1"/>
  <c r="AL36" i="11" s="1"/>
  <c r="AM36" i="11" s="1"/>
  <c r="AN36" i="11" s="1"/>
  <c r="AO36" i="11" s="1"/>
  <c r="AP36" i="11" s="1"/>
  <c r="AQ36" i="11" s="1"/>
  <c r="AR36" i="11" s="1"/>
  <c r="AS36" i="11" s="1"/>
  <c r="AT36" i="11" s="1"/>
  <c r="AU36" i="11" s="1"/>
  <c r="AV36" i="11" s="1"/>
  <c r="AW36" i="11" s="1"/>
  <c r="AX36" i="11" s="1"/>
  <c r="AY36" i="11" s="1"/>
  <c r="AZ36" i="11" s="1"/>
  <c r="BA36" i="11" s="1"/>
  <c r="BB36" i="11" s="1"/>
  <c r="BC36" i="11" s="1"/>
  <c r="BB36" i="29"/>
  <c r="BD17" i="11" s="1"/>
  <c r="BB25" i="29"/>
  <c r="BD6" i="11" s="1"/>
  <c r="BB22" i="29"/>
  <c r="BD3" i="11" s="1"/>
  <c r="AA3" i="11"/>
  <c r="AB22" i="11" s="1"/>
  <c r="AC22" i="11" s="1"/>
  <c r="AD22" i="11" s="1"/>
  <c r="AE22" i="11" s="1"/>
  <c r="AF22" i="11" s="1"/>
  <c r="AG22" i="11" s="1"/>
  <c r="AH22" i="11" s="1"/>
  <c r="AI22" i="11" s="1"/>
  <c r="AJ22" i="11" s="1"/>
  <c r="AK22" i="11" s="1"/>
  <c r="AL22" i="11" s="1"/>
  <c r="AM22" i="11" s="1"/>
  <c r="AN22" i="11" s="1"/>
  <c r="AO22" i="11" s="1"/>
  <c r="AP22" i="11" s="1"/>
  <c r="AQ22" i="11" s="1"/>
  <c r="AR22" i="11" s="1"/>
  <c r="AS22" i="11" s="1"/>
  <c r="AT22" i="11" s="1"/>
  <c r="AU22" i="11" s="1"/>
  <c r="AV22" i="11" s="1"/>
  <c r="AW22" i="11" s="1"/>
  <c r="AX22" i="11" s="1"/>
  <c r="AY22" i="11" s="1"/>
  <c r="AZ22" i="11" s="1"/>
  <c r="BA22" i="11" s="1"/>
  <c r="BB22" i="11" s="1"/>
  <c r="BC22" i="11" s="1"/>
  <c r="BB35" i="29"/>
  <c r="BD16" i="11" s="1"/>
  <c r="AA2" i="11"/>
  <c r="AB21" i="11" s="1"/>
  <c r="AC21" i="11" s="1"/>
  <c r="AD21" i="11" s="1"/>
  <c r="AE21" i="11" s="1"/>
  <c r="AF21" i="11" s="1"/>
  <c r="AG21" i="11" s="1"/>
  <c r="AH21" i="11" s="1"/>
  <c r="AI21" i="11" s="1"/>
  <c r="AJ21" i="11" s="1"/>
  <c r="AK21" i="11" s="1"/>
  <c r="AL21" i="11" s="1"/>
  <c r="AM21" i="11" s="1"/>
  <c r="AN21" i="11" s="1"/>
  <c r="AO21" i="11" s="1"/>
  <c r="AP21" i="11" s="1"/>
  <c r="AQ21" i="11" s="1"/>
  <c r="AR21" i="11" s="1"/>
  <c r="AS21" i="11" s="1"/>
  <c r="AT21" i="11" s="1"/>
  <c r="AU21" i="11" s="1"/>
  <c r="AV21" i="11" s="1"/>
  <c r="AW21" i="11" s="1"/>
  <c r="AX21" i="11" s="1"/>
  <c r="AY21" i="11" s="1"/>
  <c r="AZ21" i="11" s="1"/>
  <c r="BA21" i="11" s="1"/>
  <c r="BB21" i="11" s="1"/>
  <c r="BC21" i="11" s="1"/>
  <c r="BB21" i="29"/>
  <c r="BD2" i="11" s="1"/>
  <c r="BB26" i="29"/>
  <c r="BD7" i="11" s="1"/>
  <c r="BB34" i="29"/>
  <c r="BD15" i="11" s="1"/>
  <c r="BB30" i="29"/>
  <c r="BD11" i="11" s="1"/>
  <c r="AA13" i="11"/>
  <c r="AB32" i="11" s="1"/>
  <c r="AC32" i="11" s="1"/>
  <c r="AD32" i="11" s="1"/>
  <c r="AE32" i="11" s="1"/>
  <c r="AF32" i="11" s="1"/>
  <c r="AG32" i="11" s="1"/>
  <c r="AH32" i="11" s="1"/>
  <c r="AI32" i="11" s="1"/>
  <c r="AJ32" i="11" s="1"/>
  <c r="AK32" i="11" s="1"/>
  <c r="AL32" i="11" s="1"/>
  <c r="AM32" i="11" s="1"/>
  <c r="AN32" i="11" s="1"/>
  <c r="AO32" i="11" s="1"/>
  <c r="AP32" i="11" s="1"/>
  <c r="AQ32" i="11" s="1"/>
  <c r="AR32" i="11" s="1"/>
  <c r="AS32" i="11" s="1"/>
  <c r="AT32" i="11" s="1"/>
  <c r="AU32" i="11" s="1"/>
  <c r="AV32" i="11" s="1"/>
  <c r="AW32" i="11" s="1"/>
  <c r="AX32" i="11" s="1"/>
  <c r="AY32" i="11" s="1"/>
  <c r="AZ32" i="11" s="1"/>
  <c r="BA32" i="11" s="1"/>
  <c r="BB32" i="11" s="1"/>
  <c r="BC32" i="11" s="1"/>
  <c r="BB32" i="29"/>
  <c r="BD13" i="11" s="1"/>
  <c r="BB31" i="29"/>
  <c r="BD12" i="11" s="1"/>
  <c r="BB33" i="29"/>
  <c r="BD14" i="11" s="1"/>
  <c r="BB23" i="29"/>
  <c r="BD4" i="11" s="1"/>
  <c r="BB27" i="29"/>
  <c r="BD8" i="11" s="1"/>
  <c r="BB28" i="29"/>
  <c r="BD9" i="11" s="1"/>
  <c r="BB24" i="29"/>
  <c r="BD5" i="11" s="1"/>
  <c r="BB29" i="29"/>
  <c r="BD10" i="11" s="1"/>
  <c r="D58" i="36"/>
  <c r="C58" i="36"/>
  <c r="M58" i="36"/>
  <c r="L58" i="36"/>
  <c r="AE58" i="36"/>
  <c r="AD58" i="36"/>
  <c r="U58" i="36"/>
  <c r="V58" i="36"/>
  <c r="K28" i="11"/>
  <c r="I26" i="38" s="1"/>
  <c r="I25" i="38"/>
  <c r="I25" i="12"/>
  <c r="I25" i="36"/>
  <c r="I25" i="37"/>
  <c r="T58" i="37"/>
  <c r="L104" i="40" s="1"/>
  <c r="L105" i="40" s="1"/>
  <c r="B58" i="38"/>
  <c r="B154" i="40" s="1"/>
  <c r="B155" i="40" s="1"/>
  <c r="AC58" i="38"/>
  <c r="Q154" i="40" s="1"/>
  <c r="Q155" i="40" s="1"/>
  <c r="V116" i="36"/>
  <c r="W116" i="36" s="1"/>
  <c r="T174" i="36"/>
  <c r="X58" i="36"/>
  <c r="W58" i="36"/>
  <c r="AF116" i="36"/>
  <c r="AG116" i="36" s="1"/>
  <c r="AC174" i="36"/>
  <c r="AG58" i="36"/>
  <c r="AF58" i="36"/>
  <c r="T58" i="38"/>
  <c r="L154" i="40" s="1"/>
  <c r="L155" i="40" s="1"/>
  <c r="K58" i="37"/>
  <c r="G104" i="40" s="1"/>
  <c r="G105" i="40" s="1"/>
  <c r="L116" i="36"/>
  <c r="M116" i="36" s="1"/>
  <c r="K174" i="36"/>
  <c r="O58" i="36"/>
  <c r="N58" i="36"/>
  <c r="E58" i="36"/>
  <c r="B116" i="36"/>
  <c r="C116" i="36" s="1"/>
  <c r="F58" i="36"/>
  <c r="B174" i="36"/>
  <c r="K58" i="38"/>
  <c r="G154" i="40" s="1"/>
  <c r="G155" i="40" s="1"/>
  <c r="B58" i="37"/>
  <c r="B104" i="40" s="1"/>
  <c r="B105" i="40" s="1"/>
  <c r="AC58" i="37"/>
  <c r="Q104" i="40" s="1"/>
  <c r="Q105" i="40" s="1"/>
  <c r="Z2" i="11"/>
  <c r="G895" i="4"/>
  <c r="D884" i="4"/>
  <c r="J352" i="4"/>
  <c r="D351" i="4"/>
  <c r="V352" i="4"/>
  <c r="D896" i="4"/>
  <c r="F895" i="4"/>
  <c r="AA40" i="11"/>
  <c r="AA41" i="11"/>
  <c r="AA42" i="11"/>
  <c r="AA43" i="11"/>
  <c r="AA44" i="11"/>
  <c r="AA45" i="11"/>
  <c r="AA46" i="11"/>
  <c r="AA47" i="11"/>
  <c r="AA48" i="11"/>
  <c r="AA49" i="11"/>
  <c r="AA50" i="11"/>
  <c r="AA51" i="11"/>
  <c r="AA52" i="11"/>
  <c r="AA53" i="11"/>
  <c r="AA54" i="11"/>
  <c r="AA55" i="11"/>
  <c r="X40" i="11"/>
  <c r="X41" i="11"/>
  <c r="X42" i="11"/>
  <c r="X43" i="11"/>
  <c r="X44" i="11"/>
  <c r="X45" i="11"/>
  <c r="X46" i="11"/>
  <c r="X47" i="11"/>
  <c r="X48" i="11"/>
  <c r="X49" i="11"/>
  <c r="X50" i="11"/>
  <c r="X51" i="11"/>
  <c r="X52" i="11"/>
  <c r="X53" i="11"/>
  <c r="X54" i="11"/>
  <c r="X55" i="11"/>
  <c r="AE50" i="11" l="1"/>
  <c r="AC50" i="11"/>
  <c r="AH50" i="11" a="1"/>
  <c r="AH50" i="11" s="1"/>
  <c r="AE42" i="11"/>
  <c r="AC42" i="11"/>
  <c r="AD42" i="11" s="1"/>
  <c r="AH42" i="11" a="1"/>
  <c r="AH42" i="11" s="1"/>
  <c r="AE46" i="11"/>
  <c r="AH46" i="11" a="1"/>
  <c r="AH46" i="11" s="1"/>
  <c r="AC46" i="11"/>
  <c r="AC51" i="11"/>
  <c r="AD51" i="11" s="1"/>
  <c r="AH51" i="11" a="1"/>
  <c r="AH51" i="11" s="1"/>
  <c r="AE51" i="11"/>
  <c r="AC43" i="11"/>
  <c r="AD43" i="11" s="1"/>
  <c r="AE43" i="11"/>
  <c r="AH43" i="11" a="1"/>
  <c r="AH43" i="11" s="1"/>
  <c r="AC49" i="11"/>
  <c r="AD49" i="11" s="1"/>
  <c r="AE49" i="11"/>
  <c r="AC41" i="11"/>
  <c r="AE41" i="11"/>
  <c r="AC48" i="11"/>
  <c r="AD48" i="11" s="1"/>
  <c r="AE48" i="11"/>
  <c r="AC40" i="11"/>
  <c r="AD40" i="11" s="1"/>
  <c r="AE40" i="11"/>
  <c r="AH47" i="11" a="1"/>
  <c r="AH47" i="11" s="1"/>
  <c r="AE47" i="11"/>
  <c r="AC47" i="11"/>
  <c r="AD47" i="11" s="1"/>
  <c r="AE54" i="11"/>
  <c r="AH54" i="11" a="1"/>
  <c r="AH54" i="11" s="1"/>
  <c r="AC54" i="11"/>
  <c r="AD54" i="11" s="1"/>
  <c r="AC53" i="11"/>
  <c r="AD53" i="11" s="1"/>
  <c r="AE53" i="11"/>
  <c r="AH53" i="11" a="1"/>
  <c r="AH53" i="11" s="1"/>
  <c r="AC45" i="11"/>
  <c r="AD45" i="11" s="1"/>
  <c r="AE45" i="11"/>
  <c r="AC52" i="11"/>
  <c r="AD52" i="11" s="1"/>
  <c r="AE52" i="11"/>
  <c r="AC44" i="11"/>
  <c r="AD44" i="11" s="1"/>
  <c r="AE44" i="11"/>
  <c r="AH55" i="11" a="1"/>
  <c r="AH55" i="11" s="1"/>
  <c r="AE55" i="11"/>
  <c r="AC55" i="11"/>
  <c r="AD55" i="11" s="1"/>
  <c r="D174" i="36"/>
  <c r="C174" i="36"/>
  <c r="M58" i="37"/>
  <c r="L58" i="37"/>
  <c r="V58" i="37"/>
  <c r="U58" i="37"/>
  <c r="AD58" i="37"/>
  <c r="AE58" i="37"/>
  <c r="U58" i="38"/>
  <c r="V58" i="38"/>
  <c r="M174" i="36"/>
  <c r="L174" i="36"/>
  <c r="AD174" i="36"/>
  <c r="AE174" i="36"/>
  <c r="D58" i="38"/>
  <c r="C58" i="38"/>
  <c r="V174" i="36"/>
  <c r="U174" i="36"/>
  <c r="D58" i="37"/>
  <c r="C58" i="37"/>
  <c r="AD58" i="38"/>
  <c r="AE58" i="38"/>
  <c r="M58" i="38"/>
  <c r="L58" i="38"/>
  <c r="I26" i="36"/>
  <c r="I26" i="37"/>
  <c r="K29" i="11"/>
  <c r="K30" i="11" s="1"/>
  <c r="I28" i="37" s="1"/>
  <c r="I26" i="12"/>
  <c r="AF52" i="11"/>
  <c r="AG52" i="11" s="1"/>
  <c r="AF48" i="11"/>
  <c r="AG48" i="11" s="1"/>
  <c r="AF44" i="11"/>
  <c r="AG44" i="11" s="1"/>
  <c r="AF51" i="11"/>
  <c r="AG51" i="11" s="1"/>
  <c r="AF53" i="11"/>
  <c r="AG53" i="11" s="1"/>
  <c r="AF45" i="11"/>
  <c r="AG45" i="11" s="1"/>
  <c r="AF50" i="11"/>
  <c r="AG50" i="11" s="1"/>
  <c r="AF41" i="11"/>
  <c r="AG41" i="11" s="1"/>
  <c r="AF49" i="11"/>
  <c r="AG49" i="11" s="1"/>
  <c r="AF55" i="11"/>
  <c r="AG55" i="11" s="1"/>
  <c r="AF43" i="11"/>
  <c r="AG43" i="11" s="1"/>
  <c r="AF42" i="11"/>
  <c r="AG42" i="11" s="1"/>
  <c r="AF40" i="11"/>
  <c r="AF47" i="11"/>
  <c r="AG47" i="11" s="1"/>
  <c r="AF54" i="11"/>
  <c r="AG54" i="11" s="1"/>
  <c r="AF46" i="11"/>
  <c r="AG46" i="11" s="1"/>
  <c r="N58" i="38"/>
  <c r="O58" i="38"/>
  <c r="K174" i="38"/>
  <c r="L116" i="38"/>
  <c r="M116" i="38" s="1"/>
  <c r="T174" i="38"/>
  <c r="V116" i="38"/>
  <c r="W116" i="38" s="1"/>
  <c r="X58" i="38"/>
  <c r="W58" i="38"/>
  <c r="V231" i="36"/>
  <c r="W231" i="36" s="1"/>
  <c r="W174" i="36"/>
  <c r="X174" i="36"/>
  <c r="B116" i="38"/>
  <c r="C116" i="38" s="1"/>
  <c r="B174" i="38"/>
  <c r="F58" i="38"/>
  <c r="E58" i="38"/>
  <c r="B116" i="37"/>
  <c r="C116" i="37" s="1"/>
  <c r="F58" i="37"/>
  <c r="B174" i="37"/>
  <c r="E58" i="37"/>
  <c r="L116" i="37"/>
  <c r="M116" i="37" s="1"/>
  <c r="K174" i="37"/>
  <c r="O58" i="37"/>
  <c r="N58" i="37"/>
  <c r="X58" i="37"/>
  <c r="V116" i="37"/>
  <c r="W116" i="37" s="1"/>
  <c r="T174" i="37"/>
  <c r="W58" i="37"/>
  <c r="E174" i="36"/>
  <c r="F174" i="36"/>
  <c r="B231" i="36"/>
  <c r="C231" i="36" s="1"/>
  <c r="N174" i="36"/>
  <c r="O174" i="36"/>
  <c r="L231" i="36"/>
  <c r="M231" i="36" s="1"/>
  <c r="AG174" i="36"/>
  <c r="AF231" i="36"/>
  <c r="AG231" i="36" s="1"/>
  <c r="AF174" i="36"/>
  <c r="AF116" i="38"/>
  <c r="AG116" i="38" s="1"/>
  <c r="AC174" i="38"/>
  <c r="AF58" i="38"/>
  <c r="AG58" i="38"/>
  <c r="AC174" i="37"/>
  <c r="AF116" i="37"/>
  <c r="AG116" i="37" s="1"/>
  <c r="AG58" i="37"/>
  <c r="AF58" i="37"/>
  <c r="Z51" i="11"/>
  <c r="Y51" i="11"/>
  <c r="Z50" i="11"/>
  <c r="Y50" i="11"/>
  <c r="Y53" i="11"/>
  <c r="Z53" i="11"/>
  <c r="Z45" i="11"/>
  <c r="Y45" i="11"/>
  <c r="Z44" i="11"/>
  <c r="Y44" i="11"/>
  <c r="Z49" i="11"/>
  <c r="Y49" i="11"/>
  <c r="Z48" i="11"/>
  <c r="Y48" i="11"/>
  <c r="Z52" i="11"/>
  <c r="Y52" i="11"/>
  <c r="Z42" i="11"/>
  <c r="Y42" i="11"/>
  <c r="Z41" i="11"/>
  <c r="Y41" i="11"/>
  <c r="Y55" i="11"/>
  <c r="Z55" i="11"/>
  <c r="Z47" i="11"/>
  <c r="Y47" i="11"/>
  <c r="Z43" i="11"/>
  <c r="Y43" i="11"/>
  <c r="Z40" i="11"/>
  <c r="Y40" i="11"/>
  <c r="Z54" i="11"/>
  <c r="Y54" i="11"/>
  <c r="Z46" i="11"/>
  <c r="Y46" i="11"/>
  <c r="AB40" i="11"/>
  <c r="AB44" i="11"/>
  <c r="AB49" i="11"/>
  <c r="AB50" i="11"/>
  <c r="AB48" i="11"/>
  <c r="AB43" i="11"/>
  <c r="AB42" i="11"/>
  <c r="AB54" i="11"/>
  <c r="AB46" i="11"/>
  <c r="AB45" i="11"/>
  <c r="AB52" i="11"/>
  <c r="AB53" i="11"/>
  <c r="AB51" i="11"/>
  <c r="AB41" i="11"/>
  <c r="AB55" i="11"/>
  <c r="AB47" i="11"/>
  <c r="G896" i="4"/>
  <c r="V353" i="4"/>
  <c r="D352" i="4"/>
  <c r="J353" i="4"/>
  <c r="D897" i="4"/>
  <c r="F896" i="4"/>
  <c r="AD46" i="11"/>
  <c r="AD50" i="11"/>
  <c r="AD41" i="11"/>
  <c r="I27" i="38" l="1"/>
  <c r="AH52" i="11" a="1"/>
  <c r="AH52" i="11" s="1"/>
  <c r="AI52" i="11" s="1"/>
  <c r="AG40" i="11"/>
  <c r="AU40" i="11" s="1"/>
  <c r="AD174" i="38"/>
  <c r="AE174" i="38"/>
  <c r="AD174" i="37"/>
  <c r="AE174" i="37"/>
  <c r="L174" i="37"/>
  <c r="M174" i="37"/>
  <c r="D174" i="38"/>
  <c r="C174" i="38"/>
  <c r="V174" i="38"/>
  <c r="U174" i="38"/>
  <c r="L174" i="38"/>
  <c r="M174" i="38"/>
  <c r="V174" i="37"/>
  <c r="U174" i="37"/>
  <c r="D174" i="37"/>
  <c r="C174" i="37"/>
  <c r="AK53" i="11"/>
  <c r="I6" i="38"/>
  <c r="J6" i="38" s="1"/>
  <c r="I4" i="38"/>
  <c r="J4" i="38" s="1"/>
  <c r="I7" i="38"/>
  <c r="J7" i="38" s="1"/>
  <c r="I5" i="38"/>
  <c r="J5" i="38" s="1"/>
  <c r="I5" i="37"/>
  <c r="J5" i="37" s="1"/>
  <c r="I4" i="37"/>
  <c r="J4" i="37" s="1"/>
  <c r="I7" i="37"/>
  <c r="J7" i="37" s="1"/>
  <c r="I6" i="37"/>
  <c r="J6" i="37" s="1"/>
  <c r="I5" i="36"/>
  <c r="J5" i="36" s="1"/>
  <c r="I4" i="36"/>
  <c r="J4" i="36" s="1"/>
  <c r="I7" i="36"/>
  <c r="J7" i="36" s="1"/>
  <c r="I6" i="36"/>
  <c r="J6" i="36" s="1"/>
  <c r="I27" i="36"/>
  <c r="I27" i="37"/>
  <c r="I27" i="12"/>
  <c r="I28" i="36"/>
  <c r="K31" i="11"/>
  <c r="I29" i="38" s="1"/>
  <c r="I28" i="38"/>
  <c r="I28" i="12"/>
  <c r="AU53" i="11"/>
  <c r="AU51" i="11"/>
  <c r="AU55" i="11"/>
  <c r="AU44" i="11"/>
  <c r="AU49" i="11"/>
  <c r="AU48" i="11"/>
  <c r="AU54" i="11"/>
  <c r="AU50" i="11"/>
  <c r="AU52" i="11"/>
  <c r="B231" i="37"/>
  <c r="C231" i="37" s="1"/>
  <c r="F174" i="37"/>
  <c r="E174" i="37"/>
  <c r="AF231" i="37"/>
  <c r="AG231" i="37" s="1"/>
  <c r="AG174" i="37"/>
  <c r="AF174" i="37"/>
  <c r="AG174" i="38"/>
  <c r="AF174" i="38"/>
  <c r="AF231" i="38"/>
  <c r="AG231" i="38" s="1"/>
  <c r="X174" i="38"/>
  <c r="V231" i="38"/>
  <c r="W231" i="38" s="1"/>
  <c r="W174" i="38"/>
  <c r="O174" i="37"/>
  <c r="N174" i="37"/>
  <c r="L231" i="37"/>
  <c r="M231" i="37" s="1"/>
  <c r="B231" i="38"/>
  <c r="C231" i="38" s="1"/>
  <c r="F174" i="38"/>
  <c r="E174" i="38"/>
  <c r="V231" i="37"/>
  <c r="W231" i="37" s="1"/>
  <c r="W174" i="37"/>
  <c r="X174" i="37"/>
  <c r="N174" i="38"/>
  <c r="O174" i="38"/>
  <c r="L231" i="38"/>
  <c r="M231" i="38" s="1"/>
  <c r="G897" i="4"/>
  <c r="D353" i="4"/>
  <c r="D898" i="4"/>
  <c r="F897" i="4"/>
  <c r="AK52" i="11" l="1"/>
  <c r="K5" i="38"/>
  <c r="K4" i="38"/>
  <c r="K7" i="38"/>
  <c r="K6" i="38"/>
  <c r="K7" i="37"/>
  <c r="K5" i="37"/>
  <c r="K6" i="37"/>
  <c r="K4" i="37"/>
  <c r="K6" i="36"/>
  <c r="K7" i="36"/>
  <c r="K5" i="36"/>
  <c r="K4" i="36"/>
  <c r="I29" i="37"/>
  <c r="I29" i="36"/>
  <c r="I29" i="12"/>
  <c r="K32" i="11"/>
  <c r="I30" i="38" s="1"/>
  <c r="I10" i="38"/>
  <c r="B11" i="38" s="1"/>
  <c r="I10" i="36"/>
  <c r="B11" i="36" s="1"/>
  <c r="I10" i="37"/>
  <c r="B11" i="37" s="1"/>
  <c r="AU43" i="11"/>
  <c r="AU42" i="11"/>
  <c r="AU41" i="11"/>
  <c r="AU46" i="11"/>
  <c r="AU45" i="11"/>
  <c r="AU47" i="11"/>
  <c r="G898" i="4"/>
  <c r="D899" i="4"/>
  <c r="F898" i="4"/>
  <c r="D11" i="37" l="1"/>
  <c r="C11" i="37"/>
  <c r="D11" i="36"/>
  <c r="C11" i="36"/>
  <c r="C11" i="38"/>
  <c r="D11" i="38"/>
  <c r="AM52" i="11"/>
  <c r="L4" i="38"/>
  <c r="Q4" i="38" s="1"/>
  <c r="R4" i="38" s="1"/>
  <c r="S4" i="38" s="1"/>
  <c r="I30" i="36"/>
  <c r="I30" i="37"/>
  <c r="K33" i="11"/>
  <c r="I31" i="38" s="1"/>
  <c r="I30" i="12"/>
  <c r="AL52" i="11"/>
  <c r="N4" i="38" s="1"/>
  <c r="A18" i="36"/>
  <c r="A91" i="36"/>
  <c r="A18" i="37"/>
  <c r="A91" i="37"/>
  <c r="A91" i="38"/>
  <c r="A18" i="38"/>
  <c r="G899" i="4"/>
  <c r="D900" i="4"/>
  <c r="F899" i="4"/>
  <c r="N16" i="2"/>
  <c r="O16" i="2"/>
  <c r="P16" i="2"/>
  <c r="N17" i="2"/>
  <c r="O17" i="2"/>
  <c r="P17" i="2"/>
  <c r="N18" i="2"/>
  <c r="O18" i="2"/>
  <c r="P18" i="2"/>
  <c r="N20" i="2"/>
  <c r="O20" i="2"/>
  <c r="P20" i="2"/>
  <c r="N21" i="2"/>
  <c r="O21" i="2"/>
  <c r="P21" i="2"/>
  <c r="N22" i="2"/>
  <c r="O22" i="2"/>
  <c r="P22" i="2"/>
  <c r="N23" i="2"/>
  <c r="O23" i="2"/>
  <c r="P23" i="2"/>
  <c r="N24" i="2"/>
  <c r="O24" i="2"/>
  <c r="P24" i="2"/>
  <c r="N25" i="2"/>
  <c r="O25" i="2"/>
  <c r="P25" i="2"/>
  <c r="N26" i="2"/>
  <c r="O26" i="2"/>
  <c r="P26" i="2"/>
  <c r="Y21" i="11"/>
  <c r="Y22" i="11"/>
  <c r="Y23" i="11"/>
  <c r="Y24" i="11"/>
  <c r="Y25" i="11"/>
  <c r="Y26" i="11"/>
  <c r="Y27" i="11"/>
  <c r="Y28" i="11"/>
  <c r="Y29" i="11"/>
  <c r="Y30" i="11"/>
  <c r="Y31" i="11"/>
  <c r="Y32" i="11"/>
  <c r="Y33" i="11"/>
  <c r="Y34" i="11"/>
  <c r="F4" i="12"/>
  <c r="I4" i="12" s="1"/>
  <c r="J4" i="12" s="1"/>
  <c r="F5" i="12"/>
  <c r="F6" i="12"/>
  <c r="I6" i="12" s="1"/>
  <c r="J6" i="12" s="1"/>
  <c r="F7" i="12"/>
  <c r="I7" i="12" s="1"/>
  <c r="J7" i="12" s="1"/>
  <c r="D167" i="4"/>
  <c r="C5" i="12"/>
  <c r="X21" i="11"/>
  <c r="X22" i="11"/>
  <c r="X23" i="11"/>
  <c r="X24" i="11"/>
  <c r="X25" i="11"/>
  <c r="X26" i="11"/>
  <c r="X27" i="11"/>
  <c r="X28" i="11"/>
  <c r="X29" i="11"/>
  <c r="X30" i="11"/>
  <c r="X31" i="11"/>
  <c r="X32" i="11"/>
  <c r="X33" i="11"/>
  <c r="X34" i="11"/>
  <c r="X35" i="11"/>
  <c r="Y35" i="11"/>
  <c r="X36" i="11"/>
  <c r="Y36" i="11"/>
  <c r="L30" i="2"/>
  <c r="M30" i="2"/>
  <c r="O30" i="2"/>
  <c r="O31" i="2"/>
  <c r="M31" i="2"/>
  <c r="L31" i="2"/>
  <c r="A144" i="12"/>
  <c r="AO117" i="12"/>
  <c r="AB57" i="12"/>
  <c r="AB60" i="12" s="1"/>
  <c r="S57" i="12"/>
  <c r="S60" i="12" s="1"/>
  <c r="J57" i="12"/>
  <c r="K117" i="12" s="1"/>
  <c r="A57" i="12"/>
  <c r="A117" i="12" s="1"/>
  <c r="N31" i="2"/>
  <c r="N30" i="2"/>
  <c r="J980" i="4"/>
  <c r="L980" i="4" s="1"/>
  <c r="J981" i="4" s="1"/>
  <c r="M981" i="4" s="1"/>
  <c r="D980" i="4"/>
  <c r="F980" i="4" s="1"/>
  <c r="D981" i="4" s="1"/>
  <c r="G981" i="4" s="1"/>
  <c r="P946" i="4"/>
  <c r="R946" i="4" s="1"/>
  <c r="P947" i="4" s="1"/>
  <c r="S947" i="4" s="1"/>
  <c r="J946" i="4"/>
  <c r="D946" i="4"/>
  <c r="F946" i="4" s="1"/>
  <c r="D947" i="4" s="1"/>
  <c r="F933" i="4"/>
  <c r="G934" i="4" s="1"/>
  <c r="D911" i="4"/>
  <c r="P809" i="4"/>
  <c r="R809" i="4" s="1"/>
  <c r="P810" i="4" s="1"/>
  <c r="S810" i="4" s="1"/>
  <c r="J809" i="4"/>
  <c r="D809" i="4"/>
  <c r="F809" i="4" s="1"/>
  <c r="D810" i="4" s="1"/>
  <c r="G810" i="4" s="1"/>
  <c r="P759" i="4"/>
  <c r="J759" i="4"/>
  <c r="L759" i="4" s="1"/>
  <c r="J760" i="4" s="1"/>
  <c r="M760" i="4" s="1"/>
  <c r="D759" i="4"/>
  <c r="P705" i="4"/>
  <c r="R705" i="4" s="1"/>
  <c r="P706" i="4" s="1"/>
  <c r="S706" i="4" s="1"/>
  <c r="D705" i="4"/>
  <c r="D611" i="4"/>
  <c r="V553" i="4"/>
  <c r="P553" i="4"/>
  <c r="R553" i="4" s="1"/>
  <c r="P554" i="4" s="1"/>
  <c r="S554" i="4" s="1"/>
  <c r="J553" i="4"/>
  <c r="D553" i="4"/>
  <c r="J495" i="4"/>
  <c r="J496" i="4" s="1"/>
  <c r="D495" i="4"/>
  <c r="V452" i="4"/>
  <c r="X452" i="4" s="1"/>
  <c r="V453" i="4" s="1"/>
  <c r="Y453" i="4" s="1"/>
  <c r="P452" i="4"/>
  <c r="J452" i="4"/>
  <c r="D452" i="4"/>
  <c r="F452" i="4" s="1"/>
  <c r="D453" i="4" s="1"/>
  <c r="G453" i="4" s="1"/>
  <c r="AB410" i="4"/>
  <c r="AD410" i="4" s="1"/>
  <c r="AB411" i="4" s="1"/>
  <c r="AE411" i="4" s="1"/>
  <c r="V410" i="4"/>
  <c r="P410" i="4"/>
  <c r="J410" i="4"/>
  <c r="D410" i="4"/>
  <c r="P47" i="4"/>
  <c r="J47" i="4"/>
  <c r="D47" i="4"/>
  <c r="M391" i="4"/>
  <c r="AH366" i="4"/>
  <c r="AJ366" i="4" s="1"/>
  <c r="AH367" i="4" s="1"/>
  <c r="AK367" i="4" s="1"/>
  <c r="AB366" i="4"/>
  <c r="AD366" i="4" s="1"/>
  <c r="AB367" i="4" s="1"/>
  <c r="AE367" i="4" s="1"/>
  <c r="V366" i="4"/>
  <c r="X366" i="4" s="1"/>
  <c r="V367" i="4" s="1"/>
  <c r="Y367" i="4" s="1"/>
  <c r="P366" i="4"/>
  <c r="J366" i="4"/>
  <c r="D366" i="4"/>
  <c r="F366" i="4" s="1"/>
  <c r="D367" i="4" s="1"/>
  <c r="G367" i="4" s="1"/>
  <c r="V325" i="4"/>
  <c r="P325" i="4"/>
  <c r="R325" i="4" s="1"/>
  <c r="P326" i="4" s="1"/>
  <c r="S326" i="4" s="1"/>
  <c r="J325" i="4"/>
  <c r="L325" i="4" s="1"/>
  <c r="J326" i="4" s="1"/>
  <c r="M326" i="4" s="1"/>
  <c r="D325" i="4"/>
  <c r="F325" i="4" s="1"/>
  <c r="D326" i="4" s="1"/>
  <c r="G326" i="4" s="1"/>
  <c r="P284" i="4"/>
  <c r="R284" i="4" s="1"/>
  <c r="P285" i="4" s="1"/>
  <c r="S285" i="4" s="1"/>
  <c r="J284" i="4"/>
  <c r="D284" i="4"/>
  <c r="AB242" i="4"/>
  <c r="V242" i="4"/>
  <c r="P242" i="4"/>
  <c r="R242" i="4" s="1"/>
  <c r="P243" i="4" s="1"/>
  <c r="S243" i="4" s="1"/>
  <c r="J242" i="4"/>
  <c r="D242" i="4"/>
  <c r="F229" i="4"/>
  <c r="F223" i="4"/>
  <c r="F220" i="4"/>
  <c r="F217" i="4"/>
  <c r="P206" i="4"/>
  <c r="J206" i="4"/>
  <c r="D206" i="4"/>
  <c r="F206" i="4" s="1"/>
  <c r="D207" i="4" s="1"/>
  <c r="G207" i="4" s="1"/>
  <c r="F34" i="4"/>
  <c r="G35" i="4" s="1"/>
  <c r="F26" i="4"/>
  <c r="F19" i="4"/>
  <c r="P5" i="4"/>
  <c r="J5" i="4"/>
  <c r="L5" i="4" s="1"/>
  <c r="J6" i="4" s="1"/>
  <c r="M6" i="4" s="1"/>
  <c r="D5" i="4"/>
  <c r="F886" i="4"/>
  <c r="G887" i="4" s="1"/>
  <c r="I5" i="12" l="1"/>
  <c r="M4" i="38"/>
  <c r="K6" i="12"/>
  <c r="I31" i="37"/>
  <c r="I31" i="36"/>
  <c r="K34" i="11"/>
  <c r="I32" i="38" s="1"/>
  <c r="I31" i="12"/>
  <c r="K7" i="12"/>
  <c r="C177" i="38"/>
  <c r="D177" i="38" s="1"/>
  <c r="C61" i="38"/>
  <c r="AN52" i="11"/>
  <c r="AV52" i="11" s="1"/>
  <c r="G947" i="4"/>
  <c r="F947" i="4"/>
  <c r="D948" i="4" s="1"/>
  <c r="G900" i="4"/>
  <c r="X325" i="4"/>
  <c r="V326" i="4" s="1"/>
  <c r="Y326" i="4" s="1"/>
  <c r="F262" i="4"/>
  <c r="G263" i="4" s="1"/>
  <c r="D224" i="4"/>
  <c r="G224" i="4" s="1"/>
  <c r="D27" i="4"/>
  <c r="G27" i="4" s="1"/>
  <c r="D218" i="4"/>
  <c r="G218" i="4" s="1"/>
  <c r="D221" i="4"/>
  <c r="G221" i="4" s="1"/>
  <c r="D20" i="4"/>
  <c r="G20" i="4" s="1"/>
  <c r="D230" i="4"/>
  <c r="G230" i="4" s="1"/>
  <c r="D901" i="4"/>
  <c r="F900" i="4"/>
  <c r="F430" i="4"/>
  <c r="G431" i="4" s="1"/>
  <c r="L391" i="4"/>
  <c r="M392" i="4" s="1"/>
  <c r="L67" i="4"/>
  <c r="F472" i="4"/>
  <c r="G473" i="4" s="1"/>
  <c r="L573" i="4"/>
  <c r="X438" i="4"/>
  <c r="F578" i="4"/>
  <c r="G579" i="4" s="1"/>
  <c r="R227" i="4"/>
  <c r="S228" i="4" s="1"/>
  <c r="F434" i="4"/>
  <c r="F931" i="4"/>
  <c r="G932" i="4" s="1"/>
  <c r="F72" i="4"/>
  <c r="G73" i="4" s="1"/>
  <c r="F927" i="4"/>
  <c r="G928" i="4" s="1"/>
  <c r="L264" i="4"/>
  <c r="L430" i="4"/>
  <c r="M431" i="4" s="1"/>
  <c r="AD434" i="4"/>
  <c r="AE435" i="4" s="1"/>
  <c r="L224" i="4"/>
  <c r="R62" i="4"/>
  <c r="AD422" i="4"/>
  <c r="AE423" i="4" s="1"/>
  <c r="F438" i="4"/>
  <c r="L578" i="4"/>
  <c r="M579" i="4" s="1"/>
  <c r="F301" i="4"/>
  <c r="L72" i="4"/>
  <c r="M73" i="4" s="1"/>
  <c r="F921" i="4"/>
  <c r="G922" i="4" s="1"/>
  <c r="R422" i="4"/>
  <c r="S423" i="4" s="1"/>
  <c r="R345" i="4"/>
  <c r="P346" i="4" s="1"/>
  <c r="S346" i="4" s="1"/>
  <c r="F426" i="4"/>
  <c r="F935" i="4"/>
  <c r="G936" i="4" s="1"/>
  <c r="L946" i="4"/>
  <c r="J947" i="4" s="1"/>
  <c r="M947" i="4" s="1"/>
  <c r="R759" i="4"/>
  <c r="P760" i="4" s="1"/>
  <c r="S760" i="4" s="1"/>
  <c r="J497" i="4"/>
  <c r="J498" i="4" s="1"/>
  <c r="J499" i="4" s="1"/>
  <c r="J500" i="4" s="1"/>
  <c r="J501" i="4" s="1"/>
  <c r="J502" i="4" s="1"/>
  <c r="J503" i="4" s="1"/>
  <c r="J504" i="4" s="1"/>
  <c r="J505" i="4" s="1"/>
  <c r="J506" i="4" s="1"/>
  <c r="J507" i="4" s="1"/>
  <c r="J508" i="4" s="1"/>
  <c r="J509" i="4" s="1"/>
  <c r="J510" i="4" s="1"/>
  <c r="J511" i="4" s="1"/>
  <c r="J512" i="4" s="1"/>
  <c r="J513" i="4" s="1"/>
  <c r="J514" i="4" s="1"/>
  <c r="J515" i="4" s="1"/>
  <c r="J516" i="4" s="1"/>
  <c r="J517" i="4" s="1"/>
  <c r="J518" i="4" s="1"/>
  <c r="J519" i="4" s="1"/>
  <c r="J520" i="4" s="1"/>
  <c r="J521" i="4" s="1"/>
  <c r="J522" i="4" s="1"/>
  <c r="J523" i="4" s="1"/>
  <c r="R72" i="4"/>
  <c r="R285" i="4"/>
  <c r="P286" i="4" s="1"/>
  <c r="S286" i="4" s="1"/>
  <c r="R19" i="4"/>
  <c r="S20" i="4" s="1"/>
  <c r="L242" i="4"/>
  <c r="J243" i="4" s="1"/>
  <c r="M243" i="4" s="1"/>
  <c r="F267" i="4"/>
  <c r="R430" i="4"/>
  <c r="S431" i="4" s="1"/>
  <c r="R410" i="4"/>
  <c r="P411" i="4" s="1"/>
  <c r="S411" i="4" s="1"/>
  <c r="F926" i="4"/>
  <c r="G927" i="4" s="1"/>
  <c r="R230" i="4"/>
  <c r="S231" i="4" s="1"/>
  <c r="R29" i="4"/>
  <c r="L309" i="4"/>
  <c r="L227" i="4"/>
  <c r="L47" i="4"/>
  <c r="J48" i="4" s="1"/>
  <c r="M48" i="4" s="1"/>
  <c r="X422" i="4"/>
  <c r="L306" i="4"/>
  <c r="X426" i="4"/>
  <c r="Y427" i="4" s="1"/>
  <c r="Y439" i="4"/>
  <c r="M574" i="4"/>
  <c r="AD430" i="4"/>
  <c r="F14" i="4"/>
  <c r="G15" i="4" s="1"/>
  <c r="L452" i="4"/>
  <c r="J453" i="4" s="1"/>
  <c r="M453" i="4" s="1"/>
  <c r="R426" i="4"/>
  <c r="S427" i="4" s="1"/>
  <c r="X345" i="4"/>
  <c r="Y346" i="4" s="1"/>
  <c r="AD242" i="4"/>
  <c r="AB243" i="4" s="1"/>
  <c r="AD243" i="4" s="1"/>
  <c r="AB244" i="4" s="1"/>
  <c r="AE244" i="4" s="1"/>
  <c r="F309" i="4"/>
  <c r="F5" i="4"/>
  <c r="D6" i="4" s="1"/>
  <c r="G6" i="4" s="1"/>
  <c r="L410" i="4"/>
  <c r="J411" i="4" s="1"/>
  <c r="M411" i="4" s="1"/>
  <c r="F553" i="4"/>
  <c r="D554" i="4" s="1"/>
  <c r="G554" i="4" s="1"/>
  <c r="R438" i="4"/>
  <c r="S439" i="4" s="1"/>
  <c r="F871" i="4"/>
  <c r="G872" i="4" s="1"/>
  <c r="L438" i="4"/>
  <c r="M439" i="4" s="1"/>
  <c r="L345" i="4"/>
  <c r="M346" i="4" s="1"/>
  <c r="L62" i="4"/>
  <c r="M63" i="4" s="1"/>
  <c r="R47" i="4"/>
  <c r="P48" i="4" s="1"/>
  <c r="S48" i="4" s="1"/>
  <c r="R366" i="4"/>
  <c r="P367" i="4" s="1"/>
  <c r="S367" i="4" s="1"/>
  <c r="F410" i="4"/>
  <c r="D411" i="4" s="1"/>
  <c r="G411" i="4" s="1"/>
  <c r="R67" i="4"/>
  <c r="S68" i="4" s="1"/>
  <c r="F872" i="4"/>
  <c r="G873" i="4" s="1"/>
  <c r="F304" i="4"/>
  <c r="F391" i="4"/>
  <c r="G392" i="4" s="1"/>
  <c r="L284" i="4"/>
  <c r="J285" i="4" s="1"/>
  <c r="M285" i="4" s="1"/>
  <c r="R5" i="4"/>
  <c r="P6" i="4" s="1"/>
  <c r="S6" i="4" s="1"/>
  <c r="X430" i="4"/>
  <c r="Y431" i="4" s="1"/>
  <c r="R452" i="4"/>
  <c r="P453" i="4" s="1"/>
  <c r="S453" i="4" s="1"/>
  <c r="L426" i="4"/>
  <c r="R578" i="4"/>
  <c r="F861" i="4"/>
  <c r="D862" i="4" s="1"/>
  <c r="G862" i="4" s="1"/>
  <c r="F573" i="4"/>
  <c r="G574" i="4" s="1"/>
  <c r="R311" i="4"/>
  <c r="S312" i="4" s="1"/>
  <c r="L221" i="4"/>
  <c r="M222" i="4" s="1"/>
  <c r="R224" i="4"/>
  <c r="S225" i="4" s="1"/>
  <c r="L233" i="4"/>
  <c r="M234" i="4" s="1"/>
  <c r="L206" i="4"/>
  <c r="J207" i="4" s="1"/>
  <c r="M207" i="4" s="1"/>
  <c r="F242" i="4"/>
  <c r="D243" i="4" s="1"/>
  <c r="G243" i="4" s="1"/>
  <c r="F284" i="4"/>
  <c r="D285" i="4" s="1"/>
  <c r="G285" i="4" s="1"/>
  <c r="F705" i="4"/>
  <c r="D706" i="4" s="1"/>
  <c r="G706" i="4" s="1"/>
  <c r="X410" i="4"/>
  <c r="V411" i="4" s="1"/>
  <c r="Y411" i="4" s="1"/>
  <c r="L553" i="4"/>
  <c r="J554" i="4" s="1"/>
  <c r="M554" i="4" s="1"/>
  <c r="X242" i="4"/>
  <c r="V243" i="4" s="1"/>
  <c r="Y243" i="4" s="1"/>
  <c r="L267" i="4"/>
  <c r="M268" i="4" s="1"/>
  <c r="F345" i="4"/>
  <c r="G346" i="4" s="1"/>
  <c r="L366" i="4"/>
  <c r="J367" i="4" s="1"/>
  <c r="F759" i="4"/>
  <c r="D760" i="4" s="1"/>
  <c r="G760" i="4" s="1"/>
  <c r="X434" i="4"/>
  <c r="Y435" i="4" s="1"/>
  <c r="AD438" i="4"/>
  <c r="X553" i="4"/>
  <c r="V554" i="4" s="1"/>
  <c r="Y554" i="4" s="1"/>
  <c r="R267" i="4"/>
  <c r="S268" i="4" s="1"/>
  <c r="F911" i="4"/>
  <c r="D912" i="4" s="1"/>
  <c r="G912" i="4" s="1"/>
  <c r="R206" i="4"/>
  <c r="P207" i="4" s="1"/>
  <c r="F422" i="4"/>
  <c r="L434" i="4"/>
  <c r="M435" i="4" s="1"/>
  <c r="F877" i="4"/>
  <c r="G878" i="4" s="1"/>
  <c r="AD426" i="4"/>
  <c r="AE427" i="4" s="1"/>
  <c r="L422" i="4"/>
  <c r="L809" i="4"/>
  <c r="J810" i="4" s="1"/>
  <c r="M810" i="4" s="1"/>
  <c r="F887" i="4"/>
  <c r="G888" i="4" s="1"/>
  <c r="F611" i="4"/>
  <c r="D612" i="4" s="1"/>
  <c r="G612" i="4" s="1"/>
  <c r="R434" i="4"/>
  <c r="F495" i="4"/>
  <c r="D496" i="4" s="1"/>
  <c r="G496" i="4" s="1"/>
  <c r="F47" i="4"/>
  <c r="D48" i="4" s="1"/>
  <c r="G48" i="4" s="1"/>
  <c r="C201" i="12"/>
  <c r="A60" i="12"/>
  <c r="C168" i="12"/>
  <c r="Z25" i="11"/>
  <c r="Z32" i="11"/>
  <c r="Z23" i="11"/>
  <c r="Z31" i="11"/>
  <c r="Z30" i="11"/>
  <c r="Z34" i="11"/>
  <c r="Z29" i="11"/>
  <c r="Z28" i="11"/>
  <c r="T58" i="12"/>
  <c r="L4" i="40" s="1"/>
  <c r="L5" i="40" s="1"/>
  <c r="AC58" i="12"/>
  <c r="Q4" i="40" s="1"/>
  <c r="Q5" i="40" s="1"/>
  <c r="Z36" i="11"/>
  <c r="K58" i="12"/>
  <c r="G4" i="40" s="1"/>
  <c r="G5" i="40" s="1"/>
  <c r="B58" i="12"/>
  <c r="B4" i="40" s="1"/>
  <c r="B5" i="40" s="1"/>
  <c r="Z35" i="11"/>
  <c r="Z33" i="11"/>
  <c r="Z21" i="11"/>
  <c r="Z24" i="11"/>
  <c r="Z22" i="11"/>
  <c r="Z27" i="11"/>
  <c r="Z26" i="11"/>
  <c r="C53" i="12"/>
  <c r="U117" i="12"/>
  <c r="J60" i="12"/>
  <c r="C52" i="12"/>
  <c r="AE117" i="12"/>
  <c r="AH45" i="11" l="1" a="1"/>
  <c r="AH45" i="11" s="1"/>
  <c r="AH44" i="11" a="1"/>
  <c r="AH44" i="11" s="1"/>
  <c r="AH49" i="11" a="1"/>
  <c r="AH49" i="11" s="1"/>
  <c r="AH48" i="11" a="1"/>
  <c r="AH48" i="11" s="1"/>
  <c r="AH41" i="11" a="1"/>
  <c r="AH41" i="11" s="1"/>
  <c r="AH40" i="11" a="1"/>
  <c r="AH40" i="11" s="1"/>
  <c r="AI40" i="11" s="1"/>
  <c r="J5" i="12"/>
  <c r="K5" i="12" s="1"/>
  <c r="D104" i="40"/>
  <c r="D54" i="40"/>
  <c r="D154" i="40"/>
  <c r="I154" i="40"/>
  <c r="I54" i="40"/>
  <c r="I104" i="40"/>
  <c r="S154" i="40"/>
  <c r="S54" i="40"/>
  <c r="S4" i="40"/>
  <c r="S104" i="40"/>
  <c r="N54" i="40"/>
  <c r="N154" i="40"/>
  <c r="N104" i="40"/>
  <c r="M58" i="12"/>
  <c r="I4" i="40" s="1"/>
  <c r="L58" i="12"/>
  <c r="AD58" i="12"/>
  <c r="AE58" i="12"/>
  <c r="U58" i="12"/>
  <c r="V58" i="12"/>
  <c r="N4" i="40" s="1"/>
  <c r="D58" i="12"/>
  <c r="D4" i="40" s="1"/>
  <c r="C58" i="12"/>
  <c r="AI54" i="11"/>
  <c r="AK54" i="11" s="1"/>
  <c r="I32" i="37"/>
  <c r="I32" i="36"/>
  <c r="I32" i="12"/>
  <c r="K35" i="11"/>
  <c r="I33" i="38" s="1"/>
  <c r="J28" i="38" a="1"/>
  <c r="J28" i="38" s="1"/>
  <c r="J21" i="38" a="1"/>
  <c r="J21" i="38" s="1"/>
  <c r="J20" i="38" a="1"/>
  <c r="J20" i="38" s="1"/>
  <c r="J31" i="38" a="1"/>
  <c r="J31" i="38" s="1"/>
  <c r="J30" i="38" a="1"/>
  <c r="J30" i="38" s="1"/>
  <c r="J26" i="38" a="1"/>
  <c r="J26" i="38" s="1"/>
  <c r="J29" i="38" a="1"/>
  <c r="J29" i="38" s="1"/>
  <c r="J22" i="38" a="1"/>
  <c r="J22" i="38" s="1"/>
  <c r="J23" i="38" a="1"/>
  <c r="J23" i="38" s="1"/>
  <c r="J25" i="38" a="1"/>
  <c r="J25" i="38" s="1"/>
  <c r="J19" i="38" a="1"/>
  <c r="J19" i="38" s="1"/>
  <c r="D61" i="38" s="1"/>
  <c r="J24" i="38" a="1"/>
  <c r="J24" i="38" s="1"/>
  <c r="J32" i="38" a="1"/>
  <c r="J32" i="38" s="1"/>
  <c r="J27" i="38" a="1"/>
  <c r="J27" i="38" s="1"/>
  <c r="K4" i="12"/>
  <c r="L48" i="4"/>
  <c r="J49" i="4" s="1"/>
  <c r="M49" i="4" s="1"/>
  <c r="D231" i="4"/>
  <c r="D232" i="4" s="1"/>
  <c r="D233" i="4" s="1"/>
  <c r="D234" i="4" s="1"/>
  <c r="F554" i="4"/>
  <c r="D555" i="4" s="1"/>
  <c r="F555" i="4" s="1"/>
  <c r="D556" i="4" s="1"/>
  <c r="G556" i="4" s="1"/>
  <c r="R453" i="4"/>
  <c r="P454" i="4" s="1"/>
  <c r="S454" i="4" s="1"/>
  <c r="L453" i="4"/>
  <c r="J454" i="4" s="1"/>
  <c r="M454" i="4" s="1"/>
  <c r="L947" i="4"/>
  <c r="J948" i="4" s="1"/>
  <c r="M948" i="4" s="1"/>
  <c r="G901" i="4"/>
  <c r="F948" i="4"/>
  <c r="D949" i="4" s="1"/>
  <c r="G948" i="4"/>
  <c r="R760" i="4"/>
  <c r="P761" i="4" s="1"/>
  <c r="S761" i="4" s="1"/>
  <c r="R411" i="4"/>
  <c r="P412" i="4" s="1"/>
  <c r="S412" i="4" s="1"/>
  <c r="F862" i="4"/>
  <c r="D863" i="4" s="1"/>
  <c r="F863" i="4" s="1"/>
  <c r="D864" i="4" s="1"/>
  <c r="S579" i="4"/>
  <c r="R48" i="4"/>
  <c r="P49" i="4" s="1"/>
  <c r="S49" i="4" s="1"/>
  <c r="L411" i="4"/>
  <c r="J412" i="4" s="1"/>
  <c r="M412" i="4" s="1"/>
  <c r="AE439" i="4"/>
  <c r="AE431" i="4"/>
  <c r="Y423" i="4"/>
  <c r="S435" i="4"/>
  <c r="M427" i="4"/>
  <c r="M423" i="4"/>
  <c r="G439" i="4"/>
  <c r="G435" i="4"/>
  <c r="G427" i="4"/>
  <c r="G423" i="4"/>
  <c r="S73" i="4"/>
  <c r="S63" i="4"/>
  <c r="M68" i="4"/>
  <c r="M367" i="4"/>
  <c r="AE243" i="4"/>
  <c r="F218" i="4"/>
  <c r="D225" i="4"/>
  <c r="D226" i="4" s="1"/>
  <c r="D227" i="4" s="1"/>
  <c r="D228" i="4" s="1"/>
  <c r="M310" i="4"/>
  <c r="M307" i="4"/>
  <c r="G310" i="4"/>
  <c r="G305" i="4"/>
  <c r="G302" i="4"/>
  <c r="L243" i="4"/>
  <c r="J244" i="4" s="1"/>
  <c r="M244" i="4" s="1"/>
  <c r="M265" i="4"/>
  <c r="G268" i="4"/>
  <c r="L981" i="4"/>
  <c r="J982" i="4" s="1"/>
  <c r="M982" i="4" s="1"/>
  <c r="D28" i="4"/>
  <c r="D29" i="4" s="1"/>
  <c r="D30" i="4" s="1"/>
  <c r="D31" i="4" s="1"/>
  <c r="D32" i="4" s="1"/>
  <c r="D33" i="4" s="1"/>
  <c r="F6" i="4"/>
  <c r="D7" i="4" s="1"/>
  <c r="G7" i="4" s="1"/>
  <c r="S207" i="4"/>
  <c r="F224" i="4"/>
  <c r="L310" i="4"/>
  <c r="M311" i="4" s="1"/>
  <c r="R73" i="4"/>
  <c r="D21" i="4"/>
  <c r="F21" i="4" s="1"/>
  <c r="F922" i="4"/>
  <c r="G923" i="4" s="1"/>
  <c r="X427" i="4"/>
  <c r="Y428" i="4" s="1"/>
  <c r="R440" i="4"/>
  <c r="D222" i="4"/>
  <c r="F27" i="4"/>
  <c r="F221" i="4"/>
  <c r="R579" i="4"/>
  <c r="F579" i="4"/>
  <c r="F392" i="4"/>
  <c r="X346" i="4"/>
  <c r="Y347" i="4" s="1"/>
  <c r="D902" i="4"/>
  <c r="F901" i="4"/>
  <c r="D219" i="4"/>
  <c r="F20" i="4"/>
  <c r="AD427" i="4"/>
  <c r="AD431" i="4"/>
  <c r="F230" i="4"/>
  <c r="L228" i="4"/>
  <c r="M229" i="4" s="1"/>
  <c r="M228" i="4"/>
  <c r="M225" i="4"/>
  <c r="R30" i="4"/>
  <c r="S31" i="4" s="1"/>
  <c r="S30" i="4"/>
  <c r="F15" i="4"/>
  <c r="G16" i="4" s="1"/>
  <c r="R231" i="4"/>
  <c r="S232" i="4" s="1"/>
  <c r="L346" i="4"/>
  <c r="M347" i="4" s="1"/>
  <c r="L439" i="4"/>
  <c r="F268" i="4"/>
  <c r="X431" i="4"/>
  <c r="R63" i="4"/>
  <c r="F810" i="4"/>
  <c r="D811" i="4" s="1"/>
  <c r="R427" i="4"/>
  <c r="R225" i="4"/>
  <c r="S226" i="4" s="1"/>
  <c r="L427" i="4"/>
  <c r="M428" i="4" s="1"/>
  <c r="F435" i="4"/>
  <c r="G436" i="4" s="1"/>
  <c r="L225" i="4"/>
  <c r="M226" i="4" s="1"/>
  <c r="R431" i="4"/>
  <c r="F310" i="4"/>
  <c r="L265" i="4"/>
  <c r="M266" i="4" s="1"/>
  <c r="F473" i="4"/>
  <c r="G474" i="4" s="1"/>
  <c r="R312" i="4"/>
  <c r="S313" i="4" s="1"/>
  <c r="R228" i="4"/>
  <c r="S229" i="4" s="1"/>
  <c r="R346" i="4"/>
  <c r="P347" i="4" s="1"/>
  <c r="S347" i="4" s="1"/>
  <c r="F439" i="4"/>
  <c r="L574" i="4"/>
  <c r="L431" i="4"/>
  <c r="M432" i="4" s="1"/>
  <c r="F427" i="4"/>
  <c r="G428" i="4" s="1"/>
  <c r="L68" i="4"/>
  <c r="M69" i="4" s="1"/>
  <c r="L307" i="4"/>
  <c r="M308" i="4" s="1"/>
  <c r="L73" i="4"/>
  <c r="F431" i="4"/>
  <c r="G432" i="4" s="1"/>
  <c r="F574" i="4"/>
  <c r="F73" i="4"/>
  <c r="F263" i="4"/>
  <c r="R439" i="4"/>
  <c r="L222" i="4"/>
  <c r="M223" i="4" s="1"/>
  <c r="X423" i="4"/>
  <c r="F302" i="4"/>
  <c r="G303" i="4" s="1"/>
  <c r="R810" i="4"/>
  <c r="P811" i="4" s="1"/>
  <c r="S811" i="4" s="1"/>
  <c r="F453" i="4"/>
  <c r="D454" i="4" s="1"/>
  <c r="X367" i="4"/>
  <c r="V368" i="4" s="1"/>
  <c r="F367" i="4"/>
  <c r="D368" i="4" s="1"/>
  <c r="G368" i="4" s="1"/>
  <c r="AD367" i="4"/>
  <c r="AB368" i="4" s="1"/>
  <c r="AE368" i="4" s="1"/>
  <c r="X326" i="4"/>
  <c r="V327" i="4" s="1"/>
  <c r="Y327" i="4" s="1"/>
  <c r="R326" i="4"/>
  <c r="P327" i="4" s="1"/>
  <c r="S327" i="4" s="1"/>
  <c r="L326" i="4"/>
  <c r="J327" i="4" s="1"/>
  <c r="M327" i="4" s="1"/>
  <c r="F207" i="4"/>
  <c r="D208" i="4" s="1"/>
  <c r="G208" i="4" s="1"/>
  <c r="L6" i="4"/>
  <c r="J7" i="4" s="1"/>
  <c r="M7" i="4" s="1"/>
  <c r="L392" i="4"/>
  <c r="R243" i="4"/>
  <c r="P244" i="4" s="1"/>
  <c r="F981" i="4"/>
  <c r="D982" i="4" s="1"/>
  <c r="L311" i="4"/>
  <c r="R286" i="4"/>
  <c r="P287" i="4" s="1"/>
  <c r="R947" i="4"/>
  <c r="P948" i="4" s="1"/>
  <c r="S948" i="4" s="1"/>
  <c r="R20" i="4"/>
  <c r="F326" i="4"/>
  <c r="D327" i="4" s="1"/>
  <c r="G327" i="4" s="1"/>
  <c r="X439" i="4"/>
  <c r="Y440" i="4" s="1"/>
  <c r="F311" i="4"/>
  <c r="R554" i="4"/>
  <c r="P555" i="4" s="1"/>
  <c r="L579" i="4"/>
  <c r="AD423" i="4"/>
  <c r="L49" i="4"/>
  <c r="J50" i="4" s="1"/>
  <c r="R68" i="4"/>
  <c r="S69" i="4" s="1"/>
  <c r="R367" i="4"/>
  <c r="P368" i="4" s="1"/>
  <c r="S368" i="4" s="1"/>
  <c r="AJ367" i="4"/>
  <c r="AH368" i="4" s="1"/>
  <c r="X453" i="4"/>
  <c r="V454" i="4" s="1"/>
  <c r="Y454" i="4" s="1"/>
  <c r="R6" i="4"/>
  <c r="P7" i="4" s="1"/>
  <c r="S7" i="4" s="1"/>
  <c r="L285" i="4"/>
  <c r="J286" i="4" s="1"/>
  <c r="M286" i="4" s="1"/>
  <c r="F305" i="4"/>
  <c r="F873" i="4"/>
  <c r="G874" i="4" s="1"/>
  <c r="R706" i="4"/>
  <c r="P707" i="4" s="1"/>
  <c r="S707" i="4" s="1"/>
  <c r="AD411" i="4"/>
  <c r="AB412" i="4" s="1"/>
  <c r="AE412" i="4" s="1"/>
  <c r="AD435" i="4"/>
  <c r="AE436" i="4" s="1"/>
  <c r="F411" i="4"/>
  <c r="D412" i="4" s="1"/>
  <c r="L63" i="4"/>
  <c r="M64" i="4" s="1"/>
  <c r="R423" i="4"/>
  <c r="F496" i="4"/>
  <c r="D497" i="4" s="1"/>
  <c r="F760" i="4"/>
  <c r="D761" i="4" s="1"/>
  <c r="G761" i="4" s="1"/>
  <c r="F74" i="4"/>
  <c r="L810" i="4"/>
  <c r="J811" i="4" s="1"/>
  <c r="M811" i="4" s="1"/>
  <c r="R207" i="4"/>
  <c r="P208" i="4" s="1"/>
  <c r="AD244" i="4"/>
  <c r="AB245" i="4" s="1"/>
  <c r="AE245" i="4" s="1"/>
  <c r="X243" i="4"/>
  <c r="V244" i="4" s="1"/>
  <c r="Y244" i="4" s="1"/>
  <c r="F706" i="4"/>
  <c r="D707" i="4" s="1"/>
  <c r="F285" i="4"/>
  <c r="D286" i="4" s="1"/>
  <c r="R435" i="4"/>
  <c r="F243" i="4"/>
  <c r="D244" i="4" s="1"/>
  <c r="L207" i="4"/>
  <c r="J208" i="4" s="1"/>
  <c r="M208" i="4" s="1"/>
  <c r="F48" i="4"/>
  <c r="D49" i="4" s="1"/>
  <c r="G49" i="4" s="1"/>
  <c r="F912" i="4"/>
  <c r="D913" i="4" s="1"/>
  <c r="G913" i="4" s="1"/>
  <c r="F346" i="4"/>
  <c r="G347" i="4" s="1"/>
  <c r="X411" i="4"/>
  <c r="V412" i="4" s="1"/>
  <c r="F423" i="4"/>
  <c r="F878" i="4"/>
  <c r="G879" i="4" s="1"/>
  <c r="L367" i="4"/>
  <c r="J368" i="4" s="1"/>
  <c r="M368" i="4" s="1"/>
  <c r="R268" i="4"/>
  <c r="S269" i="4" s="1"/>
  <c r="L554" i="4"/>
  <c r="J555" i="4" s="1"/>
  <c r="L234" i="4"/>
  <c r="L423" i="4"/>
  <c r="F612" i="4"/>
  <c r="D613" i="4" s="1"/>
  <c r="G613" i="4" s="1"/>
  <c r="L435" i="4"/>
  <c r="M436" i="4" s="1"/>
  <c r="X554" i="4"/>
  <c r="V555" i="4" s="1"/>
  <c r="L760" i="4"/>
  <c r="J761" i="4" s="1"/>
  <c r="F888" i="4"/>
  <c r="G889" i="4" s="1"/>
  <c r="AD439" i="4"/>
  <c r="X435" i="4"/>
  <c r="L268" i="4"/>
  <c r="AG58" i="12"/>
  <c r="AF58" i="12"/>
  <c r="X58" i="12"/>
  <c r="W58" i="12"/>
  <c r="F58" i="12"/>
  <c r="E58" i="12"/>
  <c r="O58" i="12"/>
  <c r="N58" i="12"/>
  <c r="AF116" i="12"/>
  <c r="AG116" i="12" s="1"/>
  <c r="B174" i="12"/>
  <c r="V116" i="12"/>
  <c r="W116" i="12" s="1"/>
  <c r="AC174" i="12"/>
  <c r="K174" i="12"/>
  <c r="T174" i="12"/>
  <c r="B116" i="12"/>
  <c r="C116" i="12" s="1"/>
  <c r="L116" i="12"/>
  <c r="M116" i="12" s="1"/>
  <c r="I10" i="12"/>
  <c r="C233" i="38" l="1"/>
  <c r="D233" i="38" s="1"/>
  <c r="E233" i="38" s="1"/>
  <c r="F233" i="38" s="1"/>
  <c r="B181" i="40"/>
  <c r="C181" i="40" s="1"/>
  <c r="D181" i="40" s="1"/>
  <c r="C118" i="38"/>
  <c r="B158" i="40"/>
  <c r="C158" i="40" s="1"/>
  <c r="D158" i="40" s="1"/>
  <c r="V174" i="12"/>
  <c r="U174" i="12"/>
  <c r="AE174" i="12"/>
  <c r="AD174" i="12"/>
  <c r="C174" i="12"/>
  <c r="D174" i="12"/>
  <c r="L174" i="12"/>
  <c r="M174" i="12"/>
  <c r="AK40" i="11"/>
  <c r="AM40" i="11" s="1"/>
  <c r="AN40" i="11" s="1"/>
  <c r="AM54" i="11"/>
  <c r="AO54" i="11" s="1"/>
  <c r="AI55" i="11"/>
  <c r="AK55" i="11" s="1"/>
  <c r="AI51" i="11"/>
  <c r="AK51" i="11" s="1"/>
  <c r="AI47" i="11"/>
  <c r="AK47" i="11" s="1"/>
  <c r="L6" i="38"/>
  <c r="Q6" i="38" s="1"/>
  <c r="AI50" i="11"/>
  <c r="AK50" i="11" s="1"/>
  <c r="AI46" i="11"/>
  <c r="AK46" i="11" s="1"/>
  <c r="AI53" i="11"/>
  <c r="AI49" i="11"/>
  <c r="AK49" i="11" s="1"/>
  <c r="AI45" i="11"/>
  <c r="AK45" i="11" s="1"/>
  <c r="AI42" i="11"/>
  <c r="AK42" i="11" s="1"/>
  <c r="AI43" i="11"/>
  <c r="AK43" i="11" s="1"/>
  <c r="AI41" i="11"/>
  <c r="AK41" i="11" s="1"/>
  <c r="AM41" i="11" s="1"/>
  <c r="E177" i="38"/>
  <c r="C178" i="38" s="1"/>
  <c r="J33" i="38" a="1"/>
  <c r="J33" i="38" s="1"/>
  <c r="I33" i="12"/>
  <c r="I33" i="36"/>
  <c r="I33" i="37"/>
  <c r="K36" i="11"/>
  <c r="I34" i="38" s="1"/>
  <c r="AI48" i="11"/>
  <c r="AK48" i="11" s="1"/>
  <c r="AI44" i="11"/>
  <c r="AK44" i="11" s="1"/>
  <c r="G231" i="4"/>
  <c r="G555" i="4"/>
  <c r="F231" i="4"/>
  <c r="G232" i="4" s="1"/>
  <c r="F232" i="4"/>
  <c r="G233" i="4" s="1"/>
  <c r="B11" i="12"/>
  <c r="L454" i="4"/>
  <c r="J455" i="4" s="1"/>
  <c r="M455" i="4" s="1"/>
  <c r="F7" i="4"/>
  <c r="D8" i="4" s="1"/>
  <c r="G8" i="4" s="1"/>
  <c r="G863" i="4"/>
  <c r="R454" i="4"/>
  <c r="P455" i="4" s="1"/>
  <c r="S455" i="4" s="1"/>
  <c r="G28" i="4"/>
  <c r="L948" i="4"/>
  <c r="J949" i="4" s="1"/>
  <c r="M949" i="4" s="1"/>
  <c r="F28" i="4"/>
  <c r="G29" i="4" s="1"/>
  <c r="R761" i="4"/>
  <c r="P762" i="4" s="1"/>
  <c r="R762" i="4" s="1"/>
  <c r="P763" i="4" s="1"/>
  <c r="S763" i="4" s="1"/>
  <c r="R948" i="4"/>
  <c r="P949" i="4" s="1"/>
  <c r="S949" i="4" s="1"/>
  <c r="G902" i="4"/>
  <c r="L412" i="4"/>
  <c r="J413" i="4" s="1"/>
  <c r="M413" i="4" s="1"/>
  <c r="G219" i="4"/>
  <c r="F949" i="4"/>
  <c r="D950" i="4" s="1"/>
  <c r="G949" i="4"/>
  <c r="R412" i="4"/>
  <c r="P413" i="4" s="1"/>
  <c r="S413" i="4" s="1"/>
  <c r="R49" i="4"/>
  <c r="P50" i="4" s="1"/>
  <c r="S50" i="4" s="1"/>
  <c r="F982" i="4"/>
  <c r="D983" i="4" s="1"/>
  <c r="G983" i="4" s="1"/>
  <c r="G982" i="4"/>
  <c r="F923" i="4"/>
  <c r="G924" i="4" s="1"/>
  <c r="F864" i="4"/>
  <c r="G864" i="4"/>
  <c r="G811" i="4"/>
  <c r="M761" i="4"/>
  <c r="G707" i="4"/>
  <c r="Y555" i="4"/>
  <c r="S580" i="4"/>
  <c r="S555" i="4"/>
  <c r="M580" i="4"/>
  <c r="M575" i="4"/>
  <c r="M555" i="4"/>
  <c r="G580" i="4"/>
  <c r="G575" i="4"/>
  <c r="G497" i="4"/>
  <c r="F474" i="4"/>
  <c r="G475" i="4" s="1"/>
  <c r="G454" i="4"/>
  <c r="AE440" i="4"/>
  <c r="AE432" i="4"/>
  <c r="AE428" i="4"/>
  <c r="AE424" i="4"/>
  <c r="Y436" i="4"/>
  <c r="Y432" i="4"/>
  <c r="Y424" i="4"/>
  <c r="Y412" i="4"/>
  <c r="S440" i="4"/>
  <c r="S436" i="4"/>
  <c r="S432" i="4"/>
  <c r="R428" i="4"/>
  <c r="S429" i="4" s="1"/>
  <c r="S428" i="4"/>
  <c r="S424" i="4"/>
  <c r="M440" i="4"/>
  <c r="L428" i="4"/>
  <c r="M429" i="4" s="1"/>
  <c r="M424" i="4"/>
  <c r="G440" i="4"/>
  <c r="G424" i="4"/>
  <c r="G412" i="4"/>
  <c r="S74" i="4"/>
  <c r="S64" i="4"/>
  <c r="M74" i="4"/>
  <c r="G75" i="4"/>
  <c r="G74" i="4"/>
  <c r="M50" i="4"/>
  <c r="AK368" i="4"/>
  <c r="Y368" i="4"/>
  <c r="G393" i="4"/>
  <c r="M393" i="4"/>
  <c r="S441" i="4"/>
  <c r="G225" i="4"/>
  <c r="F225" i="4"/>
  <c r="G226" i="4" s="1"/>
  <c r="L244" i="4"/>
  <c r="J245" i="4" s="1"/>
  <c r="M245" i="4" s="1"/>
  <c r="S287" i="4"/>
  <c r="M312" i="4"/>
  <c r="G311" i="4"/>
  <c r="G306" i="4"/>
  <c r="G286" i="4"/>
  <c r="S244" i="4"/>
  <c r="M269" i="4"/>
  <c r="G269" i="4"/>
  <c r="G264" i="4"/>
  <c r="G244" i="4"/>
  <c r="X368" i="4"/>
  <c r="V369" i="4" s="1"/>
  <c r="X369" i="4" s="1"/>
  <c r="V370" i="4" s="1"/>
  <c r="G312" i="4"/>
  <c r="L982" i="4"/>
  <c r="J983" i="4" s="1"/>
  <c r="L983" i="4" s="1"/>
  <c r="J984" i="4" s="1"/>
  <c r="G222" i="4"/>
  <c r="F219" i="4"/>
  <c r="G220" i="4" s="1"/>
  <c r="L74" i="4"/>
  <c r="M75" i="4" s="1"/>
  <c r="F811" i="4"/>
  <c r="D812" i="4" s="1"/>
  <c r="F264" i="4"/>
  <c r="F222" i="4"/>
  <c r="G223" i="4" s="1"/>
  <c r="X432" i="4"/>
  <c r="Y433" i="4" s="1"/>
  <c r="R811" i="4"/>
  <c r="P812" i="4" s="1"/>
  <c r="S812" i="4" s="1"/>
  <c r="S208" i="4"/>
  <c r="G21" i="4"/>
  <c r="D22" i="4"/>
  <c r="F22" i="4" s="1"/>
  <c r="D903" i="4"/>
  <c r="F902" i="4"/>
  <c r="L347" i="4"/>
  <c r="M348" i="4" s="1"/>
  <c r="F440" i="4"/>
  <c r="G441" i="4" s="1"/>
  <c r="AD428" i="4"/>
  <c r="AE429" i="4" s="1"/>
  <c r="M235" i="4"/>
  <c r="S21" i="4"/>
  <c r="G169" i="4"/>
  <c r="L440" i="4"/>
  <c r="F269" i="4"/>
  <c r="R555" i="4"/>
  <c r="P556" i="4" s="1"/>
  <c r="S556" i="4" s="1"/>
  <c r="R64" i="4"/>
  <c r="L393" i="4"/>
  <c r="M394" i="4" s="1"/>
  <c r="F424" i="4"/>
  <c r="G425" i="4" s="1"/>
  <c r="L432" i="4"/>
  <c r="M433" i="4" s="1"/>
  <c r="F265" i="4"/>
  <c r="G266" i="4" s="1"/>
  <c r="F436" i="4"/>
  <c r="G437" i="4" s="1"/>
  <c r="F208" i="4"/>
  <c r="D209" i="4" s="1"/>
  <c r="G209" i="4" s="1"/>
  <c r="F29" i="4"/>
  <c r="G30" i="4" s="1"/>
  <c r="AD436" i="4"/>
  <c r="AE437" i="4" s="1"/>
  <c r="R580" i="4"/>
  <c r="F928" i="4"/>
  <c r="G929" i="4" s="1"/>
  <c r="R432" i="4"/>
  <c r="S433" i="4" s="1"/>
  <c r="X424" i="4"/>
  <c r="Y425" i="4" s="1"/>
  <c r="F428" i="4"/>
  <c r="G429" i="4" s="1"/>
  <c r="R287" i="4"/>
  <c r="P288" i="4" s="1"/>
  <c r="S288" i="4" s="1"/>
  <c r="L436" i="4"/>
  <c r="M437" i="4" s="1"/>
  <c r="L424" i="4"/>
  <c r="M425" i="4" s="1"/>
  <c r="R424" i="4"/>
  <c r="S425" i="4" s="1"/>
  <c r="X327" i="4"/>
  <c r="V328" i="4" s="1"/>
  <c r="Y328" i="4" s="1"/>
  <c r="X347" i="4"/>
  <c r="Y348" i="4" s="1"/>
  <c r="R436" i="4"/>
  <c r="S437" i="4" s="1"/>
  <c r="R327" i="4"/>
  <c r="P328" i="4" s="1"/>
  <c r="S328" i="4" s="1"/>
  <c r="F924" i="4"/>
  <c r="G925" i="4" s="1"/>
  <c r="F580" i="4"/>
  <c r="R74" i="4"/>
  <c r="S75" i="4" s="1"/>
  <c r="F75" i="4"/>
  <c r="G76" i="4" s="1"/>
  <c r="F454" i="4"/>
  <c r="D455" i="4" s="1"/>
  <c r="G455" i="4" s="1"/>
  <c r="F368" i="4"/>
  <c r="D369" i="4" s="1"/>
  <c r="G369" i="4" s="1"/>
  <c r="R244" i="4"/>
  <c r="P245" i="4" s="1"/>
  <c r="S245" i="4" s="1"/>
  <c r="R232" i="4"/>
  <c r="S233" i="4" s="1"/>
  <c r="F575" i="4"/>
  <c r="L312" i="4"/>
  <c r="M313" i="4" s="1"/>
  <c r="L69" i="4"/>
  <c r="M70" i="4" s="1"/>
  <c r="L229" i="4"/>
  <c r="M230" i="4" s="1"/>
  <c r="AD424" i="4"/>
  <c r="AE425" i="4" s="1"/>
  <c r="F312" i="4"/>
  <c r="G313" i="4" s="1"/>
  <c r="L575" i="4"/>
  <c r="X436" i="4"/>
  <c r="Y437" i="4" s="1"/>
  <c r="L235" i="4"/>
  <c r="AD368" i="4"/>
  <c r="AB369" i="4" s="1"/>
  <c r="F432" i="4"/>
  <c r="G433" i="4" s="1"/>
  <c r="F393" i="4"/>
  <c r="AD432" i="4"/>
  <c r="AE433" i="4" s="1"/>
  <c r="X428" i="4"/>
  <c r="Y429" i="4" s="1"/>
  <c r="R455" i="4"/>
  <c r="P456" i="4" s="1"/>
  <c r="S456" i="4" s="1"/>
  <c r="L7" i="4"/>
  <c r="J8" i="4" s="1"/>
  <c r="M8" i="4" s="1"/>
  <c r="F16" i="4"/>
  <c r="G17" i="4" s="1"/>
  <c r="R21" i="4"/>
  <c r="R31" i="4"/>
  <c r="R347" i="4"/>
  <c r="P348" i="4" s="1"/>
  <c r="S348" i="4" s="1"/>
  <c r="F327" i="4"/>
  <c r="D328" i="4" s="1"/>
  <c r="G328" i="4" s="1"/>
  <c r="X440" i="4"/>
  <c r="L327" i="4"/>
  <c r="J328" i="4" s="1"/>
  <c r="M328" i="4" s="1"/>
  <c r="L580" i="4"/>
  <c r="F233" i="4"/>
  <c r="F874" i="4"/>
  <c r="G875" i="4" s="1"/>
  <c r="L286" i="4"/>
  <c r="J287" i="4" s="1"/>
  <c r="M287" i="4" s="1"/>
  <c r="AJ368" i="4"/>
  <c r="AH369" i="4" s="1"/>
  <c r="AK369" i="4" s="1"/>
  <c r="F556" i="4"/>
  <c r="D557" i="4" s="1"/>
  <c r="R69" i="4"/>
  <c r="X454" i="4"/>
  <c r="V455" i="4" s="1"/>
  <c r="Y455" i="4" s="1"/>
  <c r="L64" i="4"/>
  <c r="M65" i="4" s="1"/>
  <c r="AD412" i="4"/>
  <c r="AB413" i="4" s="1"/>
  <c r="AE413" i="4" s="1"/>
  <c r="R7" i="4"/>
  <c r="P8" i="4" s="1"/>
  <c r="S8" i="4" s="1"/>
  <c r="L50" i="4"/>
  <c r="J51" i="4" s="1"/>
  <c r="M51" i="4" s="1"/>
  <c r="R368" i="4"/>
  <c r="P369" i="4" s="1"/>
  <c r="S369" i="4" s="1"/>
  <c r="F306" i="4"/>
  <c r="G307" i="4" s="1"/>
  <c r="F226" i="4"/>
  <c r="R707" i="4"/>
  <c r="P708" i="4" s="1"/>
  <c r="S708" i="4" s="1"/>
  <c r="F412" i="4"/>
  <c r="D413" i="4" s="1"/>
  <c r="G413" i="4" s="1"/>
  <c r="F49" i="4"/>
  <c r="D50" i="4" s="1"/>
  <c r="G50" i="4" s="1"/>
  <c r="F244" i="4"/>
  <c r="D245" i="4" s="1"/>
  <c r="G245" i="4" s="1"/>
  <c r="L811" i="4"/>
  <c r="J812" i="4" s="1"/>
  <c r="M812" i="4" s="1"/>
  <c r="L269" i="4"/>
  <c r="L368" i="4"/>
  <c r="J369" i="4" s="1"/>
  <c r="AD245" i="4"/>
  <c r="AB246" i="4" s="1"/>
  <c r="AE246" i="4" s="1"/>
  <c r="F613" i="4"/>
  <c r="D614" i="4" s="1"/>
  <c r="F879" i="4"/>
  <c r="G880" i="4" s="1"/>
  <c r="F707" i="4"/>
  <c r="D708" i="4" s="1"/>
  <c r="G708" i="4" s="1"/>
  <c r="AD440" i="4"/>
  <c r="AE441" i="4" s="1"/>
  <c r="L555" i="4"/>
  <c r="J556" i="4" s="1"/>
  <c r="M556" i="4" s="1"/>
  <c r="R269" i="4"/>
  <c r="R208" i="4"/>
  <c r="P209" i="4" s="1"/>
  <c r="F889" i="4"/>
  <c r="G890" i="4" s="1"/>
  <c r="F347" i="4"/>
  <c r="G348" i="4" s="1"/>
  <c r="X244" i="4"/>
  <c r="V245" i="4" s="1"/>
  <c r="Y245" i="4" s="1"/>
  <c r="L761" i="4"/>
  <c r="J762" i="4" s="1"/>
  <c r="L208" i="4"/>
  <c r="J209" i="4" s="1"/>
  <c r="M209" i="4" s="1"/>
  <c r="X412" i="4"/>
  <c r="V413" i="4" s="1"/>
  <c r="F497" i="4"/>
  <c r="D498" i="4" s="1"/>
  <c r="X555" i="4"/>
  <c r="V556" i="4" s="1"/>
  <c r="F913" i="4"/>
  <c r="D914" i="4" s="1"/>
  <c r="G914" i="4" s="1"/>
  <c r="F286" i="4"/>
  <c r="D287" i="4" s="1"/>
  <c r="G287" i="4" s="1"/>
  <c r="F761" i="4"/>
  <c r="D762" i="4" s="1"/>
  <c r="G762" i="4" s="1"/>
  <c r="F174" i="12"/>
  <c r="E174" i="12"/>
  <c r="W174" i="12"/>
  <c r="X174" i="12"/>
  <c r="AG174" i="12"/>
  <c r="AF174" i="12"/>
  <c r="O174" i="12"/>
  <c r="N174" i="12"/>
  <c r="B231" i="12"/>
  <c r="C231" i="12" s="1"/>
  <c r="AF231" i="12"/>
  <c r="AG231" i="12" s="1"/>
  <c r="L231" i="12"/>
  <c r="M231" i="12" s="1"/>
  <c r="V231" i="12"/>
  <c r="W231" i="12" s="1"/>
  <c r="D178" i="38" l="1"/>
  <c r="B182" i="40" s="1"/>
  <c r="C182" i="40" s="1"/>
  <c r="D182" i="40" s="1"/>
  <c r="R6" i="38"/>
  <c r="S6" i="38" s="1"/>
  <c r="A18" i="12"/>
  <c r="D11" i="12"/>
  <c r="C11" i="12"/>
  <c r="M4" i="12"/>
  <c r="AJ53" i="11"/>
  <c r="AL54" i="11"/>
  <c r="N6" i="38" s="1"/>
  <c r="AM55" i="11"/>
  <c r="AO55" i="11" s="1"/>
  <c r="L7" i="38"/>
  <c r="Q7" i="38" s="1"/>
  <c r="R7" i="38" s="1"/>
  <c r="S7" i="38" s="1"/>
  <c r="AL55" i="11"/>
  <c r="N7" i="38" s="1"/>
  <c r="AM51" i="11"/>
  <c r="AO51" i="11" s="1"/>
  <c r="L7" i="37"/>
  <c r="Q7" i="37" s="1"/>
  <c r="R7" i="37" s="1"/>
  <c r="S7" i="37" s="1"/>
  <c r="AL51" i="11"/>
  <c r="N7" i="37" s="1"/>
  <c r="AL47" i="11"/>
  <c r="N7" i="36" s="1"/>
  <c r="AM47" i="11"/>
  <c r="AO47" i="11" s="1"/>
  <c r="L7" i="36"/>
  <c r="Q7" i="36" s="1"/>
  <c r="R7" i="36" s="1"/>
  <c r="S7" i="36" s="1"/>
  <c r="U61" i="38"/>
  <c r="U177" i="38"/>
  <c r="V177" i="38" s="1"/>
  <c r="M6" i="38"/>
  <c r="L27" i="38" s="1" a="1"/>
  <c r="L27" i="38" s="1"/>
  <c r="AN54" i="11"/>
  <c r="AV54" i="11" s="1"/>
  <c r="AL50" i="11"/>
  <c r="N6" i="37" s="1"/>
  <c r="AM50" i="11"/>
  <c r="L6" i="37"/>
  <c r="Q6" i="37" s="1"/>
  <c r="R6" i="37" s="1"/>
  <c r="S6" i="37" s="1"/>
  <c r="AL46" i="11"/>
  <c r="AM46" i="11"/>
  <c r="L6" i="36"/>
  <c r="Q6" i="36" s="1"/>
  <c r="R6" i="36" s="1"/>
  <c r="S6" i="36" s="1"/>
  <c r="AM53" i="11"/>
  <c r="AO53" i="11" s="1"/>
  <c r="L5" i="38"/>
  <c r="Q5" i="38" s="1"/>
  <c r="R5" i="38" s="1"/>
  <c r="S5" i="38" s="1"/>
  <c r="AL53" i="11"/>
  <c r="N5" i="38" s="1"/>
  <c r="AL49" i="11"/>
  <c r="N5" i="37" s="1"/>
  <c r="AM49" i="11"/>
  <c r="AO49" i="11" s="1"/>
  <c r="L5" i="37"/>
  <c r="Q5" i="37" s="1"/>
  <c r="R5" i="37" s="1"/>
  <c r="S5" i="37" s="1"/>
  <c r="AL45" i="11"/>
  <c r="N5" i="36" s="1"/>
  <c r="AM45" i="11"/>
  <c r="AO45" i="11" s="1"/>
  <c r="L5" i="36"/>
  <c r="Q5" i="36" s="1"/>
  <c r="R5" i="36" s="1"/>
  <c r="S5" i="36" s="1"/>
  <c r="AM48" i="11"/>
  <c r="L4" i="37"/>
  <c r="Q4" i="37" s="1"/>
  <c r="R4" i="37" s="1"/>
  <c r="S4" i="37" s="1"/>
  <c r="AJ40" i="11"/>
  <c r="L5" i="12"/>
  <c r="Q5" i="12" s="1"/>
  <c r="AM43" i="11"/>
  <c r="AO43" i="11" s="1"/>
  <c r="L7" i="12"/>
  <c r="Q7" i="12" s="1"/>
  <c r="L4" i="12"/>
  <c r="Q4" i="12" s="1"/>
  <c r="AM42" i="11"/>
  <c r="L6" i="12"/>
  <c r="Q6" i="12" s="1"/>
  <c r="AM44" i="11"/>
  <c r="L4" i="36"/>
  <c r="Q4" i="36" s="1"/>
  <c r="R4" i="36" s="1"/>
  <c r="S4" i="36" s="1"/>
  <c r="F177" i="38"/>
  <c r="G177" i="38" s="1"/>
  <c r="H177" i="38" s="1"/>
  <c r="AL43" i="11"/>
  <c r="AL41" i="11"/>
  <c r="AL42" i="11"/>
  <c r="J34" i="38" a="1"/>
  <c r="J34" i="38" s="1"/>
  <c r="I34" i="12"/>
  <c r="I34" i="36"/>
  <c r="I34" i="37"/>
  <c r="K37" i="11"/>
  <c r="I35" i="38" s="1"/>
  <c r="AL40" i="11"/>
  <c r="N4" i="12" s="1"/>
  <c r="AJ46" i="11"/>
  <c r="AL48" i="11"/>
  <c r="N4" i="37" s="1"/>
  <c r="AL44" i="11"/>
  <c r="N4" i="36" s="1"/>
  <c r="E178" i="38"/>
  <c r="AJ44" i="11"/>
  <c r="G233" i="38"/>
  <c r="H233" i="38"/>
  <c r="I233" i="38"/>
  <c r="L949" i="4"/>
  <c r="J950" i="4" s="1"/>
  <c r="M950" i="4" s="1"/>
  <c r="S762" i="4"/>
  <c r="F8" i="4"/>
  <c r="D9" i="4" s="1"/>
  <c r="G9" i="4" s="1"/>
  <c r="L455" i="4"/>
  <c r="J456" i="4" s="1"/>
  <c r="L456" i="4" s="1"/>
  <c r="J457" i="4" s="1"/>
  <c r="L457" i="4" s="1"/>
  <c r="J458" i="4" s="1"/>
  <c r="AJ47" i="11"/>
  <c r="AJ45" i="11"/>
  <c r="A91" i="12"/>
  <c r="R50" i="4"/>
  <c r="P51" i="4" s="1"/>
  <c r="S51" i="4" s="1"/>
  <c r="R413" i="4"/>
  <c r="P414" i="4" s="1"/>
  <c r="S414" i="4" s="1"/>
  <c r="L245" i="4"/>
  <c r="J246" i="4" s="1"/>
  <c r="M246" i="4" s="1"/>
  <c r="L413" i="4"/>
  <c r="J414" i="4" s="1"/>
  <c r="M414" i="4" s="1"/>
  <c r="G903" i="4"/>
  <c r="F950" i="4"/>
  <c r="D951" i="4" s="1"/>
  <c r="G950" i="4"/>
  <c r="M984" i="4"/>
  <c r="M983" i="4"/>
  <c r="D865" i="4"/>
  <c r="F865" i="4" s="1"/>
  <c r="D866" i="4" s="1"/>
  <c r="G866" i="4" s="1"/>
  <c r="G812" i="4"/>
  <c r="M762" i="4"/>
  <c r="G614" i="4"/>
  <c r="Y556" i="4"/>
  <c r="S581" i="4"/>
  <c r="M581" i="4"/>
  <c r="M576" i="4"/>
  <c r="G581" i="4"/>
  <c r="G576" i="4"/>
  <c r="G557" i="4"/>
  <c r="G498" i="4"/>
  <c r="M456" i="4"/>
  <c r="F475" i="4"/>
  <c r="G476" i="4" s="1"/>
  <c r="Y441" i="4"/>
  <c r="Y413" i="4"/>
  <c r="R441" i="4"/>
  <c r="M441" i="4"/>
  <c r="S70" i="4"/>
  <c r="S65" i="4"/>
  <c r="L75" i="4"/>
  <c r="M76" i="4" s="1"/>
  <c r="AE369" i="4"/>
  <c r="Y369" i="4"/>
  <c r="G394" i="4"/>
  <c r="M369" i="4"/>
  <c r="M238" i="4"/>
  <c r="M236" i="4"/>
  <c r="L441" i="4"/>
  <c r="M442" i="4" s="1"/>
  <c r="L348" i="4"/>
  <c r="M349" i="4" s="1"/>
  <c r="S270" i="4"/>
  <c r="M270" i="4"/>
  <c r="F270" i="4"/>
  <c r="G271" i="4" s="1"/>
  <c r="G270" i="4"/>
  <c r="G265" i="4"/>
  <c r="S209" i="4"/>
  <c r="Y370" i="4"/>
  <c r="G170" i="4"/>
  <c r="D23" i="4"/>
  <c r="D24" i="4" s="1"/>
  <c r="D25" i="4" s="1"/>
  <c r="G22" i="4"/>
  <c r="D904" i="4"/>
  <c r="F903" i="4"/>
  <c r="L394" i="4"/>
  <c r="M395" i="4" s="1"/>
  <c r="R812" i="4"/>
  <c r="P813" i="4" s="1"/>
  <c r="F812" i="4"/>
  <c r="D813" i="4" s="1"/>
  <c r="G813" i="4" s="1"/>
  <c r="R245" i="4"/>
  <c r="P246" i="4" s="1"/>
  <c r="G234" i="4"/>
  <c r="G227" i="4"/>
  <c r="S32" i="4"/>
  <c r="S22" i="4"/>
  <c r="L8" i="4"/>
  <c r="J9" i="4" s="1"/>
  <c r="M9" i="4" s="1"/>
  <c r="AD369" i="4"/>
  <c r="AB370" i="4" s="1"/>
  <c r="F476" i="4"/>
  <c r="F9" i="4"/>
  <c r="D10" i="4" s="1"/>
  <c r="G10" i="4" s="1"/>
  <c r="R442" i="4"/>
  <c r="S443" i="4" s="1"/>
  <c r="F369" i="4"/>
  <c r="D370" i="4" s="1"/>
  <c r="G370" i="4" s="1"/>
  <c r="R348" i="4"/>
  <c r="P349" i="4" s="1"/>
  <c r="S349" i="4" s="1"/>
  <c r="F30" i="4"/>
  <c r="G31" i="4" s="1"/>
  <c r="R456" i="4"/>
  <c r="P457" i="4" s="1"/>
  <c r="S457" i="4" s="1"/>
  <c r="F441" i="4"/>
  <c r="R51" i="4"/>
  <c r="P52" i="4" s="1"/>
  <c r="S52" i="4" s="1"/>
  <c r="X328" i="4"/>
  <c r="V329" i="4" s="1"/>
  <c r="Y329" i="4" s="1"/>
  <c r="R75" i="4"/>
  <c r="S76" i="4" s="1"/>
  <c r="L65" i="4"/>
  <c r="M66" i="4" s="1"/>
  <c r="F576" i="4"/>
  <c r="G577" i="4" s="1"/>
  <c r="F929" i="4"/>
  <c r="G930" i="4" s="1"/>
  <c r="R288" i="4"/>
  <c r="P289" i="4" s="1"/>
  <c r="R289" i="4" s="1"/>
  <c r="P290" i="4" s="1"/>
  <c r="R233" i="4"/>
  <c r="S234" i="4" s="1"/>
  <c r="L270" i="4"/>
  <c r="M271" i="4" s="1"/>
  <c r="F307" i="4"/>
  <c r="G308" i="4" s="1"/>
  <c r="F234" i="4"/>
  <c r="G235" i="4" s="1"/>
  <c r="F581" i="4"/>
  <c r="G582" i="4" s="1"/>
  <c r="X348" i="4"/>
  <c r="Y349" i="4" s="1"/>
  <c r="F394" i="4"/>
  <c r="G395" i="4" s="1"/>
  <c r="F209" i="4"/>
  <c r="D210" i="4" s="1"/>
  <c r="G210" i="4" s="1"/>
  <c r="L442" i="4"/>
  <c r="M443" i="4" s="1"/>
  <c r="F983" i="4"/>
  <c r="D984" i="4" s="1"/>
  <c r="L328" i="4"/>
  <c r="J329" i="4" s="1"/>
  <c r="M329" i="4" s="1"/>
  <c r="R581" i="4"/>
  <c r="S582" i="4" s="1"/>
  <c r="R556" i="4"/>
  <c r="P557" i="4" s="1"/>
  <c r="R70" i="4"/>
  <c r="S71" i="4" s="1"/>
  <c r="L581" i="4"/>
  <c r="M582" i="4" s="1"/>
  <c r="L230" i="4"/>
  <c r="M231" i="4" s="1"/>
  <c r="R65" i="4"/>
  <c r="S66" i="4" s="1"/>
  <c r="R270" i="4"/>
  <c r="S271" i="4" s="1"/>
  <c r="L576" i="4"/>
  <c r="M577" i="4" s="1"/>
  <c r="L70" i="4"/>
  <c r="M71" i="4" s="1"/>
  <c r="R949" i="4"/>
  <c r="P950" i="4" s="1"/>
  <c r="S950" i="4" s="1"/>
  <c r="F890" i="4"/>
  <c r="G891" i="4" s="1"/>
  <c r="F875" i="4"/>
  <c r="G876" i="4" s="1"/>
  <c r="F455" i="4"/>
  <c r="D456" i="4" s="1"/>
  <c r="R32" i="4"/>
  <c r="R22" i="4"/>
  <c r="S23" i="4" s="1"/>
  <c r="F17" i="4"/>
  <c r="G18" i="4" s="1"/>
  <c r="R328" i="4"/>
  <c r="P329" i="4" s="1"/>
  <c r="S329" i="4" s="1"/>
  <c r="X441" i="4"/>
  <c r="F328" i="4"/>
  <c r="D329" i="4" s="1"/>
  <c r="G329" i="4" s="1"/>
  <c r="F227" i="4"/>
  <c r="L51" i="4"/>
  <c r="J52" i="4" s="1"/>
  <c r="X455" i="4"/>
  <c r="V456" i="4" s="1"/>
  <c r="Y456" i="4" s="1"/>
  <c r="F557" i="4"/>
  <c r="D558" i="4" s="1"/>
  <c r="G558" i="4"/>
  <c r="L287" i="4"/>
  <c r="J288" i="4" s="1"/>
  <c r="F413" i="4"/>
  <c r="D414" i="4" s="1"/>
  <c r="G414" i="4" s="1"/>
  <c r="R8" i="4"/>
  <c r="P9" i="4" s="1"/>
  <c r="S9" i="4" s="1"/>
  <c r="AJ369" i="4"/>
  <c r="AH370" i="4" s="1"/>
  <c r="AD413" i="4"/>
  <c r="AB414" i="4" s="1"/>
  <c r="L349" i="4"/>
  <c r="M350" i="4" s="1"/>
  <c r="R708" i="4"/>
  <c r="P709" i="4" s="1"/>
  <c r="S709" i="4" s="1"/>
  <c r="R369" i="4"/>
  <c r="P370" i="4" s="1"/>
  <c r="F762" i="4"/>
  <c r="D763" i="4" s="1"/>
  <c r="G763" i="4" s="1"/>
  <c r="L762" i="4"/>
  <c r="J763" i="4" s="1"/>
  <c r="R763" i="4"/>
  <c r="P764" i="4" s="1"/>
  <c r="AD441" i="4"/>
  <c r="F880" i="4"/>
  <c r="G881" i="4" s="1"/>
  <c r="L369" i="4"/>
  <c r="J370" i="4" s="1"/>
  <c r="M370" i="4" s="1"/>
  <c r="X556" i="4"/>
  <c r="V557" i="4" s="1"/>
  <c r="Y557" i="4" s="1"/>
  <c r="F477" i="4"/>
  <c r="X245" i="4"/>
  <c r="V246" i="4" s="1"/>
  <c r="F708" i="4"/>
  <c r="D709" i="4" s="1"/>
  <c r="F614" i="4"/>
  <c r="D615" i="4" s="1"/>
  <c r="G615" i="4" s="1"/>
  <c r="F245" i="4"/>
  <c r="D246" i="4" s="1"/>
  <c r="L812" i="4"/>
  <c r="J813" i="4" s="1"/>
  <c r="X413" i="4"/>
  <c r="V414" i="4" s="1"/>
  <c r="F348" i="4"/>
  <c r="G349" i="4" s="1"/>
  <c r="R209" i="4"/>
  <c r="P210" i="4" s="1"/>
  <c r="F50" i="4"/>
  <c r="D51" i="4" s="1"/>
  <c r="F287" i="4"/>
  <c r="D288" i="4" s="1"/>
  <c r="F914" i="4"/>
  <c r="D915" i="4" s="1"/>
  <c r="G915" i="4" s="1"/>
  <c r="F498" i="4"/>
  <c r="D499" i="4" s="1"/>
  <c r="G499" i="4" s="1"/>
  <c r="L556" i="4"/>
  <c r="J557" i="4" s="1"/>
  <c r="L984" i="4"/>
  <c r="J985" i="4" s="1"/>
  <c r="AD246" i="4"/>
  <c r="AB247" i="4" s="1"/>
  <c r="AE247" i="4" s="1"/>
  <c r="L209" i="4"/>
  <c r="J210" i="4" s="1"/>
  <c r="AJ55" i="11"/>
  <c r="AJ52" i="11"/>
  <c r="AJ54" i="11"/>
  <c r="AJ42" i="11"/>
  <c r="AJ49" i="11"/>
  <c r="AJ50" i="11"/>
  <c r="AJ51" i="11"/>
  <c r="AJ48" i="11"/>
  <c r="C234" i="38" l="1"/>
  <c r="D234" i="38" s="1"/>
  <c r="E234" i="38" s="1"/>
  <c r="F234" i="38" s="1"/>
  <c r="L246" i="4"/>
  <c r="J247" i="4" s="1"/>
  <c r="M247" i="4" s="1"/>
  <c r="M457" i="4"/>
  <c r="L414" i="4"/>
  <c r="J415" i="4" s="1"/>
  <c r="L950" i="4"/>
  <c r="J951" i="4" s="1"/>
  <c r="M951" i="4" s="1"/>
  <c r="M4" i="36"/>
  <c r="M4" i="37"/>
  <c r="C38" i="20"/>
  <c r="C35" i="20"/>
  <c r="C36" i="20"/>
  <c r="C37" i="20"/>
  <c r="M6" i="12"/>
  <c r="N6" i="12"/>
  <c r="N6" i="36"/>
  <c r="L25" i="38" a="1"/>
  <c r="L25" i="38" s="1"/>
  <c r="L34" i="38" a="1"/>
  <c r="L34" i="38" s="1"/>
  <c r="L33" i="38" a="1"/>
  <c r="L33" i="38" s="1"/>
  <c r="L31" i="38" a="1"/>
  <c r="L31" i="38" s="1"/>
  <c r="L26" i="38" a="1"/>
  <c r="L26" i="38" s="1"/>
  <c r="L20" i="38" a="1"/>
  <c r="L20" i="38" s="1"/>
  <c r="L22" i="38" a="1"/>
  <c r="L22" i="38" s="1"/>
  <c r="L21" i="38" a="1"/>
  <c r="L21" i="38" s="1"/>
  <c r="L29" i="38" a="1"/>
  <c r="L29" i="38" s="1"/>
  <c r="L32" i="38" a="1"/>
  <c r="L32" i="38" s="1"/>
  <c r="L23" i="38" a="1"/>
  <c r="L23" i="38" s="1"/>
  <c r="M7" i="12"/>
  <c r="AD61" i="38"/>
  <c r="AD177" i="38"/>
  <c r="AE177" i="38" s="1"/>
  <c r="M7" i="38"/>
  <c r="M34" i="38" s="1" a="1"/>
  <c r="M34" i="38" s="1"/>
  <c r="AN55" i="11"/>
  <c r="AV55" i="11" s="1"/>
  <c r="M7" i="37"/>
  <c r="M24" i="37" s="1" a="1"/>
  <c r="M24" i="37" s="1"/>
  <c r="AN51" i="11"/>
  <c r="AV51" i="11" s="1"/>
  <c r="N7" i="12"/>
  <c r="M7" i="36"/>
  <c r="M28" i="36" s="1" a="1"/>
  <c r="M28" i="36" s="1"/>
  <c r="AN47" i="11"/>
  <c r="L24" i="38" a="1"/>
  <c r="L24" i="38" s="1"/>
  <c r="L28" i="38" a="1"/>
  <c r="L28" i="38" s="1"/>
  <c r="L19" i="38" a="1"/>
  <c r="L19" i="38" s="1"/>
  <c r="V61" i="38" s="1"/>
  <c r="L158" i="40" s="1"/>
  <c r="M158" i="40" s="1"/>
  <c r="N158" i="40" s="1"/>
  <c r="L30" i="38" a="1"/>
  <c r="L30" i="38" s="1"/>
  <c r="M6" i="37"/>
  <c r="L25" i="37" s="1" a="1"/>
  <c r="L25" i="37" s="1"/>
  <c r="AN50" i="11"/>
  <c r="AV50" i="11" s="1"/>
  <c r="M6" i="36"/>
  <c r="L33" i="36" s="1" a="1"/>
  <c r="L33" i="36" s="1"/>
  <c r="AN46" i="11"/>
  <c r="L61" i="38"/>
  <c r="L177" i="38"/>
  <c r="M177" i="38" s="1"/>
  <c r="D15" i="38"/>
  <c r="M5" i="38"/>
  <c r="K32" i="38" s="1" a="1"/>
  <c r="K32" i="38" s="1"/>
  <c r="AN53" i="11"/>
  <c r="AV53" i="11" s="1"/>
  <c r="M5" i="37"/>
  <c r="AN49" i="11"/>
  <c r="AV49" i="11" s="1"/>
  <c r="M5" i="36"/>
  <c r="AN45" i="11"/>
  <c r="M5" i="12"/>
  <c r="N5" i="12"/>
  <c r="AD61" i="12"/>
  <c r="AD177" i="12"/>
  <c r="AE177" i="12" s="1"/>
  <c r="AN43" i="11"/>
  <c r="AV43" i="11" s="1"/>
  <c r="AN41" i="11"/>
  <c r="J19" i="12" a="1"/>
  <c r="J19" i="12" s="1"/>
  <c r="AN42" i="11"/>
  <c r="AD61" i="36"/>
  <c r="L177" i="36"/>
  <c r="M177" i="36" s="1"/>
  <c r="C179" i="38"/>
  <c r="L35" i="38" a="1"/>
  <c r="L35" i="38" s="1"/>
  <c r="M35" i="38" a="1"/>
  <c r="M35" i="38" s="1"/>
  <c r="J35" i="38" a="1"/>
  <c r="J35" i="38" s="1"/>
  <c r="AD61" i="37"/>
  <c r="AD177" i="37"/>
  <c r="AE177" i="37" s="1"/>
  <c r="U61" i="37"/>
  <c r="U177" i="37"/>
  <c r="V177" i="37" s="1"/>
  <c r="L61" i="37"/>
  <c r="L177" i="37"/>
  <c r="M177" i="37" s="1"/>
  <c r="AD177" i="36"/>
  <c r="AE177" i="36" s="1"/>
  <c r="U61" i="36"/>
  <c r="U177" i="36"/>
  <c r="V177" i="36" s="1"/>
  <c r="U61" i="12"/>
  <c r="U177" i="12"/>
  <c r="R6" i="12"/>
  <c r="S6" i="12" s="1"/>
  <c r="L61" i="36"/>
  <c r="I35" i="12"/>
  <c r="I35" i="37"/>
  <c r="K38" i="11"/>
  <c r="I36" i="38" s="1"/>
  <c r="I35" i="36"/>
  <c r="C177" i="37"/>
  <c r="D177" i="37" s="1"/>
  <c r="C61" i="37"/>
  <c r="C177" i="36"/>
  <c r="D177" i="36" s="1"/>
  <c r="D15" i="37"/>
  <c r="B422" i="37" s="1"/>
  <c r="D15" i="36"/>
  <c r="B417" i="36" s="1"/>
  <c r="C61" i="12"/>
  <c r="AN48" i="11"/>
  <c r="C61" i="36"/>
  <c r="R4" i="12"/>
  <c r="S4" i="12" s="1"/>
  <c r="C177" i="12"/>
  <c r="D177" i="12" s="1"/>
  <c r="AN44" i="11"/>
  <c r="F178" i="38"/>
  <c r="G178" i="38" s="1"/>
  <c r="H178" i="38" s="1"/>
  <c r="I234" i="38"/>
  <c r="G234" i="38"/>
  <c r="H234" i="38"/>
  <c r="R414" i="4"/>
  <c r="P415" i="4" s="1"/>
  <c r="F866" i="4"/>
  <c r="D867" i="4" s="1"/>
  <c r="G867" i="4" s="1"/>
  <c r="F951" i="4"/>
  <c r="D952" i="4" s="1"/>
  <c r="G951" i="4"/>
  <c r="G904" i="4"/>
  <c r="G984" i="4"/>
  <c r="M985" i="4"/>
  <c r="G865" i="4"/>
  <c r="S813" i="4"/>
  <c r="M813" i="4"/>
  <c r="M763" i="4"/>
  <c r="S764" i="4"/>
  <c r="G709" i="4"/>
  <c r="S557" i="4"/>
  <c r="M557" i="4"/>
  <c r="F23" i="4"/>
  <c r="G24" i="4" s="1"/>
  <c r="G23" i="4"/>
  <c r="G171" i="4"/>
  <c r="M458" i="4"/>
  <c r="G477" i="4"/>
  <c r="G456" i="4"/>
  <c r="AE442" i="4"/>
  <c r="AE414" i="4"/>
  <c r="Y442" i="4"/>
  <c r="Y414" i="4"/>
  <c r="S442" i="4"/>
  <c r="S415" i="4"/>
  <c r="M415" i="4"/>
  <c r="G442" i="4"/>
  <c r="M52" i="4"/>
  <c r="G51" i="4"/>
  <c r="AK370" i="4"/>
  <c r="AE370" i="4"/>
  <c r="X370" i="4"/>
  <c r="V371" i="4" s="1"/>
  <c r="X371" i="4" s="1"/>
  <c r="V372" i="4" s="1"/>
  <c r="S370" i="4"/>
  <c r="L329" i="4"/>
  <c r="J330" i="4" s="1"/>
  <c r="M330" i="4" s="1"/>
  <c r="S289" i="4"/>
  <c r="M288" i="4"/>
  <c r="G288" i="4"/>
  <c r="Y246" i="4"/>
  <c r="S246" i="4"/>
  <c r="G246" i="4"/>
  <c r="G478" i="4"/>
  <c r="R457" i="4"/>
  <c r="P458" i="4" s="1"/>
  <c r="S458" i="4" s="1"/>
  <c r="F813" i="4"/>
  <c r="D814" i="4" s="1"/>
  <c r="F814" i="4" s="1"/>
  <c r="D815" i="4" s="1"/>
  <c r="G815" i="4" s="1"/>
  <c r="S290" i="4"/>
  <c r="F904" i="4"/>
  <c r="G905" i="4" s="1"/>
  <c r="S210" i="4"/>
  <c r="R246" i="4"/>
  <c r="P247" i="4" s="1"/>
  <c r="AD370" i="4"/>
  <c r="AB371" i="4" s="1"/>
  <c r="AE371" i="4" s="1"/>
  <c r="M210" i="4"/>
  <c r="G228" i="4"/>
  <c r="F210" i="4"/>
  <c r="D211" i="4" s="1"/>
  <c r="G211" i="4" s="1"/>
  <c r="S33" i="4"/>
  <c r="F10" i="4"/>
  <c r="D11" i="4" s="1"/>
  <c r="R349" i="4"/>
  <c r="P350" i="4" s="1"/>
  <c r="S350" i="4" s="1"/>
  <c r="R813" i="4"/>
  <c r="P814" i="4" s="1"/>
  <c r="X329" i="4"/>
  <c r="V330" i="4" s="1"/>
  <c r="Y330" i="4" s="1"/>
  <c r="R557" i="4"/>
  <c r="P558" i="4" s="1"/>
  <c r="L9" i="4"/>
  <c r="J10" i="4" s="1"/>
  <c r="M10" i="4" s="1"/>
  <c r="F31" i="4"/>
  <c r="G32" i="4" s="1"/>
  <c r="F24" i="4"/>
  <c r="G25" i="4" s="1"/>
  <c r="R52" i="4"/>
  <c r="P53" i="4" s="1"/>
  <c r="S53" i="4" s="1"/>
  <c r="G172" i="4"/>
  <c r="AD442" i="4"/>
  <c r="AE443" i="4" s="1"/>
  <c r="F370" i="4"/>
  <c r="D371" i="4" s="1"/>
  <c r="G371" i="4" s="1"/>
  <c r="X349" i="4"/>
  <c r="Y350" i="4" s="1"/>
  <c r="L247" i="4"/>
  <c r="J248" i="4" s="1"/>
  <c r="M248" i="4" s="1"/>
  <c r="F442" i="4"/>
  <c r="G443" i="4" s="1"/>
  <c r="F228" i="4"/>
  <c r="G229" i="4" s="1"/>
  <c r="F25" i="4"/>
  <c r="G26" i="4" s="1"/>
  <c r="R234" i="4"/>
  <c r="S235" i="4" s="1"/>
  <c r="R950" i="4"/>
  <c r="P951" i="4" s="1"/>
  <c r="S951" i="4" s="1"/>
  <c r="X442" i="4"/>
  <c r="Y443" i="4" s="1"/>
  <c r="L231" i="4"/>
  <c r="M232" i="4" s="1"/>
  <c r="F456" i="4"/>
  <c r="D457" i="4" s="1"/>
  <c r="G457" i="4" s="1"/>
  <c r="F984" i="4"/>
  <c r="D985" i="4" s="1"/>
  <c r="G985" i="4" s="1"/>
  <c r="R23" i="4"/>
  <c r="F18" i="4"/>
  <c r="G19" i="4" s="1"/>
  <c r="R33" i="4"/>
  <c r="R329" i="4"/>
  <c r="P330" i="4" s="1"/>
  <c r="S330" i="4" s="1"/>
  <c r="F329" i="4"/>
  <c r="D330" i="4" s="1"/>
  <c r="G330" i="4" s="1"/>
  <c r="X456" i="4"/>
  <c r="V457" i="4" s="1"/>
  <c r="Y457" i="4" s="1"/>
  <c r="R9" i="4"/>
  <c r="P10" i="4" s="1"/>
  <c r="S10" i="4" s="1"/>
  <c r="R370" i="4"/>
  <c r="P371" i="4" s="1"/>
  <c r="S371" i="4" s="1"/>
  <c r="L350" i="4"/>
  <c r="M351" i="4" s="1"/>
  <c r="AJ370" i="4"/>
  <c r="AH371" i="4" s="1"/>
  <c r="AK371" i="4" s="1"/>
  <c r="F558" i="4"/>
  <c r="D559" i="4" s="1"/>
  <c r="AD414" i="4"/>
  <c r="AB415" i="4" s="1"/>
  <c r="R709" i="4"/>
  <c r="P710" i="4" s="1"/>
  <c r="S710" i="4" s="1"/>
  <c r="F414" i="4"/>
  <c r="D415" i="4" s="1"/>
  <c r="G415" i="4" s="1"/>
  <c r="L52" i="4"/>
  <c r="J53" i="4" s="1"/>
  <c r="L288" i="4"/>
  <c r="J289" i="4" s="1"/>
  <c r="L763" i="4"/>
  <c r="J764" i="4" s="1"/>
  <c r="F499" i="4"/>
  <c r="D500" i="4" s="1"/>
  <c r="G500" i="4" s="1"/>
  <c r="F615" i="4"/>
  <c r="D616" i="4" s="1"/>
  <c r="F915" i="4"/>
  <c r="D916" i="4" s="1"/>
  <c r="G916" i="4" s="1"/>
  <c r="L370" i="4"/>
  <c r="J371" i="4" s="1"/>
  <c r="M371" i="4" s="1"/>
  <c r="F288" i="4"/>
  <c r="D289" i="4" s="1"/>
  <c r="R210" i="4"/>
  <c r="P211" i="4" s="1"/>
  <c r="X246" i="4"/>
  <c r="V247" i="4" s="1"/>
  <c r="L415" i="4"/>
  <c r="J416" i="4" s="1"/>
  <c r="F881" i="4"/>
  <c r="G882" i="4" s="1"/>
  <c r="AD247" i="4"/>
  <c r="AB248" i="4" s="1"/>
  <c r="AE248" i="4" s="1"/>
  <c r="X557" i="4"/>
  <c r="V558" i="4" s="1"/>
  <c r="F763" i="4"/>
  <c r="D764" i="4" s="1"/>
  <c r="G764" i="4" s="1"/>
  <c r="F51" i="4"/>
  <c r="D52" i="4" s="1"/>
  <c r="L813" i="4"/>
  <c r="J814" i="4" s="1"/>
  <c r="L557" i="4"/>
  <c r="J558" i="4" s="1"/>
  <c r="M558" i="4" s="1"/>
  <c r="F349" i="4"/>
  <c r="G350" i="4" s="1"/>
  <c r="F478" i="4"/>
  <c r="F709" i="4"/>
  <c r="D710" i="4" s="1"/>
  <c r="G710" i="4" s="1"/>
  <c r="L985" i="4"/>
  <c r="J986" i="4" s="1"/>
  <c r="X414" i="4"/>
  <c r="V415" i="4" s="1"/>
  <c r="Y415" i="4" s="1"/>
  <c r="L210" i="4"/>
  <c r="J211" i="4" s="1"/>
  <c r="L458" i="4"/>
  <c r="J459" i="4" s="1"/>
  <c r="M459" i="4" s="1"/>
  <c r="F246" i="4"/>
  <c r="D247" i="4" s="1"/>
  <c r="R415" i="4"/>
  <c r="P416" i="4" s="1"/>
  <c r="R764" i="4"/>
  <c r="P765" i="4" s="1"/>
  <c r="S765" i="4" s="1"/>
  <c r="AJ43" i="11"/>
  <c r="R7" i="12" s="1"/>
  <c r="S7" i="12" s="1"/>
  <c r="AJ41" i="11"/>
  <c r="R5" i="12" s="1"/>
  <c r="S5" i="12" s="1"/>
  <c r="D179" i="38" l="1"/>
  <c r="B183" i="40" s="1"/>
  <c r="C183" i="40" s="1"/>
  <c r="D183" i="40" s="1"/>
  <c r="V177" i="12"/>
  <c r="L951" i="4"/>
  <c r="J952" i="4" s="1"/>
  <c r="M952" i="4" s="1"/>
  <c r="F867" i="4"/>
  <c r="D868" i="4" s="1"/>
  <c r="G868" i="4" s="1"/>
  <c r="W233" i="38"/>
  <c r="X233" i="38" s="1"/>
  <c r="Y233" i="38" s="1"/>
  <c r="Z233" i="38" s="1"/>
  <c r="AC233" i="38" s="1"/>
  <c r="L181" i="40"/>
  <c r="M181" i="40" s="1"/>
  <c r="N181" i="40" s="1"/>
  <c r="L32" i="12" a="1"/>
  <c r="L32" i="12" s="1"/>
  <c r="K25" i="36" a="1"/>
  <c r="K25" i="36" s="1"/>
  <c r="K24" i="37" a="1"/>
  <c r="K24" i="37" s="1"/>
  <c r="M25" i="36" a="1"/>
  <c r="M25" i="36" s="1"/>
  <c r="M20" i="36" a="1"/>
  <c r="M20" i="36" s="1"/>
  <c r="K23" i="38" a="1"/>
  <c r="K23" i="38" s="1"/>
  <c r="K35" i="38" a="1"/>
  <c r="K35" i="38" s="1"/>
  <c r="N35" i="38" s="1"/>
  <c r="K19" i="38" a="1"/>
  <c r="K19" i="38" s="1"/>
  <c r="M34" i="36" a="1"/>
  <c r="M34" i="36" s="1"/>
  <c r="M22" i="36" a="1"/>
  <c r="M22" i="36" s="1"/>
  <c r="M35" i="36" a="1"/>
  <c r="M35" i="36" s="1"/>
  <c r="M29" i="36" a="1"/>
  <c r="M29" i="36" s="1"/>
  <c r="K30" i="38" a="1"/>
  <c r="K30" i="38" s="1"/>
  <c r="M19" i="36" a="1"/>
  <c r="M19" i="36" s="1"/>
  <c r="M24" i="36" a="1"/>
  <c r="M24" i="36" s="1"/>
  <c r="M26" i="36" a="1"/>
  <c r="M26" i="36" s="1"/>
  <c r="M21" i="36" a="1"/>
  <c r="M21" i="36" s="1"/>
  <c r="M32" i="36" a="1"/>
  <c r="M32" i="36" s="1"/>
  <c r="M31" i="36" a="1"/>
  <c r="M31" i="36" s="1"/>
  <c r="I36" i="12"/>
  <c r="K36" i="12" s="1" a="1"/>
  <c r="K36" i="12" s="1"/>
  <c r="M26" i="38" a="1"/>
  <c r="M26" i="38" s="1"/>
  <c r="M29" i="38" a="1"/>
  <c r="M29" i="38" s="1"/>
  <c r="M27" i="38" a="1"/>
  <c r="M27" i="38" s="1"/>
  <c r="M22" i="38" a="1"/>
  <c r="M22" i="38" s="1"/>
  <c r="M32" i="38" a="1"/>
  <c r="M32" i="38" s="1"/>
  <c r="N32" i="38" s="1"/>
  <c r="M29" i="37" a="1"/>
  <c r="M29" i="37" s="1"/>
  <c r="M32" i="37" a="1"/>
  <c r="M32" i="37" s="1"/>
  <c r="AB233" i="38"/>
  <c r="AA233" i="38"/>
  <c r="M30" i="37" a="1"/>
  <c r="M30" i="37" s="1"/>
  <c r="M21" i="37" a="1"/>
  <c r="M21" i="37" s="1"/>
  <c r="M26" i="37" a="1"/>
  <c r="M26" i="37" s="1"/>
  <c r="M23" i="37" a="1"/>
  <c r="M23" i="37" s="1"/>
  <c r="M25" i="37" a="1"/>
  <c r="M25" i="37" s="1"/>
  <c r="M33" i="37" a="1"/>
  <c r="M33" i="37" s="1"/>
  <c r="M19" i="37" a="1"/>
  <c r="M19" i="37" s="1"/>
  <c r="M27" i="37" a="1"/>
  <c r="M27" i="37" s="1"/>
  <c r="AS61" i="38"/>
  <c r="D417" i="38" s="1"/>
  <c r="M19" i="38" a="1"/>
  <c r="M19" i="38" s="1"/>
  <c r="AE61" i="38" s="1"/>
  <c r="AV46" i="11"/>
  <c r="M34" i="37" a="1"/>
  <c r="M34" i="37" s="1"/>
  <c r="M28" i="37" a="1"/>
  <c r="M28" i="37" s="1"/>
  <c r="M22" i="37" a="1"/>
  <c r="M22" i="37" s="1"/>
  <c r="M21" i="38" a="1"/>
  <c r="M21" i="38" s="1"/>
  <c r="M30" i="38" a="1"/>
  <c r="M30" i="38" s="1"/>
  <c r="M25" i="38" a="1"/>
  <c r="M25" i="38" s="1"/>
  <c r="AV47" i="11"/>
  <c r="M33" i="38" a="1"/>
  <c r="M33" i="38" s="1"/>
  <c r="M24" i="38" a="1"/>
  <c r="M24" i="38" s="1"/>
  <c r="M28" i="38" a="1"/>
  <c r="M28" i="38" s="1"/>
  <c r="M20" i="38" a="1"/>
  <c r="M20" i="38" s="1"/>
  <c r="M35" i="37" a="1"/>
  <c r="M35" i="37" s="1"/>
  <c r="M31" i="37" a="1"/>
  <c r="M31" i="37" s="1"/>
  <c r="M20" i="37" a="1"/>
  <c r="M20" i="37" s="1"/>
  <c r="M31" i="38" a="1"/>
  <c r="M31" i="38" s="1"/>
  <c r="M23" i="38" a="1"/>
  <c r="M23" i="38" s="1"/>
  <c r="M33" i="36" a="1"/>
  <c r="M33" i="36" s="1"/>
  <c r="M30" i="36" a="1"/>
  <c r="M30" i="36" s="1"/>
  <c r="M27" i="36" a="1"/>
  <c r="M27" i="36" s="1"/>
  <c r="M23" i="36" a="1"/>
  <c r="M23" i="36" s="1"/>
  <c r="W61" i="38"/>
  <c r="W118" i="38"/>
  <c r="X118" i="38" s="1"/>
  <c r="Y118" i="38" s="1"/>
  <c r="Z118" i="38" s="1"/>
  <c r="W177" i="38"/>
  <c r="K20" i="38" a="1"/>
  <c r="K20" i="38" s="1"/>
  <c r="K28" i="38" a="1"/>
  <c r="K28" i="38" s="1"/>
  <c r="K25" i="38" a="1"/>
  <c r="K25" i="38" s="1"/>
  <c r="K27" i="38" a="1"/>
  <c r="K27" i="38" s="1"/>
  <c r="M61" i="38"/>
  <c r="G158" i="40" s="1"/>
  <c r="H158" i="40" s="1"/>
  <c r="I158" i="40" s="1"/>
  <c r="K34" i="38" a="1"/>
  <c r="K34" i="38" s="1"/>
  <c r="N34" i="38" s="1"/>
  <c r="K29" i="38" a="1"/>
  <c r="K29" i="38" s="1"/>
  <c r="B425" i="38"/>
  <c r="B400" i="38"/>
  <c r="B402" i="38"/>
  <c r="B424" i="38"/>
  <c r="B432" i="38"/>
  <c r="B411" i="38"/>
  <c r="B397" i="38"/>
  <c r="B395" i="38"/>
  <c r="B401" i="38"/>
  <c r="B426" i="38"/>
  <c r="B403" i="38"/>
  <c r="B413" i="38"/>
  <c r="B423" i="38"/>
  <c r="B433" i="38"/>
  <c r="B419" i="38"/>
  <c r="B398" i="38"/>
  <c r="B429" i="38"/>
  <c r="B407" i="38"/>
  <c r="B436" i="38"/>
  <c r="B394" i="38"/>
  <c r="B409" i="38"/>
  <c r="B408" i="38"/>
  <c r="B418" i="38"/>
  <c r="B431" i="38"/>
  <c r="B421" i="38"/>
  <c r="B396" i="38"/>
  <c r="B435" i="38"/>
  <c r="B399" i="38"/>
  <c r="B417" i="38"/>
  <c r="B420" i="38"/>
  <c r="B406" i="38"/>
  <c r="B428" i="38"/>
  <c r="B405" i="38"/>
  <c r="B410" i="38"/>
  <c r="B430" i="38"/>
  <c r="B427" i="38"/>
  <c r="B412" i="38"/>
  <c r="B404" i="38"/>
  <c r="B434" i="38"/>
  <c r="B422" i="38"/>
  <c r="K33" i="38" a="1"/>
  <c r="K33" i="38" s="1"/>
  <c r="K22" i="38" a="1"/>
  <c r="K22" i="38" s="1"/>
  <c r="AS177" i="38"/>
  <c r="K21" i="38" a="1"/>
  <c r="K21" i="38" s="1"/>
  <c r="K31" i="38" a="1"/>
  <c r="K31" i="38" s="1"/>
  <c r="K24" i="38" a="1"/>
  <c r="K24" i="38" s="1"/>
  <c r="K26" i="38" a="1"/>
  <c r="K26" i="38" s="1"/>
  <c r="C346" i="38"/>
  <c r="B346" i="38"/>
  <c r="AV45" i="11"/>
  <c r="K39" i="11"/>
  <c r="I37" i="38" s="1"/>
  <c r="J37" i="38" s="1" a="1"/>
  <c r="J37" i="38" s="1"/>
  <c r="AV41" i="11"/>
  <c r="AV42" i="11"/>
  <c r="L61" i="12"/>
  <c r="D15" i="12"/>
  <c r="B406" i="12" s="1"/>
  <c r="L177" i="12"/>
  <c r="D61" i="12"/>
  <c r="J29" i="36" a="1"/>
  <c r="J29" i="36" s="1"/>
  <c r="K19" i="36" a="1"/>
  <c r="K19" i="36" s="1"/>
  <c r="M61" i="36" s="1"/>
  <c r="G58" i="40" s="1"/>
  <c r="H58" i="40" s="1"/>
  <c r="I58" i="40" s="1"/>
  <c r="B346" i="37"/>
  <c r="L36" i="38" a="1"/>
  <c r="L36" i="38" s="1"/>
  <c r="K36" i="38" a="1"/>
  <c r="K36" i="38" s="1"/>
  <c r="M36" i="38" a="1"/>
  <c r="M36" i="38" s="1"/>
  <c r="J36" i="38" a="1"/>
  <c r="J36" i="38" s="1"/>
  <c r="K24" i="36" a="1"/>
  <c r="K24" i="36" s="1"/>
  <c r="L30" i="12" a="1"/>
  <c r="L30" i="12" s="1"/>
  <c r="K30" i="36" a="1"/>
  <c r="K30" i="36" s="1"/>
  <c r="L26" i="36" a="1"/>
  <c r="L26" i="36" s="1"/>
  <c r="K23" i="37" a="1"/>
  <c r="K23" i="37" s="1"/>
  <c r="L27" i="12" a="1"/>
  <c r="L27" i="12" s="1"/>
  <c r="L20" i="36" a="1"/>
  <c r="L20" i="36" s="1"/>
  <c r="L34" i="12" a="1"/>
  <c r="L34" i="12" s="1"/>
  <c r="L23" i="36" a="1"/>
  <c r="L23" i="36" s="1"/>
  <c r="K35" i="36" a="1"/>
  <c r="K35" i="36" s="1"/>
  <c r="L31" i="37" a="1"/>
  <c r="L31" i="37" s="1"/>
  <c r="L20" i="37" a="1"/>
  <c r="L20" i="37" s="1"/>
  <c r="AS61" i="37"/>
  <c r="D417" i="37" s="1"/>
  <c r="K21" i="36" a="1"/>
  <c r="K21" i="36" s="1"/>
  <c r="K27" i="36" a="1"/>
  <c r="K27" i="36" s="1"/>
  <c r="L31" i="36" a="1"/>
  <c r="L31" i="36" s="1"/>
  <c r="L35" i="36" a="1"/>
  <c r="L35" i="36" s="1"/>
  <c r="K30" i="37" a="1"/>
  <c r="K30" i="37" s="1"/>
  <c r="L24" i="37" a="1"/>
  <c r="L24" i="37" s="1"/>
  <c r="L23" i="37" a="1"/>
  <c r="L23" i="37" s="1"/>
  <c r="K35" i="37" a="1"/>
  <c r="K35" i="37" s="1"/>
  <c r="C346" i="37"/>
  <c r="L28" i="37" a="1"/>
  <c r="L28" i="37" s="1"/>
  <c r="L33" i="37" a="1"/>
  <c r="L33" i="37" s="1"/>
  <c r="L26" i="37" a="1"/>
  <c r="L26" i="37" s="1"/>
  <c r="L34" i="36" a="1"/>
  <c r="L34" i="36" s="1"/>
  <c r="L25" i="36" a="1"/>
  <c r="L25" i="36" s="1"/>
  <c r="L32" i="36" a="1"/>
  <c r="L32" i="36" s="1"/>
  <c r="L32" i="37" a="1"/>
  <c r="L32" i="37" s="1"/>
  <c r="L22" i="37" a="1"/>
  <c r="L22" i="37" s="1"/>
  <c r="L29" i="37" a="1"/>
  <c r="L29" i="37" s="1"/>
  <c r="L22" i="36" a="1"/>
  <c r="L22" i="36" s="1"/>
  <c r="L21" i="37" a="1"/>
  <c r="L21" i="37" s="1"/>
  <c r="L27" i="36" a="1"/>
  <c r="L27" i="36" s="1"/>
  <c r="K23" i="36" a="1"/>
  <c r="K23" i="36" s="1"/>
  <c r="L28" i="36" a="1"/>
  <c r="L28" i="36" s="1"/>
  <c r="L30" i="36" a="1"/>
  <c r="L30" i="36" s="1"/>
  <c r="L35" i="37" a="1"/>
  <c r="L35" i="37" s="1"/>
  <c r="L19" i="37" a="1"/>
  <c r="L19" i="37" s="1"/>
  <c r="V61" i="37" s="1"/>
  <c r="L108" i="40" s="1"/>
  <c r="M108" i="40" s="1"/>
  <c r="N108" i="40" s="1"/>
  <c r="Q131" i="40"/>
  <c r="R131" i="40" s="1"/>
  <c r="S131" i="40" s="1"/>
  <c r="K20" i="36" a="1"/>
  <c r="K20" i="36" s="1"/>
  <c r="L21" i="36" a="1"/>
  <c r="L21" i="36" s="1"/>
  <c r="K31" i="37" a="1"/>
  <c r="K31" i="37" s="1"/>
  <c r="L27" i="37" a="1"/>
  <c r="L27" i="37" s="1"/>
  <c r="AE61" i="37"/>
  <c r="Q108" i="40" s="1"/>
  <c r="R108" i="40" s="1"/>
  <c r="S108" i="40" s="1"/>
  <c r="AS177" i="37"/>
  <c r="E417" i="37" s="1"/>
  <c r="L36" i="12" a="1"/>
  <c r="L36" i="12" s="1"/>
  <c r="K34" i="37" a="1"/>
  <c r="K34" i="37" s="1"/>
  <c r="K32" i="37" a="1"/>
  <c r="K32" i="37" s="1"/>
  <c r="K19" i="37" a="1"/>
  <c r="K19" i="37" s="1"/>
  <c r="M61" i="37" s="1"/>
  <c r="G108" i="40" s="1"/>
  <c r="H108" i="40" s="1"/>
  <c r="I108" i="40" s="1"/>
  <c r="L131" i="40"/>
  <c r="M131" i="40" s="1"/>
  <c r="N131" i="40" s="1"/>
  <c r="K25" i="37" a="1"/>
  <c r="K25" i="37" s="1"/>
  <c r="K27" i="37" a="1"/>
  <c r="K27" i="37" s="1"/>
  <c r="K29" i="37" a="1"/>
  <c r="K29" i="37" s="1"/>
  <c r="K26" i="37" a="1"/>
  <c r="K26" i="37" s="1"/>
  <c r="K22" i="37" a="1"/>
  <c r="K22" i="37" s="1"/>
  <c r="K33" i="37" a="1"/>
  <c r="K33" i="37" s="1"/>
  <c r="K28" i="37" a="1"/>
  <c r="K28" i="37" s="1"/>
  <c r="K31" i="36" a="1"/>
  <c r="K31" i="36" s="1"/>
  <c r="L28" i="12" a="1"/>
  <c r="L28" i="12" s="1"/>
  <c r="K20" i="37" a="1"/>
  <c r="K20" i="37" s="1"/>
  <c r="K21" i="37" a="1"/>
  <c r="K21" i="37" s="1"/>
  <c r="L30" i="37" a="1"/>
  <c r="L30" i="37" s="1"/>
  <c r="L34" i="37" a="1"/>
  <c r="L34" i="37" s="1"/>
  <c r="K29" i="36" a="1"/>
  <c r="K29" i="36" s="1"/>
  <c r="L29" i="12" a="1"/>
  <c r="L29" i="12" s="1"/>
  <c r="L23" i="12" a="1"/>
  <c r="L23" i="12" s="1"/>
  <c r="G131" i="40"/>
  <c r="H131" i="40" s="1"/>
  <c r="I131" i="40" s="1"/>
  <c r="K33" i="36" a="1"/>
  <c r="K33" i="36" s="1"/>
  <c r="K34" i="36" a="1"/>
  <c r="K34" i="36" s="1"/>
  <c r="L33" i="12" a="1"/>
  <c r="L33" i="12" s="1"/>
  <c r="L22" i="12" a="1"/>
  <c r="L22" i="12" s="1"/>
  <c r="K28" i="36" a="1"/>
  <c r="K28" i="36" s="1"/>
  <c r="L26" i="12" a="1"/>
  <c r="L26" i="12" s="1"/>
  <c r="K32" i="36" a="1"/>
  <c r="K32" i="36" s="1"/>
  <c r="L35" i="12" a="1"/>
  <c r="L35" i="12" s="1"/>
  <c r="L24" i="12" a="1"/>
  <c r="L24" i="12" s="1"/>
  <c r="K26" i="36" a="1"/>
  <c r="K26" i="36" s="1"/>
  <c r="K22" i="36" a="1"/>
  <c r="K22" i="36" s="1"/>
  <c r="L24" i="36" a="1"/>
  <c r="L24" i="36" s="1"/>
  <c r="L29" i="36" a="1"/>
  <c r="L29" i="36" s="1"/>
  <c r="Q81" i="40"/>
  <c r="R81" i="40" s="1"/>
  <c r="S81" i="40" s="1"/>
  <c r="AE61" i="36"/>
  <c r="Q58" i="40" s="1"/>
  <c r="R58" i="40" s="1"/>
  <c r="S58" i="40" s="1"/>
  <c r="L20" i="12" a="1"/>
  <c r="L20" i="12" s="1"/>
  <c r="L19" i="36" a="1"/>
  <c r="L19" i="36" s="1"/>
  <c r="V61" i="36" s="1"/>
  <c r="L58" i="40" s="1"/>
  <c r="M58" i="40" s="1"/>
  <c r="N58" i="40" s="1"/>
  <c r="L31" i="12" a="1"/>
  <c r="L31" i="12" s="1"/>
  <c r="L19" i="12" a="1"/>
  <c r="L19" i="12" s="1"/>
  <c r="V61" i="12" s="1"/>
  <c r="L8" i="40" s="1"/>
  <c r="M8" i="40" s="1"/>
  <c r="N8" i="40" s="1"/>
  <c r="L21" i="12" a="1"/>
  <c r="L21" i="12" s="1"/>
  <c r="L25" i="12" a="1"/>
  <c r="L25" i="12" s="1"/>
  <c r="Q31" i="40"/>
  <c r="R31" i="40" s="1"/>
  <c r="S31" i="40" s="1"/>
  <c r="L81" i="40"/>
  <c r="M81" i="40" s="1"/>
  <c r="N81" i="40" s="1"/>
  <c r="M31" i="12" a="1"/>
  <c r="M31" i="12" s="1"/>
  <c r="M19" i="12" a="1"/>
  <c r="M19" i="12" s="1"/>
  <c r="M33" i="12" a="1"/>
  <c r="M33" i="12" s="1"/>
  <c r="M22" i="12" a="1"/>
  <c r="M22" i="12" s="1"/>
  <c r="M21" i="12" a="1"/>
  <c r="M21" i="12" s="1"/>
  <c r="M32" i="12" a="1"/>
  <c r="M32" i="12" s="1"/>
  <c r="M27" i="12" a="1"/>
  <c r="M27" i="12" s="1"/>
  <c r="M23" i="12" a="1"/>
  <c r="M23" i="12" s="1"/>
  <c r="M25" i="12" a="1"/>
  <c r="M25" i="12" s="1"/>
  <c r="M34" i="12" a="1"/>
  <c r="M34" i="12" s="1"/>
  <c r="M36" i="12" a="1"/>
  <c r="M36" i="12" s="1"/>
  <c r="M30" i="12" a="1"/>
  <c r="M30" i="12" s="1"/>
  <c r="M35" i="12" a="1"/>
  <c r="M35" i="12" s="1"/>
  <c r="M24" i="12" a="1"/>
  <c r="M24" i="12" s="1"/>
  <c r="M26" i="12" a="1"/>
  <c r="M26" i="12" s="1"/>
  <c r="M20" i="12" a="1"/>
  <c r="M20" i="12" s="1"/>
  <c r="M28" i="12" a="1"/>
  <c r="M28" i="12" s="1"/>
  <c r="M29" i="12" a="1"/>
  <c r="M29" i="12" s="1"/>
  <c r="L31" i="40"/>
  <c r="M31" i="40" s="1"/>
  <c r="N31" i="40" s="1"/>
  <c r="I36" i="36"/>
  <c r="M36" i="36" s="1" a="1"/>
  <c r="M36" i="36" s="1"/>
  <c r="I36" i="37"/>
  <c r="M36" i="37" s="1" a="1"/>
  <c r="M36" i="37" s="1"/>
  <c r="B131" i="40"/>
  <c r="C131" i="40" s="1"/>
  <c r="D131" i="40" s="1"/>
  <c r="K32" i="12" a="1"/>
  <c r="K32" i="12" s="1"/>
  <c r="K24" i="12" a="1"/>
  <c r="K24" i="12" s="1"/>
  <c r="K28" i="12" a="1"/>
  <c r="K28" i="12" s="1"/>
  <c r="K23" i="12" a="1"/>
  <c r="K23" i="12" s="1"/>
  <c r="K19" i="12" a="1"/>
  <c r="K19" i="12" s="1"/>
  <c r="K29" i="12" a="1"/>
  <c r="K29" i="12" s="1"/>
  <c r="K21" i="12" a="1"/>
  <c r="K21" i="12" s="1"/>
  <c r="K35" i="12" a="1"/>
  <c r="K35" i="12" s="1"/>
  <c r="K20" i="12" a="1"/>
  <c r="K20" i="12" s="1"/>
  <c r="K33" i="12" a="1"/>
  <c r="K33" i="12" s="1"/>
  <c r="K27" i="12" a="1"/>
  <c r="K27" i="12" s="1"/>
  <c r="K25" i="12" a="1"/>
  <c r="K25" i="12" s="1"/>
  <c r="K34" i="12" a="1"/>
  <c r="K34" i="12" s="1"/>
  <c r="K22" i="12" a="1"/>
  <c r="K22" i="12" s="1"/>
  <c r="K31" i="12" a="1"/>
  <c r="K31" i="12" s="1"/>
  <c r="K30" i="12" a="1"/>
  <c r="K30" i="12" s="1"/>
  <c r="K26" i="12" a="1"/>
  <c r="K26" i="12" s="1"/>
  <c r="B409" i="37"/>
  <c r="B411" i="37"/>
  <c r="B434" i="37"/>
  <c r="B410" i="37"/>
  <c r="B432" i="37"/>
  <c r="B404" i="37"/>
  <c r="B412" i="37"/>
  <c r="B395" i="37"/>
  <c r="J32" i="36" a="1"/>
  <c r="J32" i="36" s="1"/>
  <c r="J31" i="36" a="1"/>
  <c r="J31" i="36" s="1"/>
  <c r="J23" i="36" a="1"/>
  <c r="J23" i="36" s="1"/>
  <c r="J30" i="36" a="1"/>
  <c r="J30" i="36" s="1"/>
  <c r="J28" i="36" a="1"/>
  <c r="J28" i="36" s="1"/>
  <c r="J35" i="36" a="1"/>
  <c r="J35" i="36" s="1"/>
  <c r="J27" i="36" a="1"/>
  <c r="J27" i="36" s="1"/>
  <c r="J33" i="36" a="1"/>
  <c r="J33" i="36" s="1"/>
  <c r="J34" i="36" a="1"/>
  <c r="J34" i="36" s="1"/>
  <c r="J25" i="36" a="1"/>
  <c r="J25" i="36" s="1"/>
  <c r="B398" i="37"/>
  <c r="B401" i="37"/>
  <c r="B427" i="37"/>
  <c r="B399" i="37"/>
  <c r="B394" i="37"/>
  <c r="B400" i="37"/>
  <c r="B396" i="37"/>
  <c r="B431" i="37"/>
  <c r="B426" i="36"/>
  <c r="B402" i="37"/>
  <c r="B403" i="37"/>
  <c r="B429" i="36"/>
  <c r="B430" i="37"/>
  <c r="B405" i="37"/>
  <c r="B408" i="37"/>
  <c r="B406" i="37"/>
  <c r="B421" i="37"/>
  <c r="B407" i="37"/>
  <c r="B397" i="37"/>
  <c r="B436" i="37"/>
  <c r="B420" i="37"/>
  <c r="B419" i="37"/>
  <c r="B424" i="37"/>
  <c r="B435" i="36"/>
  <c r="B413" i="37"/>
  <c r="B432" i="36"/>
  <c r="B426" i="37"/>
  <c r="B434" i="36"/>
  <c r="B435" i="37"/>
  <c r="B428" i="36"/>
  <c r="B433" i="37"/>
  <c r="B417" i="37"/>
  <c r="B425" i="36"/>
  <c r="B423" i="36"/>
  <c r="B420" i="36"/>
  <c r="B418" i="37"/>
  <c r="B423" i="37"/>
  <c r="B428" i="37"/>
  <c r="B425" i="37"/>
  <c r="B433" i="36"/>
  <c r="B422" i="36"/>
  <c r="B424" i="36"/>
  <c r="B427" i="36"/>
  <c r="B419" i="36"/>
  <c r="B421" i="36"/>
  <c r="B436" i="36"/>
  <c r="B418" i="36"/>
  <c r="B429" i="37"/>
  <c r="B431" i="36"/>
  <c r="B430" i="36"/>
  <c r="J21" i="37" a="1"/>
  <c r="J21" i="37" s="1"/>
  <c r="J22" i="37" a="1"/>
  <c r="J22" i="37" s="1"/>
  <c r="J21" i="36" a="1"/>
  <c r="J21" i="36" s="1"/>
  <c r="J22" i="36" a="1"/>
  <c r="J22" i="36" s="1"/>
  <c r="J24" i="36" a="1"/>
  <c r="J24" i="36" s="1"/>
  <c r="J20" i="36" a="1"/>
  <c r="J20" i="36" s="1"/>
  <c r="J26" i="36" a="1"/>
  <c r="J26" i="36" s="1"/>
  <c r="J30" i="37" a="1"/>
  <c r="J30" i="37" s="1"/>
  <c r="J35" i="37" a="1"/>
  <c r="J35" i="37" s="1"/>
  <c r="J19" i="36" a="1"/>
  <c r="J19" i="36" s="1"/>
  <c r="D61" i="36" s="1"/>
  <c r="J23" i="37" a="1"/>
  <c r="J23" i="37" s="1"/>
  <c r="J32" i="37" a="1"/>
  <c r="J32" i="37" s="1"/>
  <c r="J26" i="37" a="1"/>
  <c r="J26" i="37" s="1"/>
  <c r="J28" i="37" a="1"/>
  <c r="J28" i="37" s="1"/>
  <c r="J19" i="37" a="1"/>
  <c r="J19" i="37" s="1"/>
  <c r="D61" i="37" s="1"/>
  <c r="B108" i="40" s="1"/>
  <c r="C108" i="40" s="1"/>
  <c r="D108" i="40" s="1"/>
  <c r="J31" i="37" a="1"/>
  <c r="J31" i="37" s="1"/>
  <c r="J27" i="37" a="1"/>
  <c r="J27" i="37" s="1"/>
  <c r="J20" i="37" a="1"/>
  <c r="J20" i="37" s="1"/>
  <c r="J29" i="37" a="1"/>
  <c r="J29" i="37" s="1"/>
  <c r="J25" i="37" a="1"/>
  <c r="J25" i="37" s="1"/>
  <c r="J33" i="37" a="1"/>
  <c r="J33" i="37" s="1"/>
  <c r="J24" i="37" a="1"/>
  <c r="J24" i="37" s="1"/>
  <c r="J34" i="37" a="1"/>
  <c r="J34" i="37" s="1"/>
  <c r="AV48" i="11"/>
  <c r="AV40" i="11"/>
  <c r="C346" i="36"/>
  <c r="B346" i="36"/>
  <c r="AV44" i="11"/>
  <c r="B346" i="12"/>
  <c r="C235" i="38"/>
  <c r="D235" i="38" s="1"/>
  <c r="E235" i="38" s="1"/>
  <c r="F235" i="38" s="1"/>
  <c r="I235" i="38" s="1"/>
  <c r="C346" i="12"/>
  <c r="E179" i="38"/>
  <c r="C180" i="38" s="1"/>
  <c r="D180" i="38" s="1"/>
  <c r="L330" i="4"/>
  <c r="J331" i="4" s="1"/>
  <c r="M331" i="4" s="1"/>
  <c r="L952" i="4"/>
  <c r="J953" i="4" s="1"/>
  <c r="M953" i="4" s="1"/>
  <c r="F952" i="4"/>
  <c r="D953" i="4" s="1"/>
  <c r="G952" i="4"/>
  <c r="M986" i="4"/>
  <c r="R814" i="4"/>
  <c r="P815" i="4" s="1"/>
  <c r="S814" i="4"/>
  <c r="M814" i="4"/>
  <c r="G814" i="4"/>
  <c r="M764" i="4"/>
  <c r="G616" i="4"/>
  <c r="Y558" i="4"/>
  <c r="S558" i="4"/>
  <c r="G559" i="4"/>
  <c r="F868" i="4"/>
  <c r="R350" i="4"/>
  <c r="P351" i="4" s="1"/>
  <c r="S351" i="4" s="1"/>
  <c r="G479" i="4"/>
  <c r="AE415" i="4"/>
  <c r="S416" i="4"/>
  <c r="M416" i="4"/>
  <c r="M53" i="4"/>
  <c r="G52" i="4"/>
  <c r="Y371" i="4"/>
  <c r="Y372" i="4"/>
  <c r="AD371" i="4"/>
  <c r="AB372" i="4" s="1"/>
  <c r="AD372" i="4" s="1"/>
  <c r="AB373" i="4" s="1"/>
  <c r="AE373" i="4" s="1"/>
  <c r="M289" i="4"/>
  <c r="G289" i="4"/>
  <c r="Y247" i="4"/>
  <c r="S247" i="4"/>
  <c r="G247" i="4"/>
  <c r="R290" i="4"/>
  <c r="P291" i="4" s="1"/>
  <c r="S815" i="4"/>
  <c r="R247" i="4"/>
  <c r="P248" i="4" s="1"/>
  <c r="S248" i="4" s="1"/>
  <c r="S211" i="4"/>
  <c r="F11" i="4"/>
  <c r="D12" i="4" s="1"/>
  <c r="G12" i="4" s="1"/>
  <c r="G11" i="4"/>
  <c r="M211" i="4"/>
  <c r="S34" i="4"/>
  <c r="S24" i="4"/>
  <c r="F32" i="4"/>
  <c r="G33" i="4" s="1"/>
  <c r="F371" i="4"/>
  <c r="D372" i="4" s="1"/>
  <c r="G372" i="4" s="1"/>
  <c r="R458" i="4"/>
  <c r="P459" i="4" s="1"/>
  <c r="R558" i="4"/>
  <c r="P559" i="4" s="1"/>
  <c r="S559" i="4" s="1"/>
  <c r="X330" i="4"/>
  <c r="V331" i="4" s="1"/>
  <c r="F457" i="4"/>
  <c r="D458" i="4" s="1"/>
  <c r="L10" i="4"/>
  <c r="J11" i="4" s="1"/>
  <c r="M11" i="4" s="1"/>
  <c r="R53" i="4"/>
  <c r="P54" i="4" s="1"/>
  <c r="S54" i="4" s="1"/>
  <c r="F211" i="4"/>
  <c r="D212" i="4" s="1"/>
  <c r="G212" i="4" s="1"/>
  <c r="L248" i="4"/>
  <c r="J249" i="4" s="1"/>
  <c r="R951" i="4"/>
  <c r="P952" i="4" s="1"/>
  <c r="S952" i="4" s="1"/>
  <c r="F985" i="4"/>
  <c r="D986" i="4" s="1"/>
  <c r="X350" i="4"/>
  <c r="Y351" i="4" s="1"/>
  <c r="G173" i="4"/>
  <c r="R34" i="4"/>
  <c r="R24" i="4"/>
  <c r="F33" i="4"/>
  <c r="G34" i="4" s="1"/>
  <c r="R330" i="4"/>
  <c r="P331" i="4" s="1"/>
  <c r="S331" i="4" s="1"/>
  <c r="F330" i="4"/>
  <c r="D331" i="4" s="1"/>
  <c r="G331" i="4" s="1"/>
  <c r="F415" i="4"/>
  <c r="D416" i="4" s="1"/>
  <c r="L351" i="4"/>
  <c r="M352" i="4" s="1"/>
  <c r="R371" i="4"/>
  <c r="P372" i="4" s="1"/>
  <c r="S372" i="4" s="1"/>
  <c r="L53" i="4"/>
  <c r="J54" i="4" s="1"/>
  <c r="M54" i="4" s="1"/>
  <c r="R710" i="4"/>
  <c r="P711" i="4" s="1"/>
  <c r="S711" i="4" s="1"/>
  <c r="L289" i="4"/>
  <c r="J290" i="4" s="1"/>
  <c r="M290" i="4" s="1"/>
  <c r="AD415" i="4"/>
  <c r="AB416" i="4" s="1"/>
  <c r="AE416" i="4" s="1"/>
  <c r="F559" i="4"/>
  <c r="D560" i="4" s="1"/>
  <c r="R10" i="4"/>
  <c r="P11" i="4" s="1"/>
  <c r="S11" i="4" s="1"/>
  <c r="X372" i="4"/>
  <c r="V373" i="4" s="1"/>
  <c r="Y373" i="4" s="1"/>
  <c r="AJ371" i="4"/>
  <c r="AH372" i="4" s="1"/>
  <c r="X457" i="4"/>
  <c r="V458" i="4" s="1"/>
  <c r="Y458" i="4" s="1"/>
  <c r="L371" i="4"/>
  <c r="J372" i="4" s="1"/>
  <c r="M372" i="4" s="1"/>
  <c r="R211" i="4"/>
  <c r="P212" i="4" s="1"/>
  <c r="F882" i="4"/>
  <c r="G883" i="4" s="1"/>
  <c r="F350" i="4"/>
  <c r="G351" i="4" s="1"/>
  <c r="R765" i="4"/>
  <c r="P766" i="4" s="1"/>
  <c r="L814" i="4"/>
  <c r="J815" i="4" s="1"/>
  <c r="M815" i="4" s="1"/>
  <c r="F916" i="4"/>
  <c r="D917" i="4" s="1"/>
  <c r="G917" i="4" s="1"/>
  <c r="L211" i="4"/>
  <c r="J212" i="4" s="1"/>
  <c r="M212" i="4" s="1"/>
  <c r="AD248" i="4"/>
  <c r="AB249" i="4" s="1"/>
  <c r="AE249" i="4" s="1"/>
  <c r="F289" i="4"/>
  <c r="D290" i="4" s="1"/>
  <c r="G290" i="4" s="1"/>
  <c r="F500" i="4"/>
  <c r="D501" i="4" s="1"/>
  <c r="G501" i="4" s="1"/>
  <c r="L986" i="4"/>
  <c r="J987" i="4" s="1"/>
  <c r="L558" i="4"/>
  <c r="J559" i="4" s="1"/>
  <c r="M559" i="4" s="1"/>
  <c r="F247" i="4"/>
  <c r="D248" i="4" s="1"/>
  <c r="G248" i="4" s="1"/>
  <c r="F710" i="4"/>
  <c r="D711" i="4" s="1"/>
  <c r="G711" i="4" s="1"/>
  <c r="F764" i="4"/>
  <c r="D765" i="4" s="1"/>
  <c r="G765" i="4" s="1"/>
  <c r="F479" i="4"/>
  <c r="F815" i="4"/>
  <c r="D816" i="4" s="1"/>
  <c r="G816" i="4" s="1"/>
  <c r="F52" i="4"/>
  <c r="D53" i="4" s="1"/>
  <c r="G53" i="4" s="1"/>
  <c r="X558" i="4"/>
  <c r="V559" i="4" s="1"/>
  <c r="X415" i="4"/>
  <c r="V416" i="4" s="1"/>
  <c r="F616" i="4"/>
  <c r="D617" i="4" s="1"/>
  <c r="L459" i="4"/>
  <c r="J460" i="4" s="1"/>
  <c r="M460" i="4" s="1"/>
  <c r="L416" i="4"/>
  <c r="J417" i="4" s="1"/>
  <c r="R416" i="4"/>
  <c r="P417" i="4" s="1"/>
  <c r="S417" i="4" s="1"/>
  <c r="X247" i="4"/>
  <c r="V248" i="4" s="1"/>
  <c r="Y248" i="4" s="1"/>
  <c r="L764" i="4"/>
  <c r="J765" i="4" s="1"/>
  <c r="M765" i="4" s="1"/>
  <c r="M177" i="12" l="1"/>
  <c r="G31" i="40" s="1"/>
  <c r="H31" i="40" s="1"/>
  <c r="I31" i="40" s="1"/>
  <c r="L331" i="4"/>
  <c r="J332" i="4" s="1"/>
  <c r="M332" i="4" s="1"/>
  <c r="N177" i="38"/>
  <c r="L178" i="38" s="1"/>
  <c r="M178" i="38" s="1"/>
  <c r="G181" i="40"/>
  <c r="H181" i="40" s="1"/>
  <c r="I181" i="40" s="1"/>
  <c r="C118" i="12"/>
  <c r="D118" i="12" s="1"/>
  <c r="B8" i="40"/>
  <c r="C8" i="40" s="1"/>
  <c r="D8" i="40" s="1"/>
  <c r="AG233" i="38"/>
  <c r="Q181" i="40"/>
  <c r="R181" i="40" s="1"/>
  <c r="S181" i="40" s="1"/>
  <c r="AG118" i="38"/>
  <c r="Q158" i="40"/>
  <c r="R158" i="40" s="1"/>
  <c r="S158" i="40" s="1"/>
  <c r="C233" i="12"/>
  <c r="B31" i="40"/>
  <c r="C31" i="40" s="1"/>
  <c r="D31" i="40" s="1"/>
  <c r="M233" i="36"/>
  <c r="N233" i="36" s="1"/>
  <c r="O233" i="36" s="1"/>
  <c r="P233" i="36" s="1"/>
  <c r="G81" i="40"/>
  <c r="H81" i="40" s="1"/>
  <c r="I81" i="40" s="1"/>
  <c r="C233" i="36"/>
  <c r="B81" i="40"/>
  <c r="C81" i="40" s="1"/>
  <c r="D81" i="40" s="1"/>
  <c r="N23" i="38"/>
  <c r="N30" i="38"/>
  <c r="M37" i="38" a="1"/>
  <c r="M37" i="38" s="1"/>
  <c r="L37" i="38" a="1"/>
  <c r="L37" i="38" s="1"/>
  <c r="K37" i="38" a="1"/>
  <c r="K37" i="38" s="1"/>
  <c r="J36" i="37" a="1"/>
  <c r="J36" i="37" s="1"/>
  <c r="I37" i="37"/>
  <c r="K37" i="37" s="1" a="1"/>
  <c r="K37" i="37" s="1"/>
  <c r="I37" i="36"/>
  <c r="L37" i="36" s="1" a="1"/>
  <c r="L37" i="36" s="1"/>
  <c r="N26" i="38"/>
  <c r="I37" i="12"/>
  <c r="K40" i="11"/>
  <c r="I38" i="38" s="1"/>
  <c r="O6" i="38" s="1"/>
  <c r="N27" i="38"/>
  <c r="N29" i="38"/>
  <c r="D394" i="38"/>
  <c r="F394" i="38" s="1"/>
  <c r="AF61" i="38"/>
  <c r="AD62" i="38" s="1"/>
  <c r="AE62" i="38" s="1"/>
  <c r="Q159" i="40" s="1"/>
  <c r="R159" i="40" s="1"/>
  <c r="S159" i="40" s="1"/>
  <c r="N22" i="38"/>
  <c r="N20" i="38"/>
  <c r="N19" i="38"/>
  <c r="N28" i="38"/>
  <c r="AF177" i="38"/>
  <c r="AG177" i="38" s="1"/>
  <c r="N25" i="38"/>
  <c r="N33" i="38"/>
  <c r="N21" i="38"/>
  <c r="N31" i="38"/>
  <c r="N24" i="38"/>
  <c r="U178" i="38"/>
  <c r="V178" i="38" s="1"/>
  <c r="X177" i="38"/>
  <c r="Y177" i="38" s="1"/>
  <c r="Z177" i="38" s="1"/>
  <c r="AC118" i="38"/>
  <c r="AB118" i="38"/>
  <c r="AA118" i="38"/>
  <c r="U62" i="38"/>
  <c r="V62" i="38" s="1"/>
  <c r="L159" i="40" s="1"/>
  <c r="M159" i="40" s="1"/>
  <c r="N159" i="40" s="1"/>
  <c r="X61" i="38"/>
  <c r="Y61" i="38" s="1"/>
  <c r="Z61" i="38" s="1"/>
  <c r="F417" i="38"/>
  <c r="D346" i="38"/>
  <c r="M233" i="38"/>
  <c r="N233" i="38" s="1"/>
  <c r="O233" i="38" s="1"/>
  <c r="P233" i="38" s="1"/>
  <c r="AM177" i="38"/>
  <c r="E394" i="38"/>
  <c r="G394" i="38" s="1"/>
  <c r="E417" i="38"/>
  <c r="G417" i="38" s="1"/>
  <c r="M118" i="38"/>
  <c r="N118" i="38" s="1"/>
  <c r="O118" i="38" s="1"/>
  <c r="P118" i="38" s="1"/>
  <c r="N61" i="38"/>
  <c r="J36" i="36" a="1"/>
  <c r="J36" i="36" s="1"/>
  <c r="AS61" i="12"/>
  <c r="D417" i="12" s="1"/>
  <c r="G417" i="37"/>
  <c r="F417" i="37"/>
  <c r="M61" i="12"/>
  <c r="B409" i="12"/>
  <c r="B410" i="12"/>
  <c r="AE61" i="12"/>
  <c r="B435" i="12"/>
  <c r="B428" i="12"/>
  <c r="B411" i="12"/>
  <c r="B408" i="12"/>
  <c r="B425" i="12"/>
  <c r="B402" i="12"/>
  <c r="B422" i="12"/>
  <c r="B400" i="12"/>
  <c r="B418" i="12"/>
  <c r="B405" i="12"/>
  <c r="B398" i="12"/>
  <c r="B420" i="12"/>
  <c r="B403" i="12"/>
  <c r="B427" i="12"/>
  <c r="B432" i="12"/>
  <c r="B407" i="12"/>
  <c r="B399" i="12"/>
  <c r="B430" i="12"/>
  <c r="B417" i="12"/>
  <c r="B413" i="12"/>
  <c r="B436" i="12"/>
  <c r="B424" i="12"/>
  <c r="B396" i="12"/>
  <c r="B404" i="12"/>
  <c r="B397" i="12"/>
  <c r="B426" i="12"/>
  <c r="B433" i="12"/>
  <c r="B429" i="12"/>
  <c r="B412" i="12"/>
  <c r="B401" i="12"/>
  <c r="B434" i="12"/>
  <c r="B431" i="12"/>
  <c r="B421" i="12"/>
  <c r="B394" i="12"/>
  <c r="B395" i="12"/>
  <c r="B419" i="12"/>
  <c r="B423" i="12"/>
  <c r="AS177" i="12"/>
  <c r="E394" i="12" s="1"/>
  <c r="N177" i="36"/>
  <c r="L178" i="36" s="1"/>
  <c r="M178" i="36" s="1"/>
  <c r="AF177" i="37"/>
  <c r="AD178" i="37" s="1"/>
  <c r="AE178" i="37" s="1"/>
  <c r="AG233" i="37"/>
  <c r="W177" i="12"/>
  <c r="W233" i="12"/>
  <c r="E394" i="37"/>
  <c r="G394" i="37" s="1"/>
  <c r="AF177" i="12"/>
  <c r="AG233" i="12"/>
  <c r="AF177" i="36"/>
  <c r="AD178" i="36" s="1"/>
  <c r="AG233" i="36"/>
  <c r="N61" i="37"/>
  <c r="M118" i="37"/>
  <c r="N118" i="37" s="1"/>
  <c r="O118" i="37" s="1"/>
  <c r="P118" i="37" s="1"/>
  <c r="R118" i="37" s="1"/>
  <c r="M233" i="12"/>
  <c r="N233" i="12" s="1"/>
  <c r="O233" i="12" s="1"/>
  <c r="P233" i="12" s="1"/>
  <c r="W61" i="12"/>
  <c r="X61" i="12" s="1"/>
  <c r="W118" i="12"/>
  <c r="W61" i="36"/>
  <c r="U62" i="36" s="1"/>
  <c r="W118" i="36"/>
  <c r="AF61" i="37"/>
  <c r="AG118" i="37"/>
  <c r="W61" i="37"/>
  <c r="W118" i="37"/>
  <c r="N177" i="37"/>
  <c r="L178" i="37" s="1"/>
  <c r="M178" i="37" s="1"/>
  <c r="M233" i="37"/>
  <c r="N233" i="37" s="1"/>
  <c r="O233" i="37" s="1"/>
  <c r="P233" i="37" s="1"/>
  <c r="N61" i="36"/>
  <c r="L62" i="36" s="1"/>
  <c r="M118" i="36"/>
  <c r="N118" i="36" s="1"/>
  <c r="O118" i="36" s="1"/>
  <c r="P118" i="36" s="1"/>
  <c r="Q118" i="36" s="1"/>
  <c r="W177" i="36"/>
  <c r="U178" i="36" s="1"/>
  <c r="V178" i="36" s="1"/>
  <c r="W233" i="36"/>
  <c r="AF61" i="36"/>
  <c r="AG118" i="36"/>
  <c r="W177" i="37"/>
  <c r="U178" i="37" s="1"/>
  <c r="V178" i="37" s="1"/>
  <c r="W233" i="37"/>
  <c r="D394" i="37"/>
  <c r="F394" i="37" s="1"/>
  <c r="N27" i="36"/>
  <c r="N30" i="36"/>
  <c r="N31" i="37"/>
  <c r="N21" i="36"/>
  <c r="N24" i="37"/>
  <c r="D346" i="37"/>
  <c r="N32" i="37"/>
  <c r="N23" i="37"/>
  <c r="N32" i="36"/>
  <c r="N26" i="37"/>
  <c r="M37" i="12" a="1"/>
  <c r="M37" i="12" s="1"/>
  <c r="K36" i="37" a="1"/>
  <c r="K36" i="37" s="1"/>
  <c r="L36" i="36" a="1"/>
  <c r="L36" i="36" s="1"/>
  <c r="N36" i="38"/>
  <c r="N19" i="36"/>
  <c r="K36" i="36" a="1"/>
  <c r="K36" i="36" s="1"/>
  <c r="L38" i="38" a="1"/>
  <c r="L38" i="38" s="1"/>
  <c r="K38" i="38" a="1"/>
  <c r="K38" i="38" s="1"/>
  <c r="M38" i="38" a="1"/>
  <c r="M38" i="38" s="1"/>
  <c r="L36" i="37" a="1"/>
  <c r="L36" i="37" s="1"/>
  <c r="L37" i="12" a="1"/>
  <c r="L37" i="12" s="1"/>
  <c r="N30" i="37"/>
  <c r="N35" i="36"/>
  <c r="N26" i="36"/>
  <c r="N25" i="37"/>
  <c r="N21" i="37"/>
  <c r="N25" i="36"/>
  <c r="N23" i="36"/>
  <c r="N33" i="37"/>
  <c r="N22" i="37"/>
  <c r="AM177" i="37"/>
  <c r="N28" i="37"/>
  <c r="N35" i="37"/>
  <c r="N20" i="36"/>
  <c r="N34" i="37"/>
  <c r="N34" i="36"/>
  <c r="N22" i="36"/>
  <c r="N28" i="36"/>
  <c r="N20" i="37"/>
  <c r="N27" i="37"/>
  <c r="N24" i="36"/>
  <c r="N31" i="36"/>
  <c r="N29" i="37"/>
  <c r="N33" i="36"/>
  <c r="N29" i="36"/>
  <c r="C233" i="37"/>
  <c r="D233" i="37" s="1"/>
  <c r="E233" i="37" s="1"/>
  <c r="F233" i="37" s="1"/>
  <c r="H233" i="37" s="1"/>
  <c r="E177" i="37"/>
  <c r="B58" i="40"/>
  <c r="C58" i="40" s="1"/>
  <c r="D58" i="40" s="1"/>
  <c r="N19" i="37"/>
  <c r="N19" i="12"/>
  <c r="G235" i="38"/>
  <c r="H235" i="38"/>
  <c r="D346" i="12"/>
  <c r="F179" i="38"/>
  <c r="G179" i="38" s="1"/>
  <c r="H179" i="38" s="1"/>
  <c r="B184" i="40"/>
  <c r="C184" i="40" s="1"/>
  <c r="D184" i="40" s="1"/>
  <c r="C41" i="20"/>
  <c r="AS61" i="36"/>
  <c r="AS177" i="36"/>
  <c r="F953" i="4"/>
  <c r="D954" i="4" s="1"/>
  <c r="G953" i="4"/>
  <c r="G986" i="4"/>
  <c r="M987" i="4"/>
  <c r="D869" i="4"/>
  <c r="F869" i="4" s="1"/>
  <c r="G870" i="4" s="1"/>
  <c r="S766" i="4"/>
  <c r="G617" i="4"/>
  <c r="Y559" i="4"/>
  <c r="G560" i="4"/>
  <c r="X331" i="4"/>
  <c r="V332" i="4" s="1"/>
  <c r="Y332" i="4" s="1"/>
  <c r="Y331" i="4"/>
  <c r="S459" i="4"/>
  <c r="G480" i="4"/>
  <c r="G458" i="4"/>
  <c r="Y416" i="4"/>
  <c r="M417" i="4"/>
  <c r="G416" i="4"/>
  <c r="AK372" i="4"/>
  <c r="AE372" i="4"/>
  <c r="F12" i="4"/>
  <c r="G13" i="4" s="1"/>
  <c r="R559" i="4"/>
  <c r="P560" i="4" s="1"/>
  <c r="S560" i="4" s="1"/>
  <c r="S291" i="4"/>
  <c r="R291" i="4"/>
  <c r="M249" i="4"/>
  <c r="R459" i="4"/>
  <c r="P460" i="4" s="1"/>
  <c r="R460" i="4" s="1"/>
  <c r="P461" i="4" s="1"/>
  <c r="S461" i="4" s="1"/>
  <c r="F458" i="4"/>
  <c r="D459" i="4" s="1"/>
  <c r="R351" i="4"/>
  <c r="P352" i="4" s="1"/>
  <c r="S352" i="4" s="1"/>
  <c r="R248" i="4"/>
  <c r="P249" i="4" s="1"/>
  <c r="S212" i="4"/>
  <c r="L953" i="4"/>
  <c r="J954" i="4" s="1"/>
  <c r="M954" i="4" s="1"/>
  <c r="R815" i="4"/>
  <c r="P816" i="4" s="1"/>
  <c r="S816" i="4" s="1"/>
  <c r="S35" i="4"/>
  <c r="S25" i="4"/>
  <c r="F372" i="4"/>
  <c r="D373" i="4" s="1"/>
  <c r="R54" i="4"/>
  <c r="P55" i="4" s="1"/>
  <c r="S55" i="4" s="1"/>
  <c r="L11" i="4"/>
  <c r="J12" i="4" s="1"/>
  <c r="M12" i="4" s="1"/>
  <c r="F480" i="4"/>
  <c r="G481" i="4" s="1"/>
  <c r="F212" i="4"/>
  <c r="D213" i="4" s="1"/>
  <c r="G213" i="4" s="1"/>
  <c r="R952" i="4"/>
  <c r="P953" i="4" s="1"/>
  <c r="S953" i="4" s="1"/>
  <c r="F986" i="4"/>
  <c r="D987" i="4" s="1"/>
  <c r="X351" i="4"/>
  <c r="Y352" i="4" s="1"/>
  <c r="L332" i="4"/>
  <c r="J333" i="4" s="1"/>
  <c r="M333" i="4" s="1"/>
  <c r="L249" i="4"/>
  <c r="J250" i="4" s="1"/>
  <c r="M250" i="4" s="1"/>
  <c r="G174" i="4"/>
  <c r="R35" i="4"/>
  <c r="R25" i="4"/>
  <c r="S26" i="4" s="1"/>
  <c r="R331" i="4"/>
  <c r="P332" i="4" s="1"/>
  <c r="S332" i="4" s="1"/>
  <c r="F331" i="4"/>
  <c r="D332" i="4" s="1"/>
  <c r="G332" i="4" s="1"/>
  <c r="AD416" i="4"/>
  <c r="AB417" i="4" s="1"/>
  <c r="AJ372" i="4"/>
  <c r="AH373" i="4" s="1"/>
  <c r="F560" i="4"/>
  <c r="D561" i="4" s="1"/>
  <c r="G561" i="4" s="1"/>
  <c r="L352" i="4"/>
  <c r="M353" i="4" s="1"/>
  <c r="F416" i="4"/>
  <c r="D417" i="4" s="1"/>
  <c r="X373" i="4"/>
  <c r="V374" i="4" s="1"/>
  <c r="L54" i="4"/>
  <c r="J55" i="4" s="1"/>
  <c r="M55" i="4" s="1"/>
  <c r="R711" i="4"/>
  <c r="P712" i="4" s="1"/>
  <c r="S712" i="4" s="1"/>
  <c r="R11" i="4"/>
  <c r="P12" i="4" s="1"/>
  <c r="S12" i="4" s="1"/>
  <c r="R372" i="4"/>
  <c r="P373" i="4" s="1"/>
  <c r="X458" i="4"/>
  <c r="V459" i="4" s="1"/>
  <c r="Y459" i="4" s="1"/>
  <c r="L290" i="4"/>
  <c r="J291" i="4" s="1"/>
  <c r="AD249" i="4"/>
  <c r="AB250" i="4" s="1"/>
  <c r="AE250" i="4"/>
  <c r="L765" i="4"/>
  <c r="J766" i="4" s="1"/>
  <c r="M766" i="4" s="1"/>
  <c r="F711" i="4"/>
  <c r="D712" i="4" s="1"/>
  <c r="G712" i="4" s="1"/>
  <c r="F617" i="4"/>
  <c r="D618" i="4" s="1"/>
  <c r="G618" i="4" s="1"/>
  <c r="L212" i="4"/>
  <c r="J213" i="4" s="1"/>
  <c r="M213" i="4" s="1"/>
  <c r="L417" i="4"/>
  <c r="J418" i="4" s="1"/>
  <c r="M418" i="4" s="1"/>
  <c r="F248" i="4"/>
  <c r="D249" i="4" s="1"/>
  <c r="G249" i="4" s="1"/>
  <c r="X416" i="4"/>
  <c r="V417" i="4" s="1"/>
  <c r="L460" i="4"/>
  <c r="J461" i="4" s="1"/>
  <c r="AD373" i="4"/>
  <c r="AB374" i="4" s="1"/>
  <c r="L559" i="4"/>
  <c r="J560" i="4" s="1"/>
  <c r="F351" i="4"/>
  <c r="G352" i="4" s="1"/>
  <c r="X248" i="4"/>
  <c r="V249" i="4" s="1"/>
  <c r="Y249" i="4" s="1"/>
  <c r="R417" i="4"/>
  <c r="P418" i="4" s="1"/>
  <c r="S418" i="4" s="1"/>
  <c r="F53" i="4"/>
  <c r="D54" i="4" s="1"/>
  <c r="F765" i="4"/>
  <c r="D766" i="4" s="1"/>
  <c r="G766" i="4" s="1"/>
  <c r="F290" i="4"/>
  <c r="D291" i="4" s="1"/>
  <c r="G291" i="4" s="1"/>
  <c r="L372" i="4"/>
  <c r="J373" i="4" s="1"/>
  <c r="F816" i="4"/>
  <c r="D817" i="4" s="1"/>
  <c r="L815" i="4"/>
  <c r="J816" i="4" s="1"/>
  <c r="M816" i="4" s="1"/>
  <c r="F501" i="4"/>
  <c r="D502" i="4" s="1"/>
  <c r="G502" i="4" s="1"/>
  <c r="R766" i="4"/>
  <c r="P767" i="4" s="1"/>
  <c r="S767" i="4" s="1"/>
  <c r="R212" i="4"/>
  <c r="P213" i="4" s="1"/>
  <c r="X559" i="4"/>
  <c r="V560" i="4" s="1"/>
  <c r="L987" i="4"/>
  <c r="J988" i="4" s="1"/>
  <c r="F917" i="4"/>
  <c r="D918" i="4" s="1"/>
  <c r="G918" i="4" s="1"/>
  <c r="F883" i="4"/>
  <c r="G884" i="4" s="1"/>
  <c r="AN177" i="38" l="1"/>
  <c r="AO177" i="38" s="1"/>
  <c r="N177" i="12"/>
  <c r="L178" i="12" s="1"/>
  <c r="M178" i="12" s="1"/>
  <c r="M234" i="12" s="1"/>
  <c r="AE178" i="36"/>
  <c r="Q82" i="40" s="1"/>
  <c r="R82" i="40" s="1"/>
  <c r="S82" i="40" s="1"/>
  <c r="O177" i="38"/>
  <c r="P177" i="38" s="1"/>
  <c r="Q177" i="38" s="1"/>
  <c r="X332" i="4"/>
  <c r="V333" i="4" s="1"/>
  <c r="Y333" i="4" s="1"/>
  <c r="AM5" i="40"/>
  <c r="N61" i="12"/>
  <c r="L62" i="12" s="1"/>
  <c r="M62" i="12" s="1"/>
  <c r="G8" i="40"/>
  <c r="H8" i="40" s="1"/>
  <c r="I8" i="40" s="1"/>
  <c r="AG118" i="12"/>
  <c r="AH118" i="12" s="1"/>
  <c r="AI118" i="12" s="1"/>
  <c r="AJ118" i="12" s="1"/>
  <c r="Q8" i="40"/>
  <c r="R8" i="40" s="1"/>
  <c r="S8" i="40" s="1"/>
  <c r="M234" i="36"/>
  <c r="G82" i="40"/>
  <c r="H82" i="40" s="1"/>
  <c r="I82" i="40" s="1"/>
  <c r="I38" i="37"/>
  <c r="J38" i="37" s="1" a="1"/>
  <c r="J38" i="37" s="1"/>
  <c r="J38" i="38" a="1"/>
  <c r="J38" i="38" s="1"/>
  <c r="N38" i="38" s="1"/>
  <c r="N37" i="38"/>
  <c r="M37" i="37" a="1"/>
  <c r="M37" i="37" s="1"/>
  <c r="O7" i="38"/>
  <c r="K37" i="12" a="1"/>
  <c r="K37" i="12" s="1"/>
  <c r="L37" i="37" a="1"/>
  <c r="L37" i="37" s="1"/>
  <c r="J37" i="37" a="1"/>
  <c r="J37" i="37" s="1"/>
  <c r="K37" i="36" a="1"/>
  <c r="K37" i="36" s="1"/>
  <c r="O5" i="38"/>
  <c r="M37" i="36" a="1"/>
  <c r="M37" i="36" s="1"/>
  <c r="J37" i="36" a="1"/>
  <c r="J37" i="36" s="1"/>
  <c r="I38" i="36"/>
  <c r="O4" i="36" s="1"/>
  <c r="AO44" i="11" s="1"/>
  <c r="O4" i="38"/>
  <c r="AO52" i="11" s="1"/>
  <c r="I38" i="12"/>
  <c r="O4" i="12" s="1"/>
  <c r="AO40" i="11" s="1"/>
  <c r="AG61" i="38"/>
  <c r="AH61" i="38" s="1"/>
  <c r="AH118" i="38" s="1"/>
  <c r="AI118" i="38" s="1"/>
  <c r="AJ118" i="38" s="1"/>
  <c r="AD178" i="38"/>
  <c r="AE178" i="38" s="1"/>
  <c r="AH177" i="38"/>
  <c r="AH233" i="38" s="1"/>
  <c r="AI233" i="38" s="1"/>
  <c r="AJ233" i="38" s="1"/>
  <c r="AF62" i="38"/>
  <c r="AG119" i="38"/>
  <c r="D394" i="12"/>
  <c r="F394" i="12" s="1"/>
  <c r="W62" i="38"/>
  <c r="W119" i="38"/>
  <c r="X119" i="38" s="1"/>
  <c r="Y119" i="38" s="1"/>
  <c r="Z119" i="38" s="1"/>
  <c r="R233" i="38"/>
  <c r="S233" i="38"/>
  <c r="Q233" i="38"/>
  <c r="O61" i="38"/>
  <c r="P61" i="38" s="1"/>
  <c r="Q61" i="38" s="1"/>
  <c r="L62" i="38"/>
  <c r="M62" i="38" s="1"/>
  <c r="G159" i="40" s="1"/>
  <c r="H159" i="40" s="1"/>
  <c r="I159" i="40" s="1"/>
  <c r="S118" i="38"/>
  <c r="Q118" i="38"/>
  <c r="R118" i="38"/>
  <c r="G182" i="40"/>
  <c r="H182" i="40" s="1"/>
  <c r="I182" i="40" s="1"/>
  <c r="AD178" i="12"/>
  <c r="AE178" i="12" s="1"/>
  <c r="AG177" i="12"/>
  <c r="AH177" i="12" s="1"/>
  <c r="AN177" i="37"/>
  <c r="AO177" i="37" s="1"/>
  <c r="C202" i="37" s="1"/>
  <c r="M118" i="12"/>
  <c r="N118" i="12" s="1"/>
  <c r="O118" i="12" s="1"/>
  <c r="P118" i="12" s="1"/>
  <c r="Q118" i="12" s="1"/>
  <c r="F417" i="12"/>
  <c r="O6" i="37"/>
  <c r="AO50" i="11" s="1"/>
  <c r="O5" i="37"/>
  <c r="O4" i="37"/>
  <c r="AO48" i="11" s="1"/>
  <c r="O7" i="37"/>
  <c r="AF61" i="12"/>
  <c r="E417" i="12"/>
  <c r="G417" i="12" s="1"/>
  <c r="G394" i="12"/>
  <c r="O177" i="37"/>
  <c r="P177" i="37" s="1"/>
  <c r="Q177" i="37" s="1"/>
  <c r="X177" i="36"/>
  <c r="Y177" i="36" s="1"/>
  <c r="Z177" i="36" s="1"/>
  <c r="O177" i="36"/>
  <c r="P177" i="36" s="1"/>
  <c r="Q177" i="36" s="1"/>
  <c r="AD62" i="37"/>
  <c r="AE62" i="37" s="1"/>
  <c r="Q109" i="40" s="1"/>
  <c r="R109" i="40" s="1"/>
  <c r="S109" i="40" s="1"/>
  <c r="O61" i="37"/>
  <c r="P61" i="37" s="1"/>
  <c r="Q61" i="37" s="1"/>
  <c r="L62" i="37"/>
  <c r="M62" i="37" s="1"/>
  <c r="AD62" i="36"/>
  <c r="AE62" i="36" s="1"/>
  <c r="Q59" i="40" s="1"/>
  <c r="R59" i="40" s="1"/>
  <c r="S59" i="40" s="1"/>
  <c r="U62" i="37"/>
  <c r="V62" i="37" s="1"/>
  <c r="L109" i="40" s="1"/>
  <c r="M109" i="40" s="1"/>
  <c r="N109" i="40" s="1"/>
  <c r="U62" i="12"/>
  <c r="V62" i="12" s="1"/>
  <c r="L9" i="40" s="1"/>
  <c r="M9" i="40" s="1"/>
  <c r="N9" i="40" s="1"/>
  <c r="Y61" i="12"/>
  <c r="Z61" i="12" s="1"/>
  <c r="X177" i="37"/>
  <c r="Y177" i="37" s="1"/>
  <c r="Z177" i="37" s="1"/>
  <c r="AG177" i="37"/>
  <c r="AH177" i="37" s="1"/>
  <c r="AH233" i="37" s="1"/>
  <c r="AI233" i="37" s="1"/>
  <c r="AJ233" i="37" s="1"/>
  <c r="X61" i="37"/>
  <c r="X118" i="37" s="1"/>
  <c r="Y118" i="37" s="1"/>
  <c r="Z118" i="37" s="1"/>
  <c r="AC118" i="37" s="1"/>
  <c r="AG61" i="37"/>
  <c r="AH61" i="37" s="1"/>
  <c r="AH118" i="37" s="1"/>
  <c r="AI118" i="37" s="1"/>
  <c r="AJ118" i="37" s="1"/>
  <c r="AF178" i="36"/>
  <c r="AD179" i="36" s="1"/>
  <c r="X61" i="36"/>
  <c r="Y61" i="36" s="1"/>
  <c r="Z61" i="36" s="1"/>
  <c r="V62" i="36"/>
  <c r="L59" i="40" s="1"/>
  <c r="M59" i="40" s="1"/>
  <c r="N59" i="40" s="1"/>
  <c r="X177" i="12"/>
  <c r="Y177" i="12" s="1"/>
  <c r="Z177" i="12" s="1"/>
  <c r="U178" i="12"/>
  <c r="C178" i="37"/>
  <c r="AG177" i="36"/>
  <c r="AH177" i="36" s="1"/>
  <c r="AH233" i="36" s="1"/>
  <c r="AI233" i="36" s="1"/>
  <c r="AJ233" i="36" s="1"/>
  <c r="O61" i="36"/>
  <c r="P61" i="36" s="1"/>
  <c r="Q61" i="36" s="1"/>
  <c r="M62" i="36"/>
  <c r="G59" i="40" s="1"/>
  <c r="H59" i="40" s="1"/>
  <c r="I59" i="40" s="1"/>
  <c r="AG61" i="36"/>
  <c r="AH61" i="36" s="1"/>
  <c r="AH118" i="36" s="1"/>
  <c r="AI118" i="36" s="1"/>
  <c r="AJ118" i="36" s="1"/>
  <c r="N36" i="37"/>
  <c r="N36" i="36"/>
  <c r="M38" i="37" a="1"/>
  <c r="M38" i="37" s="1"/>
  <c r="K38" i="37" a="1"/>
  <c r="K38" i="37" s="1"/>
  <c r="L38" i="37" a="1"/>
  <c r="L38" i="37" s="1"/>
  <c r="Q118" i="37"/>
  <c r="S118" i="37"/>
  <c r="Q132" i="40"/>
  <c r="R132" i="40" s="1"/>
  <c r="S132" i="40" s="1"/>
  <c r="L132" i="40"/>
  <c r="M132" i="40" s="1"/>
  <c r="N132" i="40" s="1"/>
  <c r="X233" i="37"/>
  <c r="Y233" i="37" s="1"/>
  <c r="Z233" i="37" s="1"/>
  <c r="S233" i="37"/>
  <c r="Q233" i="37"/>
  <c r="R233" i="37"/>
  <c r="R118" i="36"/>
  <c r="S118" i="36"/>
  <c r="L82" i="40"/>
  <c r="M82" i="40" s="1"/>
  <c r="N82" i="40" s="1"/>
  <c r="X118" i="36"/>
  <c r="Y118" i="36" s="1"/>
  <c r="Z118" i="36" s="1"/>
  <c r="X233" i="36"/>
  <c r="Y233" i="36" s="1"/>
  <c r="Z233" i="36" s="1"/>
  <c r="N178" i="36"/>
  <c r="L179" i="36" s="1"/>
  <c r="M179" i="36" s="1"/>
  <c r="R233" i="36"/>
  <c r="Q233" i="36"/>
  <c r="S233" i="36"/>
  <c r="I233" i="37"/>
  <c r="G233" i="37"/>
  <c r="F177" i="37"/>
  <c r="G177" i="37" s="1"/>
  <c r="H177" i="37" s="1"/>
  <c r="N178" i="12"/>
  <c r="E394" i="36"/>
  <c r="E417" i="36"/>
  <c r="G417" i="36" s="1"/>
  <c r="D394" i="36"/>
  <c r="D417" i="36"/>
  <c r="F417" i="36" s="1"/>
  <c r="D118" i="38"/>
  <c r="E118" i="38" s="1"/>
  <c r="F118" i="38" s="1"/>
  <c r="E61" i="38"/>
  <c r="C62" i="38" s="1"/>
  <c r="AM61" i="38"/>
  <c r="X118" i="12"/>
  <c r="Y118" i="12" s="1"/>
  <c r="Z118" i="12" s="1"/>
  <c r="D346" i="36"/>
  <c r="E180" i="38"/>
  <c r="C181" i="38" s="1"/>
  <c r="D181" i="38" s="1"/>
  <c r="E177" i="36"/>
  <c r="C178" i="36" s="1"/>
  <c r="D233" i="36"/>
  <c r="E233" i="36" s="1"/>
  <c r="F233" i="36" s="1"/>
  <c r="AM177" i="36"/>
  <c r="AM61" i="36"/>
  <c r="C118" i="36"/>
  <c r="D118" i="36" s="1"/>
  <c r="E118" i="36" s="1"/>
  <c r="F118" i="36" s="1"/>
  <c r="E61" i="36"/>
  <c r="Q233" i="12"/>
  <c r="S233" i="12"/>
  <c r="R233" i="12"/>
  <c r="X233" i="12"/>
  <c r="Y233" i="12" s="1"/>
  <c r="Z233" i="12" s="1"/>
  <c r="AH233" i="12"/>
  <c r="AI233" i="12" s="1"/>
  <c r="AJ233" i="12" s="1"/>
  <c r="F954" i="4"/>
  <c r="D955" i="4" s="1"/>
  <c r="G954" i="4"/>
  <c r="G987" i="4"/>
  <c r="M988" i="4"/>
  <c r="G869" i="4"/>
  <c r="G817" i="4"/>
  <c r="Y560" i="4"/>
  <c r="M560" i="4"/>
  <c r="S460" i="4"/>
  <c r="M461" i="4"/>
  <c r="G459" i="4"/>
  <c r="AE417" i="4"/>
  <c r="Y417" i="4"/>
  <c r="G417" i="4"/>
  <c r="G54" i="4"/>
  <c r="AK373" i="4"/>
  <c r="AE374" i="4"/>
  <c r="Y374" i="4"/>
  <c r="S373" i="4"/>
  <c r="G373" i="4"/>
  <c r="M373" i="4"/>
  <c r="F459" i="4"/>
  <c r="R560" i="4"/>
  <c r="P561" i="4" s="1"/>
  <c r="S561" i="4" s="1"/>
  <c r="P292" i="4"/>
  <c r="R292" i="4" s="1"/>
  <c r="P293" i="4" s="1"/>
  <c r="S293" i="4" s="1"/>
  <c r="M291" i="4"/>
  <c r="S249" i="4"/>
  <c r="L954" i="4"/>
  <c r="J955" i="4" s="1"/>
  <c r="M955" i="4" s="1"/>
  <c r="R816" i="4"/>
  <c r="P817" i="4" s="1"/>
  <c r="R249" i="4"/>
  <c r="P250" i="4" s="1"/>
  <c r="S250" i="4" s="1"/>
  <c r="S213" i="4"/>
  <c r="R352" i="4"/>
  <c r="P353" i="4" s="1"/>
  <c r="S36" i="4"/>
  <c r="F373" i="4"/>
  <c r="D374" i="4" s="1"/>
  <c r="G374" i="4" s="1"/>
  <c r="R55" i="4"/>
  <c r="P56" i="4" s="1"/>
  <c r="R56" i="4" s="1"/>
  <c r="P57" i="4" s="1"/>
  <c r="S57" i="4" s="1"/>
  <c r="L12" i="4"/>
  <c r="J13" i="4" s="1"/>
  <c r="M13" i="4" s="1"/>
  <c r="L333" i="4"/>
  <c r="J334" i="4" s="1"/>
  <c r="M334" i="4" s="1"/>
  <c r="F213" i="4"/>
  <c r="D214" i="4" s="1"/>
  <c r="G214" i="4" s="1"/>
  <c r="R953" i="4"/>
  <c r="P954" i="4" s="1"/>
  <c r="S954" i="4" s="1"/>
  <c r="L250" i="4"/>
  <c r="J251" i="4" s="1"/>
  <c r="F987" i="4"/>
  <c r="D988" i="4" s="1"/>
  <c r="G988" i="4" s="1"/>
  <c r="X352" i="4"/>
  <c r="Y353" i="4" s="1"/>
  <c r="G175" i="4"/>
  <c r="L353" i="4"/>
  <c r="M354" i="4" s="1"/>
  <c r="F884" i="4"/>
  <c r="G885" i="4" s="1"/>
  <c r="R36" i="4"/>
  <c r="R26" i="4"/>
  <c r="S27" i="4" s="1"/>
  <c r="R332" i="4"/>
  <c r="P333" i="4" s="1"/>
  <c r="S333" i="4" s="1"/>
  <c r="F332" i="4"/>
  <c r="D333" i="4" s="1"/>
  <c r="G333" i="4" s="1"/>
  <c r="X374" i="4"/>
  <c r="V375" i="4" s="1"/>
  <c r="Y375" i="4" s="1"/>
  <c r="R712" i="4"/>
  <c r="P713" i="4" s="1"/>
  <c r="S713" i="4" s="1"/>
  <c r="AJ373" i="4"/>
  <c r="AH374" i="4" s="1"/>
  <c r="R373" i="4"/>
  <c r="P374" i="4" s="1"/>
  <c r="S374" i="4" s="1"/>
  <c r="R461" i="4"/>
  <c r="P462" i="4" s="1"/>
  <c r="S462" i="4" s="1"/>
  <c r="AD417" i="4"/>
  <c r="AB418" i="4" s="1"/>
  <c r="F561" i="4"/>
  <c r="D562" i="4" s="1"/>
  <c r="L55" i="4"/>
  <c r="J56" i="4" s="1"/>
  <c r="L291" i="4"/>
  <c r="J292" i="4" s="1"/>
  <c r="R12" i="4"/>
  <c r="P13" i="4" s="1"/>
  <c r="S13" i="4" s="1"/>
  <c r="X459" i="4"/>
  <c r="V460" i="4" s="1"/>
  <c r="Y460" i="4" s="1"/>
  <c r="F417" i="4"/>
  <c r="D418" i="4" s="1"/>
  <c r="G418" i="4" s="1"/>
  <c r="X560" i="4"/>
  <c r="V561" i="4" s="1"/>
  <c r="R767" i="4"/>
  <c r="P768" i="4" s="1"/>
  <c r="S768" i="4" s="1"/>
  <c r="F817" i="4"/>
  <c r="D818" i="4" s="1"/>
  <c r="F291" i="4"/>
  <c r="D292" i="4" s="1"/>
  <c r="G292" i="4" s="1"/>
  <c r="F352" i="4"/>
  <c r="G353" i="4" s="1"/>
  <c r="L213" i="4"/>
  <c r="J214" i="4" s="1"/>
  <c r="L766" i="4"/>
  <c r="J767" i="4" s="1"/>
  <c r="M767" i="4" s="1"/>
  <c r="F918" i="4"/>
  <c r="D919" i="4" s="1"/>
  <c r="G919" i="4" s="1"/>
  <c r="L461" i="4"/>
  <c r="J462" i="4" s="1"/>
  <c r="F502" i="4"/>
  <c r="D503" i="4" s="1"/>
  <c r="G503" i="4" s="1"/>
  <c r="F54" i="4"/>
  <c r="D55" i="4" s="1"/>
  <c r="AD250" i="4"/>
  <c r="AB251" i="4" s="1"/>
  <c r="AE251" i="4" s="1"/>
  <c r="L988" i="4"/>
  <c r="J989" i="4" s="1"/>
  <c r="L373" i="4"/>
  <c r="J374" i="4" s="1"/>
  <c r="M374" i="4"/>
  <c r="X417" i="4"/>
  <c r="V418" i="4" s="1"/>
  <c r="Y418" i="4" s="1"/>
  <c r="F766" i="4"/>
  <c r="D767" i="4" s="1"/>
  <c r="G767" i="4" s="1"/>
  <c r="F618" i="4"/>
  <c r="D619" i="4" s="1"/>
  <c r="G619" i="4" s="1"/>
  <c r="X333" i="4"/>
  <c r="V334" i="4" s="1"/>
  <c r="Y334" i="4" s="1"/>
  <c r="R418" i="4"/>
  <c r="P419" i="4" s="1"/>
  <c r="F712" i="4"/>
  <c r="D713" i="4" s="1"/>
  <c r="R213" i="4"/>
  <c r="P214" i="4" s="1"/>
  <c r="S214" i="4"/>
  <c r="L816" i="4"/>
  <c r="J817" i="4" s="1"/>
  <c r="M817" i="4" s="1"/>
  <c r="X249" i="4"/>
  <c r="V250" i="4" s="1"/>
  <c r="AD374" i="4"/>
  <c r="AB375" i="4" s="1"/>
  <c r="L560" i="4"/>
  <c r="J561" i="4" s="1"/>
  <c r="F249" i="4"/>
  <c r="D250" i="4" s="1"/>
  <c r="L418" i="4"/>
  <c r="J419" i="4" s="1"/>
  <c r="AG234" i="36" l="1"/>
  <c r="O177" i="12"/>
  <c r="P177" i="12" s="1"/>
  <c r="Q177" i="12" s="1"/>
  <c r="AN61" i="38"/>
  <c r="AO61" i="38" s="1"/>
  <c r="C202" i="38"/>
  <c r="C208" i="38" s="1"/>
  <c r="G32" i="40"/>
  <c r="H32" i="40" s="1"/>
  <c r="I32" i="40" s="1"/>
  <c r="AN177" i="36"/>
  <c r="AO177" i="36" s="1"/>
  <c r="C202" i="36" s="1"/>
  <c r="AN61" i="36"/>
  <c r="AO61" i="36" s="1"/>
  <c r="C86" i="36" s="1"/>
  <c r="D178" i="37"/>
  <c r="B132" i="40" s="1"/>
  <c r="C132" i="40" s="1"/>
  <c r="D132" i="40" s="1"/>
  <c r="AE179" i="36"/>
  <c r="Q83" i="40" s="1"/>
  <c r="R83" i="40" s="1"/>
  <c r="S83" i="40" s="1"/>
  <c r="D178" i="36"/>
  <c r="B82" i="40" s="1"/>
  <c r="C82" i="40" s="1"/>
  <c r="D82" i="40" s="1"/>
  <c r="V178" i="12"/>
  <c r="L32" i="40" s="1"/>
  <c r="M32" i="40" s="1"/>
  <c r="N32" i="40" s="1"/>
  <c r="O61" i="12"/>
  <c r="P61" i="12" s="1"/>
  <c r="Q61" i="12" s="1"/>
  <c r="AJ5" i="40"/>
  <c r="M119" i="37"/>
  <c r="N119" i="37" s="1"/>
  <c r="O119" i="37" s="1"/>
  <c r="P119" i="37" s="1"/>
  <c r="R119" i="37" s="1"/>
  <c r="G109" i="40"/>
  <c r="H109" i="40" s="1"/>
  <c r="I109" i="40" s="1"/>
  <c r="M119" i="12"/>
  <c r="N119" i="12" s="1"/>
  <c r="O119" i="12" s="1"/>
  <c r="P119" i="12" s="1"/>
  <c r="S119" i="12" s="1"/>
  <c r="G9" i="40"/>
  <c r="H9" i="40" s="1"/>
  <c r="I9" i="40" s="1"/>
  <c r="M234" i="37"/>
  <c r="G132" i="40"/>
  <c r="H132" i="40" s="1"/>
  <c r="I132" i="40" s="1"/>
  <c r="W234" i="38"/>
  <c r="X234" i="38" s="1"/>
  <c r="Y234" i="38" s="1"/>
  <c r="Z234" i="38" s="1"/>
  <c r="L182" i="40"/>
  <c r="M182" i="40" s="1"/>
  <c r="N182" i="40" s="1"/>
  <c r="AG234" i="38"/>
  <c r="Q182" i="40"/>
  <c r="R182" i="40" s="1"/>
  <c r="S182" i="40" s="1"/>
  <c r="AG234" i="12"/>
  <c r="Q32" i="40"/>
  <c r="R32" i="40" s="1"/>
  <c r="S32" i="40" s="1"/>
  <c r="N37" i="37"/>
  <c r="N37" i="36"/>
  <c r="M38" i="36" a="1"/>
  <c r="M38" i="36" s="1"/>
  <c r="M38" i="12" a="1"/>
  <c r="M38" i="12" s="1"/>
  <c r="L38" i="12" a="1"/>
  <c r="L38" i="12" s="1"/>
  <c r="K38" i="12" a="1"/>
  <c r="K38" i="12" s="1"/>
  <c r="O5" i="12"/>
  <c r="AO41" i="11" s="1"/>
  <c r="O7" i="12"/>
  <c r="O6" i="12"/>
  <c r="AO42" i="11" s="1"/>
  <c r="D16" i="38"/>
  <c r="C427" i="38" s="1"/>
  <c r="K38" i="36" a="1"/>
  <c r="K38" i="36" s="1"/>
  <c r="J38" i="36" a="1"/>
  <c r="J38" i="36" s="1"/>
  <c r="O5" i="36"/>
  <c r="O6" i="36"/>
  <c r="AO46" i="11" s="1"/>
  <c r="L38" i="36" a="1"/>
  <c r="L38" i="36" s="1"/>
  <c r="O7" i="36"/>
  <c r="S118" i="12"/>
  <c r="AI177" i="38"/>
  <c r="F285" i="38" s="1"/>
  <c r="AI61" i="38"/>
  <c r="AD63" i="38"/>
  <c r="AE63" i="38" s="1"/>
  <c r="Q160" i="40" s="1"/>
  <c r="R160" i="40" s="1"/>
  <c r="S160" i="40" s="1"/>
  <c r="AG62" i="38"/>
  <c r="AL118" i="38"/>
  <c r="AK118" i="38"/>
  <c r="AM118" i="38"/>
  <c r="AF178" i="38"/>
  <c r="AL233" i="38"/>
  <c r="AR233" i="38" s="1"/>
  <c r="AK233" i="38"/>
  <c r="AQ233" i="38" s="1"/>
  <c r="AM233" i="38"/>
  <c r="AS233" i="38" s="1"/>
  <c r="W178" i="38"/>
  <c r="X178" i="38" s="1"/>
  <c r="Y178" i="38" s="1"/>
  <c r="Z178" i="38" s="1"/>
  <c r="AC234" i="38"/>
  <c r="AB234" i="38"/>
  <c r="AA234" i="38"/>
  <c r="AA118" i="37"/>
  <c r="AC119" i="38"/>
  <c r="AB119" i="38"/>
  <c r="AA119" i="38"/>
  <c r="X62" i="38"/>
  <c r="Y62" i="38" s="1"/>
  <c r="Z62" i="38" s="1"/>
  <c r="U63" i="38"/>
  <c r="V63" i="38" s="1"/>
  <c r="L160" i="40" s="1"/>
  <c r="M160" i="40" s="1"/>
  <c r="N160" i="40" s="1"/>
  <c r="AF178" i="12"/>
  <c r="AD179" i="12" s="1"/>
  <c r="M234" i="38"/>
  <c r="N234" i="38" s="1"/>
  <c r="O234" i="38" s="1"/>
  <c r="P234" i="38" s="1"/>
  <c r="AM178" i="38"/>
  <c r="M119" i="38"/>
  <c r="N119" i="38" s="1"/>
  <c r="O119" i="38" s="1"/>
  <c r="P119" i="38" s="1"/>
  <c r="N62" i="38"/>
  <c r="N178" i="38"/>
  <c r="R118" i="12"/>
  <c r="AD62" i="12"/>
  <c r="AE62" i="12" s="1"/>
  <c r="Q9" i="40" s="1"/>
  <c r="R9" i="40" s="1"/>
  <c r="S9" i="40" s="1"/>
  <c r="C211" i="37"/>
  <c r="C219" i="37"/>
  <c r="C221" i="37"/>
  <c r="C208" i="37"/>
  <c r="C203" i="37"/>
  <c r="C217" i="37"/>
  <c r="C204" i="37"/>
  <c r="D201" i="37" s="1"/>
  <c r="C220" i="37"/>
  <c r="C210" i="37"/>
  <c r="C213" i="37"/>
  <c r="C226" i="37"/>
  <c r="C222" i="37"/>
  <c r="C223" i="37"/>
  <c r="C215" i="37"/>
  <c r="C225" i="37"/>
  <c r="C216" i="37"/>
  <c r="C224" i="37"/>
  <c r="C212" i="37"/>
  <c r="C209" i="37"/>
  <c r="C218" i="37"/>
  <c r="C227" i="37"/>
  <c r="C214" i="37"/>
  <c r="AB118" i="37"/>
  <c r="AG61" i="12"/>
  <c r="AI177" i="12"/>
  <c r="AG119" i="36"/>
  <c r="AF62" i="36"/>
  <c r="AG62" i="36" s="1"/>
  <c r="AH62" i="36" s="1"/>
  <c r="AG119" i="37"/>
  <c r="AF62" i="37"/>
  <c r="AG62" i="37" s="1"/>
  <c r="AH62" i="37" s="1"/>
  <c r="W119" i="12"/>
  <c r="W62" i="12"/>
  <c r="U63" i="12" s="1"/>
  <c r="W62" i="37"/>
  <c r="U63" i="37" s="1"/>
  <c r="V63" i="37" s="1"/>
  <c r="W119" i="37"/>
  <c r="X119" i="37" s="1"/>
  <c r="Y119" i="37" s="1"/>
  <c r="Z119" i="37" s="1"/>
  <c r="AB119" i="37" s="1"/>
  <c r="C62" i="36"/>
  <c r="D62" i="36" s="1"/>
  <c r="B59" i="40" s="1"/>
  <c r="C59" i="40" s="1"/>
  <c r="D59" i="40" s="1"/>
  <c r="AG178" i="36"/>
  <c r="AH178" i="36" s="1"/>
  <c r="AH234" i="36" s="1"/>
  <c r="AI234" i="36" s="1"/>
  <c r="AJ234" i="36" s="1"/>
  <c r="N62" i="37"/>
  <c r="N62" i="12"/>
  <c r="L63" i="12" s="1"/>
  <c r="Y61" i="37"/>
  <c r="Z61" i="37" s="1"/>
  <c r="S119" i="37"/>
  <c r="W62" i="36"/>
  <c r="U63" i="36" s="1"/>
  <c r="W119" i="36"/>
  <c r="X119" i="36" s="1"/>
  <c r="Y119" i="36" s="1"/>
  <c r="Z119" i="36" s="1"/>
  <c r="AF178" i="37"/>
  <c r="AD179" i="37" s="1"/>
  <c r="AE179" i="37" s="1"/>
  <c r="AG234" i="37"/>
  <c r="W178" i="37"/>
  <c r="U179" i="37" s="1"/>
  <c r="V179" i="37" s="1"/>
  <c r="W234" i="37"/>
  <c r="N62" i="36"/>
  <c r="L63" i="36" s="1"/>
  <c r="M119" i="36"/>
  <c r="N119" i="36" s="1"/>
  <c r="O119" i="36" s="1"/>
  <c r="P119" i="36" s="1"/>
  <c r="R119" i="36" s="1"/>
  <c r="W178" i="36"/>
  <c r="U179" i="36" s="1"/>
  <c r="V179" i="36" s="1"/>
  <c r="W234" i="36"/>
  <c r="L179" i="12"/>
  <c r="D16" i="37"/>
  <c r="C422" i="37" s="1"/>
  <c r="N38" i="37"/>
  <c r="AI61" i="37"/>
  <c r="AK118" i="37"/>
  <c r="AM118" i="37"/>
  <c r="AL118" i="37"/>
  <c r="AI177" i="37"/>
  <c r="F285" i="37" s="1"/>
  <c r="AK233" i="37"/>
  <c r="AM233" i="37"/>
  <c r="AL233" i="37"/>
  <c r="AA233" i="37"/>
  <c r="AB233" i="37"/>
  <c r="AC233" i="37"/>
  <c r="AI177" i="36"/>
  <c r="N178" i="37"/>
  <c r="AI61" i="36"/>
  <c r="AM118" i="36"/>
  <c r="AK118" i="36"/>
  <c r="AL118" i="36"/>
  <c r="AM233" i="36"/>
  <c r="AK233" i="36"/>
  <c r="AL233" i="36"/>
  <c r="AA233" i="36"/>
  <c r="AB233" i="36"/>
  <c r="AC233" i="36"/>
  <c r="AA118" i="36"/>
  <c r="AC118" i="36"/>
  <c r="AB118" i="36"/>
  <c r="N234" i="36"/>
  <c r="O234" i="36" s="1"/>
  <c r="P234" i="36" s="1"/>
  <c r="O178" i="36"/>
  <c r="P178" i="36" s="1"/>
  <c r="Q178" i="36" s="1"/>
  <c r="N234" i="12"/>
  <c r="O234" i="12" s="1"/>
  <c r="P234" i="12" s="1"/>
  <c r="O178" i="12"/>
  <c r="P178" i="12" s="1"/>
  <c r="Q178" i="12" s="1"/>
  <c r="E61" i="37"/>
  <c r="C62" i="37" s="1"/>
  <c r="C118" i="37"/>
  <c r="D118" i="37" s="1"/>
  <c r="E118" i="37" s="1"/>
  <c r="F118" i="37" s="1"/>
  <c r="AM61" i="37"/>
  <c r="D62" i="38"/>
  <c r="B159" i="40" s="1"/>
  <c r="C159" i="40" s="1"/>
  <c r="D159" i="40" s="1"/>
  <c r="F61" i="38"/>
  <c r="G61" i="38" s="1"/>
  <c r="H61" i="38" s="1"/>
  <c r="H118" i="38"/>
  <c r="I118" i="38"/>
  <c r="G118" i="38"/>
  <c r="B405" i="36"/>
  <c r="B399" i="36"/>
  <c r="B398" i="36"/>
  <c r="B407" i="36"/>
  <c r="B408" i="36"/>
  <c r="B402" i="36"/>
  <c r="B397" i="36"/>
  <c r="B395" i="36"/>
  <c r="B396" i="36"/>
  <c r="B413" i="36"/>
  <c r="B409" i="36"/>
  <c r="B411" i="36"/>
  <c r="B410" i="36"/>
  <c r="B400" i="36"/>
  <c r="B412" i="36"/>
  <c r="B401" i="36"/>
  <c r="B406" i="36"/>
  <c r="B404" i="36"/>
  <c r="B403" i="36"/>
  <c r="B394" i="36"/>
  <c r="B185" i="40"/>
  <c r="C185" i="40" s="1"/>
  <c r="D185" i="40" s="1"/>
  <c r="F180" i="38"/>
  <c r="G180" i="38" s="1"/>
  <c r="H180" i="38" s="1"/>
  <c r="C236" i="38"/>
  <c r="D236" i="38" s="1"/>
  <c r="E236" i="38" s="1"/>
  <c r="F236" i="38" s="1"/>
  <c r="F61" i="36"/>
  <c r="G61" i="36" s="1"/>
  <c r="H61" i="36" s="1"/>
  <c r="G118" i="36"/>
  <c r="I118" i="36"/>
  <c r="H118" i="36"/>
  <c r="I233" i="36"/>
  <c r="H233" i="36"/>
  <c r="G233" i="36"/>
  <c r="F177" i="36"/>
  <c r="G177" i="36" s="1"/>
  <c r="H177" i="36" s="1"/>
  <c r="AK233" i="12"/>
  <c r="AM233" i="12"/>
  <c r="AL233" i="12"/>
  <c r="AC233" i="12"/>
  <c r="AB233" i="12"/>
  <c r="AA233" i="12"/>
  <c r="AC118" i="12"/>
  <c r="AB118" i="12"/>
  <c r="AA118" i="12"/>
  <c r="AK118" i="12"/>
  <c r="AL118" i="12"/>
  <c r="AM118" i="12"/>
  <c r="AM177" i="12"/>
  <c r="E177" i="12"/>
  <c r="D233" i="12"/>
  <c r="R561" i="4"/>
  <c r="P562" i="4" s="1"/>
  <c r="S562" i="4" s="1"/>
  <c r="F955" i="4"/>
  <c r="D956" i="4" s="1"/>
  <c r="G955" i="4"/>
  <c r="M989" i="4"/>
  <c r="S817" i="4"/>
  <c r="G818" i="4"/>
  <c r="G713" i="4"/>
  <c r="Y561" i="4"/>
  <c r="M561" i="4"/>
  <c r="G562" i="4"/>
  <c r="R353" i="4"/>
  <c r="S354" i="4" s="1"/>
  <c r="S353" i="4"/>
  <c r="M462" i="4"/>
  <c r="D460" i="4"/>
  <c r="F460" i="4" s="1"/>
  <c r="D461" i="4" s="1"/>
  <c r="G461" i="4" s="1"/>
  <c r="AE418" i="4"/>
  <c r="S419" i="4"/>
  <c r="M419" i="4"/>
  <c r="S56" i="4"/>
  <c r="M56" i="4"/>
  <c r="G55" i="4"/>
  <c r="AK374" i="4"/>
  <c r="AE375" i="4"/>
  <c r="R293" i="4"/>
  <c r="P294" i="4" s="1"/>
  <c r="S294" i="4" s="1"/>
  <c r="S292" i="4"/>
  <c r="M292" i="4"/>
  <c r="Y250" i="4"/>
  <c r="M251" i="4"/>
  <c r="G250" i="4"/>
  <c r="F374" i="4"/>
  <c r="D375" i="4" s="1"/>
  <c r="R817" i="4"/>
  <c r="P818" i="4" s="1"/>
  <c r="R250" i="4"/>
  <c r="P251" i="4" s="1"/>
  <c r="L955" i="4"/>
  <c r="J956" i="4" s="1"/>
  <c r="M956" i="4" s="1"/>
  <c r="M214" i="4"/>
  <c r="S37" i="4"/>
  <c r="L13" i="4"/>
  <c r="J14" i="4" s="1"/>
  <c r="M14" i="4" s="1"/>
  <c r="L334" i="4"/>
  <c r="J335" i="4" s="1"/>
  <c r="M335" i="4" s="1"/>
  <c r="G176" i="4"/>
  <c r="L251" i="4"/>
  <c r="J252" i="4" s="1"/>
  <c r="X353" i="4"/>
  <c r="Y354" i="4" s="1"/>
  <c r="R954" i="4"/>
  <c r="P955" i="4" s="1"/>
  <c r="S955" i="4" s="1"/>
  <c r="F988" i="4"/>
  <c r="D989" i="4" s="1"/>
  <c r="G989" i="4" s="1"/>
  <c r="F214" i="4"/>
  <c r="D215" i="4" s="1"/>
  <c r="G215" i="4" s="1"/>
  <c r="F919" i="4"/>
  <c r="G920" i="4" s="1"/>
  <c r="F353" i="4"/>
  <c r="G354" i="4" s="1"/>
  <c r="R27" i="4"/>
  <c r="S28" i="4" s="1"/>
  <c r="R37" i="4"/>
  <c r="R333" i="4"/>
  <c r="P334" i="4" s="1"/>
  <c r="S334" i="4" s="1"/>
  <c r="F333" i="4"/>
  <c r="D334" i="4" s="1"/>
  <c r="G334" i="4" s="1"/>
  <c r="F562" i="4"/>
  <c r="D563" i="4" s="1"/>
  <c r="G563" i="4" s="1"/>
  <c r="F418" i="4"/>
  <c r="D419" i="4" s="1"/>
  <c r="R374" i="4"/>
  <c r="P375" i="4" s="1"/>
  <c r="AJ374" i="4"/>
  <c r="AH375" i="4" s="1"/>
  <c r="AK375" i="4" s="1"/>
  <c r="L292" i="4"/>
  <c r="J293" i="4" s="1"/>
  <c r="M293" i="4" s="1"/>
  <c r="AD418" i="4"/>
  <c r="AB419" i="4" s="1"/>
  <c r="AE419" i="4" s="1"/>
  <c r="L56" i="4"/>
  <c r="J57" i="4" s="1"/>
  <c r="M57" i="4" s="1"/>
  <c r="X375" i="4"/>
  <c r="V376" i="4" s="1"/>
  <c r="R13" i="4"/>
  <c r="P14" i="4" s="1"/>
  <c r="S14" i="4" s="1"/>
  <c r="X460" i="4"/>
  <c r="V461" i="4" s="1"/>
  <c r="R462" i="4"/>
  <c r="P463" i="4" s="1"/>
  <c r="R713" i="4"/>
  <c r="P714" i="4" s="1"/>
  <c r="S714" i="4" s="1"/>
  <c r="F767" i="4"/>
  <c r="D768" i="4" s="1"/>
  <c r="G768" i="4" s="1"/>
  <c r="AD375" i="4"/>
  <c r="AB376" i="4" s="1"/>
  <c r="R419" i="4"/>
  <c r="P420" i="4" s="1"/>
  <c r="F55" i="4"/>
  <c r="D56" i="4" s="1"/>
  <c r="G56" i="4" s="1"/>
  <c r="L767" i="4"/>
  <c r="J768" i="4" s="1"/>
  <c r="M768" i="4" s="1"/>
  <c r="F250" i="4"/>
  <c r="D251" i="4" s="1"/>
  <c r="G251" i="4" s="1"/>
  <c r="X250" i="4"/>
  <c r="V251" i="4" s="1"/>
  <c r="Y251" i="4" s="1"/>
  <c r="F503" i="4"/>
  <c r="D504" i="4" s="1"/>
  <c r="L214" i="4"/>
  <c r="J215" i="4" s="1"/>
  <c r="M215" i="4" s="1"/>
  <c r="R768" i="4"/>
  <c r="P769" i="4" s="1"/>
  <c r="F292" i="4"/>
  <c r="D293" i="4" s="1"/>
  <c r="F713" i="4"/>
  <c r="D714" i="4" s="1"/>
  <c r="G714" i="4" s="1"/>
  <c r="F818" i="4"/>
  <c r="D819" i="4" s="1"/>
  <c r="G819" i="4" s="1"/>
  <c r="L561" i="4"/>
  <c r="J562" i="4" s="1"/>
  <c r="M562" i="4" s="1"/>
  <c r="L817" i="4"/>
  <c r="J818" i="4" s="1"/>
  <c r="F619" i="4"/>
  <c r="D620" i="4" s="1"/>
  <c r="G620" i="4" s="1"/>
  <c r="X418" i="4"/>
  <c r="V419" i="4" s="1"/>
  <c r="X561" i="4"/>
  <c r="V562" i="4" s="1"/>
  <c r="Y562" i="4" s="1"/>
  <c r="R214" i="4"/>
  <c r="P215" i="4" s="1"/>
  <c r="S215" i="4" s="1"/>
  <c r="X334" i="4"/>
  <c r="V335" i="4" s="1"/>
  <c r="Y335" i="4" s="1"/>
  <c r="L374" i="4"/>
  <c r="J375" i="4" s="1"/>
  <c r="M375" i="4" s="1"/>
  <c r="R57" i="4"/>
  <c r="P58" i="4" s="1"/>
  <c r="S58" i="4" s="1"/>
  <c r="L989" i="4"/>
  <c r="J990" i="4" s="1"/>
  <c r="L419" i="4"/>
  <c r="J420" i="4" s="1"/>
  <c r="M420" i="4" s="1"/>
  <c r="AD251" i="4"/>
  <c r="AB252" i="4" s="1"/>
  <c r="AE252" i="4" s="1"/>
  <c r="L462" i="4"/>
  <c r="J463" i="4" s="1"/>
  <c r="M463" i="4" s="1"/>
  <c r="Q119" i="37" l="1"/>
  <c r="C216" i="38"/>
  <c r="C217" i="38"/>
  <c r="C218" i="38"/>
  <c r="C227" i="38"/>
  <c r="C204" i="38"/>
  <c r="C224" i="38"/>
  <c r="C226" i="38"/>
  <c r="C219" i="38"/>
  <c r="C214" i="38"/>
  <c r="C212" i="38"/>
  <c r="C223" i="38"/>
  <c r="C222" i="38"/>
  <c r="C209" i="38"/>
  <c r="C211" i="38"/>
  <c r="C213" i="38"/>
  <c r="C225" i="38"/>
  <c r="C210" i="38"/>
  <c r="C220" i="38"/>
  <c r="C221" i="38"/>
  <c r="C203" i="38"/>
  <c r="C215" i="38"/>
  <c r="AN178" i="38"/>
  <c r="AO178" i="38" s="1"/>
  <c r="AN61" i="37"/>
  <c r="AM178" i="37"/>
  <c r="C234" i="37"/>
  <c r="D234" i="37" s="1"/>
  <c r="E234" i="37" s="1"/>
  <c r="F234" i="37" s="1"/>
  <c r="G234" i="37" s="1"/>
  <c r="E178" i="37"/>
  <c r="C179" i="37" s="1"/>
  <c r="D179" i="37" s="1"/>
  <c r="B133" i="40" s="1"/>
  <c r="C133" i="40" s="1"/>
  <c r="D133" i="40" s="1"/>
  <c r="AG235" i="36"/>
  <c r="AF179" i="36"/>
  <c r="AD180" i="36" s="1"/>
  <c r="AE180" i="36" s="1"/>
  <c r="Q84" i="40" s="1"/>
  <c r="R84" i="40" s="1"/>
  <c r="S84" i="40" s="1"/>
  <c r="W178" i="12"/>
  <c r="U179" i="12" s="1"/>
  <c r="W234" i="12"/>
  <c r="X234" i="12" s="1"/>
  <c r="Y234" i="12" s="1"/>
  <c r="Z234" i="12" s="1"/>
  <c r="AB234" i="12" s="1"/>
  <c r="AE179" i="12"/>
  <c r="Q33" i="40" s="1"/>
  <c r="R33" i="40" s="1"/>
  <c r="S33" i="40" s="1"/>
  <c r="M179" i="12"/>
  <c r="G33" i="40" s="1"/>
  <c r="H33" i="40" s="1"/>
  <c r="I33" i="40" s="1"/>
  <c r="AN177" i="12"/>
  <c r="AO177" i="12" s="1"/>
  <c r="C202" i="12" s="1"/>
  <c r="F461" i="4"/>
  <c r="D462" i="4" s="1"/>
  <c r="G462" i="4" s="1"/>
  <c r="R562" i="4"/>
  <c r="P563" i="4" s="1"/>
  <c r="W120" i="37"/>
  <c r="X120" i="37" s="1"/>
  <c r="Y120" i="37" s="1"/>
  <c r="Z120" i="37" s="1"/>
  <c r="L110" i="40"/>
  <c r="M110" i="40" s="1"/>
  <c r="N110" i="40" s="1"/>
  <c r="C216" i="36"/>
  <c r="C422" i="38"/>
  <c r="C435" i="38"/>
  <c r="C395" i="38"/>
  <c r="C397" i="38"/>
  <c r="C404" i="38"/>
  <c r="C430" i="38"/>
  <c r="C398" i="38"/>
  <c r="C433" i="38"/>
  <c r="C436" i="38"/>
  <c r="C428" i="38"/>
  <c r="C396" i="38"/>
  <c r="C412" i="38"/>
  <c r="C401" i="38"/>
  <c r="C418" i="38"/>
  <c r="C420" i="38"/>
  <c r="C429" i="38"/>
  <c r="C399" i="38"/>
  <c r="C406" i="38"/>
  <c r="C410" i="38"/>
  <c r="C419" i="38"/>
  <c r="C403" i="38"/>
  <c r="C421" i="38"/>
  <c r="C434" i="38"/>
  <c r="C432" i="38"/>
  <c r="C405" i="38"/>
  <c r="C426" i="38"/>
  <c r="C413" i="38"/>
  <c r="C417" i="38"/>
  <c r="C409" i="38"/>
  <c r="C425" i="38"/>
  <c r="C411" i="38"/>
  <c r="C394" i="38"/>
  <c r="C431" i="38"/>
  <c r="C400" i="38"/>
  <c r="C402" i="38"/>
  <c r="C408" i="38"/>
  <c r="C407" i="38"/>
  <c r="C424" i="38"/>
  <c r="C423" i="38"/>
  <c r="N38" i="36"/>
  <c r="D16" i="36"/>
  <c r="C422" i="36" s="1"/>
  <c r="C285" i="38"/>
  <c r="M285" i="38" s="1"/>
  <c r="C311" i="38" s="1"/>
  <c r="U179" i="38"/>
  <c r="V179" i="38" s="1"/>
  <c r="AQ118" i="38"/>
  <c r="AR118" i="38"/>
  <c r="AS118" i="38"/>
  <c r="AU233" i="38"/>
  <c r="C257" i="38" s="1"/>
  <c r="D277" i="38" s="1"/>
  <c r="AT233" i="38"/>
  <c r="C260" i="38" s="1"/>
  <c r="AD179" i="38"/>
  <c r="AE179" i="38" s="1"/>
  <c r="AG178" i="38"/>
  <c r="AH62" i="38"/>
  <c r="AH119" i="38" s="1"/>
  <c r="AI119" i="38" s="1"/>
  <c r="AJ119" i="38" s="1"/>
  <c r="AF63" i="38"/>
  <c r="AG120" i="38"/>
  <c r="AH120" i="38" s="1"/>
  <c r="AI120" i="38" s="1"/>
  <c r="AJ120" i="38" s="1"/>
  <c r="AG178" i="12"/>
  <c r="AH178" i="12" s="1"/>
  <c r="W120" i="38"/>
  <c r="X120" i="38" s="1"/>
  <c r="Y120" i="38" s="1"/>
  <c r="Z120" i="38" s="1"/>
  <c r="W63" i="38"/>
  <c r="O62" i="38"/>
  <c r="P62" i="38" s="1"/>
  <c r="Q62" i="38" s="1"/>
  <c r="L63" i="38"/>
  <c r="M63" i="38" s="1"/>
  <c r="G160" i="40" s="1"/>
  <c r="H160" i="40" s="1"/>
  <c r="I160" i="40" s="1"/>
  <c r="S119" i="38"/>
  <c r="R119" i="38"/>
  <c r="Q119" i="38"/>
  <c r="L179" i="38"/>
  <c r="M179" i="38" s="1"/>
  <c r="AS178" i="38"/>
  <c r="O178" i="38"/>
  <c r="P178" i="38" s="1"/>
  <c r="Q178" i="38" s="1"/>
  <c r="S234" i="38"/>
  <c r="R234" i="38"/>
  <c r="Q234" i="38"/>
  <c r="AG119" i="12"/>
  <c r="AF62" i="12"/>
  <c r="C205" i="37"/>
  <c r="C86" i="38"/>
  <c r="AH119" i="37"/>
  <c r="AI119" i="37" s="1"/>
  <c r="AJ119" i="37" s="1"/>
  <c r="AK119" i="37" s="1"/>
  <c r="AN178" i="37"/>
  <c r="AO178" i="37" s="1"/>
  <c r="D202" i="37" s="1"/>
  <c r="Q119" i="36"/>
  <c r="S119" i="36"/>
  <c r="AH61" i="12"/>
  <c r="AI61" i="12" s="1"/>
  <c r="AA119" i="37"/>
  <c r="AC119" i="37"/>
  <c r="I234" i="37"/>
  <c r="AH119" i="36"/>
  <c r="AI119" i="36" s="1"/>
  <c r="AJ119" i="36" s="1"/>
  <c r="AK119" i="36" s="1"/>
  <c r="C419" i="37"/>
  <c r="O62" i="12"/>
  <c r="P62" i="12" s="1"/>
  <c r="Q62" i="12" s="1"/>
  <c r="AG178" i="37"/>
  <c r="AH178" i="37" s="1"/>
  <c r="AH234" i="37" s="1"/>
  <c r="AI234" i="37" s="1"/>
  <c r="AJ234" i="37" s="1"/>
  <c r="C418" i="37"/>
  <c r="C420" i="37"/>
  <c r="AD63" i="36"/>
  <c r="AE63" i="36" s="1"/>
  <c r="C408" i="37"/>
  <c r="C404" i="37"/>
  <c r="X62" i="37"/>
  <c r="Y62" i="37" s="1"/>
  <c r="Z62" i="37" s="1"/>
  <c r="C395" i="37"/>
  <c r="C426" i="37"/>
  <c r="AD63" i="37"/>
  <c r="AE63" i="37" s="1"/>
  <c r="X62" i="12"/>
  <c r="Y62" i="12" s="1"/>
  <c r="Z62" i="12" s="1"/>
  <c r="O62" i="37"/>
  <c r="P62" i="37" s="1"/>
  <c r="Q62" i="37" s="1"/>
  <c r="L63" i="37"/>
  <c r="M63" i="37" s="1"/>
  <c r="X178" i="36"/>
  <c r="Y178" i="36" s="1"/>
  <c r="Z178" i="36" s="1"/>
  <c r="X178" i="37"/>
  <c r="Y178" i="37" s="1"/>
  <c r="Z178" i="37" s="1"/>
  <c r="C410" i="37"/>
  <c r="W63" i="37"/>
  <c r="U64" i="37" s="1"/>
  <c r="V64" i="37" s="1"/>
  <c r="L111" i="40" s="1"/>
  <c r="M111" i="40" s="1"/>
  <c r="N111" i="40" s="1"/>
  <c r="C405" i="37"/>
  <c r="C430" i="37"/>
  <c r="C411" i="37"/>
  <c r="C425" i="37"/>
  <c r="C401" i="37"/>
  <c r="C435" i="37"/>
  <c r="C398" i="37"/>
  <c r="C402" i="37"/>
  <c r="C423" i="37"/>
  <c r="C434" i="37"/>
  <c r="C412" i="37"/>
  <c r="C397" i="37"/>
  <c r="C428" i="37"/>
  <c r="C431" i="37"/>
  <c r="C394" i="37"/>
  <c r="C403" i="37"/>
  <c r="C429" i="37"/>
  <c r="C427" i="37"/>
  <c r="C396" i="37"/>
  <c r="C413" i="37"/>
  <c r="C421" i="37"/>
  <c r="C432" i="37"/>
  <c r="C400" i="37"/>
  <c r="C409" i="37"/>
  <c r="C424" i="37"/>
  <c r="C433" i="37"/>
  <c r="C417" i="37"/>
  <c r="C406" i="37"/>
  <c r="C407" i="37"/>
  <c r="C399" i="37"/>
  <c r="C436" i="37"/>
  <c r="V63" i="36"/>
  <c r="L60" i="40" s="1"/>
  <c r="M60" i="40" s="1"/>
  <c r="N60" i="40" s="1"/>
  <c r="X62" i="36"/>
  <c r="Y62" i="36" s="1"/>
  <c r="Z62" i="36" s="1"/>
  <c r="O62" i="36"/>
  <c r="P62" i="36" s="1"/>
  <c r="Q62" i="36" s="1"/>
  <c r="M63" i="36"/>
  <c r="G60" i="40" s="1"/>
  <c r="H60" i="40" s="1"/>
  <c r="I60" i="40" s="1"/>
  <c r="L179" i="37"/>
  <c r="M179" i="37" s="1"/>
  <c r="C285" i="36"/>
  <c r="AR233" i="37"/>
  <c r="AI62" i="37"/>
  <c r="AQ233" i="37"/>
  <c r="AR233" i="36"/>
  <c r="AR118" i="36"/>
  <c r="AS118" i="36"/>
  <c r="F285" i="36"/>
  <c r="AQ233" i="36"/>
  <c r="AS233" i="37"/>
  <c r="Q133" i="40"/>
  <c r="R133" i="40" s="1"/>
  <c r="S133" i="40" s="1"/>
  <c r="AI178" i="36"/>
  <c r="AA120" i="37"/>
  <c r="AB120" i="37"/>
  <c r="AC120" i="37"/>
  <c r="L133" i="40"/>
  <c r="M133" i="40" s="1"/>
  <c r="N133" i="40" s="1"/>
  <c r="X234" i="37"/>
  <c r="Y234" i="37" s="1"/>
  <c r="Z234" i="37" s="1"/>
  <c r="O178" i="37"/>
  <c r="P178" i="37" s="1"/>
  <c r="Q178" i="37" s="1"/>
  <c r="N234" i="37"/>
  <c r="O234" i="37" s="1"/>
  <c r="P234" i="37" s="1"/>
  <c r="AI62" i="36"/>
  <c r="AL234" i="36"/>
  <c r="AM234" i="36"/>
  <c r="AK234" i="36"/>
  <c r="AQ118" i="36"/>
  <c r="L83" i="40"/>
  <c r="M83" i="40" s="1"/>
  <c r="N83" i="40" s="1"/>
  <c r="AS233" i="36"/>
  <c r="X234" i="36"/>
  <c r="Y234" i="36" s="1"/>
  <c r="Z234" i="36" s="1"/>
  <c r="AA119" i="36"/>
  <c r="AB119" i="36"/>
  <c r="AC119" i="36"/>
  <c r="R234" i="36"/>
  <c r="Q234" i="36"/>
  <c r="S234" i="36"/>
  <c r="G83" i="40"/>
  <c r="H83" i="40" s="1"/>
  <c r="I83" i="40" s="1"/>
  <c r="Q119" i="12"/>
  <c r="R119" i="12"/>
  <c r="F394" i="36"/>
  <c r="G394" i="36"/>
  <c r="AO61" i="37"/>
  <c r="C86" i="37" s="1"/>
  <c r="V63" i="12"/>
  <c r="L10" i="40" s="1"/>
  <c r="M10" i="40" s="1"/>
  <c r="N10" i="40" s="1"/>
  <c r="M63" i="12"/>
  <c r="G10" i="40" s="1"/>
  <c r="H10" i="40" s="1"/>
  <c r="I10" i="40" s="1"/>
  <c r="E62" i="38"/>
  <c r="C63" i="38" s="1"/>
  <c r="C119" i="38"/>
  <c r="D119" i="38" s="1"/>
  <c r="E119" i="38" s="1"/>
  <c r="F119" i="38" s="1"/>
  <c r="AM62" i="38"/>
  <c r="G118" i="37"/>
  <c r="AQ118" i="37" s="1"/>
  <c r="H118" i="37"/>
  <c r="AR118" i="37" s="1"/>
  <c r="I118" i="37"/>
  <c r="AS118" i="37" s="1"/>
  <c r="F61" i="37"/>
  <c r="G61" i="37" s="1"/>
  <c r="H61" i="37" s="1"/>
  <c r="C285" i="37" s="1"/>
  <c r="D62" i="37"/>
  <c r="B109" i="40" s="1"/>
  <c r="C109" i="40" s="1"/>
  <c r="D109" i="40" s="1"/>
  <c r="X119" i="12"/>
  <c r="Y119" i="12" s="1"/>
  <c r="Z119" i="12" s="1"/>
  <c r="AA119" i="12" s="1"/>
  <c r="F177" i="12"/>
  <c r="G177" i="12" s="1"/>
  <c r="H177" i="12" s="1"/>
  <c r="F285" i="12" s="1"/>
  <c r="E181" i="38"/>
  <c r="C182" i="38" s="1"/>
  <c r="D182" i="38" s="1"/>
  <c r="C237" i="38"/>
  <c r="D237" i="38" s="1"/>
  <c r="E237" i="38" s="1"/>
  <c r="F237" i="38" s="1"/>
  <c r="G236" i="38"/>
  <c r="H236" i="38"/>
  <c r="I236" i="38"/>
  <c r="AM178" i="36"/>
  <c r="C234" i="36"/>
  <c r="D234" i="36" s="1"/>
  <c r="E234" i="36" s="1"/>
  <c r="F234" i="36" s="1"/>
  <c r="E178" i="36"/>
  <c r="C179" i="36" s="1"/>
  <c r="D179" i="36" s="1"/>
  <c r="AM62" i="36"/>
  <c r="E62" i="36"/>
  <c r="C119" i="36"/>
  <c r="D119" i="36" s="1"/>
  <c r="E119" i="36" s="1"/>
  <c r="F119" i="36" s="1"/>
  <c r="R234" i="12"/>
  <c r="S234" i="12"/>
  <c r="Q234" i="12"/>
  <c r="AH234" i="12"/>
  <c r="AI234" i="12" s="1"/>
  <c r="AJ234" i="12" s="1"/>
  <c r="E233" i="12"/>
  <c r="F233" i="12" s="1"/>
  <c r="C178" i="12"/>
  <c r="F956" i="4"/>
  <c r="D957" i="4" s="1"/>
  <c r="G956" i="4"/>
  <c r="M990" i="4"/>
  <c r="S818" i="4"/>
  <c r="M818" i="4"/>
  <c r="S769" i="4"/>
  <c r="S563" i="4"/>
  <c r="G504" i="4"/>
  <c r="R294" i="4"/>
  <c r="P295" i="4" s="1"/>
  <c r="S295" i="4" s="1"/>
  <c r="Y461" i="4"/>
  <c r="S463" i="4"/>
  <c r="G460" i="4"/>
  <c r="Y419" i="4"/>
  <c r="S420" i="4"/>
  <c r="G419" i="4"/>
  <c r="AE376" i="4"/>
  <c r="Y376" i="4"/>
  <c r="S375" i="4"/>
  <c r="G375" i="4"/>
  <c r="G293" i="4"/>
  <c r="S251" i="4"/>
  <c r="M252" i="4"/>
  <c r="F375" i="4"/>
  <c r="D376" i="4" s="1"/>
  <c r="L956" i="4"/>
  <c r="J957" i="4" s="1"/>
  <c r="M957" i="4" s="1"/>
  <c r="R251" i="4"/>
  <c r="P252" i="4" s="1"/>
  <c r="S252" i="4" s="1"/>
  <c r="R818" i="4"/>
  <c r="P819" i="4" s="1"/>
  <c r="S38" i="4"/>
  <c r="L14" i="4"/>
  <c r="M15" i="4" s="1"/>
  <c r="L335" i="4"/>
  <c r="J336" i="4" s="1"/>
  <c r="M336" i="4" s="1"/>
  <c r="R955" i="4"/>
  <c r="P956" i="4" s="1"/>
  <c r="S956" i="4" s="1"/>
  <c r="L252" i="4"/>
  <c r="J253" i="4" s="1"/>
  <c r="F215" i="4"/>
  <c r="D216" i="4" s="1"/>
  <c r="G216" i="4" s="1"/>
  <c r="R420" i="4"/>
  <c r="S421" i="4" s="1"/>
  <c r="F989" i="4"/>
  <c r="D990" i="4" s="1"/>
  <c r="G990" i="4" s="1"/>
  <c r="L420" i="4"/>
  <c r="M421" i="4" s="1"/>
  <c r="G177" i="4"/>
  <c r="R38" i="4"/>
  <c r="R334" i="4"/>
  <c r="P335" i="4" s="1"/>
  <c r="S335" i="4" s="1"/>
  <c r="F334" i="4"/>
  <c r="D335" i="4" s="1"/>
  <c r="G335" i="4" s="1"/>
  <c r="X461" i="4"/>
  <c r="V462" i="4" s="1"/>
  <c r="R14" i="4"/>
  <c r="P15" i="4" s="1"/>
  <c r="S15" i="4" s="1"/>
  <c r="L57" i="4"/>
  <c r="J58" i="4" s="1"/>
  <c r="M58" i="4" s="1"/>
  <c r="R375" i="4"/>
  <c r="P376" i="4" s="1"/>
  <c r="S376" i="4" s="1"/>
  <c r="F419" i="4"/>
  <c r="D420" i="4" s="1"/>
  <c r="AJ375" i="4"/>
  <c r="AH376" i="4" s="1"/>
  <c r="AK376" i="4" s="1"/>
  <c r="R714" i="4"/>
  <c r="P715" i="4" s="1"/>
  <c r="S715" i="4" s="1"/>
  <c r="AD419" i="4"/>
  <c r="AB420" i="4" s="1"/>
  <c r="L293" i="4"/>
  <c r="J294" i="4" s="1"/>
  <c r="M294" i="4" s="1"/>
  <c r="F563" i="4"/>
  <c r="D564" i="4" s="1"/>
  <c r="R463" i="4"/>
  <c r="P464" i="4" s="1"/>
  <c r="S464" i="4" s="1"/>
  <c r="X376" i="4"/>
  <c r="V377" i="4" s="1"/>
  <c r="L463" i="4"/>
  <c r="J464" i="4" s="1"/>
  <c r="M464" i="4" s="1"/>
  <c r="R58" i="4"/>
  <c r="P59" i="4" s="1"/>
  <c r="S59" i="4" s="1"/>
  <c r="R215" i="4"/>
  <c r="P216" i="4" s="1"/>
  <c r="F620" i="4"/>
  <c r="D621" i="4" s="1"/>
  <c r="G621" i="4" s="1"/>
  <c r="L215" i="4"/>
  <c r="J216" i="4" s="1"/>
  <c r="F56" i="4"/>
  <c r="D57" i="4" s="1"/>
  <c r="AD376" i="4"/>
  <c r="AB377" i="4" s="1"/>
  <c r="F293" i="4"/>
  <c r="D294" i="4" s="1"/>
  <c r="G294" i="4" s="1"/>
  <c r="L375" i="4"/>
  <c r="J376" i="4" s="1"/>
  <c r="F819" i="4"/>
  <c r="D820" i="4" s="1"/>
  <c r="AD252" i="4"/>
  <c r="AB253" i="4" s="1"/>
  <c r="AE253" i="4" s="1"/>
  <c r="X251" i="4"/>
  <c r="V252" i="4" s="1"/>
  <c r="Y252" i="4" s="1"/>
  <c r="F714" i="4"/>
  <c r="D715" i="4" s="1"/>
  <c r="X335" i="4"/>
  <c r="V336" i="4" s="1"/>
  <c r="Y336" i="4" s="1"/>
  <c r="X562" i="4"/>
  <c r="V563" i="4" s="1"/>
  <c r="Y563" i="4" s="1"/>
  <c r="F251" i="4"/>
  <c r="D252" i="4" s="1"/>
  <c r="G252" i="4" s="1"/>
  <c r="L562" i="4"/>
  <c r="J563" i="4" s="1"/>
  <c r="M563" i="4" s="1"/>
  <c r="L768" i="4"/>
  <c r="J769" i="4" s="1"/>
  <c r="F462" i="4"/>
  <c r="D463" i="4" s="1"/>
  <c r="G463" i="4" s="1"/>
  <c r="L818" i="4"/>
  <c r="J819" i="4" s="1"/>
  <c r="M819" i="4" s="1"/>
  <c r="F504" i="4"/>
  <c r="D505" i="4" s="1"/>
  <c r="G505" i="4" s="1"/>
  <c r="F768" i="4"/>
  <c r="D769" i="4" s="1"/>
  <c r="G769" i="4" s="1"/>
  <c r="L990" i="4"/>
  <c r="J991" i="4" s="1"/>
  <c r="X419" i="4"/>
  <c r="V420" i="4" s="1"/>
  <c r="Y420" i="4" s="1"/>
  <c r="R563" i="4"/>
  <c r="P564" i="4" s="1"/>
  <c r="S564" i="4" s="1"/>
  <c r="R769" i="4"/>
  <c r="P770" i="4" s="1"/>
  <c r="C105" i="38" l="1"/>
  <c r="D201" i="38"/>
  <c r="D202" i="38" s="1"/>
  <c r="D217" i="38" s="1"/>
  <c r="C205" i="38"/>
  <c r="AN62" i="38"/>
  <c r="F178" i="37"/>
  <c r="G178" i="37" s="1"/>
  <c r="H178" i="37" s="1"/>
  <c r="H234" i="37"/>
  <c r="AS178" i="37"/>
  <c r="E418" i="37" s="1"/>
  <c r="G418" i="37" s="1"/>
  <c r="X178" i="12"/>
  <c r="Y178" i="12" s="1"/>
  <c r="Z178" i="12" s="1"/>
  <c r="AG179" i="36"/>
  <c r="AH179" i="36" s="1"/>
  <c r="AH235" i="36" s="1"/>
  <c r="AI235" i="36" s="1"/>
  <c r="AJ235" i="36" s="1"/>
  <c r="E179" i="37"/>
  <c r="C180" i="37" s="1"/>
  <c r="D180" i="37" s="1"/>
  <c r="B134" i="40" s="1"/>
  <c r="C134" i="40" s="1"/>
  <c r="D134" i="40" s="1"/>
  <c r="AN62" i="36"/>
  <c r="AO62" i="36" s="1"/>
  <c r="AN178" i="36"/>
  <c r="AO178" i="36" s="1"/>
  <c r="AG236" i="36"/>
  <c r="AF180" i="36"/>
  <c r="AD181" i="36" s="1"/>
  <c r="AE181" i="36" s="1"/>
  <c r="Q85" i="40" s="1"/>
  <c r="R85" i="40" s="1"/>
  <c r="S85" i="40" s="1"/>
  <c r="AG235" i="12"/>
  <c r="AH235" i="12" s="1"/>
  <c r="AI235" i="12" s="1"/>
  <c r="AJ235" i="12" s="1"/>
  <c r="AF179" i="12"/>
  <c r="AD180" i="12" s="1"/>
  <c r="AE180" i="12" s="1"/>
  <c r="AG236" i="12" s="1"/>
  <c r="N179" i="12"/>
  <c r="L180" i="12" s="1"/>
  <c r="M180" i="12" s="1"/>
  <c r="G34" i="40" s="1"/>
  <c r="H34" i="40" s="1"/>
  <c r="I34" i="40" s="1"/>
  <c r="M235" i="12"/>
  <c r="N235" i="12" s="1"/>
  <c r="O235" i="12" s="1"/>
  <c r="P235" i="12" s="1"/>
  <c r="Q235" i="12" s="1"/>
  <c r="V179" i="12"/>
  <c r="L33" i="40" s="1"/>
  <c r="M33" i="40" s="1"/>
  <c r="N33" i="40" s="1"/>
  <c r="D178" i="12"/>
  <c r="B32" i="40" s="1"/>
  <c r="C32" i="40" s="1"/>
  <c r="D32" i="40" s="1"/>
  <c r="AM6" i="40" s="1"/>
  <c r="R295" i="4"/>
  <c r="P296" i="4" s="1"/>
  <c r="R296" i="4" s="1"/>
  <c r="P297" i="4" s="1"/>
  <c r="C211" i="36"/>
  <c r="C214" i="36"/>
  <c r="C226" i="36"/>
  <c r="C221" i="36"/>
  <c r="C218" i="36"/>
  <c r="C210" i="36"/>
  <c r="C203" i="36"/>
  <c r="C215" i="36"/>
  <c r="C227" i="36"/>
  <c r="AG120" i="36"/>
  <c r="Q60" i="40"/>
  <c r="R60" i="40" s="1"/>
  <c r="S60" i="40" s="1"/>
  <c r="C220" i="36"/>
  <c r="C222" i="36"/>
  <c r="N63" i="37"/>
  <c r="L64" i="37" s="1"/>
  <c r="M64" i="37" s="1"/>
  <c r="G111" i="40" s="1"/>
  <c r="H111" i="40" s="1"/>
  <c r="I111" i="40" s="1"/>
  <c r="G110" i="40"/>
  <c r="H110" i="40" s="1"/>
  <c r="I110" i="40" s="1"/>
  <c r="W235" i="38"/>
  <c r="X235" i="38" s="1"/>
  <c r="Y235" i="38" s="1"/>
  <c r="Z235" i="38" s="1"/>
  <c r="L183" i="40"/>
  <c r="M183" i="40" s="1"/>
  <c r="N183" i="40" s="1"/>
  <c r="C208" i="36"/>
  <c r="C225" i="36"/>
  <c r="C204" i="36"/>
  <c r="D201" i="36" s="1"/>
  <c r="C212" i="36"/>
  <c r="AG120" i="37"/>
  <c r="AH120" i="37" s="1"/>
  <c r="AI120" i="37" s="1"/>
  <c r="AJ120" i="37" s="1"/>
  <c r="AK120" i="37" s="1"/>
  <c r="Q110" i="40"/>
  <c r="R110" i="40" s="1"/>
  <c r="S110" i="40" s="1"/>
  <c r="C217" i="36"/>
  <c r="C223" i="36"/>
  <c r="C213" i="36"/>
  <c r="C209" i="36"/>
  <c r="C224" i="36"/>
  <c r="C219" i="36"/>
  <c r="C215" i="12"/>
  <c r="C92" i="36"/>
  <c r="C88" i="36"/>
  <c r="D85" i="36" s="1"/>
  <c r="C402" i="36"/>
  <c r="C412" i="36"/>
  <c r="C401" i="36"/>
  <c r="C423" i="36"/>
  <c r="C411" i="36"/>
  <c r="C420" i="36"/>
  <c r="C394" i="36"/>
  <c r="C419" i="36"/>
  <c r="C409" i="36"/>
  <c r="C406" i="36"/>
  <c r="C400" i="36"/>
  <c r="C398" i="36"/>
  <c r="C432" i="36"/>
  <c r="C399" i="36"/>
  <c r="C407" i="36"/>
  <c r="C428" i="36"/>
  <c r="C431" i="36"/>
  <c r="C433" i="36"/>
  <c r="C430" i="36"/>
  <c r="C436" i="36"/>
  <c r="C425" i="36"/>
  <c r="C426" i="36"/>
  <c r="C395" i="36"/>
  <c r="C397" i="36"/>
  <c r="C403" i="36"/>
  <c r="C434" i="36"/>
  <c r="C417" i="36"/>
  <c r="C418" i="36"/>
  <c r="C435" i="36"/>
  <c r="C421" i="36"/>
  <c r="C410" i="36"/>
  <c r="C429" i="36"/>
  <c r="C396" i="36"/>
  <c r="C405" i="36"/>
  <c r="C424" i="36"/>
  <c r="C408" i="36"/>
  <c r="C404" i="36"/>
  <c r="C413" i="36"/>
  <c r="C427" i="36"/>
  <c r="AT118" i="38"/>
  <c r="C145" i="38" s="1"/>
  <c r="AU118" i="38"/>
  <c r="C142" i="38" s="1"/>
  <c r="D150" i="38" s="1"/>
  <c r="AM119" i="37"/>
  <c r="D260" i="38"/>
  <c r="X260" i="38" s="1"/>
  <c r="H285" i="38" s="1"/>
  <c r="AI178" i="12"/>
  <c r="D279" i="38"/>
  <c r="D269" i="38"/>
  <c r="D276" i="38"/>
  <c r="D275" i="38"/>
  <c r="D278" i="38"/>
  <c r="D273" i="38"/>
  <c r="D270" i="38"/>
  <c r="D268" i="38"/>
  <c r="D221" i="38"/>
  <c r="D218" i="38"/>
  <c r="D224" i="38"/>
  <c r="D220" i="38"/>
  <c r="D213" i="38"/>
  <c r="D208" i="38"/>
  <c r="D272" i="38"/>
  <c r="D209" i="38"/>
  <c r="D210" i="38"/>
  <c r="D271" i="38"/>
  <c r="D261" i="38"/>
  <c r="D266" i="38"/>
  <c r="D204" i="38"/>
  <c r="E201" i="38" s="1"/>
  <c r="D263" i="38"/>
  <c r="D262" i="38"/>
  <c r="D264" i="38"/>
  <c r="AI62" i="38"/>
  <c r="D227" i="38"/>
  <c r="D267" i="38"/>
  <c r="D265" i="38"/>
  <c r="D222" i="38"/>
  <c r="D211" i="38"/>
  <c r="D274" i="38"/>
  <c r="AL120" i="38"/>
  <c r="AK120" i="38"/>
  <c r="AM120" i="38"/>
  <c r="AG63" i="38"/>
  <c r="AD64" i="38"/>
  <c r="AE64" i="38" s="1"/>
  <c r="Q161" i="40" s="1"/>
  <c r="R161" i="40" s="1"/>
  <c r="S161" i="40" s="1"/>
  <c r="AK119" i="38"/>
  <c r="AM119" i="38"/>
  <c r="AL119" i="38"/>
  <c r="D216" i="38"/>
  <c r="D219" i="38"/>
  <c r="AH178" i="38"/>
  <c r="AH234" i="38" s="1"/>
  <c r="AI234" i="38" s="1"/>
  <c r="AJ234" i="38" s="1"/>
  <c r="D215" i="38"/>
  <c r="AL119" i="37"/>
  <c r="U64" i="38"/>
  <c r="V64" i="38" s="1"/>
  <c r="L161" i="40" s="1"/>
  <c r="M161" i="40" s="1"/>
  <c r="N161" i="40" s="1"/>
  <c r="X63" i="38"/>
  <c r="Y63" i="38" s="1"/>
  <c r="Z63" i="38" s="1"/>
  <c r="AC120" i="38"/>
  <c r="AB120" i="38"/>
  <c r="AA120" i="38"/>
  <c r="W179" i="38"/>
  <c r="AC235" i="38"/>
  <c r="AB235" i="38"/>
  <c r="AA235" i="38"/>
  <c r="N63" i="38"/>
  <c r="M120" i="38"/>
  <c r="N120" i="38" s="1"/>
  <c r="O120" i="38" s="1"/>
  <c r="P120" i="38" s="1"/>
  <c r="E395" i="38"/>
  <c r="G395" i="38" s="1"/>
  <c r="E418" i="38"/>
  <c r="G418" i="38" s="1"/>
  <c r="G183" i="40"/>
  <c r="H183" i="40" s="1"/>
  <c r="I183" i="40" s="1"/>
  <c r="C103" i="38"/>
  <c r="C97" i="38"/>
  <c r="C92" i="38"/>
  <c r="C98" i="38"/>
  <c r="C95" i="38"/>
  <c r="C106" i="38"/>
  <c r="C102" i="38"/>
  <c r="C100" i="38"/>
  <c r="C104" i="38"/>
  <c r="C109" i="38"/>
  <c r="C111" i="36"/>
  <c r="C94" i="36"/>
  <c r="C106" i="36"/>
  <c r="C94" i="38"/>
  <c r="C87" i="38"/>
  <c r="C101" i="38"/>
  <c r="C88" i="38"/>
  <c r="D85" i="38" s="1"/>
  <c r="C111" i="38"/>
  <c r="C95" i="36"/>
  <c r="C93" i="38"/>
  <c r="C107" i="38"/>
  <c r="C108" i="38"/>
  <c r="AD63" i="12"/>
  <c r="AE63" i="12" s="1"/>
  <c r="AG62" i="12"/>
  <c r="C108" i="36"/>
  <c r="C99" i="38"/>
  <c r="C96" i="38"/>
  <c r="C110" i="38"/>
  <c r="C103" i="36"/>
  <c r="C98" i="36"/>
  <c r="C96" i="36"/>
  <c r="C93" i="36"/>
  <c r="AM119" i="36"/>
  <c r="C87" i="36"/>
  <c r="C110" i="36"/>
  <c r="C104" i="36"/>
  <c r="C107" i="36"/>
  <c r="C105" i="36"/>
  <c r="D226" i="37"/>
  <c r="D213" i="37"/>
  <c r="D209" i="37"/>
  <c r="D227" i="37"/>
  <c r="D208" i="37"/>
  <c r="D223" i="37"/>
  <c r="D216" i="37"/>
  <c r="D204" i="37"/>
  <c r="D221" i="37"/>
  <c r="D212" i="37"/>
  <c r="D210" i="37"/>
  <c r="D211" i="37"/>
  <c r="D218" i="37"/>
  <c r="D215" i="37"/>
  <c r="D217" i="37"/>
  <c r="D225" i="37"/>
  <c r="D203" i="37"/>
  <c r="D219" i="37"/>
  <c r="D220" i="37"/>
  <c r="D224" i="37"/>
  <c r="D214" i="37"/>
  <c r="D222" i="37"/>
  <c r="C97" i="36"/>
  <c r="C99" i="36"/>
  <c r="C109" i="36"/>
  <c r="C101" i="36"/>
  <c r="C102" i="36"/>
  <c r="C100" i="36"/>
  <c r="AL119" i="36"/>
  <c r="AF63" i="36"/>
  <c r="AG63" i="36" s="1"/>
  <c r="AH63" i="36" s="1"/>
  <c r="AF63" i="37"/>
  <c r="C63" i="36"/>
  <c r="D63" i="36" s="1"/>
  <c r="B60" i="40" s="1"/>
  <c r="C60" i="40" s="1"/>
  <c r="D60" i="40" s="1"/>
  <c r="M120" i="37"/>
  <c r="N120" i="37" s="1"/>
  <c r="O120" i="37" s="1"/>
  <c r="P120" i="37" s="1"/>
  <c r="Q120" i="37" s="1"/>
  <c r="X63" i="37"/>
  <c r="Y63" i="37" s="1"/>
  <c r="Z63" i="37" s="1"/>
  <c r="W179" i="37"/>
  <c r="U180" i="37" s="1"/>
  <c r="V180" i="37" s="1"/>
  <c r="W235" i="37"/>
  <c r="W63" i="36"/>
  <c r="U64" i="36" s="1"/>
  <c r="W120" i="36"/>
  <c r="X120" i="36" s="1"/>
  <c r="Y120" i="36" s="1"/>
  <c r="Z120" i="36" s="1"/>
  <c r="AA120" i="36" s="1"/>
  <c r="N179" i="36"/>
  <c r="L180" i="36" s="1"/>
  <c r="M180" i="36" s="1"/>
  <c r="M235" i="36"/>
  <c r="N235" i="36" s="1"/>
  <c r="O235" i="36" s="1"/>
  <c r="P235" i="36" s="1"/>
  <c r="N63" i="36"/>
  <c r="L64" i="36" s="1"/>
  <c r="M120" i="36"/>
  <c r="N120" i="36" s="1"/>
  <c r="O120" i="36" s="1"/>
  <c r="P120" i="36" s="1"/>
  <c r="AF179" i="37"/>
  <c r="AD180" i="37" s="1"/>
  <c r="AG235" i="37"/>
  <c r="N63" i="12"/>
  <c r="L64" i="12" s="1"/>
  <c r="M120" i="12"/>
  <c r="N120" i="12" s="1"/>
  <c r="O120" i="12" s="1"/>
  <c r="P120" i="12" s="1"/>
  <c r="W63" i="12"/>
  <c r="U64" i="12" s="1"/>
  <c r="W120" i="12"/>
  <c r="W179" i="36"/>
  <c r="U180" i="36" s="1"/>
  <c r="W235" i="36"/>
  <c r="W64" i="37"/>
  <c r="U65" i="37" s="1"/>
  <c r="W121" i="37"/>
  <c r="X121" i="37" s="1"/>
  <c r="Y121" i="37" s="1"/>
  <c r="Z121" i="37" s="1"/>
  <c r="AB121" i="37" s="1"/>
  <c r="M285" i="36"/>
  <c r="B370" i="36" s="1"/>
  <c r="G31" i="31" s="1"/>
  <c r="AU233" i="37"/>
  <c r="C257" i="37" s="1"/>
  <c r="D279" i="37" s="1"/>
  <c r="AT233" i="37"/>
  <c r="C260" i="37" s="1"/>
  <c r="AT118" i="36"/>
  <c r="C145" i="36" s="1"/>
  <c r="AT233" i="36"/>
  <c r="C260" i="36" s="1"/>
  <c r="AI179" i="36"/>
  <c r="AU118" i="36"/>
  <c r="C142" i="36" s="1"/>
  <c r="D152" i="36" s="1"/>
  <c r="AI178" i="37"/>
  <c r="F286" i="37" s="1"/>
  <c r="AL234" i="37"/>
  <c r="AM234" i="37"/>
  <c r="AK234" i="37"/>
  <c r="AA234" i="37"/>
  <c r="AC234" i="37"/>
  <c r="AB234" i="37"/>
  <c r="R234" i="37"/>
  <c r="S234" i="37"/>
  <c r="Q234" i="37"/>
  <c r="G133" i="40"/>
  <c r="H133" i="40" s="1"/>
  <c r="I133" i="40" s="1"/>
  <c r="AK235" i="36"/>
  <c r="AM235" i="36"/>
  <c r="AL235" i="36"/>
  <c r="AU233" i="36"/>
  <c r="C257" i="36" s="1"/>
  <c r="D263" i="36" s="1"/>
  <c r="AC234" i="36"/>
  <c r="AA234" i="36"/>
  <c r="AB234" i="36"/>
  <c r="AC119" i="12"/>
  <c r="AB119" i="12"/>
  <c r="B370" i="38"/>
  <c r="G85" i="31" s="1"/>
  <c r="M285" i="37"/>
  <c r="B370" i="37" s="1"/>
  <c r="G58" i="31" s="1"/>
  <c r="AO62" i="38"/>
  <c r="C110" i="37"/>
  <c r="C103" i="37"/>
  <c r="C100" i="37"/>
  <c r="C97" i="37"/>
  <c r="C111" i="37"/>
  <c r="C94" i="37"/>
  <c r="C99" i="37"/>
  <c r="C95" i="37"/>
  <c r="C108" i="37"/>
  <c r="C87" i="37"/>
  <c r="C93" i="37"/>
  <c r="C96" i="37"/>
  <c r="C109" i="37"/>
  <c r="C106" i="37"/>
  <c r="C102" i="37"/>
  <c r="C98" i="37"/>
  <c r="C101" i="37"/>
  <c r="C107" i="37"/>
  <c r="C104" i="37"/>
  <c r="C88" i="37"/>
  <c r="D85" i="37" s="1"/>
  <c r="C105" i="37"/>
  <c r="C92" i="37"/>
  <c r="AU118" i="37"/>
  <c r="C142" i="37" s="1"/>
  <c r="AT118" i="37"/>
  <c r="C145" i="37" s="1"/>
  <c r="AS62" i="38"/>
  <c r="D63" i="38"/>
  <c r="B160" i="40" s="1"/>
  <c r="C160" i="40" s="1"/>
  <c r="D160" i="40" s="1"/>
  <c r="F62" i="38"/>
  <c r="G62" i="38" s="1"/>
  <c r="H62" i="38" s="1"/>
  <c r="E62" i="37"/>
  <c r="C63" i="37" s="1"/>
  <c r="AM62" i="37"/>
  <c r="C119" i="37"/>
  <c r="D119" i="37" s="1"/>
  <c r="E119" i="37" s="1"/>
  <c r="F119" i="37" s="1"/>
  <c r="H119" i="38"/>
  <c r="G119" i="38"/>
  <c r="I119" i="38"/>
  <c r="I237" i="38"/>
  <c r="G237" i="38"/>
  <c r="H237" i="38"/>
  <c r="B186" i="40"/>
  <c r="C186" i="40" s="1"/>
  <c r="D186" i="40" s="1"/>
  <c r="F181" i="38"/>
  <c r="G181" i="38" s="1"/>
  <c r="H181" i="38" s="1"/>
  <c r="C235" i="37"/>
  <c r="D235" i="37" s="1"/>
  <c r="E235" i="37" s="1"/>
  <c r="F235" i="37" s="1"/>
  <c r="AS62" i="36"/>
  <c r="F62" i="36"/>
  <c r="G62" i="36" s="1"/>
  <c r="H62" i="36" s="1"/>
  <c r="C286" i="36" s="1"/>
  <c r="H119" i="36"/>
  <c r="G119" i="36"/>
  <c r="AQ119" i="36" s="1"/>
  <c r="I119" i="36"/>
  <c r="F178" i="36"/>
  <c r="G178" i="36" s="1"/>
  <c r="H178" i="36" s="1"/>
  <c r="F286" i="36" s="1"/>
  <c r="AS178" i="36"/>
  <c r="B83" i="40"/>
  <c r="C83" i="40" s="1"/>
  <c r="D83" i="40" s="1"/>
  <c r="H234" i="36"/>
  <c r="G234" i="36"/>
  <c r="I234" i="36"/>
  <c r="AC234" i="12"/>
  <c r="AL234" i="12"/>
  <c r="AM234" i="12"/>
  <c r="AK234" i="12"/>
  <c r="AA234" i="12"/>
  <c r="H233" i="12"/>
  <c r="AR233" i="12" s="1"/>
  <c r="I233" i="12"/>
  <c r="AS233" i="12" s="1"/>
  <c r="G233" i="12"/>
  <c r="AQ233" i="12" s="1"/>
  <c r="S296" i="4"/>
  <c r="F957" i="4"/>
  <c r="D958" i="4" s="1"/>
  <c r="G957" i="4"/>
  <c r="M991" i="4"/>
  <c r="S819" i="4"/>
  <c r="G820" i="4"/>
  <c r="M769" i="4"/>
  <c r="S770" i="4"/>
  <c r="G715" i="4"/>
  <c r="G564" i="4"/>
  <c r="Y462" i="4"/>
  <c r="AE420" i="4"/>
  <c r="G420" i="4"/>
  <c r="G57" i="4"/>
  <c r="AE377" i="4"/>
  <c r="Y377" i="4"/>
  <c r="G376" i="4"/>
  <c r="M376" i="4"/>
  <c r="L336" i="4"/>
  <c r="J337" i="4" s="1"/>
  <c r="M337" i="4" s="1"/>
  <c r="S297" i="4"/>
  <c r="M253" i="4"/>
  <c r="S216" i="4"/>
  <c r="R252" i="4"/>
  <c r="P253" i="4" s="1"/>
  <c r="F376" i="4"/>
  <c r="D377" i="4" s="1"/>
  <c r="R819" i="4"/>
  <c r="P820" i="4" s="1"/>
  <c r="S820" i="4" s="1"/>
  <c r="L957" i="4"/>
  <c r="J958" i="4" s="1"/>
  <c r="M958" i="4" s="1"/>
  <c r="M216" i="4"/>
  <c r="S39" i="4"/>
  <c r="F420" i="4"/>
  <c r="G421" i="4" s="1"/>
  <c r="L253" i="4"/>
  <c r="J254" i="4" s="1"/>
  <c r="M254" i="4" s="1"/>
  <c r="F990" i="4"/>
  <c r="D991" i="4" s="1"/>
  <c r="G991" i="4" s="1"/>
  <c r="R956" i="4"/>
  <c r="P957" i="4" s="1"/>
  <c r="S957" i="4" s="1"/>
  <c r="AD420" i="4"/>
  <c r="AE421" i="4" s="1"/>
  <c r="X420" i="4"/>
  <c r="Y421" i="4" s="1"/>
  <c r="F216" i="4"/>
  <c r="G217" i="4" s="1"/>
  <c r="R39" i="4"/>
  <c r="R335" i="4"/>
  <c r="P336" i="4" s="1"/>
  <c r="S336" i="4" s="1"/>
  <c r="F335" i="4"/>
  <c r="D336" i="4" s="1"/>
  <c r="G336" i="4" s="1"/>
  <c r="AJ376" i="4"/>
  <c r="AH377" i="4" s="1"/>
  <c r="R15" i="4"/>
  <c r="P16" i="4" s="1"/>
  <c r="S16" i="4" s="1"/>
  <c r="X377" i="4"/>
  <c r="V378" i="4" s="1"/>
  <c r="Y378" i="4" s="1"/>
  <c r="R464" i="4"/>
  <c r="P465" i="4" s="1"/>
  <c r="S465" i="4" s="1"/>
  <c r="R376" i="4"/>
  <c r="P377" i="4" s="1"/>
  <c r="X462" i="4"/>
  <c r="V463" i="4" s="1"/>
  <c r="L294" i="4"/>
  <c r="J295" i="4" s="1"/>
  <c r="M295" i="4" s="1"/>
  <c r="F564" i="4"/>
  <c r="D565" i="4" s="1"/>
  <c r="R715" i="4"/>
  <c r="P716" i="4" s="1"/>
  <c r="S716" i="4" s="1"/>
  <c r="L58" i="4"/>
  <c r="J59" i="4" s="1"/>
  <c r="L991" i="4"/>
  <c r="J992" i="4" s="1"/>
  <c r="F621" i="4"/>
  <c r="D622" i="4" s="1"/>
  <c r="G622" i="4" s="1"/>
  <c r="X336" i="4"/>
  <c r="V337" i="4" s="1"/>
  <c r="Y337" i="4" s="1"/>
  <c r="X252" i="4"/>
  <c r="V253" i="4" s="1"/>
  <c r="Y253" i="4" s="1"/>
  <c r="AD377" i="4"/>
  <c r="AB378" i="4" s="1"/>
  <c r="AE378" i="4" s="1"/>
  <c r="R770" i="4"/>
  <c r="P771" i="4" s="1"/>
  <c r="F463" i="4"/>
  <c r="D464" i="4" s="1"/>
  <c r="G464" i="4" s="1"/>
  <c r="F252" i="4"/>
  <c r="D253" i="4" s="1"/>
  <c r="G253" i="4" s="1"/>
  <c r="R564" i="4"/>
  <c r="P565" i="4" s="1"/>
  <c r="S565" i="4" s="1"/>
  <c r="F769" i="4"/>
  <c r="D770" i="4" s="1"/>
  <c r="G770" i="4" s="1"/>
  <c r="F294" i="4"/>
  <c r="D295" i="4" s="1"/>
  <c r="G295" i="4" s="1"/>
  <c r="L216" i="4"/>
  <c r="J217" i="4" s="1"/>
  <c r="R59" i="4"/>
  <c r="P60" i="4" s="1"/>
  <c r="X563" i="4"/>
  <c r="V564" i="4" s="1"/>
  <c r="Y564" i="4" s="1"/>
  <c r="F820" i="4"/>
  <c r="D821" i="4" s="1"/>
  <c r="G821" i="4" s="1"/>
  <c r="F505" i="4"/>
  <c r="D506" i="4" s="1"/>
  <c r="G506" i="4" s="1"/>
  <c r="L563" i="4"/>
  <c r="J564" i="4" s="1"/>
  <c r="M564" i="4" s="1"/>
  <c r="L464" i="4"/>
  <c r="J465" i="4" s="1"/>
  <c r="M465" i="4" s="1"/>
  <c r="L819" i="4"/>
  <c r="J820" i="4" s="1"/>
  <c r="F57" i="4"/>
  <c r="D58" i="4" s="1"/>
  <c r="G58" i="4" s="1"/>
  <c r="AD253" i="4"/>
  <c r="AB254" i="4" s="1"/>
  <c r="AE254" i="4" s="1"/>
  <c r="R216" i="4"/>
  <c r="P217" i="4" s="1"/>
  <c r="S217" i="4" s="1"/>
  <c r="F715" i="4"/>
  <c r="D716" i="4" s="1"/>
  <c r="G716" i="4" s="1"/>
  <c r="L769" i="4"/>
  <c r="J770" i="4" s="1"/>
  <c r="L376" i="4"/>
  <c r="J377" i="4" s="1"/>
  <c r="R297" i="4"/>
  <c r="P298" i="4" s="1"/>
  <c r="C308" i="38"/>
  <c r="E395" i="37" l="1"/>
  <c r="G395" i="37" s="1"/>
  <c r="D203" i="38"/>
  <c r="D214" i="38"/>
  <c r="D226" i="38"/>
  <c r="D225" i="38"/>
  <c r="D223" i="38"/>
  <c r="D212" i="38"/>
  <c r="AN62" i="37"/>
  <c r="F179" i="37"/>
  <c r="G179" i="37" s="1"/>
  <c r="H179" i="37" s="1"/>
  <c r="AF180" i="12"/>
  <c r="AD181" i="12" s="1"/>
  <c r="AE181" i="12" s="1"/>
  <c r="AG180" i="36"/>
  <c r="AH180" i="36" s="1"/>
  <c r="AH236" i="36"/>
  <c r="AI236" i="36" s="1"/>
  <c r="AJ236" i="36" s="1"/>
  <c r="D202" i="36"/>
  <c r="D204" i="36" s="1"/>
  <c r="E201" i="36" s="1"/>
  <c r="AG179" i="12"/>
  <c r="AH179" i="12" s="1"/>
  <c r="W235" i="12"/>
  <c r="X235" i="12" s="1"/>
  <c r="Y235" i="12" s="1"/>
  <c r="Z235" i="12" s="1"/>
  <c r="W179" i="12"/>
  <c r="X179" i="12" s="1"/>
  <c r="Y179" i="12" s="1"/>
  <c r="Z179" i="12" s="1"/>
  <c r="Q34" i="40"/>
  <c r="R34" i="40" s="1"/>
  <c r="S34" i="40" s="1"/>
  <c r="AF181" i="36"/>
  <c r="AD182" i="36" s="1"/>
  <c r="AE182" i="36" s="1"/>
  <c r="N180" i="12"/>
  <c r="L181" i="12" s="1"/>
  <c r="M181" i="12" s="1"/>
  <c r="O63" i="37"/>
  <c r="P63" i="37" s="1"/>
  <c r="Q63" i="37" s="1"/>
  <c r="AG237" i="36"/>
  <c r="E178" i="12"/>
  <c r="F178" i="12" s="1"/>
  <c r="G178" i="12" s="1"/>
  <c r="H178" i="12" s="1"/>
  <c r="O179" i="12"/>
  <c r="P179" i="12" s="1"/>
  <c r="Q179" i="12" s="1"/>
  <c r="M236" i="12"/>
  <c r="AE180" i="37"/>
  <c r="Q134" i="40" s="1"/>
  <c r="R134" i="40" s="1"/>
  <c r="S134" i="40" s="1"/>
  <c r="V180" i="36"/>
  <c r="W180" i="36" s="1"/>
  <c r="U181" i="36" s="1"/>
  <c r="V181" i="36" s="1"/>
  <c r="L337" i="4"/>
  <c r="J338" i="4" s="1"/>
  <c r="M338" i="4" s="1"/>
  <c r="M121" i="37"/>
  <c r="N121" i="37" s="1"/>
  <c r="O121" i="37" s="1"/>
  <c r="P121" i="37" s="1"/>
  <c r="S121" i="37" s="1"/>
  <c r="C214" i="12"/>
  <c r="C209" i="12"/>
  <c r="C216" i="12"/>
  <c r="C221" i="12"/>
  <c r="N64" i="37"/>
  <c r="L65" i="37" s="1"/>
  <c r="M65" i="37" s="1"/>
  <c r="G112" i="40" s="1"/>
  <c r="H112" i="40" s="1"/>
  <c r="I112" i="40" s="1"/>
  <c r="C219" i="12"/>
  <c r="C211" i="12"/>
  <c r="C222" i="12"/>
  <c r="C226" i="12"/>
  <c r="C205" i="36"/>
  <c r="C203" i="12"/>
  <c r="C204" i="12"/>
  <c r="D201" i="12" s="1"/>
  <c r="C224" i="12"/>
  <c r="C227" i="12"/>
  <c r="AH120" i="36"/>
  <c r="AI120" i="36" s="1"/>
  <c r="AJ120" i="36" s="1"/>
  <c r="AL120" i="36" s="1"/>
  <c r="C223" i="12"/>
  <c r="C218" i="12"/>
  <c r="C210" i="12"/>
  <c r="AG235" i="38"/>
  <c r="Q183" i="40"/>
  <c r="R183" i="40" s="1"/>
  <c r="S183" i="40" s="1"/>
  <c r="C208" i="12"/>
  <c r="AG120" i="12"/>
  <c r="Q10" i="40"/>
  <c r="R10" i="40" s="1"/>
  <c r="S10" i="40" s="1"/>
  <c r="C213" i="12"/>
  <c r="C225" i="12"/>
  <c r="C217" i="12"/>
  <c r="C220" i="12"/>
  <c r="C212" i="12"/>
  <c r="D164" i="38"/>
  <c r="D149" i="38"/>
  <c r="D151" i="38"/>
  <c r="D145" i="38"/>
  <c r="X145" i="38" s="1"/>
  <c r="E285" i="38" s="1"/>
  <c r="N285" i="38" s="1"/>
  <c r="D159" i="38"/>
  <c r="D153" i="38"/>
  <c r="D163" i="38"/>
  <c r="D161" i="38"/>
  <c r="D156" i="38"/>
  <c r="D155" i="38"/>
  <c r="D152" i="38"/>
  <c r="D154" i="38"/>
  <c r="D160" i="38"/>
  <c r="D162" i="38"/>
  <c r="D158" i="38"/>
  <c r="D157" i="38"/>
  <c r="D146" i="38"/>
  <c r="D148" i="38"/>
  <c r="D147" i="38"/>
  <c r="D86" i="38"/>
  <c r="AQ119" i="38"/>
  <c r="C286" i="38"/>
  <c r="AR119" i="38"/>
  <c r="AS119" i="38"/>
  <c r="D205" i="38"/>
  <c r="AF179" i="38"/>
  <c r="AG179" i="38" s="1"/>
  <c r="AG121" i="38"/>
  <c r="AH121" i="38" s="1"/>
  <c r="AI121" i="38" s="1"/>
  <c r="AJ121" i="38" s="1"/>
  <c r="AF64" i="38"/>
  <c r="AI178" i="38"/>
  <c r="F286" i="38" s="1"/>
  <c r="AH63" i="38"/>
  <c r="AI63" i="38" s="1"/>
  <c r="AL234" i="38"/>
  <c r="AR234" i="38" s="1"/>
  <c r="AM234" i="38"/>
  <c r="AS234" i="38" s="1"/>
  <c r="AK234" i="38"/>
  <c r="AQ234" i="38" s="1"/>
  <c r="AM120" i="37"/>
  <c r="U180" i="38"/>
  <c r="V180" i="38" s="1"/>
  <c r="X179" i="38"/>
  <c r="Y179" i="38" s="1"/>
  <c r="Z179" i="38" s="1"/>
  <c r="W121" i="38"/>
  <c r="X121" i="38" s="1"/>
  <c r="Y121" i="38" s="1"/>
  <c r="Z121" i="38" s="1"/>
  <c r="W64" i="38"/>
  <c r="M235" i="38"/>
  <c r="N235" i="38" s="1"/>
  <c r="O235" i="38" s="1"/>
  <c r="P235" i="38" s="1"/>
  <c r="AM179" i="38"/>
  <c r="Q120" i="38"/>
  <c r="R120" i="38"/>
  <c r="S120" i="38"/>
  <c r="N179" i="38"/>
  <c r="O63" i="38"/>
  <c r="P63" i="38" s="1"/>
  <c r="Q63" i="38" s="1"/>
  <c r="L64" i="38"/>
  <c r="M64" i="38" s="1"/>
  <c r="G161" i="40" s="1"/>
  <c r="H161" i="40" s="1"/>
  <c r="I161" i="40" s="1"/>
  <c r="AS119" i="36"/>
  <c r="D86" i="36"/>
  <c r="AR119" i="36"/>
  <c r="AF63" i="12"/>
  <c r="AD64" i="12" s="1"/>
  <c r="AE64" i="12" s="1"/>
  <c r="Q11" i="40" s="1"/>
  <c r="R11" i="40" s="1"/>
  <c r="S11" i="40" s="1"/>
  <c r="C89" i="36"/>
  <c r="C89" i="38"/>
  <c r="AH62" i="12"/>
  <c r="AH119" i="12" s="1"/>
  <c r="AI119" i="12" s="1"/>
  <c r="AJ119" i="12" s="1"/>
  <c r="AG63" i="37"/>
  <c r="D205" i="37"/>
  <c r="E201" i="37"/>
  <c r="AK120" i="36"/>
  <c r="AM120" i="36"/>
  <c r="S120" i="37"/>
  <c r="R120" i="37"/>
  <c r="AD64" i="36"/>
  <c r="AE64" i="36" s="1"/>
  <c r="AL120" i="37"/>
  <c r="AC120" i="36"/>
  <c r="X179" i="37"/>
  <c r="Y179" i="37" s="1"/>
  <c r="Z179" i="37" s="1"/>
  <c r="AD64" i="37"/>
  <c r="AE64" i="37" s="1"/>
  <c r="AI63" i="36"/>
  <c r="X63" i="12"/>
  <c r="Y63" i="12" s="1"/>
  <c r="Z63" i="12" s="1"/>
  <c r="O179" i="36"/>
  <c r="P179" i="36" s="1"/>
  <c r="Q179" i="36" s="1"/>
  <c r="AB120" i="36"/>
  <c r="AG179" i="37"/>
  <c r="AH179" i="37" s="1"/>
  <c r="AH235" i="37" s="1"/>
  <c r="AI235" i="37" s="1"/>
  <c r="AJ235" i="37" s="1"/>
  <c r="O63" i="12"/>
  <c r="P63" i="12" s="1"/>
  <c r="Q63" i="12" s="1"/>
  <c r="V64" i="12"/>
  <c r="L11" i="40" s="1"/>
  <c r="M11" i="40" s="1"/>
  <c r="N11" i="40" s="1"/>
  <c r="M64" i="12"/>
  <c r="C311" i="36"/>
  <c r="AA121" i="37"/>
  <c r="AC121" i="37"/>
  <c r="Q121" i="37"/>
  <c r="N179" i="37"/>
  <c r="AS179" i="37" s="1"/>
  <c r="E396" i="37" s="1"/>
  <c r="G396" i="37" s="1"/>
  <c r="M235" i="37"/>
  <c r="N235" i="37" s="1"/>
  <c r="O235" i="37" s="1"/>
  <c r="P235" i="37" s="1"/>
  <c r="X179" i="36"/>
  <c r="Y179" i="36" s="1"/>
  <c r="Z179" i="36" s="1"/>
  <c r="R120" i="36"/>
  <c r="S120" i="36"/>
  <c r="Q120" i="36"/>
  <c r="V64" i="36"/>
  <c r="L61" i="40" s="1"/>
  <c r="M61" i="40" s="1"/>
  <c r="N61" i="40" s="1"/>
  <c r="X63" i="36"/>
  <c r="Y63" i="36" s="1"/>
  <c r="Z63" i="36" s="1"/>
  <c r="O63" i="36"/>
  <c r="P63" i="36" s="1"/>
  <c r="Q63" i="36" s="1"/>
  <c r="M64" i="36"/>
  <c r="G61" i="40" s="1"/>
  <c r="H61" i="40" s="1"/>
  <c r="I61" i="40" s="1"/>
  <c r="X64" i="37"/>
  <c r="Y64" i="37" s="1"/>
  <c r="Z64" i="37" s="1"/>
  <c r="V65" i="37"/>
  <c r="L112" i="40" s="1"/>
  <c r="M112" i="40" s="1"/>
  <c r="N112" i="40" s="1"/>
  <c r="D270" i="37"/>
  <c r="D261" i="37"/>
  <c r="D271" i="37"/>
  <c r="D273" i="37"/>
  <c r="D276" i="37"/>
  <c r="D262" i="37"/>
  <c r="D275" i="37"/>
  <c r="D263" i="37"/>
  <c r="D272" i="37"/>
  <c r="D264" i="37"/>
  <c r="D277" i="37"/>
  <c r="D268" i="37"/>
  <c r="D269" i="37"/>
  <c r="AG180" i="12"/>
  <c r="AH180" i="12" s="1"/>
  <c r="D146" i="36"/>
  <c r="D161" i="36"/>
  <c r="D266" i="37"/>
  <c r="D260" i="37"/>
  <c r="X260" i="37" s="1"/>
  <c r="H285" i="37" s="1"/>
  <c r="D265" i="37"/>
  <c r="D278" i="37"/>
  <c r="D274" i="37"/>
  <c r="D267" i="37"/>
  <c r="D162" i="36"/>
  <c r="AS234" i="36"/>
  <c r="D151" i="36"/>
  <c r="AM179" i="37"/>
  <c r="D149" i="36"/>
  <c r="D158" i="36"/>
  <c r="D159" i="36"/>
  <c r="D156" i="36"/>
  <c r="D157" i="36"/>
  <c r="AQ234" i="36"/>
  <c r="D262" i="36"/>
  <c r="D150" i="36"/>
  <c r="D153" i="36"/>
  <c r="D154" i="36"/>
  <c r="D145" i="36"/>
  <c r="X145" i="36" s="1"/>
  <c r="E285" i="36" s="1"/>
  <c r="D164" i="36"/>
  <c r="D155" i="36"/>
  <c r="D148" i="36"/>
  <c r="D160" i="36"/>
  <c r="D278" i="36"/>
  <c r="D273" i="36"/>
  <c r="D147" i="36"/>
  <c r="D163" i="36"/>
  <c r="D271" i="36"/>
  <c r="AQ234" i="37"/>
  <c r="AR234" i="36"/>
  <c r="D267" i="36"/>
  <c r="D268" i="36"/>
  <c r="D264" i="36"/>
  <c r="D266" i="36"/>
  <c r="D265" i="36"/>
  <c r="D269" i="36"/>
  <c r="D261" i="36"/>
  <c r="D276" i="36"/>
  <c r="D277" i="36"/>
  <c r="D274" i="36"/>
  <c r="D275" i="36"/>
  <c r="D270" i="36"/>
  <c r="D279" i="36"/>
  <c r="D272" i="36"/>
  <c r="AS234" i="37"/>
  <c r="D260" i="36"/>
  <c r="X260" i="36" s="1"/>
  <c r="H285" i="36" s="1"/>
  <c r="AR234" i="37"/>
  <c r="X235" i="37"/>
  <c r="Y235" i="37" s="1"/>
  <c r="Z235" i="37" s="1"/>
  <c r="L134" i="40"/>
  <c r="M134" i="40" s="1"/>
  <c r="N134" i="40" s="1"/>
  <c r="AI180" i="36"/>
  <c r="AK236" i="36"/>
  <c r="AL236" i="36"/>
  <c r="AM236" i="36"/>
  <c r="X235" i="36"/>
  <c r="Y235" i="36" s="1"/>
  <c r="Z235" i="36" s="1"/>
  <c r="G84" i="40"/>
  <c r="H84" i="40" s="1"/>
  <c r="I84" i="40" s="1"/>
  <c r="Q235" i="36"/>
  <c r="S235" i="36"/>
  <c r="R235" i="36"/>
  <c r="Q120" i="12"/>
  <c r="R120" i="12"/>
  <c r="S120" i="12"/>
  <c r="E395" i="36"/>
  <c r="G395" i="36" s="1"/>
  <c r="E418" i="36"/>
  <c r="G418" i="36" s="1"/>
  <c r="D395" i="36"/>
  <c r="F395" i="36" s="1"/>
  <c r="D418" i="36"/>
  <c r="F418" i="36" s="1"/>
  <c r="D395" i="38"/>
  <c r="F395" i="38" s="1"/>
  <c r="D418" i="38"/>
  <c r="F418" i="38" s="1"/>
  <c r="C311" i="37"/>
  <c r="M286" i="36"/>
  <c r="C89" i="37"/>
  <c r="AO62" i="37"/>
  <c r="D86" i="37" s="1"/>
  <c r="X120" i="12"/>
  <c r="Y120" i="12" s="1"/>
  <c r="Z120" i="12" s="1"/>
  <c r="D63" i="37"/>
  <c r="B110" i="40" s="1"/>
  <c r="C110" i="40" s="1"/>
  <c r="D110" i="40" s="1"/>
  <c r="F62" i="37"/>
  <c r="G62" i="37" s="1"/>
  <c r="H62" i="37" s="1"/>
  <c r="C286" i="37" s="1"/>
  <c r="AS62" i="37"/>
  <c r="E63" i="38"/>
  <c r="C64" i="38" s="1"/>
  <c r="AM63" i="38"/>
  <c r="C120" i="38"/>
  <c r="D120" i="38" s="1"/>
  <c r="E120" i="38" s="1"/>
  <c r="F120" i="38" s="1"/>
  <c r="H119" i="37"/>
  <c r="AR119" i="37" s="1"/>
  <c r="G119" i="37"/>
  <c r="AQ119" i="37" s="1"/>
  <c r="I119" i="37"/>
  <c r="AS119" i="37" s="1"/>
  <c r="D152" i="37"/>
  <c r="D157" i="37"/>
  <c r="D158" i="37"/>
  <c r="D159" i="37"/>
  <c r="D145" i="37"/>
  <c r="X145" i="37" s="1"/>
  <c r="E285" i="37" s="1"/>
  <c r="D148" i="37"/>
  <c r="D154" i="37"/>
  <c r="D147" i="37"/>
  <c r="D164" i="37"/>
  <c r="D163" i="37"/>
  <c r="D150" i="37"/>
  <c r="D153" i="37"/>
  <c r="D151" i="37"/>
  <c r="D161" i="37"/>
  <c r="D156" i="37"/>
  <c r="D162" i="37"/>
  <c r="D160" i="37"/>
  <c r="D146" i="37"/>
  <c r="D149" i="37"/>
  <c r="D155" i="37"/>
  <c r="E182" i="38"/>
  <c r="C183" i="38" s="1"/>
  <c r="D183" i="38" s="1"/>
  <c r="I235" i="37"/>
  <c r="G235" i="37"/>
  <c r="H235" i="37"/>
  <c r="E180" i="37"/>
  <c r="C181" i="37" s="1"/>
  <c r="D181" i="37" s="1"/>
  <c r="AM63" i="36"/>
  <c r="C120" i="36"/>
  <c r="D120" i="36" s="1"/>
  <c r="E120" i="36" s="1"/>
  <c r="F120" i="36" s="1"/>
  <c r="E63" i="36"/>
  <c r="E179" i="36"/>
  <c r="C180" i="36" s="1"/>
  <c r="D180" i="36" s="1"/>
  <c r="AK235" i="12"/>
  <c r="AL235" i="12"/>
  <c r="AM235" i="12"/>
  <c r="AA235" i="12"/>
  <c r="AC235" i="12"/>
  <c r="AB235" i="12"/>
  <c r="R235" i="12"/>
  <c r="S235" i="12"/>
  <c r="C308" i="36"/>
  <c r="C308" i="37"/>
  <c r="AU233" i="12"/>
  <c r="C257" i="12" s="1"/>
  <c r="AT233" i="12"/>
  <c r="C260" i="12" s="1"/>
  <c r="C308" i="12"/>
  <c r="AM178" i="12"/>
  <c r="C234" i="12"/>
  <c r="F958" i="4"/>
  <c r="D959" i="4" s="1"/>
  <c r="G958" i="4"/>
  <c r="M992" i="4"/>
  <c r="L958" i="4"/>
  <c r="J959" i="4" s="1"/>
  <c r="M959" i="4" s="1"/>
  <c r="M820" i="4"/>
  <c r="M770" i="4"/>
  <c r="S771" i="4"/>
  <c r="G565" i="4"/>
  <c r="Y463" i="4"/>
  <c r="S60" i="4"/>
  <c r="M59" i="4"/>
  <c r="AK377" i="4"/>
  <c r="S377" i="4"/>
  <c r="G377" i="4"/>
  <c r="M377" i="4"/>
  <c r="S298" i="4"/>
  <c r="S253" i="4"/>
  <c r="F377" i="4"/>
  <c r="D378" i="4" s="1"/>
  <c r="R253" i="4"/>
  <c r="P254" i="4" s="1"/>
  <c r="S254" i="4" s="1"/>
  <c r="R820" i="4"/>
  <c r="P821" i="4" s="1"/>
  <c r="S821" i="4" s="1"/>
  <c r="M217" i="4"/>
  <c r="S40" i="4"/>
  <c r="R957" i="4"/>
  <c r="P958" i="4" s="1"/>
  <c r="S958" i="4" s="1"/>
  <c r="L254" i="4"/>
  <c r="J255" i="4" s="1"/>
  <c r="F991" i="4"/>
  <c r="D992" i="4" s="1"/>
  <c r="G992" i="4" s="1"/>
  <c r="R60" i="4"/>
  <c r="S61" i="4" s="1"/>
  <c r="R40" i="4"/>
  <c r="S41" i="4" s="1"/>
  <c r="R336" i="4"/>
  <c r="P337" i="4" s="1"/>
  <c r="S337" i="4" s="1"/>
  <c r="F336" i="4"/>
  <c r="D337" i="4" s="1"/>
  <c r="G337" i="4" s="1"/>
  <c r="F378" i="4"/>
  <c r="D379" i="4" s="1"/>
  <c r="G379" i="4" s="1"/>
  <c r="X463" i="4"/>
  <c r="V464" i="4" s="1"/>
  <c r="Y464" i="4" s="1"/>
  <c r="R716" i="4"/>
  <c r="P717" i="4" s="1"/>
  <c r="S717" i="4" s="1"/>
  <c r="R465" i="4"/>
  <c r="P466" i="4" s="1"/>
  <c r="R16" i="4"/>
  <c r="P17" i="4" s="1"/>
  <c r="S17" i="4" s="1"/>
  <c r="F565" i="4"/>
  <c r="D566" i="4" s="1"/>
  <c r="G566" i="4" s="1"/>
  <c r="L295" i="4"/>
  <c r="J296" i="4" s="1"/>
  <c r="M296" i="4" s="1"/>
  <c r="L59" i="4"/>
  <c r="X378" i="4"/>
  <c r="V379" i="4" s="1"/>
  <c r="R377" i="4"/>
  <c r="P378" i="4" s="1"/>
  <c r="AJ377" i="4"/>
  <c r="AH378" i="4" s="1"/>
  <c r="AK378" i="4" s="1"/>
  <c r="R217" i="4"/>
  <c r="P218" i="4" s="1"/>
  <c r="F821" i="4"/>
  <c r="D822" i="4" s="1"/>
  <c r="G822" i="4" s="1"/>
  <c r="F253" i="4"/>
  <c r="D254" i="4" s="1"/>
  <c r="L377" i="4"/>
  <c r="J378" i="4" s="1"/>
  <c r="L820" i="4"/>
  <c r="J821" i="4" s="1"/>
  <c r="R771" i="4"/>
  <c r="P772" i="4" s="1"/>
  <c r="S772" i="4" s="1"/>
  <c r="L465" i="4"/>
  <c r="J466" i="4" s="1"/>
  <c r="M466" i="4" s="1"/>
  <c r="L217" i="4"/>
  <c r="J218" i="4" s="1"/>
  <c r="L770" i="4"/>
  <c r="J771" i="4" s="1"/>
  <c r="M771" i="4"/>
  <c r="L564" i="4"/>
  <c r="J565" i="4" s="1"/>
  <c r="F622" i="4"/>
  <c r="D623" i="4" s="1"/>
  <c r="G623" i="4" s="1"/>
  <c r="L338" i="4"/>
  <c r="J339" i="4" s="1"/>
  <c r="M339" i="4" s="1"/>
  <c r="X253" i="4"/>
  <c r="V254" i="4" s="1"/>
  <c r="Y254" i="4" s="1"/>
  <c r="R298" i="4"/>
  <c r="P299" i="4" s="1"/>
  <c r="S299" i="4" s="1"/>
  <c r="F716" i="4"/>
  <c r="D717" i="4" s="1"/>
  <c r="F506" i="4"/>
  <c r="D507" i="4" s="1"/>
  <c r="G507" i="4"/>
  <c r="F464" i="4"/>
  <c r="D465" i="4" s="1"/>
  <c r="G465" i="4" s="1"/>
  <c r="X337" i="4"/>
  <c r="V338" i="4" s="1"/>
  <c r="Y338" i="4" s="1"/>
  <c r="AD254" i="4"/>
  <c r="AB255" i="4" s="1"/>
  <c r="AE255" i="4" s="1"/>
  <c r="X564" i="4"/>
  <c r="V565" i="4" s="1"/>
  <c r="Y565" i="4" s="1"/>
  <c r="AD378" i="4"/>
  <c r="AB379" i="4" s="1"/>
  <c r="F58" i="4"/>
  <c r="D59" i="4" s="1"/>
  <c r="F295" i="4"/>
  <c r="D296" i="4" s="1"/>
  <c r="F770" i="4"/>
  <c r="D771" i="4" s="1"/>
  <c r="G771" i="4" s="1"/>
  <c r="R565" i="4"/>
  <c r="P566" i="4" s="1"/>
  <c r="L992" i="4"/>
  <c r="J993" i="4" s="1"/>
  <c r="M993" i="4" s="1"/>
  <c r="R121" i="37" l="1"/>
  <c r="AN63" i="38"/>
  <c r="D107" i="38"/>
  <c r="AN179" i="38"/>
  <c r="AO179" i="38" s="1"/>
  <c r="E202" i="38" s="1"/>
  <c r="E218" i="38" s="1"/>
  <c r="AI179" i="12"/>
  <c r="AS178" i="12"/>
  <c r="E418" i="12" s="1"/>
  <c r="G418" i="12" s="1"/>
  <c r="U180" i="12"/>
  <c r="V180" i="12" s="1"/>
  <c r="AN63" i="36"/>
  <c r="AO63" i="36" s="1"/>
  <c r="O180" i="12"/>
  <c r="P180" i="12" s="1"/>
  <c r="Q180" i="12" s="1"/>
  <c r="Q86" i="40"/>
  <c r="R86" i="40" s="1"/>
  <c r="S86" i="40" s="1"/>
  <c r="AG238" i="36"/>
  <c r="AG236" i="37"/>
  <c r="AF180" i="37"/>
  <c r="AD181" i="37" s="1"/>
  <c r="AE181" i="37" s="1"/>
  <c r="Q135" i="40" s="1"/>
  <c r="R135" i="40" s="1"/>
  <c r="S135" i="40" s="1"/>
  <c r="AG181" i="36"/>
  <c r="AH181" i="36" s="1"/>
  <c r="AH237" i="36"/>
  <c r="AI237" i="36" s="1"/>
  <c r="AJ237" i="36" s="1"/>
  <c r="AF182" i="36"/>
  <c r="AD183" i="36" s="1"/>
  <c r="AE183" i="36" s="1"/>
  <c r="W236" i="36"/>
  <c r="X236" i="36" s="1"/>
  <c r="Y236" i="36" s="1"/>
  <c r="Z236" i="36" s="1"/>
  <c r="L84" i="40"/>
  <c r="M84" i="40" s="1"/>
  <c r="N84" i="40" s="1"/>
  <c r="AN178" i="12"/>
  <c r="AO178" i="12" s="1"/>
  <c r="D202" i="12" s="1"/>
  <c r="C205" i="12"/>
  <c r="O64" i="37"/>
  <c r="P64" i="37" s="1"/>
  <c r="Q64" i="37" s="1"/>
  <c r="AG237" i="12"/>
  <c r="Q35" i="40"/>
  <c r="R35" i="40" s="1"/>
  <c r="S35" i="40" s="1"/>
  <c r="M237" i="12"/>
  <c r="G35" i="40"/>
  <c r="H35" i="40" s="1"/>
  <c r="I35" i="40" s="1"/>
  <c r="AF64" i="37"/>
  <c r="AG64" i="37" s="1"/>
  <c r="Q111" i="40"/>
  <c r="R111" i="40" s="1"/>
  <c r="S111" i="40" s="1"/>
  <c r="D93" i="36"/>
  <c r="AG121" i="36"/>
  <c r="Q61" i="40"/>
  <c r="R61" i="40" s="1"/>
  <c r="S61" i="40" s="1"/>
  <c r="N64" i="12"/>
  <c r="L65" i="12" s="1"/>
  <c r="M65" i="12" s="1"/>
  <c r="G12" i="40" s="1"/>
  <c r="H12" i="40" s="1"/>
  <c r="I12" i="40" s="1"/>
  <c r="G11" i="40"/>
  <c r="H11" i="40" s="1"/>
  <c r="I11" i="40" s="1"/>
  <c r="C370" i="38"/>
  <c r="H85" i="31" s="1"/>
  <c r="E311" i="38"/>
  <c r="D108" i="38"/>
  <c r="D99" i="38"/>
  <c r="D105" i="38"/>
  <c r="D106" i="38"/>
  <c r="D110" i="38"/>
  <c r="D100" i="38"/>
  <c r="D97" i="38"/>
  <c r="D101" i="38"/>
  <c r="D111" i="38"/>
  <c r="D94" i="38"/>
  <c r="D87" i="38"/>
  <c r="D92" i="38"/>
  <c r="D102" i="38"/>
  <c r="D98" i="38"/>
  <c r="D109" i="38"/>
  <c r="D103" i="38"/>
  <c r="D104" i="38"/>
  <c r="D95" i="38"/>
  <c r="D96" i="38"/>
  <c r="D88" i="38"/>
  <c r="E85" i="38" s="1"/>
  <c r="D93" i="38"/>
  <c r="AU119" i="38"/>
  <c r="D142" i="38" s="1"/>
  <c r="E150" i="38" s="1"/>
  <c r="D97" i="36"/>
  <c r="D87" i="36"/>
  <c r="D105" i="36"/>
  <c r="AT119" i="38"/>
  <c r="C146" i="38" s="1"/>
  <c r="AT119" i="36"/>
  <c r="C146" i="36" s="1"/>
  <c r="M286" i="38"/>
  <c r="B371" i="38" s="1"/>
  <c r="G86" i="31" s="1"/>
  <c r="AD180" i="38"/>
  <c r="AE180" i="38" s="1"/>
  <c r="AU234" i="38"/>
  <c r="D257" i="38" s="1"/>
  <c r="AT234" i="38"/>
  <c r="C261" i="38" s="1"/>
  <c r="D111" i="36"/>
  <c r="D92" i="36"/>
  <c r="AH179" i="38"/>
  <c r="AH235" i="38" s="1"/>
  <c r="AI235" i="38" s="1"/>
  <c r="AJ235" i="38" s="1"/>
  <c r="AD65" i="38"/>
  <c r="AE65" i="38" s="1"/>
  <c r="Q162" i="40" s="1"/>
  <c r="R162" i="40" s="1"/>
  <c r="S162" i="40" s="1"/>
  <c r="AG64" i="38"/>
  <c r="AH64" i="38" s="1"/>
  <c r="AI64" i="38" s="1"/>
  <c r="AM121" i="38"/>
  <c r="AL121" i="38"/>
  <c r="AK121" i="38"/>
  <c r="U65" i="38"/>
  <c r="V65" i="38" s="1"/>
  <c r="L162" i="40" s="1"/>
  <c r="M162" i="40" s="1"/>
  <c r="N162" i="40" s="1"/>
  <c r="X64" i="38"/>
  <c r="Y64" i="38" s="1"/>
  <c r="Z64" i="38" s="1"/>
  <c r="AB121" i="38"/>
  <c r="AC121" i="38"/>
  <c r="AA121" i="38"/>
  <c r="D108" i="36"/>
  <c r="D103" i="36"/>
  <c r="D101" i="36"/>
  <c r="D96" i="36"/>
  <c r="D109" i="36"/>
  <c r="AU119" i="36"/>
  <c r="D142" i="36" s="1"/>
  <c r="E151" i="36" s="1"/>
  <c r="D98" i="36"/>
  <c r="D102" i="36"/>
  <c r="D95" i="36"/>
  <c r="D99" i="36"/>
  <c r="D107" i="36"/>
  <c r="D106" i="36"/>
  <c r="D104" i="36"/>
  <c r="D94" i="36"/>
  <c r="D110" i="36"/>
  <c r="D88" i="36"/>
  <c r="E85" i="36" s="1"/>
  <c r="D100" i="36"/>
  <c r="N64" i="38"/>
  <c r="M121" i="38"/>
  <c r="N121" i="38" s="1"/>
  <c r="O121" i="38" s="1"/>
  <c r="P121" i="38" s="1"/>
  <c r="AS179" i="38"/>
  <c r="L180" i="38"/>
  <c r="M180" i="38" s="1"/>
  <c r="O179" i="38"/>
  <c r="P179" i="38" s="1"/>
  <c r="Q179" i="38" s="1"/>
  <c r="Q235" i="38"/>
  <c r="S235" i="38"/>
  <c r="R235" i="38"/>
  <c r="AG63" i="12"/>
  <c r="AH63" i="12" s="1"/>
  <c r="AH120" i="12" s="1"/>
  <c r="AI120" i="12" s="1"/>
  <c r="AJ120" i="12" s="1"/>
  <c r="AL120" i="12" s="1"/>
  <c r="AI62" i="12"/>
  <c r="AH63" i="37"/>
  <c r="AI63" i="37" s="1"/>
  <c r="AK119" i="12"/>
  <c r="AL119" i="12"/>
  <c r="AM119" i="12"/>
  <c r="AN179" i="37"/>
  <c r="AO179" i="37" s="1"/>
  <c r="E202" i="37" s="1"/>
  <c r="AF64" i="36"/>
  <c r="AD65" i="36" s="1"/>
  <c r="AE65" i="36" s="1"/>
  <c r="Q62" i="40" s="1"/>
  <c r="R62" i="40" s="1"/>
  <c r="S62" i="40" s="1"/>
  <c r="AG121" i="37"/>
  <c r="L180" i="37"/>
  <c r="O179" i="37"/>
  <c r="P179" i="37" s="1"/>
  <c r="Q179" i="37" s="1"/>
  <c r="C64" i="36"/>
  <c r="D64" i="36" s="1"/>
  <c r="B61" i="40" s="1"/>
  <c r="C61" i="40" s="1"/>
  <c r="D61" i="40" s="1"/>
  <c r="AF64" i="12"/>
  <c r="AG64" i="12" s="1"/>
  <c r="AH64" i="12" s="1"/>
  <c r="AG121" i="12"/>
  <c r="M121" i="12"/>
  <c r="N121" i="12" s="1"/>
  <c r="O121" i="12" s="1"/>
  <c r="P121" i="12" s="1"/>
  <c r="Q121" i="12" s="1"/>
  <c r="W64" i="12"/>
  <c r="U65" i="12" s="1"/>
  <c r="W121" i="12"/>
  <c r="X121" i="12" s="1"/>
  <c r="Y121" i="12" s="1"/>
  <c r="Z121" i="12" s="1"/>
  <c r="X180" i="36"/>
  <c r="Y180" i="36" s="1"/>
  <c r="Z180" i="36" s="1"/>
  <c r="W64" i="36"/>
  <c r="U65" i="36" s="1"/>
  <c r="W121" i="36"/>
  <c r="X121" i="36" s="1"/>
  <c r="Y121" i="36" s="1"/>
  <c r="Z121" i="36" s="1"/>
  <c r="N64" i="36"/>
  <c r="L65" i="36" s="1"/>
  <c r="M121" i="36"/>
  <c r="N121" i="36" s="1"/>
  <c r="O121" i="36" s="1"/>
  <c r="P121" i="36" s="1"/>
  <c r="D222" i="36"/>
  <c r="N180" i="36"/>
  <c r="L181" i="36" s="1"/>
  <c r="M181" i="36" s="1"/>
  <c r="M236" i="36"/>
  <c r="N236" i="36" s="1"/>
  <c r="O236" i="36" s="1"/>
  <c r="P236" i="36" s="1"/>
  <c r="N65" i="37"/>
  <c r="L66" i="37" s="1"/>
  <c r="M122" i="37"/>
  <c r="N122" i="37" s="1"/>
  <c r="O122" i="37" s="1"/>
  <c r="P122" i="37" s="1"/>
  <c r="D208" i="36"/>
  <c r="W180" i="37"/>
  <c r="U181" i="37" s="1"/>
  <c r="V181" i="37" s="1"/>
  <c r="W236" i="37"/>
  <c r="W65" i="37"/>
  <c r="U66" i="37" s="1"/>
  <c r="W122" i="37"/>
  <c r="X122" i="37" s="1"/>
  <c r="Y122" i="37" s="1"/>
  <c r="Z122" i="37" s="1"/>
  <c r="E419" i="37"/>
  <c r="G419" i="37" s="1"/>
  <c r="N285" i="37"/>
  <c r="C370" i="37" s="1"/>
  <c r="H58" i="31" s="1"/>
  <c r="D224" i="36"/>
  <c r="D215" i="36"/>
  <c r="D226" i="36"/>
  <c r="D218" i="36"/>
  <c r="D210" i="36"/>
  <c r="D213" i="36"/>
  <c r="D203" i="36"/>
  <c r="D205" i="36" s="1"/>
  <c r="D211" i="36"/>
  <c r="D227" i="36"/>
  <c r="D220" i="36"/>
  <c r="D217" i="36"/>
  <c r="D225" i="36"/>
  <c r="D219" i="36"/>
  <c r="D216" i="36"/>
  <c r="D214" i="36"/>
  <c r="D221" i="36"/>
  <c r="D212" i="36"/>
  <c r="D209" i="36"/>
  <c r="D223" i="36"/>
  <c r="AU234" i="36"/>
  <c r="D257" i="36" s="1"/>
  <c r="E273" i="36" s="1"/>
  <c r="AT234" i="36"/>
  <c r="C261" i="36" s="1"/>
  <c r="N285" i="36"/>
  <c r="C370" i="36" s="1"/>
  <c r="H31" i="31" s="1"/>
  <c r="AT234" i="37"/>
  <c r="C261" i="37" s="1"/>
  <c r="AI179" i="37"/>
  <c r="AU234" i="37"/>
  <c r="D257" i="37" s="1"/>
  <c r="E272" i="37" s="1"/>
  <c r="AM235" i="37"/>
  <c r="AL235" i="37"/>
  <c r="AK235" i="37"/>
  <c r="AC235" i="37"/>
  <c r="AA235" i="37"/>
  <c r="AB235" i="37"/>
  <c r="S235" i="37"/>
  <c r="R235" i="37"/>
  <c r="Q235" i="37"/>
  <c r="AL237" i="36"/>
  <c r="AM237" i="36"/>
  <c r="AK237" i="36"/>
  <c r="L85" i="40"/>
  <c r="M85" i="40" s="1"/>
  <c r="N85" i="40" s="1"/>
  <c r="AC235" i="36"/>
  <c r="AA235" i="36"/>
  <c r="AB235" i="36"/>
  <c r="AA120" i="12"/>
  <c r="AB120" i="12"/>
  <c r="AC120" i="12"/>
  <c r="D395" i="37"/>
  <c r="F395" i="37" s="1"/>
  <c r="D418" i="37"/>
  <c r="F418" i="37" s="1"/>
  <c r="AF181" i="12"/>
  <c r="AO63" i="38"/>
  <c r="D105" i="37"/>
  <c r="D88" i="37"/>
  <c r="E85" i="37" s="1"/>
  <c r="M286" i="37"/>
  <c r="B371" i="37" s="1"/>
  <c r="G59" i="31" s="1"/>
  <c r="D109" i="37"/>
  <c r="D87" i="37"/>
  <c r="D102" i="37"/>
  <c r="D97" i="37"/>
  <c r="D95" i="37"/>
  <c r="D110" i="37"/>
  <c r="D103" i="37"/>
  <c r="D98" i="37"/>
  <c r="D94" i="37"/>
  <c r="D101" i="37"/>
  <c r="D104" i="37"/>
  <c r="D99" i="37"/>
  <c r="D96" i="37"/>
  <c r="D106" i="37"/>
  <c r="D107" i="37"/>
  <c r="D111" i="37"/>
  <c r="D108" i="37"/>
  <c r="D92" i="37"/>
  <c r="D100" i="37"/>
  <c r="D93" i="37"/>
  <c r="G120" i="38"/>
  <c r="AQ120" i="38" s="1"/>
  <c r="I120" i="38"/>
  <c r="AS120" i="38" s="1"/>
  <c r="H120" i="38"/>
  <c r="AR120" i="38" s="1"/>
  <c r="D64" i="38"/>
  <c r="B161" i="40" s="1"/>
  <c r="C161" i="40" s="1"/>
  <c r="D161" i="40" s="1"/>
  <c r="AS63" i="38"/>
  <c r="F63" i="38"/>
  <c r="G63" i="38" s="1"/>
  <c r="H63" i="38" s="1"/>
  <c r="C287" i="38" s="1"/>
  <c r="AT119" i="37"/>
  <c r="C146" i="37" s="1"/>
  <c r="AU119" i="37"/>
  <c r="D142" i="37" s="1"/>
  <c r="E63" i="37"/>
  <c r="C64" i="37" s="1"/>
  <c r="C120" i="37"/>
  <c r="D120" i="37" s="1"/>
  <c r="E120" i="37" s="1"/>
  <c r="F120" i="37" s="1"/>
  <c r="AM63" i="37"/>
  <c r="F182" i="38"/>
  <c r="G182" i="38" s="1"/>
  <c r="H182" i="38" s="1"/>
  <c r="B187" i="40"/>
  <c r="C187" i="40" s="1"/>
  <c r="D187" i="40" s="1"/>
  <c r="C238" i="38"/>
  <c r="D238" i="38" s="1"/>
  <c r="E238" i="38" s="1"/>
  <c r="F238" i="38" s="1"/>
  <c r="C236" i="37"/>
  <c r="D236" i="37" s="1"/>
  <c r="E236" i="37" s="1"/>
  <c r="F236" i="37" s="1"/>
  <c r="F180" i="37"/>
  <c r="G180" i="37" s="1"/>
  <c r="H180" i="37" s="1"/>
  <c r="B135" i="40"/>
  <c r="C135" i="40" s="1"/>
  <c r="D135" i="40" s="1"/>
  <c r="C312" i="36"/>
  <c r="B371" i="36"/>
  <c r="G32" i="31" s="1"/>
  <c r="AS179" i="36"/>
  <c r="B84" i="40"/>
  <c r="C84" i="40" s="1"/>
  <c r="D84" i="40" s="1"/>
  <c r="F179" i="36"/>
  <c r="G179" i="36" s="1"/>
  <c r="H179" i="36" s="1"/>
  <c r="F287" i="36" s="1"/>
  <c r="C235" i="36"/>
  <c r="D235" i="36" s="1"/>
  <c r="E235" i="36" s="1"/>
  <c r="F235" i="36" s="1"/>
  <c r="AM179" i="36"/>
  <c r="F63" i="36"/>
  <c r="G63" i="36" s="1"/>
  <c r="H63" i="36" s="1"/>
  <c r="C287" i="36" s="1"/>
  <c r="AS63" i="36"/>
  <c r="G120" i="36"/>
  <c r="AQ120" i="36" s="1"/>
  <c r="H120" i="36"/>
  <c r="AR120" i="36" s="1"/>
  <c r="I120" i="36"/>
  <c r="AS120" i="36" s="1"/>
  <c r="AI180" i="12"/>
  <c r="N236" i="12"/>
  <c r="O236" i="12" s="1"/>
  <c r="P236" i="12" s="1"/>
  <c r="AH236" i="12"/>
  <c r="AI236" i="12" s="1"/>
  <c r="AJ236" i="12" s="1"/>
  <c r="N181" i="12"/>
  <c r="L182" i="12" s="1"/>
  <c r="M182" i="12" s="1"/>
  <c r="D234" i="12"/>
  <c r="E234" i="12" s="1"/>
  <c r="D266" i="12"/>
  <c r="D274" i="12"/>
  <c r="D267" i="12"/>
  <c r="D275" i="12"/>
  <c r="D268" i="12"/>
  <c r="D278" i="12"/>
  <c r="D269" i="12"/>
  <c r="D279" i="12"/>
  <c r="D260" i="12"/>
  <c r="X260" i="12" s="1"/>
  <c r="H285" i="12" s="1"/>
  <c r="D270" i="12"/>
  <c r="D265" i="12"/>
  <c r="D277" i="12"/>
  <c r="D261" i="12"/>
  <c r="D272" i="12"/>
  <c r="D273" i="12"/>
  <c r="D276" i="12"/>
  <c r="D262" i="12"/>
  <c r="D264" i="12"/>
  <c r="D271" i="12"/>
  <c r="D263" i="12"/>
  <c r="C179" i="12"/>
  <c r="F286" i="12"/>
  <c r="L959" i="4"/>
  <c r="J960" i="4" s="1"/>
  <c r="M960" i="4" s="1"/>
  <c r="F959" i="4"/>
  <c r="D960" i="4" s="1"/>
  <c r="G959" i="4"/>
  <c r="M821" i="4"/>
  <c r="G717" i="4"/>
  <c r="S566" i="4"/>
  <c r="M565" i="4"/>
  <c r="J60" i="4"/>
  <c r="M60" i="4" s="1"/>
  <c r="S466" i="4"/>
  <c r="G59" i="4"/>
  <c r="AE379" i="4"/>
  <c r="Y379" i="4"/>
  <c r="S378" i="4"/>
  <c r="G378" i="4"/>
  <c r="M378" i="4"/>
  <c r="G296" i="4"/>
  <c r="M255" i="4"/>
  <c r="G254" i="4"/>
  <c r="S218" i="4"/>
  <c r="R254" i="4"/>
  <c r="P255" i="4" s="1"/>
  <c r="R821" i="4"/>
  <c r="P822" i="4" s="1"/>
  <c r="S822" i="4" s="1"/>
  <c r="M218" i="4"/>
  <c r="F992" i="4"/>
  <c r="D993" i="4" s="1"/>
  <c r="G993" i="4" s="1"/>
  <c r="L255" i="4"/>
  <c r="J256" i="4" s="1"/>
  <c r="R958" i="4"/>
  <c r="P959" i="4" s="1"/>
  <c r="S959" i="4" s="1"/>
  <c r="R17" i="4"/>
  <c r="S18" i="4" s="1"/>
  <c r="R337" i="4"/>
  <c r="P338" i="4" s="1"/>
  <c r="S338" i="4" s="1"/>
  <c r="F337" i="4"/>
  <c r="D338" i="4" s="1"/>
  <c r="G338" i="4" s="1"/>
  <c r="F379" i="4"/>
  <c r="D380" i="4" s="1"/>
  <c r="G380" i="4" s="1"/>
  <c r="L296" i="4"/>
  <c r="J297" i="4" s="1"/>
  <c r="M297" i="4" s="1"/>
  <c r="R378" i="4"/>
  <c r="P379" i="4" s="1"/>
  <c r="R466" i="4"/>
  <c r="P467" i="4" s="1"/>
  <c r="X379" i="4"/>
  <c r="V380" i="4" s="1"/>
  <c r="Y380" i="4" s="1"/>
  <c r="R717" i="4"/>
  <c r="P718" i="4" s="1"/>
  <c r="S718" i="4" s="1"/>
  <c r="AJ378" i="4"/>
  <c r="AH379" i="4" s="1"/>
  <c r="X464" i="4"/>
  <c r="V465" i="4" s="1"/>
  <c r="F566" i="4"/>
  <c r="D567" i="4" s="1"/>
  <c r="L993" i="4"/>
  <c r="J994" i="4" s="1"/>
  <c r="AD379" i="4"/>
  <c r="AB380" i="4" s="1"/>
  <c r="L339" i="4"/>
  <c r="J340" i="4" s="1"/>
  <c r="M340" i="4" s="1"/>
  <c r="F623" i="4"/>
  <c r="D624" i="4" s="1"/>
  <c r="L466" i="4"/>
  <c r="J467" i="4" s="1"/>
  <c r="M467" i="4" s="1"/>
  <c r="X565" i="4"/>
  <c r="V566" i="4" s="1"/>
  <c r="F465" i="4"/>
  <c r="D466" i="4" s="1"/>
  <c r="G466" i="4" s="1"/>
  <c r="R299" i="4"/>
  <c r="P300" i="4" s="1"/>
  <c r="L565" i="4"/>
  <c r="J566" i="4" s="1"/>
  <c r="L771" i="4"/>
  <c r="J772" i="4" s="1"/>
  <c r="F822" i="4"/>
  <c r="D823" i="4" s="1"/>
  <c r="L821" i="4"/>
  <c r="J822" i="4" s="1"/>
  <c r="M822" i="4" s="1"/>
  <c r="F296" i="4"/>
  <c r="D297" i="4" s="1"/>
  <c r="L218" i="4"/>
  <c r="J219" i="4" s="1"/>
  <c r="F59" i="4"/>
  <c r="D60" i="4" s="1"/>
  <c r="G60" i="4" s="1"/>
  <c r="F254" i="4"/>
  <c r="D255" i="4" s="1"/>
  <c r="X338" i="4"/>
  <c r="V339" i="4" s="1"/>
  <c r="Y339" i="4" s="1"/>
  <c r="F771" i="4"/>
  <c r="D772" i="4" s="1"/>
  <c r="G772" i="4" s="1"/>
  <c r="AD255" i="4"/>
  <c r="AB256" i="4" s="1"/>
  <c r="AE256" i="4" s="1"/>
  <c r="F507" i="4"/>
  <c r="D508" i="4" s="1"/>
  <c r="G508" i="4" s="1"/>
  <c r="R772" i="4"/>
  <c r="P773" i="4" s="1"/>
  <c r="L378" i="4"/>
  <c r="J379" i="4" s="1"/>
  <c r="R218" i="4"/>
  <c r="P219" i="4" s="1"/>
  <c r="F717" i="4"/>
  <c r="D718" i="4" s="1"/>
  <c r="R566" i="4"/>
  <c r="P567" i="4" s="1"/>
  <c r="X254" i="4"/>
  <c r="V255" i="4" s="1"/>
  <c r="Y255" i="4" s="1"/>
  <c r="E215" i="38" l="1"/>
  <c r="E221" i="38"/>
  <c r="E216" i="38"/>
  <c r="E219" i="38"/>
  <c r="E224" i="38"/>
  <c r="E212" i="38"/>
  <c r="E204" i="38"/>
  <c r="F201" i="38" s="1"/>
  <c r="E209" i="38"/>
  <c r="E223" i="38"/>
  <c r="E214" i="38"/>
  <c r="E220" i="38"/>
  <c r="E226" i="38"/>
  <c r="E227" i="38"/>
  <c r="E208" i="38"/>
  <c r="E211" i="38"/>
  <c r="E222" i="38"/>
  <c r="E217" i="38"/>
  <c r="E213" i="38"/>
  <c r="E225" i="38"/>
  <c r="E210" i="38"/>
  <c r="E203" i="38"/>
  <c r="AN63" i="37"/>
  <c r="AO63" i="37" s="1"/>
  <c r="E86" i="37" s="1"/>
  <c r="E395" i="12"/>
  <c r="G395" i="12" s="1"/>
  <c r="AN179" i="36"/>
  <c r="AG180" i="37"/>
  <c r="AH180" i="37" s="1"/>
  <c r="AI181" i="36"/>
  <c r="AH236" i="37"/>
  <c r="AI236" i="37" s="1"/>
  <c r="AJ236" i="37" s="1"/>
  <c r="Q87" i="40"/>
  <c r="R87" i="40" s="1"/>
  <c r="S87" i="40" s="1"/>
  <c r="AG239" i="36"/>
  <c r="AH239" i="36" s="1"/>
  <c r="AI239" i="36" s="1"/>
  <c r="AJ239" i="36" s="1"/>
  <c r="AM239" i="36" s="1"/>
  <c r="AG182" i="36"/>
  <c r="AH182" i="36" s="1"/>
  <c r="AH238" i="36" s="1"/>
  <c r="AI238" i="36" s="1"/>
  <c r="AJ238" i="36" s="1"/>
  <c r="AF183" i="36"/>
  <c r="AD184" i="36" s="1"/>
  <c r="AE184" i="36" s="1"/>
  <c r="M180" i="37"/>
  <c r="G134" i="40" s="1"/>
  <c r="H134" i="40" s="1"/>
  <c r="I134" i="40" s="1"/>
  <c r="D179" i="12"/>
  <c r="B33" i="40" s="1"/>
  <c r="C33" i="40" s="1"/>
  <c r="D33" i="40" s="1"/>
  <c r="AM7" i="40" s="1"/>
  <c r="O64" i="12"/>
  <c r="P64" i="12" s="1"/>
  <c r="Q64" i="12" s="1"/>
  <c r="AD65" i="37"/>
  <c r="AE65" i="37" s="1"/>
  <c r="Q112" i="40" s="1"/>
  <c r="R112" i="40" s="1"/>
  <c r="S112" i="40" s="1"/>
  <c r="W236" i="38"/>
  <c r="X236" i="38" s="1"/>
  <c r="Y236" i="38" s="1"/>
  <c r="Z236" i="38" s="1"/>
  <c r="L184" i="40"/>
  <c r="M184" i="40" s="1"/>
  <c r="N184" i="40" s="1"/>
  <c r="AG236" i="38"/>
  <c r="Q184" i="40"/>
  <c r="R184" i="40" s="1"/>
  <c r="S184" i="40" s="1"/>
  <c r="W236" i="12"/>
  <c r="X236" i="12" s="1"/>
  <c r="Y236" i="12" s="1"/>
  <c r="Z236" i="12" s="1"/>
  <c r="AB236" i="12" s="1"/>
  <c r="L34" i="40"/>
  <c r="M34" i="40" s="1"/>
  <c r="N34" i="40" s="1"/>
  <c r="E86" i="38"/>
  <c r="D89" i="38"/>
  <c r="E164" i="38"/>
  <c r="E152" i="38"/>
  <c r="E160" i="38"/>
  <c r="E163" i="38"/>
  <c r="E148" i="38"/>
  <c r="E154" i="38"/>
  <c r="E153" i="38"/>
  <c r="E146" i="38"/>
  <c r="X146" i="38" s="1"/>
  <c r="E286" i="38" s="1"/>
  <c r="E149" i="38"/>
  <c r="E155" i="38"/>
  <c r="E161" i="38"/>
  <c r="E158" i="38"/>
  <c r="E151" i="38"/>
  <c r="E157" i="38"/>
  <c r="E156" i="38"/>
  <c r="E147" i="38"/>
  <c r="E162" i="38"/>
  <c r="E159" i="38"/>
  <c r="E157" i="36"/>
  <c r="C312" i="38"/>
  <c r="D89" i="36"/>
  <c r="AI179" i="38"/>
  <c r="F287" i="38" s="1"/>
  <c r="M287" i="38" s="1"/>
  <c r="C313" i="38" s="1"/>
  <c r="E155" i="36"/>
  <c r="E163" i="36"/>
  <c r="E146" i="36"/>
  <c r="X146" i="36" s="1"/>
  <c r="E286" i="36" s="1"/>
  <c r="E147" i="36"/>
  <c r="E159" i="36"/>
  <c r="E158" i="36"/>
  <c r="E164" i="36"/>
  <c r="E148" i="36"/>
  <c r="E156" i="36"/>
  <c r="E149" i="36"/>
  <c r="E162" i="36"/>
  <c r="E153" i="36"/>
  <c r="E150" i="36"/>
  <c r="E161" i="36"/>
  <c r="E152" i="36"/>
  <c r="E160" i="36"/>
  <c r="E154" i="36"/>
  <c r="AG122" i="38"/>
  <c r="AH122" i="38" s="1"/>
  <c r="AI122" i="38" s="1"/>
  <c r="AJ122" i="38" s="1"/>
  <c r="AF65" i="38"/>
  <c r="AM235" i="38"/>
  <c r="AS235" i="38" s="1"/>
  <c r="AK235" i="38"/>
  <c r="AQ235" i="38" s="1"/>
  <c r="AL235" i="38"/>
  <c r="AR235" i="38" s="1"/>
  <c r="AF180" i="38"/>
  <c r="E276" i="38"/>
  <c r="E279" i="38"/>
  <c r="E264" i="38"/>
  <c r="E275" i="38"/>
  <c r="E271" i="38"/>
  <c r="E265" i="38"/>
  <c r="E278" i="38"/>
  <c r="E262" i="38"/>
  <c r="E267" i="38"/>
  <c r="E266" i="38"/>
  <c r="E261" i="38"/>
  <c r="X261" i="38" s="1"/>
  <c r="H286" i="38" s="1"/>
  <c r="E263" i="38"/>
  <c r="E272" i="38"/>
  <c r="E277" i="38"/>
  <c r="E269" i="38"/>
  <c r="E273" i="38"/>
  <c r="E274" i="38"/>
  <c r="E268" i="38"/>
  <c r="E270" i="38"/>
  <c r="AK120" i="12"/>
  <c r="AM120" i="12"/>
  <c r="W180" i="38"/>
  <c r="AB236" i="38"/>
  <c r="AC236" i="38"/>
  <c r="AA236" i="38"/>
  <c r="W65" i="38"/>
  <c r="W122" i="38"/>
  <c r="X122" i="38" s="1"/>
  <c r="Y122" i="38" s="1"/>
  <c r="Z122" i="38" s="1"/>
  <c r="R121" i="38"/>
  <c r="S121" i="38"/>
  <c r="Q121" i="38"/>
  <c r="E419" i="38"/>
  <c r="G419" i="38" s="1"/>
  <c r="E396" i="38"/>
  <c r="G396" i="38" s="1"/>
  <c r="L65" i="38"/>
  <c r="M65" i="38" s="1"/>
  <c r="G162" i="40" s="1"/>
  <c r="H162" i="40" s="1"/>
  <c r="I162" i="40" s="1"/>
  <c r="O64" i="38"/>
  <c r="P64" i="38" s="1"/>
  <c r="Q64" i="38" s="1"/>
  <c r="AI63" i="12"/>
  <c r="AG64" i="36"/>
  <c r="AH64" i="36" s="1"/>
  <c r="AH121" i="36" s="1"/>
  <c r="AI121" i="36" s="1"/>
  <c r="AJ121" i="36" s="1"/>
  <c r="E204" i="37"/>
  <c r="F201" i="37" s="1"/>
  <c r="E225" i="37"/>
  <c r="E219" i="37"/>
  <c r="E212" i="37"/>
  <c r="E218" i="37"/>
  <c r="E220" i="37"/>
  <c r="E210" i="37"/>
  <c r="E223" i="37"/>
  <c r="E203" i="37"/>
  <c r="E208" i="37"/>
  <c r="E216" i="37"/>
  <c r="E213" i="37"/>
  <c r="E221" i="37"/>
  <c r="E217" i="37"/>
  <c r="E222" i="37"/>
  <c r="E211" i="37"/>
  <c r="E227" i="37"/>
  <c r="E214" i="37"/>
  <c r="E209" i="37"/>
  <c r="E226" i="37"/>
  <c r="E215" i="37"/>
  <c r="E224" i="37"/>
  <c r="E86" i="36"/>
  <c r="F287" i="37"/>
  <c r="S121" i="12"/>
  <c r="O180" i="36"/>
  <c r="P180" i="36" s="1"/>
  <c r="Q180" i="36" s="1"/>
  <c r="AH121" i="12"/>
  <c r="AI121" i="12" s="1"/>
  <c r="AJ121" i="12" s="1"/>
  <c r="AM121" i="12" s="1"/>
  <c r="R121" i="12"/>
  <c r="AH64" i="37"/>
  <c r="AH121" i="37" s="1"/>
  <c r="AI121" i="37" s="1"/>
  <c r="AJ121" i="37" s="1"/>
  <c r="E311" i="37"/>
  <c r="AF65" i="36"/>
  <c r="AG122" i="36"/>
  <c r="AD65" i="12"/>
  <c r="AE65" i="12" s="1"/>
  <c r="Q12" i="40" s="1"/>
  <c r="R12" i="40" s="1"/>
  <c r="S12" i="40" s="1"/>
  <c r="M122" i="12"/>
  <c r="N122" i="12" s="1"/>
  <c r="O122" i="12" s="1"/>
  <c r="P122" i="12" s="1"/>
  <c r="N65" i="12"/>
  <c r="L66" i="12" s="1"/>
  <c r="M66" i="12" s="1"/>
  <c r="X64" i="12"/>
  <c r="Y64" i="12" s="1"/>
  <c r="Z64" i="12" s="1"/>
  <c r="V65" i="12"/>
  <c r="O64" i="36"/>
  <c r="P64" i="36" s="1"/>
  <c r="Q64" i="36" s="1"/>
  <c r="M65" i="36"/>
  <c r="G62" i="40" s="1"/>
  <c r="H62" i="40" s="1"/>
  <c r="I62" i="40" s="1"/>
  <c r="M66" i="37"/>
  <c r="G113" i="40" s="1"/>
  <c r="H113" i="40" s="1"/>
  <c r="I113" i="40" s="1"/>
  <c r="O65" i="37"/>
  <c r="P65" i="37" s="1"/>
  <c r="Q65" i="37" s="1"/>
  <c r="AA121" i="36"/>
  <c r="AC121" i="36"/>
  <c r="AB121" i="36"/>
  <c r="S121" i="36"/>
  <c r="Q121" i="36"/>
  <c r="R121" i="36"/>
  <c r="V65" i="36"/>
  <c r="L62" i="40" s="1"/>
  <c r="M62" i="40" s="1"/>
  <c r="N62" i="40" s="1"/>
  <c r="X64" i="36"/>
  <c r="Y64" i="36" s="1"/>
  <c r="Z64" i="36" s="1"/>
  <c r="W181" i="36"/>
  <c r="U182" i="36" s="1"/>
  <c r="W237" i="36"/>
  <c r="X180" i="37"/>
  <c r="Y180" i="37" s="1"/>
  <c r="Z180" i="37" s="1"/>
  <c r="W180" i="12"/>
  <c r="AF181" i="37"/>
  <c r="AD182" i="37" s="1"/>
  <c r="AE182" i="37" s="1"/>
  <c r="AG237" i="37"/>
  <c r="R122" i="37"/>
  <c r="Q122" i="37"/>
  <c r="S122" i="37"/>
  <c r="AA122" i="37"/>
  <c r="AC122" i="37"/>
  <c r="AB122" i="37"/>
  <c r="V66" i="37"/>
  <c r="L113" i="40" s="1"/>
  <c r="M113" i="40" s="1"/>
  <c r="N113" i="40" s="1"/>
  <c r="X65" i="37"/>
  <c r="Y65" i="37" s="1"/>
  <c r="Z65" i="37" s="1"/>
  <c r="AD182" i="12"/>
  <c r="E279" i="36"/>
  <c r="E264" i="36"/>
  <c r="E263" i="36"/>
  <c r="E276" i="36"/>
  <c r="E269" i="36"/>
  <c r="E262" i="36"/>
  <c r="E272" i="36"/>
  <c r="E268" i="36"/>
  <c r="E274" i="36"/>
  <c r="E270" i="36"/>
  <c r="E275" i="36"/>
  <c r="E267" i="36"/>
  <c r="E277" i="36"/>
  <c r="E271" i="36"/>
  <c r="E278" i="36"/>
  <c r="E265" i="36"/>
  <c r="E261" i="36"/>
  <c r="X261" i="36" s="1"/>
  <c r="H286" i="36" s="1"/>
  <c r="E266" i="36"/>
  <c r="E311" i="36"/>
  <c r="E264" i="37"/>
  <c r="E279" i="37"/>
  <c r="AS235" i="37"/>
  <c r="E265" i="37"/>
  <c r="E269" i="37"/>
  <c r="E278" i="37"/>
  <c r="E261" i="37"/>
  <c r="X261" i="37" s="1"/>
  <c r="H286" i="37" s="1"/>
  <c r="E270" i="37"/>
  <c r="E273" i="37"/>
  <c r="E276" i="37"/>
  <c r="E262" i="37"/>
  <c r="E271" i="37"/>
  <c r="E268" i="37"/>
  <c r="E263" i="37"/>
  <c r="E275" i="37"/>
  <c r="E267" i="37"/>
  <c r="E277" i="37"/>
  <c r="E274" i="37"/>
  <c r="E266" i="37"/>
  <c r="AK236" i="37"/>
  <c r="AM236" i="37"/>
  <c r="AL236" i="37"/>
  <c r="AR235" i="37"/>
  <c r="X236" i="37"/>
  <c r="Y236" i="37" s="1"/>
  <c r="Z236" i="37" s="1"/>
  <c r="AQ235" i="37"/>
  <c r="L135" i="40"/>
  <c r="M135" i="40" s="1"/>
  <c r="N135" i="40" s="1"/>
  <c r="AM238" i="36"/>
  <c r="AL238" i="36"/>
  <c r="AK238" i="36"/>
  <c r="AB236" i="36"/>
  <c r="AA236" i="36"/>
  <c r="AC236" i="36"/>
  <c r="AB121" i="12"/>
  <c r="AA121" i="12"/>
  <c r="AC121" i="12"/>
  <c r="G85" i="40"/>
  <c r="H85" i="40" s="1"/>
  <c r="I85" i="40" s="1"/>
  <c r="Q236" i="36"/>
  <c r="S236" i="36"/>
  <c r="R236" i="36"/>
  <c r="D396" i="36"/>
  <c r="F396" i="36" s="1"/>
  <c r="D419" i="36"/>
  <c r="F419" i="36" s="1"/>
  <c r="E396" i="36"/>
  <c r="G396" i="36" s="1"/>
  <c r="E419" i="36"/>
  <c r="G419" i="36" s="1"/>
  <c r="D396" i="38"/>
  <c r="F396" i="38" s="1"/>
  <c r="D419" i="38"/>
  <c r="F419" i="38" s="1"/>
  <c r="C312" i="37"/>
  <c r="AG181" i="12"/>
  <c r="AH181" i="12" s="1"/>
  <c r="D89" i="37"/>
  <c r="AO179" i="36"/>
  <c r="E202" i="36" s="1"/>
  <c r="M287" i="36"/>
  <c r="C121" i="38"/>
  <c r="D121" i="38" s="1"/>
  <c r="E121" i="38" s="1"/>
  <c r="F121" i="38" s="1"/>
  <c r="E64" i="38"/>
  <c r="C65" i="38" s="1"/>
  <c r="AM64" i="38"/>
  <c r="I120" i="37"/>
  <c r="AS120" i="37" s="1"/>
  <c r="H120" i="37"/>
  <c r="AR120" i="37" s="1"/>
  <c r="G120" i="37"/>
  <c r="AQ120" i="37" s="1"/>
  <c r="E163" i="37"/>
  <c r="E148" i="37"/>
  <c r="E156" i="37"/>
  <c r="E159" i="37"/>
  <c r="E155" i="37"/>
  <c r="E147" i="37"/>
  <c r="E160" i="37"/>
  <c r="E151" i="37"/>
  <c r="E162" i="37"/>
  <c r="E157" i="37"/>
  <c r="E146" i="37"/>
  <c r="X146" i="37" s="1"/>
  <c r="E286" i="37" s="1"/>
  <c r="E154" i="37"/>
  <c r="E152" i="37"/>
  <c r="E149" i="37"/>
  <c r="E158" i="37"/>
  <c r="E150" i="37"/>
  <c r="E153" i="37"/>
  <c r="E164" i="37"/>
  <c r="E161" i="37"/>
  <c r="AU120" i="38"/>
  <c r="E142" i="38" s="1"/>
  <c r="AT120" i="38"/>
  <c r="C147" i="38" s="1"/>
  <c r="F63" i="37"/>
  <c r="G63" i="37" s="1"/>
  <c r="H63" i="37" s="1"/>
  <c r="C287" i="37" s="1"/>
  <c r="D64" i="37"/>
  <c r="B111" i="40" s="1"/>
  <c r="C111" i="40" s="1"/>
  <c r="D111" i="40" s="1"/>
  <c r="AS63" i="37"/>
  <c r="AI64" i="12"/>
  <c r="G238" i="38"/>
  <c r="I238" i="38"/>
  <c r="H238" i="38"/>
  <c r="E183" i="38"/>
  <c r="C184" i="38" s="1"/>
  <c r="D184" i="38" s="1"/>
  <c r="E181" i="37"/>
  <c r="C182" i="37" s="1"/>
  <c r="D182" i="37" s="1"/>
  <c r="C237" i="37"/>
  <c r="D237" i="37" s="1"/>
  <c r="E237" i="37" s="1"/>
  <c r="F237" i="37" s="1"/>
  <c r="G236" i="37"/>
  <c r="H236" i="37"/>
  <c r="I236" i="37"/>
  <c r="L960" i="4"/>
  <c r="J961" i="4" s="1"/>
  <c r="M961" i="4" s="1"/>
  <c r="E64" i="36"/>
  <c r="AM64" i="36"/>
  <c r="C121" i="36"/>
  <c r="D121" i="36" s="1"/>
  <c r="E121" i="36" s="1"/>
  <c r="F121" i="36" s="1"/>
  <c r="AT120" i="36"/>
  <c r="C147" i="36" s="1"/>
  <c r="AU120" i="36"/>
  <c r="E142" i="36" s="1"/>
  <c r="E180" i="36"/>
  <c r="C181" i="36" s="1"/>
  <c r="D181" i="36" s="1"/>
  <c r="G235" i="36"/>
  <c r="AQ235" i="36" s="1"/>
  <c r="I235" i="36"/>
  <c r="AS235" i="36" s="1"/>
  <c r="H235" i="36"/>
  <c r="AR235" i="36" s="1"/>
  <c r="Q236" i="12"/>
  <c r="R236" i="12"/>
  <c r="S236" i="12"/>
  <c r="AM236" i="12"/>
  <c r="AK236" i="12"/>
  <c r="AL236" i="12"/>
  <c r="O181" i="12"/>
  <c r="P181" i="12" s="1"/>
  <c r="Q181" i="12" s="1"/>
  <c r="F234" i="12"/>
  <c r="D212" i="12"/>
  <c r="D220" i="12"/>
  <c r="D216" i="12"/>
  <c r="D225" i="12"/>
  <c r="D215" i="12"/>
  <c r="D226" i="12"/>
  <c r="D217" i="12"/>
  <c r="D227" i="12"/>
  <c r="D209" i="12"/>
  <c r="D219" i="12"/>
  <c r="D210" i="12"/>
  <c r="D224" i="12"/>
  <c r="D211" i="12"/>
  <c r="D213" i="12"/>
  <c r="D214" i="12"/>
  <c r="D218" i="12"/>
  <c r="D222" i="12"/>
  <c r="D208" i="12"/>
  <c r="D223" i="12"/>
  <c r="D221" i="12"/>
  <c r="D203" i="12"/>
  <c r="D204" i="12"/>
  <c r="E201" i="12" s="1"/>
  <c r="L60" i="4"/>
  <c r="M61" i="4" s="1"/>
  <c r="F960" i="4"/>
  <c r="D961" i="4" s="1"/>
  <c r="G960" i="4"/>
  <c r="M994" i="4"/>
  <c r="G823" i="4"/>
  <c r="M772" i="4"/>
  <c r="S773" i="4"/>
  <c r="G718" i="4"/>
  <c r="G624" i="4"/>
  <c r="Y566" i="4"/>
  <c r="S567" i="4"/>
  <c r="M566" i="4"/>
  <c r="G567" i="4"/>
  <c r="Y465" i="4"/>
  <c r="S467" i="4"/>
  <c r="AK379" i="4"/>
  <c r="AE380" i="4"/>
  <c r="S379" i="4"/>
  <c r="M379" i="4"/>
  <c r="S300" i="4"/>
  <c r="G297" i="4"/>
  <c r="S255" i="4"/>
  <c r="M256" i="4"/>
  <c r="G255" i="4"/>
  <c r="R822" i="4"/>
  <c r="P823" i="4" s="1"/>
  <c r="S823" i="4" s="1"/>
  <c r="R255" i="4"/>
  <c r="P256" i="4" s="1"/>
  <c r="S256" i="4" s="1"/>
  <c r="S219" i="4"/>
  <c r="M219" i="4"/>
  <c r="F993" i="4"/>
  <c r="D994" i="4" s="1"/>
  <c r="L256" i="4"/>
  <c r="J257" i="4" s="1"/>
  <c r="L219" i="4"/>
  <c r="M220" i="4" s="1"/>
  <c r="R959" i="4"/>
  <c r="P960" i="4" s="1"/>
  <c r="S960" i="4" s="1"/>
  <c r="F60" i="4"/>
  <c r="G61" i="4" s="1"/>
  <c r="R338" i="4"/>
  <c r="P339" i="4" s="1"/>
  <c r="S339" i="4" s="1"/>
  <c r="F338" i="4"/>
  <c r="D339" i="4" s="1"/>
  <c r="G339" i="4" s="1"/>
  <c r="F380" i="4"/>
  <c r="D381" i="4" s="1"/>
  <c r="R718" i="4"/>
  <c r="P719" i="4" s="1"/>
  <c r="S719" i="4" s="1"/>
  <c r="R379" i="4"/>
  <c r="P380" i="4" s="1"/>
  <c r="S380" i="4" s="1"/>
  <c r="X380" i="4"/>
  <c r="V381" i="4" s="1"/>
  <c r="Y381" i="4" s="1"/>
  <c r="X465" i="4"/>
  <c r="V466" i="4" s="1"/>
  <c r="L961" i="4"/>
  <c r="J962" i="4" s="1"/>
  <c r="M962" i="4" s="1"/>
  <c r="F567" i="4"/>
  <c r="D568" i="4" s="1"/>
  <c r="AJ379" i="4"/>
  <c r="AH380" i="4" s="1"/>
  <c r="AK380" i="4" s="1"/>
  <c r="L297" i="4"/>
  <c r="J298" i="4" s="1"/>
  <c r="R467" i="4"/>
  <c r="P468" i="4" s="1"/>
  <c r="S468" i="4" s="1"/>
  <c r="L467" i="4"/>
  <c r="J468" i="4" s="1"/>
  <c r="F772" i="4"/>
  <c r="D773" i="4" s="1"/>
  <c r="G773" i="4" s="1"/>
  <c r="R300" i="4"/>
  <c r="P301" i="4" s="1"/>
  <c r="L379" i="4"/>
  <c r="J380" i="4" s="1"/>
  <c r="M380" i="4" s="1"/>
  <c r="R773" i="4"/>
  <c r="P774" i="4" s="1"/>
  <c r="F466" i="4"/>
  <c r="D467" i="4" s="1"/>
  <c r="G467" i="4" s="1"/>
  <c r="F297" i="4"/>
  <c r="D298" i="4" s="1"/>
  <c r="G298" i="4" s="1"/>
  <c r="F624" i="4"/>
  <c r="D625" i="4" s="1"/>
  <c r="G625" i="4" s="1"/>
  <c r="X255" i="4"/>
  <c r="V256" i="4" s="1"/>
  <c r="L340" i="4"/>
  <c r="J341" i="4" s="1"/>
  <c r="M341" i="4" s="1"/>
  <c r="F255" i="4"/>
  <c r="D256" i="4" s="1"/>
  <c r="AD380" i="4"/>
  <c r="AB381" i="4" s="1"/>
  <c r="L772" i="4"/>
  <c r="J773" i="4" s="1"/>
  <c r="F718" i="4"/>
  <c r="D719" i="4" s="1"/>
  <c r="R219" i="4"/>
  <c r="P220" i="4" s="1"/>
  <c r="L822" i="4"/>
  <c r="J823" i="4" s="1"/>
  <c r="M823" i="4" s="1"/>
  <c r="F823" i="4"/>
  <c r="D824" i="4" s="1"/>
  <c r="R567" i="4"/>
  <c r="P568" i="4" s="1"/>
  <c r="S568" i="4" s="1"/>
  <c r="F508" i="4"/>
  <c r="D509" i="4" s="1"/>
  <c r="X566" i="4"/>
  <c r="V567" i="4" s="1"/>
  <c r="Y567" i="4" s="1"/>
  <c r="AD256" i="4"/>
  <c r="AB257" i="4" s="1"/>
  <c r="AE257" i="4" s="1"/>
  <c r="X339" i="4"/>
  <c r="V340" i="4" s="1"/>
  <c r="Y340" i="4" s="1"/>
  <c r="L566" i="4"/>
  <c r="J567" i="4" s="1"/>
  <c r="M567" i="4" s="1"/>
  <c r="L994" i="4"/>
  <c r="J995" i="4" s="1"/>
  <c r="M995" i="4" s="1"/>
  <c r="AI180" i="37" l="1"/>
  <c r="E205" i="38"/>
  <c r="AN64" i="38"/>
  <c r="E94" i="38"/>
  <c r="M236" i="37"/>
  <c r="N236" i="37" s="1"/>
  <c r="O236" i="37" s="1"/>
  <c r="P236" i="37" s="1"/>
  <c r="AN64" i="36"/>
  <c r="AO64" i="36" s="1"/>
  <c r="N180" i="37"/>
  <c r="O180" i="37" s="1"/>
  <c r="P180" i="37" s="1"/>
  <c r="Q180" i="37" s="1"/>
  <c r="F288" i="37" s="1"/>
  <c r="AI182" i="36"/>
  <c r="AM180" i="37"/>
  <c r="E97" i="38"/>
  <c r="E88" i="38"/>
  <c r="F85" i="38" s="1"/>
  <c r="AG183" i="36"/>
  <c r="AH183" i="36" s="1"/>
  <c r="Q88" i="40"/>
  <c r="R88" i="40" s="1"/>
  <c r="S88" i="40" s="1"/>
  <c r="AF184" i="36"/>
  <c r="AD185" i="36" s="1"/>
  <c r="AE185" i="36" s="1"/>
  <c r="Q89" i="40" s="1"/>
  <c r="R89" i="40" s="1"/>
  <c r="S89" i="40" s="1"/>
  <c r="AG240" i="36"/>
  <c r="E179" i="12"/>
  <c r="C180" i="12" s="1"/>
  <c r="E96" i="38"/>
  <c r="E102" i="38"/>
  <c r="E104" i="38"/>
  <c r="V182" i="36"/>
  <c r="L86" i="40" s="1"/>
  <c r="M86" i="40" s="1"/>
  <c r="N86" i="40" s="1"/>
  <c r="AE182" i="12"/>
  <c r="Q36" i="40" s="1"/>
  <c r="R36" i="40" s="1"/>
  <c r="S36" i="40" s="1"/>
  <c r="E93" i="38"/>
  <c r="E101" i="38"/>
  <c r="AA236" i="12"/>
  <c r="AC236" i="12"/>
  <c r="AG122" i="37"/>
  <c r="AF65" i="37"/>
  <c r="AG65" i="37" s="1"/>
  <c r="E95" i="38"/>
  <c r="M123" i="12"/>
  <c r="G13" i="40"/>
  <c r="H13" i="40" s="1"/>
  <c r="I13" i="40" s="1"/>
  <c r="E94" i="36"/>
  <c r="N180" i="38"/>
  <c r="L181" i="38" s="1"/>
  <c r="M181" i="38" s="1"/>
  <c r="G184" i="40"/>
  <c r="H184" i="40" s="1"/>
  <c r="I184" i="40" s="1"/>
  <c r="M238" i="12"/>
  <c r="G36" i="40"/>
  <c r="H36" i="40" s="1"/>
  <c r="I36" i="40" s="1"/>
  <c r="W122" i="12"/>
  <c r="X122" i="12" s="1"/>
  <c r="Y122" i="12" s="1"/>
  <c r="Z122" i="12" s="1"/>
  <c r="L12" i="40"/>
  <c r="M12" i="40" s="1"/>
  <c r="N12" i="40" s="1"/>
  <c r="E103" i="38"/>
  <c r="E106" i="38"/>
  <c r="E98" i="38"/>
  <c r="E99" i="38"/>
  <c r="E111" i="38"/>
  <c r="E108" i="38"/>
  <c r="E100" i="38"/>
  <c r="E87" i="38"/>
  <c r="E110" i="38"/>
  <c r="E105" i="38"/>
  <c r="E109" i="38"/>
  <c r="E107" i="38"/>
  <c r="E92" i="38"/>
  <c r="N286" i="38"/>
  <c r="E312" i="38" s="1"/>
  <c r="E205" i="37"/>
  <c r="N286" i="36"/>
  <c r="C371" i="36" s="1"/>
  <c r="AU235" i="38"/>
  <c r="E257" i="38" s="1"/>
  <c r="F262" i="38" s="1"/>
  <c r="AT235" i="38"/>
  <c r="C262" i="38" s="1"/>
  <c r="AG65" i="38"/>
  <c r="AH65" i="38" s="1"/>
  <c r="AI65" i="38" s="1"/>
  <c r="AD66" i="38"/>
  <c r="AE66" i="38" s="1"/>
  <c r="Q163" i="40" s="1"/>
  <c r="R163" i="40" s="1"/>
  <c r="S163" i="40" s="1"/>
  <c r="AM122" i="38"/>
  <c r="AK122" i="38"/>
  <c r="AL122" i="38"/>
  <c r="AD181" i="38"/>
  <c r="AE181" i="38" s="1"/>
  <c r="AG180" i="38"/>
  <c r="AB122" i="38"/>
  <c r="AC122" i="38"/>
  <c r="AA122" i="38"/>
  <c r="U66" i="38"/>
  <c r="V66" i="38" s="1"/>
  <c r="L163" i="40" s="1"/>
  <c r="M163" i="40" s="1"/>
  <c r="N163" i="40" s="1"/>
  <c r="X65" i="38"/>
  <c r="Y65" i="38" s="1"/>
  <c r="Z65" i="38" s="1"/>
  <c r="U181" i="38"/>
  <c r="V181" i="38" s="1"/>
  <c r="X180" i="38"/>
  <c r="Y180" i="38" s="1"/>
  <c r="Z180" i="38" s="1"/>
  <c r="M122" i="38"/>
  <c r="N122" i="38" s="1"/>
  <c r="O122" i="38" s="1"/>
  <c r="P122" i="38" s="1"/>
  <c r="N65" i="38"/>
  <c r="M236" i="38"/>
  <c r="N236" i="38" s="1"/>
  <c r="O236" i="38" s="1"/>
  <c r="P236" i="38" s="1"/>
  <c r="AM180" i="38"/>
  <c r="AN180" i="37"/>
  <c r="AO180" i="37" s="1"/>
  <c r="F202" i="37" s="1"/>
  <c r="AL239" i="36"/>
  <c r="AK239" i="36"/>
  <c r="AM121" i="36"/>
  <c r="AL121" i="36"/>
  <c r="AK121" i="36"/>
  <c r="AK121" i="12"/>
  <c r="AL121" i="12"/>
  <c r="AL121" i="37"/>
  <c r="AK121" i="37"/>
  <c r="AM121" i="37"/>
  <c r="W65" i="12"/>
  <c r="AI64" i="36"/>
  <c r="AI64" i="37"/>
  <c r="AD66" i="36"/>
  <c r="AE66" i="36" s="1"/>
  <c r="Q63" i="40" s="1"/>
  <c r="R63" i="40" s="1"/>
  <c r="S63" i="40" s="1"/>
  <c r="AG65" i="36"/>
  <c r="C65" i="36"/>
  <c r="D65" i="36" s="1"/>
  <c r="B62" i="40" s="1"/>
  <c r="C62" i="40" s="1"/>
  <c r="D62" i="40" s="1"/>
  <c r="AG122" i="12"/>
  <c r="AF65" i="12"/>
  <c r="O65" i="12"/>
  <c r="P65" i="12" s="1"/>
  <c r="Q65" i="12" s="1"/>
  <c r="X181" i="36"/>
  <c r="Y181" i="36" s="1"/>
  <c r="Z181" i="36" s="1"/>
  <c r="AG181" i="37"/>
  <c r="AH181" i="37" s="1"/>
  <c r="AH237" i="37" s="1"/>
  <c r="AI237" i="37" s="1"/>
  <c r="AJ237" i="37" s="1"/>
  <c r="N66" i="37"/>
  <c r="L67" i="37" s="1"/>
  <c r="M123" i="37"/>
  <c r="N123" i="37" s="1"/>
  <c r="O123" i="37" s="1"/>
  <c r="P123" i="37" s="1"/>
  <c r="N181" i="36"/>
  <c r="L182" i="36" s="1"/>
  <c r="M237" i="36"/>
  <c r="N237" i="36" s="1"/>
  <c r="O237" i="36" s="1"/>
  <c r="P237" i="36" s="1"/>
  <c r="N65" i="36"/>
  <c r="L66" i="36" s="1"/>
  <c r="M122" i="36"/>
  <c r="N122" i="36" s="1"/>
  <c r="O122" i="36" s="1"/>
  <c r="P122" i="36" s="1"/>
  <c r="W181" i="37"/>
  <c r="U182" i="37" s="1"/>
  <c r="V182" i="37" s="1"/>
  <c r="W237" i="37"/>
  <c r="X180" i="12"/>
  <c r="Y180" i="12" s="1"/>
  <c r="Z180" i="12" s="1"/>
  <c r="U181" i="12"/>
  <c r="W65" i="36"/>
  <c r="U66" i="36" s="1"/>
  <c r="W122" i="36"/>
  <c r="X122" i="36" s="1"/>
  <c r="Y122" i="36" s="1"/>
  <c r="Z122" i="36" s="1"/>
  <c r="W66" i="37"/>
  <c r="U67" i="37" s="1"/>
  <c r="W123" i="37"/>
  <c r="X123" i="37" s="1"/>
  <c r="Y123" i="37" s="1"/>
  <c r="Z123" i="37" s="1"/>
  <c r="N286" i="37"/>
  <c r="C371" i="37" s="1"/>
  <c r="AU235" i="37"/>
  <c r="E257" i="37" s="1"/>
  <c r="F269" i="37" s="1"/>
  <c r="AT235" i="37"/>
  <c r="C262" i="37" s="1"/>
  <c r="Q136" i="40"/>
  <c r="R136" i="40" s="1"/>
  <c r="S136" i="40" s="1"/>
  <c r="AB236" i="37"/>
  <c r="AA236" i="37"/>
  <c r="AC236" i="37"/>
  <c r="S236" i="37"/>
  <c r="Q236" i="37"/>
  <c r="R236" i="37"/>
  <c r="X237" i="36"/>
  <c r="Y237" i="36" s="1"/>
  <c r="Z237" i="36" s="1"/>
  <c r="Q122" i="12"/>
  <c r="R122" i="12"/>
  <c r="S122" i="12"/>
  <c r="E95" i="36"/>
  <c r="E111" i="36"/>
  <c r="E104" i="36"/>
  <c r="E105" i="36"/>
  <c r="E102" i="36"/>
  <c r="E93" i="36"/>
  <c r="E87" i="36"/>
  <c r="E106" i="36"/>
  <c r="E100" i="36"/>
  <c r="E98" i="36"/>
  <c r="E108" i="36"/>
  <c r="E99" i="36"/>
  <c r="E103" i="36"/>
  <c r="E88" i="36"/>
  <c r="F85" i="36" s="1"/>
  <c r="E97" i="36"/>
  <c r="E107" i="36"/>
  <c r="E110" i="36"/>
  <c r="E101" i="36"/>
  <c r="E96" i="36"/>
  <c r="D396" i="37"/>
  <c r="F396" i="37" s="1"/>
  <c r="D419" i="37"/>
  <c r="F419" i="37" s="1"/>
  <c r="E109" i="36"/>
  <c r="E92" i="36"/>
  <c r="E223" i="36"/>
  <c r="E220" i="36"/>
  <c r="E219" i="36"/>
  <c r="E225" i="36"/>
  <c r="E227" i="36"/>
  <c r="E211" i="36"/>
  <c r="E215" i="36"/>
  <c r="E222" i="36"/>
  <c r="E203" i="36"/>
  <c r="E212" i="36"/>
  <c r="E221" i="36"/>
  <c r="E208" i="36"/>
  <c r="E204" i="36"/>
  <c r="F201" i="36" s="1"/>
  <c r="E217" i="36"/>
  <c r="E213" i="36"/>
  <c r="E214" i="36"/>
  <c r="E218" i="36"/>
  <c r="E226" i="36"/>
  <c r="E224" i="36"/>
  <c r="E216" i="36"/>
  <c r="E209" i="36"/>
  <c r="E210" i="36"/>
  <c r="B372" i="38"/>
  <c r="G87" i="31" s="1"/>
  <c r="AO64" i="38"/>
  <c r="F86" i="38" s="1"/>
  <c r="E102" i="37"/>
  <c r="E98" i="37"/>
  <c r="E101" i="37"/>
  <c r="E94" i="37"/>
  <c r="E99" i="37"/>
  <c r="E88" i="37"/>
  <c r="F85" i="37" s="1"/>
  <c r="E97" i="37"/>
  <c r="E110" i="37"/>
  <c r="E111" i="37"/>
  <c r="E105" i="37"/>
  <c r="E87" i="37"/>
  <c r="E103" i="37"/>
  <c r="E109" i="37"/>
  <c r="E100" i="37"/>
  <c r="E108" i="37"/>
  <c r="E92" i="37"/>
  <c r="E104" i="37"/>
  <c r="E95" i="37"/>
  <c r="E106" i="37"/>
  <c r="E107" i="37"/>
  <c r="E96" i="37"/>
  <c r="E93" i="37"/>
  <c r="M287" i="37"/>
  <c r="C313" i="37" s="1"/>
  <c r="AM64" i="37"/>
  <c r="E64" i="37"/>
  <c r="C65" i="37" s="1"/>
  <c r="C121" i="37"/>
  <c r="D121" i="37" s="1"/>
  <c r="E121" i="37" s="1"/>
  <c r="F121" i="37" s="1"/>
  <c r="AT120" i="37"/>
  <c r="C147" i="37" s="1"/>
  <c r="AU120" i="37"/>
  <c r="E142" i="37" s="1"/>
  <c r="F163" i="38"/>
  <c r="F147" i="38"/>
  <c r="X147" i="38" s="1"/>
  <c r="E287" i="38" s="1"/>
  <c r="F159" i="38"/>
  <c r="F154" i="38"/>
  <c r="F158" i="38"/>
  <c r="F162" i="38"/>
  <c r="F156" i="38"/>
  <c r="F150" i="38"/>
  <c r="F152" i="38"/>
  <c r="F155" i="38"/>
  <c r="F157" i="38"/>
  <c r="F153" i="38"/>
  <c r="F164" i="38"/>
  <c r="F148" i="38"/>
  <c r="F161" i="38"/>
  <c r="F160" i="38"/>
  <c r="F149" i="38"/>
  <c r="F151" i="38"/>
  <c r="AS64" i="38"/>
  <c r="F64" i="38"/>
  <c r="G64" i="38" s="1"/>
  <c r="H64" i="38" s="1"/>
  <c r="C288" i="38" s="1"/>
  <c r="D65" i="38"/>
  <c r="B162" i="40" s="1"/>
  <c r="C162" i="40" s="1"/>
  <c r="D162" i="40" s="1"/>
  <c r="H121" i="38"/>
  <c r="AR121" i="38" s="1"/>
  <c r="G121" i="38"/>
  <c r="AQ121" i="38" s="1"/>
  <c r="I121" i="38"/>
  <c r="AS121" i="38" s="1"/>
  <c r="N66" i="12"/>
  <c r="L67" i="12" s="1"/>
  <c r="F183" i="38"/>
  <c r="G183" i="38" s="1"/>
  <c r="H183" i="38" s="1"/>
  <c r="B188" i="40"/>
  <c r="C188" i="40" s="1"/>
  <c r="D188" i="40" s="1"/>
  <c r="C239" i="38"/>
  <c r="D239" i="38" s="1"/>
  <c r="E239" i="38" s="1"/>
  <c r="F239" i="38" s="1"/>
  <c r="I237" i="37"/>
  <c r="G237" i="37"/>
  <c r="H237" i="37"/>
  <c r="B136" i="40"/>
  <c r="C136" i="40" s="1"/>
  <c r="D136" i="40" s="1"/>
  <c r="F181" i="37"/>
  <c r="G181" i="37" s="1"/>
  <c r="H181" i="37" s="1"/>
  <c r="C313" i="36"/>
  <c r="B372" i="36"/>
  <c r="G33" i="31" s="1"/>
  <c r="B85" i="40"/>
  <c r="C85" i="40" s="1"/>
  <c r="D85" i="40" s="1"/>
  <c r="AS180" i="36"/>
  <c r="F180" i="36"/>
  <c r="G180" i="36" s="1"/>
  <c r="H180" i="36" s="1"/>
  <c r="F288" i="36" s="1"/>
  <c r="H121" i="36"/>
  <c r="I121" i="36"/>
  <c r="G121" i="36"/>
  <c r="F162" i="36"/>
  <c r="F159" i="36"/>
  <c r="F163" i="36"/>
  <c r="F150" i="36"/>
  <c r="F149" i="36"/>
  <c r="F158" i="36"/>
  <c r="F152" i="36"/>
  <c r="F154" i="36"/>
  <c r="F155" i="36"/>
  <c r="F157" i="36"/>
  <c r="F161" i="36"/>
  <c r="F164" i="36"/>
  <c r="F147" i="36"/>
  <c r="X147" i="36" s="1"/>
  <c r="E287" i="36" s="1"/>
  <c r="F151" i="36"/>
  <c r="F156" i="36"/>
  <c r="F153" i="36"/>
  <c r="F148" i="36"/>
  <c r="F160" i="36"/>
  <c r="AT235" i="36"/>
  <c r="C262" i="36" s="1"/>
  <c r="AU235" i="36"/>
  <c r="E257" i="36" s="1"/>
  <c r="F64" i="36"/>
  <c r="G64" i="36" s="1"/>
  <c r="H64" i="36" s="1"/>
  <c r="AS64" i="36"/>
  <c r="C236" i="36"/>
  <c r="D236" i="36" s="1"/>
  <c r="E236" i="36" s="1"/>
  <c r="F236" i="36" s="1"/>
  <c r="AM180" i="36"/>
  <c r="AI181" i="12"/>
  <c r="AH237" i="12"/>
  <c r="AI237" i="12" s="1"/>
  <c r="AJ237" i="12" s="1"/>
  <c r="N237" i="12"/>
  <c r="O237" i="12" s="1"/>
  <c r="P237" i="12" s="1"/>
  <c r="N182" i="12"/>
  <c r="L183" i="12" s="1"/>
  <c r="M183" i="12" s="1"/>
  <c r="F179" i="12"/>
  <c r="AM179" i="12"/>
  <c r="G234" i="12"/>
  <c r="AQ234" i="12" s="1"/>
  <c r="H234" i="12"/>
  <c r="AR234" i="12" s="1"/>
  <c r="I234" i="12"/>
  <c r="AS234" i="12" s="1"/>
  <c r="C235" i="12"/>
  <c r="D205" i="12"/>
  <c r="F961" i="4"/>
  <c r="G962" i="4" s="1"/>
  <c r="G961" i="4"/>
  <c r="G994" i="4"/>
  <c r="G824" i="4"/>
  <c r="M773" i="4"/>
  <c r="S774" i="4"/>
  <c r="G719" i="4"/>
  <c r="G568" i="4"/>
  <c r="G509" i="4"/>
  <c r="Y466" i="4"/>
  <c r="M468" i="4"/>
  <c r="AE381" i="4"/>
  <c r="G381" i="4"/>
  <c r="S301" i="4"/>
  <c r="M298" i="4"/>
  <c r="Y256" i="4"/>
  <c r="M257" i="4"/>
  <c r="G256" i="4"/>
  <c r="R256" i="4"/>
  <c r="P257" i="4" s="1"/>
  <c r="R823" i="4"/>
  <c r="P824" i="4" s="1"/>
  <c r="S824" i="4" s="1"/>
  <c r="S220" i="4"/>
  <c r="L257" i="4"/>
  <c r="J258" i="4" s="1"/>
  <c r="R960" i="4"/>
  <c r="P961" i="4" s="1"/>
  <c r="S961" i="4" s="1"/>
  <c r="F994" i="4"/>
  <c r="D995" i="4" s="1"/>
  <c r="R339" i="4"/>
  <c r="P340" i="4" s="1"/>
  <c r="S340" i="4" s="1"/>
  <c r="F339" i="4"/>
  <c r="D340" i="4" s="1"/>
  <c r="G340" i="4" s="1"/>
  <c r="F381" i="4"/>
  <c r="D382" i="4" s="1"/>
  <c r="X381" i="4"/>
  <c r="V382" i="4" s="1"/>
  <c r="Y382" i="4" s="1"/>
  <c r="R468" i="4"/>
  <c r="P469" i="4" s="1"/>
  <c r="R380" i="4"/>
  <c r="P381" i="4" s="1"/>
  <c r="S381" i="4" s="1"/>
  <c r="L298" i="4"/>
  <c r="J299" i="4" s="1"/>
  <c r="R719" i="4"/>
  <c r="P720" i="4" s="1"/>
  <c r="S720" i="4" s="1"/>
  <c r="F568" i="4"/>
  <c r="D569" i="4" s="1"/>
  <c r="L962" i="4"/>
  <c r="J963" i="4" s="1"/>
  <c r="M963" i="4" s="1"/>
  <c r="AJ380" i="4"/>
  <c r="AH381" i="4" s="1"/>
  <c r="X466" i="4"/>
  <c r="V467" i="4" s="1"/>
  <c r="Y467" i="4" s="1"/>
  <c r="L468" i="4"/>
  <c r="J469" i="4" s="1"/>
  <c r="L567" i="4"/>
  <c r="J568" i="4" s="1"/>
  <c r="M568" i="4" s="1"/>
  <c r="F509" i="4"/>
  <c r="D510" i="4" s="1"/>
  <c r="G510" i="4" s="1"/>
  <c r="L341" i="4"/>
  <c r="J342" i="4" s="1"/>
  <c r="M342" i="4" s="1"/>
  <c r="X340" i="4"/>
  <c r="V341" i="4" s="1"/>
  <c r="Y341" i="4" s="1"/>
  <c r="F467" i="4"/>
  <c r="D468" i="4" s="1"/>
  <c r="G468" i="4" s="1"/>
  <c r="L823" i="4"/>
  <c r="J824" i="4" s="1"/>
  <c r="M824" i="4" s="1"/>
  <c r="AD381" i="4"/>
  <c r="AB382" i="4" s="1"/>
  <c r="AE382" i="4" s="1"/>
  <c r="X256" i="4"/>
  <c r="V257" i="4" s="1"/>
  <c r="R301" i="4"/>
  <c r="P302" i="4" s="1"/>
  <c r="S302" i="4" s="1"/>
  <c r="F824" i="4"/>
  <c r="D825" i="4" s="1"/>
  <c r="AD257" i="4"/>
  <c r="AB258" i="4" s="1"/>
  <c r="AE258" i="4" s="1"/>
  <c r="R220" i="4"/>
  <c r="P221" i="4" s="1"/>
  <c r="S221" i="4" s="1"/>
  <c r="L773" i="4"/>
  <c r="J774" i="4" s="1"/>
  <c r="F256" i="4"/>
  <c r="D257" i="4" s="1"/>
  <c r="G257" i="4" s="1"/>
  <c r="R568" i="4"/>
  <c r="P569" i="4" s="1"/>
  <c r="S569" i="4" s="1"/>
  <c r="L995" i="4"/>
  <c r="J996" i="4" s="1"/>
  <c r="M996" i="4" s="1"/>
  <c r="R774" i="4"/>
  <c r="P775" i="4" s="1"/>
  <c r="S775" i="4" s="1"/>
  <c r="X567" i="4"/>
  <c r="V568" i="4" s="1"/>
  <c r="Y568" i="4" s="1"/>
  <c r="F719" i="4"/>
  <c r="D720" i="4" s="1"/>
  <c r="F298" i="4"/>
  <c r="D299" i="4" s="1"/>
  <c r="L380" i="4"/>
  <c r="J381" i="4" s="1"/>
  <c r="F773" i="4"/>
  <c r="D774" i="4" s="1"/>
  <c r="G774" i="4" s="1"/>
  <c r="F625" i="4"/>
  <c r="D626" i="4" s="1"/>
  <c r="G626" i="4" s="1"/>
  <c r="AN180" i="38" l="1"/>
  <c r="AO180" i="38" s="1"/>
  <c r="F202" i="38" s="1"/>
  <c r="F213" i="38" s="1"/>
  <c r="AS180" i="37"/>
  <c r="E420" i="37" s="1"/>
  <c r="G420" i="37" s="1"/>
  <c r="AN64" i="37"/>
  <c r="AS179" i="12"/>
  <c r="E396" i="12" s="1"/>
  <c r="G396" i="12" s="1"/>
  <c r="L181" i="37"/>
  <c r="M181" i="37" s="1"/>
  <c r="G135" i="40" s="1"/>
  <c r="H135" i="40" s="1"/>
  <c r="I135" i="40" s="1"/>
  <c r="AN180" i="36"/>
  <c r="E89" i="38"/>
  <c r="AI183" i="36"/>
  <c r="AG184" i="36"/>
  <c r="AH184" i="36" s="1"/>
  <c r="AH240" i="36" s="1"/>
  <c r="AI240" i="36" s="1"/>
  <c r="AJ240" i="36" s="1"/>
  <c r="AK240" i="36" s="1"/>
  <c r="AG238" i="12"/>
  <c r="AF182" i="12"/>
  <c r="AD183" i="12" s="1"/>
  <c r="AE183" i="12" s="1"/>
  <c r="Q37" i="40" s="1"/>
  <c r="R37" i="40" s="1"/>
  <c r="S37" i="40" s="1"/>
  <c r="AG241" i="36"/>
  <c r="AF185" i="36"/>
  <c r="AD186" i="36" s="1"/>
  <c r="AE186" i="36" s="1"/>
  <c r="Q90" i="40" s="1"/>
  <c r="R90" i="40" s="1"/>
  <c r="S90" i="40" s="1"/>
  <c r="W238" i="36"/>
  <c r="X238" i="36" s="1"/>
  <c r="Y238" i="36" s="1"/>
  <c r="Z238" i="36" s="1"/>
  <c r="W182" i="36"/>
  <c r="U183" i="36" s="1"/>
  <c r="V183" i="36" s="1"/>
  <c r="L87" i="40" s="1"/>
  <c r="M87" i="40" s="1"/>
  <c r="N87" i="40" s="1"/>
  <c r="M182" i="36"/>
  <c r="G86" i="40" s="1"/>
  <c r="H86" i="40" s="1"/>
  <c r="I86" i="40" s="1"/>
  <c r="V181" i="12"/>
  <c r="L35" i="40" s="1"/>
  <c r="M35" i="40" s="1"/>
  <c r="N35" i="40" s="1"/>
  <c r="D180" i="12"/>
  <c r="B34" i="40" s="1"/>
  <c r="C34" i="40" s="1"/>
  <c r="D34" i="40" s="1"/>
  <c r="AM8" i="40" s="1"/>
  <c r="AN179" i="12"/>
  <c r="AO179" i="12" s="1"/>
  <c r="E202" i="12" s="1"/>
  <c r="AD66" i="37"/>
  <c r="AE66" i="37" s="1"/>
  <c r="Q113" i="40" s="1"/>
  <c r="R113" i="40" s="1"/>
  <c r="S113" i="40" s="1"/>
  <c r="AS180" i="38"/>
  <c r="E420" i="38" s="1"/>
  <c r="G420" i="38" s="1"/>
  <c r="O180" i="38"/>
  <c r="P180" i="38" s="1"/>
  <c r="Q180" i="38" s="1"/>
  <c r="C371" i="38"/>
  <c r="E312" i="36"/>
  <c r="F276" i="38"/>
  <c r="F268" i="38"/>
  <c r="F272" i="38"/>
  <c r="F278" i="38"/>
  <c r="F263" i="38"/>
  <c r="F271" i="38"/>
  <c r="F275" i="38"/>
  <c r="F273" i="38"/>
  <c r="F274" i="38"/>
  <c r="F267" i="38"/>
  <c r="F269" i="38"/>
  <c r="F277" i="38"/>
  <c r="F265" i="38"/>
  <c r="F270" i="38"/>
  <c r="F279" i="38"/>
  <c r="F266" i="38"/>
  <c r="F264" i="38"/>
  <c r="AG123" i="38"/>
  <c r="AF66" i="38"/>
  <c r="X262" i="38"/>
  <c r="H287" i="38" s="1"/>
  <c r="N287" i="38" s="1"/>
  <c r="AH180" i="38"/>
  <c r="AH236" i="38" s="1"/>
  <c r="AI236" i="38" s="1"/>
  <c r="AJ236" i="38" s="1"/>
  <c r="W123" i="38"/>
  <c r="X123" i="38" s="1"/>
  <c r="Y123" i="38" s="1"/>
  <c r="Z123" i="38" s="1"/>
  <c r="W66" i="38"/>
  <c r="F209" i="38"/>
  <c r="F203" i="38"/>
  <c r="F221" i="38"/>
  <c r="F225" i="38"/>
  <c r="F223" i="38"/>
  <c r="F222" i="38"/>
  <c r="F208" i="38"/>
  <c r="F215" i="38"/>
  <c r="F216" i="38"/>
  <c r="F211" i="38"/>
  <c r="F219" i="38"/>
  <c r="F224" i="38"/>
  <c r="F214" i="38"/>
  <c r="F210" i="38"/>
  <c r="F220" i="38"/>
  <c r="F212" i="38"/>
  <c r="F227" i="38"/>
  <c r="Q236" i="38"/>
  <c r="S236" i="38"/>
  <c r="R236" i="38"/>
  <c r="O65" i="38"/>
  <c r="P65" i="38" s="1"/>
  <c r="Q65" i="38" s="1"/>
  <c r="L66" i="38"/>
  <c r="M66" i="38" s="1"/>
  <c r="G163" i="40" s="1"/>
  <c r="H163" i="40" s="1"/>
  <c r="I163" i="40" s="1"/>
  <c r="R122" i="38"/>
  <c r="Q122" i="38"/>
  <c r="S122" i="38"/>
  <c r="F204" i="38"/>
  <c r="AR121" i="36"/>
  <c r="F204" i="37"/>
  <c r="G201" i="37" s="1"/>
  <c r="F220" i="37"/>
  <c r="F227" i="37"/>
  <c r="F224" i="37"/>
  <c r="F222" i="37"/>
  <c r="F221" i="37"/>
  <c r="F213" i="37"/>
  <c r="F209" i="37"/>
  <c r="F225" i="37"/>
  <c r="F217" i="37"/>
  <c r="F210" i="37"/>
  <c r="F219" i="37"/>
  <c r="F208" i="37"/>
  <c r="F215" i="37"/>
  <c r="F212" i="37"/>
  <c r="F226" i="37"/>
  <c r="F218" i="37"/>
  <c r="F216" i="37"/>
  <c r="F223" i="37"/>
  <c r="F214" i="37"/>
  <c r="F203" i="37"/>
  <c r="F211" i="37"/>
  <c r="F86" i="36"/>
  <c r="AQ121" i="36"/>
  <c r="AS121" i="36"/>
  <c r="C288" i="36"/>
  <c r="M288" i="36" s="1"/>
  <c r="O181" i="36"/>
  <c r="P181" i="36" s="1"/>
  <c r="Q181" i="36" s="1"/>
  <c r="U66" i="12"/>
  <c r="V66" i="12" s="1"/>
  <c r="L13" i="40" s="1"/>
  <c r="M13" i="40" s="1"/>
  <c r="N13" i="40" s="1"/>
  <c r="X65" i="12"/>
  <c r="Y65" i="12" s="1"/>
  <c r="Z65" i="12" s="1"/>
  <c r="X181" i="37"/>
  <c r="Y181" i="37" s="1"/>
  <c r="Z181" i="37" s="1"/>
  <c r="AH65" i="37"/>
  <c r="AH122" i="37" s="1"/>
  <c r="AI122" i="37" s="1"/>
  <c r="AJ122" i="37" s="1"/>
  <c r="AF66" i="36"/>
  <c r="AG123" i="36"/>
  <c r="AH65" i="36"/>
  <c r="AH122" i="36" s="1"/>
  <c r="AI122" i="36" s="1"/>
  <c r="AJ122" i="36" s="1"/>
  <c r="AD66" i="12"/>
  <c r="AE66" i="12" s="1"/>
  <c r="Q13" i="40" s="1"/>
  <c r="R13" i="40" s="1"/>
  <c r="S13" i="40" s="1"/>
  <c r="AG65" i="12"/>
  <c r="AH65" i="12" s="1"/>
  <c r="AH122" i="12" s="1"/>
  <c r="AI122" i="12" s="1"/>
  <c r="AJ122" i="12" s="1"/>
  <c r="AK122" i="12" s="1"/>
  <c r="R123" i="37"/>
  <c r="S123" i="37"/>
  <c r="Q123" i="37"/>
  <c r="O65" i="36"/>
  <c r="P65" i="36" s="1"/>
  <c r="Q65" i="36" s="1"/>
  <c r="M66" i="36"/>
  <c r="G63" i="40" s="1"/>
  <c r="H63" i="40" s="1"/>
  <c r="I63" i="40" s="1"/>
  <c r="M67" i="37"/>
  <c r="G114" i="40" s="1"/>
  <c r="H114" i="40" s="1"/>
  <c r="I114" i="40" s="1"/>
  <c r="O66" i="37"/>
  <c r="P66" i="37" s="1"/>
  <c r="Q66" i="37" s="1"/>
  <c r="E397" i="37"/>
  <c r="G397" i="37" s="1"/>
  <c r="AF182" i="37"/>
  <c r="AG238" i="37"/>
  <c r="AL240" i="36"/>
  <c r="AM240" i="36"/>
  <c r="AC122" i="36"/>
  <c r="AA122" i="36"/>
  <c r="AB122" i="36"/>
  <c r="R122" i="36"/>
  <c r="S122" i="36"/>
  <c r="Q122" i="36"/>
  <c r="V66" i="36"/>
  <c r="L63" i="40" s="1"/>
  <c r="M63" i="40" s="1"/>
  <c r="N63" i="40" s="1"/>
  <c r="X65" i="36"/>
  <c r="Y65" i="36" s="1"/>
  <c r="Z65" i="36" s="1"/>
  <c r="E312" i="37"/>
  <c r="AB123" i="37"/>
  <c r="AC123" i="37"/>
  <c r="AA123" i="37"/>
  <c r="V67" i="37"/>
  <c r="L114" i="40" s="1"/>
  <c r="M114" i="40" s="1"/>
  <c r="N114" i="40" s="1"/>
  <c r="X66" i="37"/>
  <c r="Y66" i="37" s="1"/>
  <c r="Z66" i="37" s="1"/>
  <c r="AS236" i="37"/>
  <c r="F277" i="37"/>
  <c r="F264" i="37"/>
  <c r="F279" i="37"/>
  <c r="F270" i="37"/>
  <c r="F265" i="37"/>
  <c r="AQ236" i="37"/>
  <c r="F268" i="37"/>
  <c r="AR236" i="37"/>
  <c r="F273" i="37"/>
  <c r="F275" i="37"/>
  <c r="F266" i="37"/>
  <c r="F272" i="37"/>
  <c r="F278" i="37"/>
  <c r="F263" i="37"/>
  <c r="F274" i="37"/>
  <c r="F262" i="37"/>
  <c r="X262" i="37" s="1"/>
  <c r="H287" i="37" s="1"/>
  <c r="F276" i="37"/>
  <c r="F271" i="37"/>
  <c r="F267" i="37"/>
  <c r="AI181" i="37"/>
  <c r="AL237" i="37"/>
  <c r="AK237" i="37"/>
  <c r="AM237" i="37"/>
  <c r="L136" i="40"/>
  <c r="M136" i="40" s="1"/>
  <c r="N136" i="40" s="1"/>
  <c r="X237" i="37"/>
  <c r="Y237" i="37" s="1"/>
  <c r="Z237" i="37" s="1"/>
  <c r="AA237" i="36"/>
  <c r="AC237" i="36"/>
  <c r="AB237" i="36"/>
  <c r="AA122" i="12"/>
  <c r="AB122" i="12"/>
  <c r="AC122" i="12"/>
  <c r="Q237" i="36"/>
  <c r="R237" i="36"/>
  <c r="S237" i="36"/>
  <c r="E89" i="36"/>
  <c r="D397" i="38"/>
  <c r="F397" i="38" s="1"/>
  <c r="D420" i="38"/>
  <c r="F420" i="38" s="1"/>
  <c r="D397" i="36"/>
  <c r="F397" i="36" s="1"/>
  <c r="D420" i="36"/>
  <c r="F420" i="36" s="1"/>
  <c r="E397" i="36"/>
  <c r="G397" i="36" s="1"/>
  <c r="E420" i="36"/>
  <c r="G420" i="36" s="1"/>
  <c r="F104" i="38"/>
  <c r="F99" i="38"/>
  <c r="F102" i="38"/>
  <c r="F106" i="38"/>
  <c r="F88" i="38"/>
  <c r="F98" i="38"/>
  <c r="F107" i="38"/>
  <c r="F108" i="38"/>
  <c r="F92" i="38"/>
  <c r="F100" i="38"/>
  <c r="F96" i="38"/>
  <c r="F103" i="38"/>
  <c r="F94" i="38"/>
  <c r="F109" i="38"/>
  <c r="F105" i="38"/>
  <c r="F97" i="38"/>
  <c r="F95" i="38"/>
  <c r="F101" i="38"/>
  <c r="F93" i="38"/>
  <c r="F111" i="38"/>
  <c r="F110" i="38"/>
  <c r="F87" i="38"/>
  <c r="E205" i="36"/>
  <c r="B372" i="37"/>
  <c r="G60" i="31" s="1"/>
  <c r="AO180" i="36"/>
  <c r="F202" i="36" s="1"/>
  <c r="E89" i="37"/>
  <c r="AO64" i="37"/>
  <c r="F86" i="37" s="1"/>
  <c r="F164" i="37"/>
  <c r="F154" i="37"/>
  <c r="F151" i="37"/>
  <c r="F153" i="37"/>
  <c r="F157" i="37"/>
  <c r="F162" i="37"/>
  <c r="F149" i="37"/>
  <c r="F160" i="37"/>
  <c r="F163" i="37"/>
  <c r="F152" i="37"/>
  <c r="F148" i="37"/>
  <c r="F158" i="37"/>
  <c r="F147" i="37"/>
  <c r="X147" i="37" s="1"/>
  <c r="E287" i="37" s="1"/>
  <c r="F155" i="37"/>
  <c r="F161" i="37"/>
  <c r="F150" i="37"/>
  <c r="F159" i="37"/>
  <c r="F156" i="37"/>
  <c r="C122" i="38"/>
  <c r="D122" i="38" s="1"/>
  <c r="E122" i="38" s="1"/>
  <c r="F122" i="38" s="1"/>
  <c r="E65" i="38"/>
  <c r="C66" i="38" s="1"/>
  <c r="AM65" i="38"/>
  <c r="AU121" i="38"/>
  <c r="F142" i="38" s="1"/>
  <c r="AT121" i="38"/>
  <c r="C148" i="38" s="1"/>
  <c r="G121" i="37"/>
  <c r="AQ121" i="37" s="1"/>
  <c r="H121" i="37"/>
  <c r="AR121" i="37" s="1"/>
  <c r="I121" i="37"/>
  <c r="AS121" i="37" s="1"/>
  <c r="F64" i="37"/>
  <c r="G64" i="37" s="1"/>
  <c r="H64" i="37" s="1"/>
  <c r="C288" i="37" s="1"/>
  <c r="AS64" i="37"/>
  <c r="D65" i="37"/>
  <c r="B112" i="40" s="1"/>
  <c r="C112" i="40" s="1"/>
  <c r="D112" i="40" s="1"/>
  <c r="M67" i="12"/>
  <c r="O66" i="12"/>
  <c r="P66" i="12" s="1"/>
  <c r="Q66" i="12" s="1"/>
  <c r="N123" i="12"/>
  <c r="O123" i="12" s="1"/>
  <c r="P123" i="12" s="1"/>
  <c r="G239" i="38"/>
  <c r="I239" i="38"/>
  <c r="H239" i="38"/>
  <c r="E184" i="38"/>
  <c r="C185" i="38" s="1"/>
  <c r="D185" i="38" s="1"/>
  <c r="E182" i="37"/>
  <c r="C183" i="37" s="1"/>
  <c r="D183" i="37" s="1"/>
  <c r="F268" i="36"/>
  <c r="F273" i="36"/>
  <c r="F263" i="36"/>
  <c r="F262" i="36"/>
  <c r="X262" i="36" s="1"/>
  <c r="H287" i="36" s="1"/>
  <c r="N287" i="36" s="1"/>
  <c r="F277" i="36"/>
  <c r="F275" i="36"/>
  <c r="F266" i="36"/>
  <c r="F278" i="36"/>
  <c r="F271" i="36"/>
  <c r="F265" i="36"/>
  <c r="F270" i="36"/>
  <c r="F279" i="36"/>
  <c r="F264" i="36"/>
  <c r="F274" i="36"/>
  <c r="F272" i="36"/>
  <c r="F269" i="36"/>
  <c r="F276" i="36"/>
  <c r="F267" i="36"/>
  <c r="H236" i="36"/>
  <c r="AR236" i="36" s="1"/>
  <c r="G236" i="36"/>
  <c r="AQ236" i="36" s="1"/>
  <c r="I236" i="36"/>
  <c r="AS236" i="36" s="1"/>
  <c r="AM65" i="36"/>
  <c r="E65" i="36"/>
  <c r="C122" i="36"/>
  <c r="D122" i="36" s="1"/>
  <c r="E122" i="36" s="1"/>
  <c r="F122" i="36" s="1"/>
  <c r="E181" i="36"/>
  <c r="C182" i="36" s="1"/>
  <c r="D182" i="36" s="1"/>
  <c r="R237" i="12"/>
  <c r="Q237" i="12"/>
  <c r="S237" i="12"/>
  <c r="AL237" i="12"/>
  <c r="AM237" i="12"/>
  <c r="AK237" i="12"/>
  <c r="O182" i="12"/>
  <c r="P182" i="12" s="1"/>
  <c r="Q182" i="12" s="1"/>
  <c r="AU234" i="12"/>
  <c r="D257" i="12" s="1"/>
  <c r="AT234" i="12"/>
  <c r="C261" i="12" s="1"/>
  <c r="D235" i="12"/>
  <c r="E235" i="12" s="1"/>
  <c r="G179" i="12"/>
  <c r="H179" i="12" s="1"/>
  <c r="F287" i="12" s="1"/>
  <c r="G995" i="4"/>
  <c r="G825" i="4"/>
  <c r="M774" i="4"/>
  <c r="G720" i="4"/>
  <c r="G569" i="4"/>
  <c r="S469" i="4"/>
  <c r="M469" i="4"/>
  <c r="AK381" i="4"/>
  <c r="G382" i="4"/>
  <c r="M381" i="4"/>
  <c r="M299" i="4"/>
  <c r="G299" i="4"/>
  <c r="Y257" i="4"/>
  <c r="S257" i="4"/>
  <c r="M258" i="4"/>
  <c r="R824" i="4"/>
  <c r="P825" i="4" s="1"/>
  <c r="R257" i="4"/>
  <c r="P258" i="4" s="1"/>
  <c r="S258" i="4" s="1"/>
  <c r="R961" i="4"/>
  <c r="P962" i="4" s="1"/>
  <c r="S962" i="4" s="1"/>
  <c r="F995" i="4"/>
  <c r="D996" i="4" s="1"/>
  <c r="L258" i="4"/>
  <c r="J259" i="4" s="1"/>
  <c r="F299" i="4"/>
  <c r="G300" i="4" s="1"/>
  <c r="R340" i="4"/>
  <c r="P341" i="4" s="1"/>
  <c r="S341" i="4" s="1"/>
  <c r="F340" i="4"/>
  <c r="D341" i="4" s="1"/>
  <c r="G341" i="4" s="1"/>
  <c r="F382" i="4"/>
  <c r="D383" i="4" s="1"/>
  <c r="F569" i="4"/>
  <c r="D570" i="4" s="1"/>
  <c r="G570" i="4" s="1"/>
  <c r="L299" i="4"/>
  <c r="J300" i="4" s="1"/>
  <c r="M300" i="4" s="1"/>
  <c r="R381" i="4"/>
  <c r="P382" i="4" s="1"/>
  <c r="X467" i="4"/>
  <c r="V468" i="4" s="1"/>
  <c r="Y468" i="4" s="1"/>
  <c r="R720" i="4"/>
  <c r="P721" i="4" s="1"/>
  <c r="S721" i="4" s="1"/>
  <c r="AJ381" i="4"/>
  <c r="AH382" i="4" s="1"/>
  <c r="R469" i="4"/>
  <c r="P470" i="4" s="1"/>
  <c r="S470" i="4" s="1"/>
  <c r="L963" i="4"/>
  <c r="J964" i="4" s="1"/>
  <c r="M964" i="4" s="1"/>
  <c r="X382" i="4"/>
  <c r="V383" i="4" s="1"/>
  <c r="R221" i="4"/>
  <c r="P222" i="4" s="1"/>
  <c r="R302" i="4"/>
  <c r="P303" i="4" s="1"/>
  <c r="F468" i="4"/>
  <c r="D469" i="4" s="1"/>
  <c r="G469" i="4" s="1"/>
  <c r="F510" i="4"/>
  <c r="D511" i="4" s="1"/>
  <c r="F626" i="4"/>
  <c r="D627" i="4" s="1"/>
  <c r="L568" i="4"/>
  <c r="J569" i="4" s="1"/>
  <c r="M569" i="4" s="1"/>
  <c r="AD258" i="4"/>
  <c r="AB259" i="4" s="1"/>
  <c r="AE259" i="4" s="1"/>
  <c r="L469" i="4"/>
  <c r="J470" i="4" s="1"/>
  <c r="M470" i="4" s="1"/>
  <c r="L996" i="4"/>
  <c r="J997" i="4" s="1"/>
  <c r="X257" i="4"/>
  <c r="V258" i="4" s="1"/>
  <c r="AD382" i="4"/>
  <c r="AB383" i="4" s="1"/>
  <c r="AE383" i="4" s="1"/>
  <c r="R775" i="4"/>
  <c r="P776" i="4" s="1"/>
  <c r="F825" i="4"/>
  <c r="D826" i="4" s="1"/>
  <c r="L824" i="4"/>
  <c r="J825" i="4" s="1"/>
  <c r="L774" i="4"/>
  <c r="J775" i="4" s="1"/>
  <c r="F720" i="4"/>
  <c r="D721" i="4" s="1"/>
  <c r="G721" i="4" s="1"/>
  <c r="R569" i="4"/>
  <c r="P570" i="4" s="1"/>
  <c r="X341" i="4"/>
  <c r="V342" i="4" s="1"/>
  <c r="Y342" i="4" s="1"/>
  <c r="F774" i="4"/>
  <c r="D775" i="4" s="1"/>
  <c r="G775" i="4" s="1"/>
  <c r="X568" i="4"/>
  <c r="V569" i="4" s="1"/>
  <c r="L381" i="4"/>
  <c r="J382" i="4" s="1"/>
  <c r="F257" i="4"/>
  <c r="D258" i="4" s="1"/>
  <c r="G258" i="4" s="1"/>
  <c r="L342" i="4"/>
  <c r="J343" i="4" s="1"/>
  <c r="M343" i="4" s="1"/>
  <c r="F218" i="38" l="1"/>
  <c r="F217" i="38"/>
  <c r="M237" i="37"/>
  <c r="N237" i="37" s="1"/>
  <c r="O237" i="37" s="1"/>
  <c r="P237" i="37" s="1"/>
  <c r="Q237" i="37" s="1"/>
  <c r="E419" i="12"/>
  <c r="G419" i="12" s="1"/>
  <c r="AN65" i="38"/>
  <c r="AO65" i="38" s="1"/>
  <c r="N181" i="37"/>
  <c r="L182" i="37" s="1"/>
  <c r="M182" i="37" s="1"/>
  <c r="F226" i="38"/>
  <c r="AM181" i="37"/>
  <c r="AN181" i="37" s="1"/>
  <c r="AO181" i="37" s="1"/>
  <c r="G202" i="37" s="1"/>
  <c r="G204" i="37" s="1"/>
  <c r="H201" i="37" s="1"/>
  <c r="AM180" i="12"/>
  <c r="AN180" i="12" s="1"/>
  <c r="AO180" i="12" s="1"/>
  <c r="AI184" i="36"/>
  <c r="AN65" i="36"/>
  <c r="AO65" i="36" s="1"/>
  <c r="AG182" i="12"/>
  <c r="AH182" i="12" s="1"/>
  <c r="AF183" i="12"/>
  <c r="AD184" i="12" s="1"/>
  <c r="AE184" i="12" s="1"/>
  <c r="AG239" i="12"/>
  <c r="N182" i="36"/>
  <c r="L183" i="36" s="1"/>
  <c r="M183" i="36" s="1"/>
  <c r="G87" i="40" s="1"/>
  <c r="H87" i="40" s="1"/>
  <c r="I87" i="40" s="1"/>
  <c r="W181" i="12"/>
  <c r="U182" i="12" s="1"/>
  <c r="V182" i="12" s="1"/>
  <c r="M238" i="36"/>
  <c r="N238" i="36" s="1"/>
  <c r="O238" i="36" s="1"/>
  <c r="P238" i="36" s="1"/>
  <c r="R238" i="36" s="1"/>
  <c r="AG185" i="36"/>
  <c r="AH185" i="36" s="1"/>
  <c r="AH241" i="36" s="1"/>
  <c r="AI241" i="36" s="1"/>
  <c r="AJ241" i="36" s="1"/>
  <c r="X182" i="36"/>
  <c r="Y182" i="36" s="1"/>
  <c r="Z182" i="36" s="1"/>
  <c r="W237" i="12"/>
  <c r="X237" i="12" s="1"/>
  <c r="Y237" i="12" s="1"/>
  <c r="Z237" i="12" s="1"/>
  <c r="AC237" i="12" s="1"/>
  <c r="AG123" i="37"/>
  <c r="AF66" i="37"/>
  <c r="AG66" i="37" s="1"/>
  <c r="E397" i="38"/>
  <c r="G397" i="38" s="1"/>
  <c r="M124" i="12"/>
  <c r="G14" i="40"/>
  <c r="H14" i="40" s="1"/>
  <c r="I14" i="40" s="1"/>
  <c r="W237" i="38"/>
  <c r="X237" i="38" s="1"/>
  <c r="Y237" i="38" s="1"/>
  <c r="Z237" i="38" s="1"/>
  <c r="L185" i="40"/>
  <c r="M185" i="40" s="1"/>
  <c r="N185" i="40" s="1"/>
  <c r="AG237" i="38"/>
  <c r="Q185" i="40"/>
  <c r="R185" i="40" s="1"/>
  <c r="S185" i="40" s="1"/>
  <c r="F102" i="36"/>
  <c r="N181" i="38"/>
  <c r="L182" i="38" s="1"/>
  <c r="M182" i="38" s="1"/>
  <c r="G185" i="40"/>
  <c r="H185" i="40" s="1"/>
  <c r="I185" i="40" s="1"/>
  <c r="AI180" i="38"/>
  <c r="F288" i="38" s="1"/>
  <c r="M288" i="38" s="1"/>
  <c r="C314" i="38" s="1"/>
  <c r="E313" i="38"/>
  <c r="C372" i="38"/>
  <c r="AF181" i="38"/>
  <c r="AK236" i="38"/>
  <c r="AQ236" i="38" s="1"/>
  <c r="AM236" i="38"/>
  <c r="AS236" i="38" s="1"/>
  <c r="AL236" i="38"/>
  <c r="AR236" i="38" s="1"/>
  <c r="AG66" i="38"/>
  <c r="AD67" i="38"/>
  <c r="AE67" i="38" s="1"/>
  <c r="Q164" i="40" s="1"/>
  <c r="R164" i="40" s="1"/>
  <c r="S164" i="40" s="1"/>
  <c r="U67" i="38"/>
  <c r="V67" i="38" s="1"/>
  <c r="L164" i="40" s="1"/>
  <c r="M164" i="40" s="1"/>
  <c r="N164" i="40" s="1"/>
  <c r="X66" i="38"/>
  <c r="Y66" i="38" s="1"/>
  <c r="Z66" i="38" s="1"/>
  <c r="AA123" i="38"/>
  <c r="AB123" i="38"/>
  <c r="AC123" i="38"/>
  <c r="W181" i="38"/>
  <c r="AC237" i="38"/>
  <c r="AB237" i="38"/>
  <c r="AA237" i="38"/>
  <c r="G201" i="38"/>
  <c r="F205" i="38"/>
  <c r="M123" i="38"/>
  <c r="N123" i="38" s="1"/>
  <c r="O123" i="38" s="1"/>
  <c r="P123" i="38" s="1"/>
  <c r="N66" i="38"/>
  <c r="AM181" i="38"/>
  <c r="M237" i="38"/>
  <c r="N237" i="38" s="1"/>
  <c r="O237" i="38" s="1"/>
  <c r="P237" i="38" s="1"/>
  <c r="F205" i="37"/>
  <c r="AT121" i="36"/>
  <c r="C148" i="36" s="1"/>
  <c r="AU121" i="36"/>
  <c r="F142" i="36" s="1"/>
  <c r="G154" i="36" s="1"/>
  <c r="AD183" i="37"/>
  <c r="AG182" i="37"/>
  <c r="AH182" i="37" s="1"/>
  <c r="AH238" i="37" s="1"/>
  <c r="AI238" i="37" s="1"/>
  <c r="AJ238" i="37" s="1"/>
  <c r="S237" i="37"/>
  <c r="R237" i="37"/>
  <c r="AK122" i="36"/>
  <c r="AL122" i="36"/>
  <c r="AM122" i="36"/>
  <c r="AL122" i="12"/>
  <c r="AM122" i="12"/>
  <c r="AK122" i="37"/>
  <c r="AL122" i="37"/>
  <c r="AM122" i="37"/>
  <c r="W123" i="12"/>
  <c r="X123" i="12" s="1"/>
  <c r="Y123" i="12" s="1"/>
  <c r="Z123" i="12" s="1"/>
  <c r="W66" i="12"/>
  <c r="AI65" i="12"/>
  <c r="AI65" i="36"/>
  <c r="AI65" i="37"/>
  <c r="AD67" i="36"/>
  <c r="AE67" i="36" s="1"/>
  <c r="Q64" i="40" s="1"/>
  <c r="R64" i="40" s="1"/>
  <c r="S64" i="40" s="1"/>
  <c r="AG66" i="36"/>
  <c r="C66" i="36"/>
  <c r="D66" i="36" s="1"/>
  <c r="B63" i="40" s="1"/>
  <c r="C63" i="40" s="1"/>
  <c r="D63" i="40" s="1"/>
  <c r="AG123" i="12"/>
  <c r="AF66" i="12"/>
  <c r="AF186" i="36"/>
  <c r="AD187" i="36" s="1"/>
  <c r="AE187" i="36" s="1"/>
  <c r="AG242" i="36"/>
  <c r="W66" i="36"/>
  <c r="U67" i="36" s="1"/>
  <c r="W123" i="36"/>
  <c r="X123" i="36" s="1"/>
  <c r="Y123" i="36" s="1"/>
  <c r="Z123" i="36" s="1"/>
  <c r="W183" i="36"/>
  <c r="U184" i="36" s="1"/>
  <c r="V184" i="36" s="1"/>
  <c r="W239" i="36"/>
  <c r="N67" i="37"/>
  <c r="L68" i="37" s="1"/>
  <c r="M124" i="37"/>
  <c r="N124" i="37" s="1"/>
  <c r="O124" i="37" s="1"/>
  <c r="P124" i="37" s="1"/>
  <c r="N66" i="36"/>
  <c r="L67" i="36" s="1"/>
  <c r="M123" i="36"/>
  <c r="N123" i="36" s="1"/>
  <c r="O123" i="36" s="1"/>
  <c r="P123" i="36" s="1"/>
  <c r="W182" i="37"/>
  <c r="U183" i="37" s="1"/>
  <c r="V183" i="37" s="1"/>
  <c r="W238" i="37"/>
  <c r="W67" i="37"/>
  <c r="U68" i="37" s="1"/>
  <c r="W124" i="37"/>
  <c r="X124" i="37" s="1"/>
  <c r="Y124" i="37" s="1"/>
  <c r="Z124" i="37" s="1"/>
  <c r="F204" i="36"/>
  <c r="G201" i="36" s="1"/>
  <c r="AT236" i="37"/>
  <c r="C263" i="37" s="1"/>
  <c r="AU236" i="37"/>
  <c r="F257" i="37" s="1"/>
  <c r="G277" i="37" s="1"/>
  <c r="N287" i="37"/>
  <c r="E313" i="37" s="1"/>
  <c r="AB237" i="37"/>
  <c r="AC237" i="37"/>
  <c r="AA237" i="37"/>
  <c r="AQ237" i="37" s="1"/>
  <c r="AA238" i="36"/>
  <c r="AB238" i="36"/>
  <c r="AC238" i="36"/>
  <c r="AL241" i="36"/>
  <c r="AM241" i="36"/>
  <c r="AK241" i="36"/>
  <c r="F100" i="36"/>
  <c r="F105" i="36"/>
  <c r="R123" i="12"/>
  <c r="Q123" i="12"/>
  <c r="S123" i="12"/>
  <c r="F109" i="36"/>
  <c r="F103" i="36"/>
  <c r="F96" i="36"/>
  <c r="F98" i="36"/>
  <c r="F87" i="36"/>
  <c r="F99" i="36"/>
  <c r="F92" i="36"/>
  <c r="F107" i="36"/>
  <c r="F94" i="36"/>
  <c r="F108" i="36"/>
  <c r="F110" i="36"/>
  <c r="F111" i="36"/>
  <c r="F101" i="36"/>
  <c r="F93" i="36"/>
  <c r="F95" i="36"/>
  <c r="F97" i="36"/>
  <c r="F106" i="36"/>
  <c r="F104" i="36"/>
  <c r="F88" i="36"/>
  <c r="G85" i="36" s="1"/>
  <c r="D397" i="37"/>
  <c r="F397" i="37" s="1"/>
  <c r="D420" i="37"/>
  <c r="F420" i="37" s="1"/>
  <c r="G85" i="38"/>
  <c r="F89" i="38"/>
  <c r="E211" i="12"/>
  <c r="E219" i="12"/>
  <c r="E217" i="12"/>
  <c r="E227" i="12"/>
  <c r="E215" i="12"/>
  <c r="E210" i="12"/>
  <c r="E226" i="12"/>
  <c r="E224" i="12"/>
  <c r="E214" i="12"/>
  <c r="E222" i="12"/>
  <c r="E216" i="12"/>
  <c r="E218" i="12"/>
  <c r="E220" i="12"/>
  <c r="E208" i="12"/>
  <c r="E212" i="12"/>
  <c r="E223" i="12"/>
  <c r="E221" i="12"/>
  <c r="E225" i="12"/>
  <c r="E213" i="12"/>
  <c r="E209" i="12"/>
  <c r="E204" i="12"/>
  <c r="F201" i="12" s="1"/>
  <c r="E203" i="12"/>
  <c r="F88" i="37"/>
  <c r="G85" i="37" s="1"/>
  <c r="F100" i="37"/>
  <c r="F92" i="37"/>
  <c r="F109" i="37"/>
  <c r="F104" i="37"/>
  <c r="F99" i="37"/>
  <c r="F107" i="37"/>
  <c r="F93" i="37"/>
  <c r="F103" i="37"/>
  <c r="F97" i="37"/>
  <c r="F94" i="37"/>
  <c r="F111" i="37"/>
  <c r="F98" i="37"/>
  <c r="F105" i="37"/>
  <c r="F95" i="37"/>
  <c r="F101" i="37"/>
  <c r="F108" i="37"/>
  <c r="F110" i="37"/>
  <c r="F102" i="37"/>
  <c r="F106" i="37"/>
  <c r="F96" i="37"/>
  <c r="F87" i="37"/>
  <c r="M288" i="37"/>
  <c r="B373" i="37" s="1"/>
  <c r="G61" i="31" s="1"/>
  <c r="G163" i="38"/>
  <c r="G161" i="38"/>
  <c r="G158" i="38"/>
  <c r="G150" i="38"/>
  <c r="G164" i="38"/>
  <c r="G154" i="38"/>
  <c r="G153" i="38"/>
  <c r="G157" i="38"/>
  <c r="G151" i="38"/>
  <c r="G148" i="38"/>
  <c r="X148" i="38" s="1"/>
  <c r="E288" i="38" s="1"/>
  <c r="G149" i="38"/>
  <c r="G152" i="38"/>
  <c r="G156" i="38"/>
  <c r="G162" i="38"/>
  <c r="G159" i="38"/>
  <c r="G160" i="38"/>
  <c r="G155" i="38"/>
  <c r="AU121" i="37"/>
  <c r="F142" i="37" s="1"/>
  <c r="AT121" i="37"/>
  <c r="C148" i="37" s="1"/>
  <c r="F65" i="38"/>
  <c r="G65" i="38" s="1"/>
  <c r="H65" i="38" s="1"/>
  <c r="C289" i="38" s="1"/>
  <c r="AS65" i="38"/>
  <c r="D66" i="38"/>
  <c r="B163" i="40" s="1"/>
  <c r="C163" i="40" s="1"/>
  <c r="D163" i="40" s="1"/>
  <c r="G122" i="38"/>
  <c r="AQ122" i="38" s="1"/>
  <c r="H122" i="38"/>
  <c r="AR122" i="38" s="1"/>
  <c r="I122" i="38"/>
  <c r="AS122" i="38" s="1"/>
  <c r="C122" i="37"/>
  <c r="D122" i="37" s="1"/>
  <c r="E122" i="37" s="1"/>
  <c r="F122" i="37" s="1"/>
  <c r="E65" i="37"/>
  <c r="C66" i="37" s="1"/>
  <c r="AM65" i="37"/>
  <c r="G37" i="40"/>
  <c r="H37" i="40" s="1"/>
  <c r="I37" i="40" s="1"/>
  <c r="N67" i="12"/>
  <c r="L68" i="12" s="1"/>
  <c r="B189" i="40"/>
  <c r="C189" i="40" s="1"/>
  <c r="D189" i="40" s="1"/>
  <c r="F184" i="38"/>
  <c r="G184" i="38" s="1"/>
  <c r="H184" i="38" s="1"/>
  <c r="C240" i="38"/>
  <c r="D240" i="38" s="1"/>
  <c r="E240" i="38" s="1"/>
  <c r="F240" i="38" s="1"/>
  <c r="B137" i="40"/>
  <c r="C137" i="40" s="1"/>
  <c r="D137" i="40" s="1"/>
  <c r="F182" i="37"/>
  <c r="G182" i="37" s="1"/>
  <c r="H182" i="37" s="1"/>
  <c r="C238" i="37"/>
  <c r="D238" i="37" s="1"/>
  <c r="E238" i="37" s="1"/>
  <c r="F238" i="37" s="1"/>
  <c r="C314" i="36"/>
  <c r="B373" i="36"/>
  <c r="G34" i="31" s="1"/>
  <c r="C237" i="36"/>
  <c r="D237" i="36" s="1"/>
  <c r="E237" i="36" s="1"/>
  <c r="F237" i="36" s="1"/>
  <c r="AM181" i="36"/>
  <c r="AT236" i="36"/>
  <c r="C263" i="36" s="1"/>
  <c r="AU236" i="36"/>
  <c r="F257" i="36" s="1"/>
  <c r="B86" i="40"/>
  <c r="C86" i="40" s="1"/>
  <c r="D86" i="40" s="1"/>
  <c r="AS181" i="36"/>
  <c r="F181" i="36"/>
  <c r="G181" i="36" s="1"/>
  <c r="H181" i="36" s="1"/>
  <c r="F289" i="36" s="1"/>
  <c r="H122" i="36"/>
  <c r="I122" i="36"/>
  <c r="G122" i="36"/>
  <c r="AS65" i="36"/>
  <c r="F65" i="36"/>
  <c r="G65" i="36" s="1"/>
  <c r="H65" i="36" s="1"/>
  <c r="N238" i="12"/>
  <c r="O238" i="12" s="1"/>
  <c r="P238" i="12" s="1"/>
  <c r="AH238" i="12"/>
  <c r="AI238" i="12" s="1"/>
  <c r="AJ238" i="12" s="1"/>
  <c r="E180" i="12"/>
  <c r="F180" i="12" s="1"/>
  <c r="G180" i="12" s="1"/>
  <c r="H180" i="12" s="1"/>
  <c r="F288" i="12" s="1"/>
  <c r="F235" i="12"/>
  <c r="C236" i="12"/>
  <c r="E262" i="12"/>
  <c r="E270" i="12"/>
  <c r="E278" i="12"/>
  <c r="E263" i="12"/>
  <c r="E271" i="12"/>
  <c r="E279" i="12"/>
  <c r="E264" i="12"/>
  <c r="E267" i="12"/>
  <c r="E277" i="12"/>
  <c r="E268" i="12"/>
  <c r="E269" i="12"/>
  <c r="E266" i="12"/>
  <c r="E276" i="12"/>
  <c r="E272" i="12"/>
  <c r="E273" i="12"/>
  <c r="E274" i="12"/>
  <c r="E261" i="12"/>
  <c r="X261" i="12" s="1"/>
  <c r="H286" i="12" s="1"/>
  <c r="E265" i="12"/>
  <c r="E275" i="12"/>
  <c r="G996" i="4"/>
  <c r="M997" i="4"/>
  <c r="S825" i="4"/>
  <c r="M825" i="4"/>
  <c r="G826" i="4"/>
  <c r="M775" i="4"/>
  <c r="S776" i="4"/>
  <c r="G627" i="4"/>
  <c r="Y569" i="4"/>
  <c r="S570" i="4"/>
  <c r="G511" i="4"/>
  <c r="AK382" i="4"/>
  <c r="Y383" i="4"/>
  <c r="S382" i="4"/>
  <c r="G383" i="4"/>
  <c r="M382" i="4"/>
  <c r="S303" i="4"/>
  <c r="Y258" i="4"/>
  <c r="M259" i="4"/>
  <c r="R825" i="4"/>
  <c r="P826" i="4" s="1"/>
  <c r="S222" i="4"/>
  <c r="R258" i="4"/>
  <c r="P259" i="4" s="1"/>
  <c r="L343" i="4"/>
  <c r="M344" i="4" s="1"/>
  <c r="F996" i="4"/>
  <c r="D997" i="4" s="1"/>
  <c r="G997" i="4" s="1"/>
  <c r="R962" i="4"/>
  <c r="P963" i="4" s="1"/>
  <c r="S963" i="4" s="1"/>
  <c r="R222" i="4"/>
  <c r="S223" i="4" s="1"/>
  <c r="L259" i="4"/>
  <c r="J260" i="4" s="1"/>
  <c r="M260" i="4" s="1"/>
  <c r="R341" i="4"/>
  <c r="P342" i="4" s="1"/>
  <c r="S342" i="4" s="1"/>
  <c r="F341" i="4"/>
  <c r="D342" i="4" s="1"/>
  <c r="G342" i="4" s="1"/>
  <c r="F383" i="4"/>
  <c r="D384" i="4" s="1"/>
  <c r="G384" i="4" s="1"/>
  <c r="L300" i="4"/>
  <c r="J301" i="4" s="1"/>
  <c r="M301" i="4" s="1"/>
  <c r="R470" i="4"/>
  <c r="P471" i="4" s="1"/>
  <c r="X383" i="4"/>
  <c r="V384" i="4" s="1"/>
  <c r="AJ382" i="4"/>
  <c r="AH383" i="4" s="1"/>
  <c r="X468" i="4"/>
  <c r="V469" i="4" s="1"/>
  <c r="L964" i="4"/>
  <c r="J965" i="4" s="1"/>
  <c r="M965" i="4" s="1"/>
  <c r="F570" i="4"/>
  <c r="D571" i="4" s="1"/>
  <c r="R382" i="4"/>
  <c r="P383" i="4" s="1"/>
  <c r="S383" i="4" s="1"/>
  <c r="R721" i="4"/>
  <c r="P722" i="4" s="1"/>
  <c r="S722" i="4" s="1"/>
  <c r="F775" i="4"/>
  <c r="D776" i="4" s="1"/>
  <c r="G776" i="4" s="1"/>
  <c r="R303" i="4"/>
  <c r="P304" i="4" s="1"/>
  <c r="F258" i="4"/>
  <c r="D259" i="4" s="1"/>
  <c r="G259" i="4" s="1"/>
  <c r="X569" i="4"/>
  <c r="V570" i="4" s="1"/>
  <c r="F721" i="4"/>
  <c r="D722" i="4" s="1"/>
  <c r="G722" i="4" s="1"/>
  <c r="L825" i="4"/>
  <c r="J826" i="4" s="1"/>
  <c r="M826" i="4" s="1"/>
  <c r="L997" i="4"/>
  <c r="J998" i="4" s="1"/>
  <c r="F469" i="4"/>
  <c r="D470" i="4" s="1"/>
  <c r="G470" i="4" s="1"/>
  <c r="AD383" i="4"/>
  <c r="AB384" i="4" s="1"/>
  <c r="L569" i="4"/>
  <c r="J570" i="4" s="1"/>
  <c r="L382" i="4"/>
  <c r="J383" i="4" s="1"/>
  <c r="L775" i="4"/>
  <c r="J776" i="4" s="1"/>
  <c r="F627" i="4"/>
  <c r="D628" i="4" s="1"/>
  <c r="G628" i="4" s="1"/>
  <c r="X342" i="4"/>
  <c r="V343" i="4" s="1"/>
  <c r="Y343" i="4" s="1"/>
  <c r="X258" i="4"/>
  <c r="V259" i="4" s="1"/>
  <c r="Y259" i="4" s="1"/>
  <c r="L470" i="4"/>
  <c r="J471" i="4" s="1"/>
  <c r="M471" i="4" s="1"/>
  <c r="F826" i="4"/>
  <c r="D827" i="4" s="1"/>
  <c r="G827" i="4" s="1"/>
  <c r="AD259" i="4"/>
  <c r="AB260" i="4" s="1"/>
  <c r="AE260" i="4" s="1"/>
  <c r="F511" i="4"/>
  <c r="D512" i="4" s="1"/>
  <c r="G512" i="4" s="1"/>
  <c r="R570" i="4"/>
  <c r="P571" i="4" s="1"/>
  <c r="S571" i="4" s="1"/>
  <c r="R776" i="4"/>
  <c r="P777" i="4" s="1"/>
  <c r="O181" i="37" l="1"/>
  <c r="P181" i="37" s="1"/>
  <c r="Q181" i="37" s="1"/>
  <c r="F289" i="37" s="1"/>
  <c r="AS181" i="37"/>
  <c r="E421" i="37" s="1"/>
  <c r="G421" i="37" s="1"/>
  <c r="Q238" i="36"/>
  <c r="S238" i="36"/>
  <c r="AN181" i="38"/>
  <c r="AO181" i="38" s="1"/>
  <c r="G202" i="38" s="1"/>
  <c r="G225" i="38" s="1"/>
  <c r="AN65" i="37"/>
  <c r="AI182" i="12"/>
  <c r="AG183" i="12"/>
  <c r="AN181" i="36"/>
  <c r="AO181" i="36" s="1"/>
  <c r="G202" i="36" s="1"/>
  <c r="AI185" i="36"/>
  <c r="X181" i="12"/>
  <c r="Y181" i="12" s="1"/>
  <c r="Z181" i="12" s="1"/>
  <c r="O182" i="36"/>
  <c r="P182" i="36" s="1"/>
  <c r="Q182" i="36" s="1"/>
  <c r="N183" i="36"/>
  <c r="L184" i="36" s="1"/>
  <c r="M184" i="36" s="1"/>
  <c r="G88" i="40" s="1"/>
  <c r="H88" i="40" s="1"/>
  <c r="I88" i="40" s="1"/>
  <c r="AB237" i="12"/>
  <c r="AA237" i="12"/>
  <c r="M239" i="36"/>
  <c r="N239" i="36" s="1"/>
  <c r="O239" i="36" s="1"/>
  <c r="P239" i="36" s="1"/>
  <c r="AE183" i="37"/>
  <c r="Q137" i="40" s="1"/>
  <c r="R137" i="40" s="1"/>
  <c r="S137" i="40" s="1"/>
  <c r="F202" i="12"/>
  <c r="F219" i="12" s="1"/>
  <c r="AD67" i="37"/>
  <c r="AE67" i="37" s="1"/>
  <c r="Q114" i="40" s="1"/>
  <c r="R114" i="40" s="1"/>
  <c r="S114" i="40" s="1"/>
  <c r="O181" i="38"/>
  <c r="P181" i="38" s="1"/>
  <c r="Q181" i="38" s="1"/>
  <c r="AG240" i="12"/>
  <c r="Q38" i="40"/>
  <c r="R38" i="40" s="1"/>
  <c r="S38" i="40" s="1"/>
  <c r="AM182" i="37"/>
  <c r="AN182" i="37" s="1"/>
  <c r="AO182" i="37" s="1"/>
  <c r="H202" i="37" s="1"/>
  <c r="G136" i="40"/>
  <c r="H136" i="40" s="1"/>
  <c r="I136" i="40" s="1"/>
  <c r="B373" i="38"/>
  <c r="G88" i="31" s="1"/>
  <c r="G220" i="37"/>
  <c r="AU236" i="38"/>
  <c r="F257" i="38" s="1"/>
  <c r="G275" i="38" s="1"/>
  <c r="AT236" i="38"/>
  <c r="C263" i="38" s="1"/>
  <c r="AD182" i="38"/>
  <c r="AE182" i="38" s="1"/>
  <c r="AG181" i="38"/>
  <c r="AF67" i="38"/>
  <c r="AG124" i="38"/>
  <c r="AS181" i="38"/>
  <c r="E398" i="38" s="1"/>
  <c r="G398" i="38" s="1"/>
  <c r="AH66" i="38"/>
  <c r="AH123" i="38" s="1"/>
  <c r="AI123" i="38" s="1"/>
  <c r="AJ123" i="38" s="1"/>
  <c r="G214" i="37"/>
  <c r="U182" i="38"/>
  <c r="V182" i="38" s="1"/>
  <c r="X181" i="38"/>
  <c r="Y181" i="38" s="1"/>
  <c r="Z181" i="38" s="1"/>
  <c r="W124" i="38"/>
  <c r="X124" i="38" s="1"/>
  <c r="Y124" i="38" s="1"/>
  <c r="Z124" i="38" s="1"/>
  <c r="W67" i="38"/>
  <c r="G216" i="37"/>
  <c r="G212" i="37"/>
  <c r="G223" i="37"/>
  <c r="G203" i="37"/>
  <c r="G205" i="37" s="1"/>
  <c r="G210" i="37"/>
  <c r="G221" i="37"/>
  <c r="G211" i="37"/>
  <c r="G218" i="37"/>
  <c r="R123" i="38"/>
  <c r="Q123" i="38"/>
  <c r="S123" i="38"/>
  <c r="R237" i="38"/>
  <c r="Q237" i="38"/>
  <c r="S237" i="38"/>
  <c r="L67" i="38"/>
  <c r="M67" i="38" s="1"/>
  <c r="G164" i="40" s="1"/>
  <c r="H164" i="40" s="1"/>
  <c r="I164" i="40" s="1"/>
  <c r="O66" i="38"/>
  <c r="P66" i="38" s="1"/>
  <c r="Q66" i="38" s="1"/>
  <c r="G151" i="36"/>
  <c r="G153" i="36"/>
  <c r="G152" i="36"/>
  <c r="G150" i="36"/>
  <c r="G224" i="37"/>
  <c r="G208" i="37"/>
  <c r="G215" i="37"/>
  <c r="G157" i="36"/>
  <c r="G159" i="36"/>
  <c r="G149" i="36"/>
  <c r="G156" i="36"/>
  <c r="G155" i="36"/>
  <c r="G162" i="36"/>
  <c r="G209" i="37"/>
  <c r="G219" i="37"/>
  <c r="G222" i="37"/>
  <c r="G148" i="36"/>
  <c r="X148" i="36" s="1"/>
  <c r="E288" i="36" s="1"/>
  <c r="G161" i="36"/>
  <c r="G226" i="37"/>
  <c r="G225" i="37"/>
  <c r="G164" i="36"/>
  <c r="G160" i="36"/>
  <c r="G217" i="37"/>
  <c r="G227" i="37"/>
  <c r="G213" i="37"/>
  <c r="G163" i="36"/>
  <c r="G158" i="36"/>
  <c r="AQ122" i="36"/>
  <c r="AR237" i="37"/>
  <c r="AS237" i="37"/>
  <c r="G86" i="36"/>
  <c r="G107" i="36" s="1"/>
  <c r="G86" i="38"/>
  <c r="G88" i="38" s="1"/>
  <c r="AS122" i="36"/>
  <c r="AR122" i="36"/>
  <c r="C289" i="36"/>
  <c r="M289" i="36" s="1"/>
  <c r="U67" i="12"/>
  <c r="V67" i="12" s="1"/>
  <c r="L14" i="40" s="1"/>
  <c r="M14" i="40" s="1"/>
  <c r="N14" i="40" s="1"/>
  <c r="X66" i="12"/>
  <c r="Y66" i="12" s="1"/>
  <c r="Z66" i="12" s="1"/>
  <c r="AG186" i="36"/>
  <c r="AH186" i="36" s="1"/>
  <c r="AH242" i="36" s="1"/>
  <c r="AI242" i="36" s="1"/>
  <c r="AJ242" i="36" s="1"/>
  <c r="AH66" i="37"/>
  <c r="AH123" i="37" s="1"/>
  <c r="AI123" i="37" s="1"/>
  <c r="AJ123" i="37" s="1"/>
  <c r="AG124" i="36"/>
  <c r="AF67" i="36"/>
  <c r="AH66" i="36"/>
  <c r="AH123" i="36" s="1"/>
  <c r="AI123" i="36" s="1"/>
  <c r="AJ123" i="36" s="1"/>
  <c r="AD67" i="12"/>
  <c r="AE67" i="12" s="1"/>
  <c r="Q14" i="40" s="1"/>
  <c r="R14" i="40" s="1"/>
  <c r="S14" i="40" s="1"/>
  <c r="AG66" i="12"/>
  <c r="AH66" i="12" s="1"/>
  <c r="AH123" i="12" s="1"/>
  <c r="AI123" i="12" s="1"/>
  <c r="AJ123" i="12" s="1"/>
  <c r="AL123" i="12" s="1"/>
  <c r="F218" i="36"/>
  <c r="F211" i="36"/>
  <c r="F220" i="36"/>
  <c r="X182" i="37"/>
  <c r="Y182" i="37" s="1"/>
  <c r="Z182" i="37" s="1"/>
  <c r="F221" i="36"/>
  <c r="F212" i="36"/>
  <c r="F209" i="36"/>
  <c r="F219" i="36"/>
  <c r="F227" i="36"/>
  <c r="F203" i="36"/>
  <c r="F205" i="36" s="1"/>
  <c r="F223" i="36"/>
  <c r="F226" i="36"/>
  <c r="F224" i="36"/>
  <c r="F216" i="36"/>
  <c r="F214" i="36"/>
  <c r="X183" i="36"/>
  <c r="Y183" i="36" s="1"/>
  <c r="Z183" i="36" s="1"/>
  <c r="O66" i="36"/>
  <c r="P66" i="36" s="1"/>
  <c r="Q66" i="36" s="1"/>
  <c r="M67" i="36"/>
  <c r="G64" i="40" s="1"/>
  <c r="H64" i="40" s="1"/>
  <c r="I64" i="40" s="1"/>
  <c r="R124" i="37"/>
  <c r="S124" i="37"/>
  <c r="Q124" i="37"/>
  <c r="AC123" i="36"/>
  <c r="AB123" i="36"/>
  <c r="AA123" i="36"/>
  <c r="M68" i="37"/>
  <c r="G115" i="40" s="1"/>
  <c r="H115" i="40" s="1"/>
  <c r="I115" i="40" s="1"/>
  <c r="O67" i="37"/>
  <c r="P67" i="37" s="1"/>
  <c r="Q67" i="37" s="1"/>
  <c r="V67" i="36"/>
  <c r="L64" i="40" s="1"/>
  <c r="M64" i="40" s="1"/>
  <c r="N64" i="40" s="1"/>
  <c r="X66" i="36"/>
  <c r="Y66" i="36" s="1"/>
  <c r="Z66" i="36" s="1"/>
  <c r="E398" i="37"/>
  <c r="G398" i="37" s="1"/>
  <c r="N183" i="12"/>
  <c r="L184" i="12" s="1"/>
  <c r="M184" i="12" s="1"/>
  <c r="M239" i="12"/>
  <c r="N239" i="12" s="1"/>
  <c r="O239" i="12" s="1"/>
  <c r="P239" i="12" s="1"/>
  <c r="R123" i="36"/>
  <c r="Q123" i="36"/>
  <c r="S123" i="36"/>
  <c r="N182" i="37"/>
  <c r="M238" i="37"/>
  <c r="N238" i="37" s="1"/>
  <c r="O238" i="37" s="1"/>
  <c r="P238" i="37" s="1"/>
  <c r="AB124" i="37"/>
  <c r="AC124" i="37"/>
  <c r="AA124" i="37"/>
  <c r="V68" i="37"/>
  <c r="L115" i="40" s="1"/>
  <c r="M115" i="40" s="1"/>
  <c r="N115" i="40" s="1"/>
  <c r="X67" i="37"/>
  <c r="Y67" i="37" s="1"/>
  <c r="Z67" i="37" s="1"/>
  <c r="F217" i="36"/>
  <c r="F222" i="36"/>
  <c r="F225" i="36"/>
  <c r="F208" i="36"/>
  <c r="F215" i="36"/>
  <c r="F213" i="36"/>
  <c r="F210" i="36"/>
  <c r="C372" i="37"/>
  <c r="G278" i="37"/>
  <c r="G266" i="37"/>
  <c r="G271" i="37"/>
  <c r="G275" i="37"/>
  <c r="G267" i="37"/>
  <c r="G273" i="37"/>
  <c r="G268" i="37"/>
  <c r="G274" i="37"/>
  <c r="G279" i="37"/>
  <c r="G272" i="37"/>
  <c r="G276" i="37"/>
  <c r="G264" i="37"/>
  <c r="G269" i="37"/>
  <c r="G265" i="37"/>
  <c r="G270" i="37"/>
  <c r="G263" i="37"/>
  <c r="X263" i="37" s="1"/>
  <c r="H288" i="37" s="1"/>
  <c r="AI182" i="37"/>
  <c r="AK238" i="37"/>
  <c r="AL238" i="37"/>
  <c r="AM238" i="37"/>
  <c r="X238" i="37"/>
  <c r="Y238" i="37" s="1"/>
  <c r="Z238" i="37" s="1"/>
  <c r="L137" i="40"/>
  <c r="M137" i="40" s="1"/>
  <c r="N137" i="40" s="1"/>
  <c r="X239" i="36"/>
  <c r="Y239" i="36" s="1"/>
  <c r="Z239" i="36" s="1"/>
  <c r="L88" i="40"/>
  <c r="M88" i="40" s="1"/>
  <c r="N88" i="40" s="1"/>
  <c r="AB123" i="12"/>
  <c r="AC123" i="12"/>
  <c r="AA123" i="12"/>
  <c r="R239" i="36"/>
  <c r="S239" i="36"/>
  <c r="Q239" i="36"/>
  <c r="F89" i="36"/>
  <c r="D398" i="38"/>
  <c r="F398" i="38" s="1"/>
  <c r="D421" i="38"/>
  <c r="F421" i="38" s="1"/>
  <c r="D398" i="36"/>
  <c r="F398" i="36" s="1"/>
  <c r="D421" i="36"/>
  <c r="F421" i="36" s="1"/>
  <c r="E398" i="36"/>
  <c r="G398" i="36" s="1"/>
  <c r="E421" i="36"/>
  <c r="G421" i="36" s="1"/>
  <c r="C314" i="37"/>
  <c r="E205" i="12"/>
  <c r="F89" i="37"/>
  <c r="AO65" i="37"/>
  <c r="G86" i="37" s="1"/>
  <c r="AU122" i="38"/>
  <c r="G142" i="38" s="1"/>
  <c r="AT122" i="38"/>
  <c r="C149" i="38" s="1"/>
  <c r="C123" i="38"/>
  <c r="D123" i="38" s="1"/>
  <c r="E123" i="38" s="1"/>
  <c r="F123" i="38" s="1"/>
  <c r="E66" i="38"/>
  <c r="C67" i="38" s="1"/>
  <c r="AM66" i="38"/>
  <c r="AN66" i="38" s="1"/>
  <c r="D66" i="37"/>
  <c r="B113" i="40" s="1"/>
  <c r="C113" i="40" s="1"/>
  <c r="D113" i="40" s="1"/>
  <c r="F65" i="37"/>
  <c r="G65" i="37" s="1"/>
  <c r="H65" i="37" s="1"/>
  <c r="C289" i="37" s="1"/>
  <c r="AS65" i="37"/>
  <c r="I122" i="37"/>
  <c r="AS122" i="37" s="1"/>
  <c r="H122" i="37"/>
  <c r="AR122" i="37" s="1"/>
  <c r="G122" i="37"/>
  <c r="AQ122" i="37" s="1"/>
  <c r="G162" i="37"/>
  <c r="G161" i="37"/>
  <c r="G157" i="37"/>
  <c r="G154" i="37"/>
  <c r="G158" i="37"/>
  <c r="G163" i="37"/>
  <c r="G156" i="37"/>
  <c r="G160" i="37"/>
  <c r="G159" i="37"/>
  <c r="G164" i="37"/>
  <c r="G152" i="37"/>
  <c r="G148" i="37"/>
  <c r="X148" i="37" s="1"/>
  <c r="E288" i="37" s="1"/>
  <c r="G155" i="37"/>
  <c r="G151" i="37"/>
  <c r="G153" i="37"/>
  <c r="G149" i="37"/>
  <c r="G150" i="37"/>
  <c r="Q91" i="40"/>
  <c r="R91" i="40" s="1"/>
  <c r="S91" i="40" s="1"/>
  <c r="N124" i="12"/>
  <c r="O124" i="12" s="1"/>
  <c r="P124" i="12" s="1"/>
  <c r="M68" i="12"/>
  <c r="O67" i="12"/>
  <c r="P67" i="12" s="1"/>
  <c r="Q67" i="12" s="1"/>
  <c r="C241" i="38"/>
  <c r="D241" i="38" s="1"/>
  <c r="E241" i="38" s="1"/>
  <c r="F241" i="38" s="1"/>
  <c r="I240" i="38"/>
  <c r="G240" i="38"/>
  <c r="H240" i="38"/>
  <c r="E185" i="38"/>
  <c r="C186" i="38" s="1"/>
  <c r="D186" i="38" s="1"/>
  <c r="E183" i="37"/>
  <c r="C184" i="37" s="1"/>
  <c r="D184" i="37" s="1"/>
  <c r="C239" i="37"/>
  <c r="D239" i="37" s="1"/>
  <c r="E239" i="37" s="1"/>
  <c r="F239" i="37" s="1"/>
  <c r="I238" i="37"/>
  <c r="H238" i="37"/>
  <c r="G238" i="37"/>
  <c r="E313" i="36"/>
  <c r="C372" i="36"/>
  <c r="E182" i="36"/>
  <c r="C183" i="36" s="1"/>
  <c r="D183" i="36" s="1"/>
  <c r="E66" i="36"/>
  <c r="AM66" i="36"/>
  <c r="AN66" i="36" s="1"/>
  <c r="C123" i="36"/>
  <c r="D123" i="36" s="1"/>
  <c r="E123" i="36" s="1"/>
  <c r="F123" i="36" s="1"/>
  <c r="G268" i="36"/>
  <c r="G266" i="36"/>
  <c r="G274" i="36"/>
  <c r="G269" i="36"/>
  <c r="G279" i="36"/>
  <c r="G278" i="36"/>
  <c r="G271" i="36"/>
  <c r="G265" i="36"/>
  <c r="G276" i="36"/>
  <c r="G277" i="36"/>
  <c r="G272" i="36"/>
  <c r="G267" i="36"/>
  <c r="G273" i="36"/>
  <c r="G275" i="36"/>
  <c r="G263" i="36"/>
  <c r="X263" i="36" s="1"/>
  <c r="H288" i="36" s="1"/>
  <c r="G264" i="36"/>
  <c r="G270" i="36"/>
  <c r="I237" i="36"/>
  <c r="AS237" i="36" s="1"/>
  <c r="G237" i="36"/>
  <c r="AQ237" i="36" s="1"/>
  <c r="H237" i="36"/>
  <c r="AR237" i="36" s="1"/>
  <c r="AM238" i="12"/>
  <c r="AL238" i="12"/>
  <c r="AK238" i="12"/>
  <c r="Q238" i="12"/>
  <c r="R238" i="12"/>
  <c r="S238" i="12"/>
  <c r="AF184" i="12"/>
  <c r="AD185" i="12" s="1"/>
  <c r="AE185" i="12" s="1"/>
  <c r="AH183" i="12"/>
  <c r="AS180" i="12"/>
  <c r="C181" i="12"/>
  <c r="D181" i="12" s="1"/>
  <c r="D236" i="12"/>
  <c r="E236" i="12" s="1"/>
  <c r="H235" i="12"/>
  <c r="AR235" i="12" s="1"/>
  <c r="G235" i="12"/>
  <c r="AQ235" i="12" s="1"/>
  <c r="I235" i="12"/>
  <c r="AS235" i="12" s="1"/>
  <c r="M998" i="4"/>
  <c r="S826" i="4"/>
  <c r="M776" i="4"/>
  <c r="S777" i="4"/>
  <c r="Y570" i="4"/>
  <c r="M570" i="4"/>
  <c r="G571" i="4"/>
  <c r="Y469" i="4"/>
  <c r="S471" i="4"/>
  <c r="AK383" i="4"/>
  <c r="AE384" i="4"/>
  <c r="Y384" i="4"/>
  <c r="M383" i="4"/>
  <c r="S304" i="4"/>
  <c r="S259" i="4"/>
  <c r="R259" i="4"/>
  <c r="P260" i="4" s="1"/>
  <c r="R826" i="4"/>
  <c r="P827" i="4" s="1"/>
  <c r="S827" i="4" s="1"/>
  <c r="X343" i="4"/>
  <c r="Y344" i="4" s="1"/>
  <c r="R963" i="4"/>
  <c r="P964" i="4" s="1"/>
  <c r="S964" i="4" s="1"/>
  <c r="L260" i="4"/>
  <c r="J261" i="4" s="1"/>
  <c r="M261" i="4" s="1"/>
  <c r="F571" i="4"/>
  <c r="G572" i="4" s="1"/>
  <c r="F997" i="4"/>
  <c r="D998" i="4" s="1"/>
  <c r="G998" i="4" s="1"/>
  <c r="F470" i="4"/>
  <c r="G471" i="4" s="1"/>
  <c r="R342" i="4"/>
  <c r="P343" i="4" s="1"/>
  <c r="S343" i="4" s="1"/>
  <c r="F342" i="4"/>
  <c r="D343" i="4" s="1"/>
  <c r="G343" i="4" s="1"/>
  <c r="F384" i="4"/>
  <c r="D385" i="4" s="1"/>
  <c r="L965" i="4"/>
  <c r="J966" i="4" s="1"/>
  <c r="M966" i="4" s="1"/>
  <c r="X384" i="4"/>
  <c r="V385" i="4" s="1"/>
  <c r="Y385" i="4" s="1"/>
  <c r="R722" i="4"/>
  <c r="P723" i="4" s="1"/>
  <c r="S723" i="4" s="1"/>
  <c r="X469" i="4"/>
  <c r="V470" i="4" s="1"/>
  <c r="Y470" i="4" s="1"/>
  <c r="R471" i="4"/>
  <c r="P472" i="4" s="1"/>
  <c r="S472" i="4" s="1"/>
  <c r="L301" i="4"/>
  <c r="J302" i="4" s="1"/>
  <c r="M302" i="4" s="1"/>
  <c r="R383" i="4"/>
  <c r="P384" i="4" s="1"/>
  <c r="S384" i="4" s="1"/>
  <c r="AJ383" i="4"/>
  <c r="AH384" i="4" s="1"/>
  <c r="F512" i="4"/>
  <c r="D513" i="4" s="1"/>
  <c r="G513" i="4" s="1"/>
  <c r="F628" i="4"/>
  <c r="D629" i="4" s="1"/>
  <c r="G629" i="4" s="1"/>
  <c r="X570" i="4"/>
  <c r="V571" i="4" s="1"/>
  <c r="L570" i="4"/>
  <c r="J571" i="4" s="1"/>
  <c r="R571" i="4"/>
  <c r="P572" i="4" s="1"/>
  <c r="S572" i="4" s="1"/>
  <c r="L826" i="4"/>
  <c r="J827" i="4" s="1"/>
  <c r="M827" i="4" s="1"/>
  <c r="X259" i="4"/>
  <c r="V260" i="4" s="1"/>
  <c r="F259" i="4"/>
  <c r="D260" i="4" s="1"/>
  <c r="AD384" i="4"/>
  <c r="AB385" i="4" s="1"/>
  <c r="AE385" i="4" s="1"/>
  <c r="F827" i="4"/>
  <c r="D828" i="4" s="1"/>
  <c r="G828" i="4" s="1"/>
  <c r="L383" i="4"/>
  <c r="J384" i="4" s="1"/>
  <c r="F722" i="4"/>
  <c r="D723" i="4" s="1"/>
  <c r="G723" i="4" s="1"/>
  <c r="F776" i="4"/>
  <c r="D777" i="4" s="1"/>
  <c r="G777" i="4" s="1"/>
  <c r="L471" i="4"/>
  <c r="J472" i="4" s="1"/>
  <c r="L998" i="4"/>
  <c r="J999" i="4" s="1"/>
  <c r="R777" i="4"/>
  <c r="P778" i="4" s="1"/>
  <c r="L776" i="4"/>
  <c r="J777" i="4" s="1"/>
  <c r="R304" i="4"/>
  <c r="P305" i="4" s="1"/>
  <c r="AD260" i="4"/>
  <c r="AB261" i="4" s="1"/>
  <c r="AE261" i="4" s="1"/>
  <c r="O183" i="36" l="1"/>
  <c r="P183" i="36" s="1"/>
  <c r="Q183" i="36" s="1"/>
  <c r="N184" i="36"/>
  <c r="L185" i="36" s="1"/>
  <c r="M185" i="36" s="1"/>
  <c r="G89" i="40" s="1"/>
  <c r="H89" i="40" s="1"/>
  <c r="I89" i="40" s="1"/>
  <c r="M240" i="36"/>
  <c r="N240" i="36" s="1"/>
  <c r="O240" i="36" s="1"/>
  <c r="P240" i="36" s="1"/>
  <c r="AG239" i="37"/>
  <c r="AF183" i="37"/>
  <c r="AD184" i="37" s="1"/>
  <c r="AE184" i="37" s="1"/>
  <c r="Q138" i="40" s="1"/>
  <c r="R138" i="40" s="1"/>
  <c r="S138" i="40" s="1"/>
  <c r="AG124" i="37"/>
  <c r="AF67" i="37"/>
  <c r="AG67" i="37" s="1"/>
  <c r="M125" i="12"/>
  <c r="G15" i="40"/>
  <c r="H15" i="40" s="1"/>
  <c r="I15" i="40" s="1"/>
  <c r="W238" i="12"/>
  <c r="X238" i="12" s="1"/>
  <c r="Y238" i="12" s="1"/>
  <c r="Z238" i="12" s="1"/>
  <c r="AB238" i="12" s="1"/>
  <c r="L36" i="40"/>
  <c r="M36" i="40" s="1"/>
  <c r="N36" i="40" s="1"/>
  <c r="M240" i="12"/>
  <c r="G38" i="40"/>
  <c r="H38" i="40" s="1"/>
  <c r="I38" i="40" s="1"/>
  <c r="N182" i="38"/>
  <c r="L183" i="38" s="1"/>
  <c r="M183" i="38" s="1"/>
  <c r="G186" i="40"/>
  <c r="H186" i="40" s="1"/>
  <c r="I186" i="40" s="1"/>
  <c r="H212" i="37"/>
  <c r="G267" i="38"/>
  <c r="G278" i="38"/>
  <c r="G272" i="38"/>
  <c r="G269" i="38"/>
  <c r="G277" i="38"/>
  <c r="G265" i="38"/>
  <c r="G263" i="38"/>
  <c r="X263" i="38" s="1"/>
  <c r="H288" i="38" s="1"/>
  <c r="N288" i="38" s="1"/>
  <c r="C373" i="38" s="1"/>
  <c r="G270" i="38"/>
  <c r="G273" i="38"/>
  <c r="G266" i="38"/>
  <c r="G279" i="38"/>
  <c r="G276" i="38"/>
  <c r="G274" i="38"/>
  <c r="G264" i="38"/>
  <c r="G268" i="38"/>
  <c r="G271" i="38"/>
  <c r="E421" i="38"/>
  <c r="G421" i="38" s="1"/>
  <c r="AK123" i="38"/>
  <c r="AM123" i="38"/>
  <c r="AL123" i="38"/>
  <c r="AG67" i="38"/>
  <c r="AD68" i="38"/>
  <c r="AE68" i="38" s="1"/>
  <c r="Q165" i="40" s="1"/>
  <c r="R165" i="40" s="1"/>
  <c r="S165" i="40" s="1"/>
  <c r="AH181" i="38"/>
  <c r="AH237" i="38" s="1"/>
  <c r="AI237" i="38" s="1"/>
  <c r="AJ237" i="38" s="1"/>
  <c r="AI66" i="38"/>
  <c r="G218" i="38"/>
  <c r="G223" i="38"/>
  <c r="G221" i="38"/>
  <c r="G219" i="38"/>
  <c r="G222" i="38"/>
  <c r="G224" i="38"/>
  <c r="G211" i="38"/>
  <c r="G215" i="38"/>
  <c r="G214" i="38"/>
  <c r="G220" i="38"/>
  <c r="G204" i="38"/>
  <c r="H201" i="38" s="1"/>
  <c r="G203" i="38"/>
  <c r="G217" i="38"/>
  <c r="U68" i="38"/>
  <c r="V68" i="38" s="1"/>
  <c r="L165" i="40" s="1"/>
  <c r="M165" i="40" s="1"/>
  <c r="N165" i="40" s="1"/>
  <c r="X67" i="38"/>
  <c r="Y67" i="38" s="1"/>
  <c r="Z67" i="38" s="1"/>
  <c r="AA124" i="38"/>
  <c r="AB124" i="38"/>
  <c r="AC124" i="38"/>
  <c r="G212" i="38"/>
  <c r="G226" i="38"/>
  <c r="G227" i="38"/>
  <c r="G210" i="38"/>
  <c r="G213" i="38"/>
  <c r="G216" i="38"/>
  <c r="G208" i="38"/>
  <c r="G209" i="38"/>
  <c r="M238" i="38"/>
  <c r="N238" i="38" s="1"/>
  <c r="O238" i="38" s="1"/>
  <c r="P238" i="38" s="1"/>
  <c r="M124" i="38"/>
  <c r="N124" i="38" s="1"/>
  <c r="O124" i="38" s="1"/>
  <c r="P124" i="38" s="1"/>
  <c r="N67" i="38"/>
  <c r="N288" i="36"/>
  <c r="AU122" i="36"/>
  <c r="G142" i="36" s="1"/>
  <c r="H151" i="36" s="1"/>
  <c r="AT237" i="37"/>
  <c r="C264" i="37" s="1"/>
  <c r="AU237" i="37"/>
  <c r="G257" i="37" s="1"/>
  <c r="H279" i="37" s="1"/>
  <c r="AT122" i="36"/>
  <c r="C149" i="36" s="1"/>
  <c r="AK123" i="12"/>
  <c r="AM123" i="12"/>
  <c r="AM123" i="36"/>
  <c r="AK123" i="36"/>
  <c r="AL123" i="36"/>
  <c r="AI66" i="12"/>
  <c r="AI66" i="37"/>
  <c r="AM123" i="37"/>
  <c r="AL123" i="37"/>
  <c r="AK123" i="37"/>
  <c r="W124" i="12"/>
  <c r="X124" i="12" s="1"/>
  <c r="Y124" i="12" s="1"/>
  <c r="Z124" i="12" s="1"/>
  <c r="W67" i="12"/>
  <c r="AI66" i="36"/>
  <c r="AD68" i="36"/>
  <c r="AE68" i="36" s="1"/>
  <c r="Q65" i="40" s="1"/>
  <c r="R65" i="40" s="1"/>
  <c r="S65" i="40" s="1"/>
  <c r="AG67" i="36"/>
  <c r="C67" i="36"/>
  <c r="D67" i="36" s="1"/>
  <c r="B64" i="40" s="1"/>
  <c r="C64" i="40" s="1"/>
  <c r="D64" i="40" s="1"/>
  <c r="AG124" i="12"/>
  <c r="AF67" i="12"/>
  <c r="O183" i="12"/>
  <c r="P183" i="12" s="1"/>
  <c r="Q183" i="12" s="1"/>
  <c r="W182" i="12"/>
  <c r="U183" i="12" s="1"/>
  <c r="N288" i="37"/>
  <c r="C373" i="37" s="1"/>
  <c r="W183" i="37"/>
  <c r="U184" i="37" s="1"/>
  <c r="V184" i="37" s="1"/>
  <c r="W239" i="37"/>
  <c r="W184" i="36"/>
  <c r="U185" i="36" s="1"/>
  <c r="V185" i="36" s="1"/>
  <c r="W240" i="36"/>
  <c r="S238" i="37"/>
  <c r="R238" i="37"/>
  <c r="Q238" i="37"/>
  <c r="L183" i="37"/>
  <c r="M183" i="37" s="1"/>
  <c r="O182" i="37"/>
  <c r="P182" i="37" s="1"/>
  <c r="Q182" i="37" s="1"/>
  <c r="F290" i="37" s="1"/>
  <c r="AS182" i="37"/>
  <c r="AF187" i="36"/>
  <c r="AD188" i="36" s="1"/>
  <c r="AE188" i="36" s="1"/>
  <c r="AG243" i="36"/>
  <c r="W67" i="36"/>
  <c r="U68" i="36" s="1"/>
  <c r="W124" i="36"/>
  <c r="X124" i="36" s="1"/>
  <c r="Y124" i="36" s="1"/>
  <c r="Z124" i="36" s="1"/>
  <c r="N67" i="36"/>
  <c r="L68" i="36" s="1"/>
  <c r="M124" i="36"/>
  <c r="N124" i="36" s="1"/>
  <c r="O124" i="36" s="1"/>
  <c r="P124" i="36" s="1"/>
  <c r="N68" i="37"/>
  <c r="L69" i="37" s="1"/>
  <c r="M125" i="37"/>
  <c r="N125" i="37" s="1"/>
  <c r="O125" i="37" s="1"/>
  <c r="P125" i="37" s="1"/>
  <c r="W68" i="37"/>
  <c r="U69" i="37" s="1"/>
  <c r="W125" i="37"/>
  <c r="X125" i="37" s="1"/>
  <c r="Y125" i="37" s="1"/>
  <c r="Z125" i="37" s="1"/>
  <c r="G221" i="36"/>
  <c r="AC238" i="37"/>
  <c r="AB238" i="37"/>
  <c r="AA238" i="37"/>
  <c r="AA239" i="36"/>
  <c r="AB239" i="36"/>
  <c r="AC239" i="36"/>
  <c r="S240" i="36"/>
  <c r="R240" i="36"/>
  <c r="Q240" i="36"/>
  <c r="G102" i="36"/>
  <c r="AM242" i="36"/>
  <c r="AL242" i="36"/>
  <c r="AK242" i="36"/>
  <c r="G108" i="36"/>
  <c r="G92" i="36"/>
  <c r="G104" i="36"/>
  <c r="G110" i="36"/>
  <c r="G111" i="36"/>
  <c r="G96" i="36"/>
  <c r="G105" i="36"/>
  <c r="G98" i="36"/>
  <c r="G101" i="36"/>
  <c r="G93" i="36"/>
  <c r="G88" i="36"/>
  <c r="H85" i="36" s="1"/>
  <c r="G103" i="36"/>
  <c r="G100" i="36"/>
  <c r="G95" i="36"/>
  <c r="G94" i="36"/>
  <c r="G106" i="36"/>
  <c r="G99" i="36"/>
  <c r="R124" i="12"/>
  <c r="Q124" i="12"/>
  <c r="S124" i="12"/>
  <c r="G109" i="36"/>
  <c r="G97" i="36"/>
  <c r="G87" i="36"/>
  <c r="D398" i="37"/>
  <c r="F398" i="37" s="1"/>
  <c r="D421" i="37"/>
  <c r="F421" i="37" s="1"/>
  <c r="E397" i="12"/>
  <c r="G397" i="12" s="1"/>
  <c r="E420" i="12"/>
  <c r="G420" i="12" s="1"/>
  <c r="F222" i="12"/>
  <c r="F215" i="12"/>
  <c r="F221" i="12"/>
  <c r="F216" i="12"/>
  <c r="F226" i="12"/>
  <c r="F225" i="12"/>
  <c r="F212" i="12"/>
  <c r="F214" i="12"/>
  <c r="F209" i="12"/>
  <c r="F204" i="12"/>
  <c r="G201" i="12" s="1"/>
  <c r="F220" i="12"/>
  <c r="F210" i="12"/>
  <c r="F203" i="12"/>
  <c r="F211" i="12"/>
  <c r="F227" i="12"/>
  <c r="F217" i="12"/>
  <c r="F218" i="12"/>
  <c r="F224" i="12"/>
  <c r="F213" i="12"/>
  <c r="F223" i="12"/>
  <c r="H85" i="38"/>
  <c r="F208" i="12"/>
  <c r="G95" i="38"/>
  <c r="G101" i="38"/>
  <c r="G103" i="38"/>
  <c r="G105" i="38"/>
  <c r="G111" i="38"/>
  <c r="G110" i="38"/>
  <c r="G106" i="38"/>
  <c r="G99" i="38"/>
  <c r="G94" i="38"/>
  <c r="G92" i="38"/>
  <c r="G98" i="38"/>
  <c r="G108" i="38"/>
  <c r="G87" i="38"/>
  <c r="G89" i="38" s="1"/>
  <c r="G93" i="38"/>
  <c r="G97" i="38"/>
  <c r="G102" i="38"/>
  <c r="G104" i="38"/>
  <c r="G109" i="38"/>
  <c r="G96" i="38"/>
  <c r="G100" i="38"/>
  <c r="G107" i="38"/>
  <c r="AI186" i="36"/>
  <c r="AO66" i="36"/>
  <c r="AO66" i="38"/>
  <c r="G100" i="37"/>
  <c r="G109" i="37"/>
  <c r="G102" i="37"/>
  <c r="G94" i="37"/>
  <c r="G88" i="37"/>
  <c r="H85" i="37" s="1"/>
  <c r="G87" i="37"/>
  <c r="G111" i="37"/>
  <c r="G95" i="37"/>
  <c r="G92" i="37"/>
  <c r="G108" i="37"/>
  <c r="G98" i="37"/>
  <c r="G96" i="37"/>
  <c r="G104" i="37"/>
  <c r="G93" i="37"/>
  <c r="G99" i="37"/>
  <c r="G106" i="37"/>
  <c r="G97" i="37"/>
  <c r="G101" i="37"/>
  <c r="G107" i="37"/>
  <c r="G105" i="37"/>
  <c r="G110" i="37"/>
  <c r="G103" i="37"/>
  <c r="M289" i="37"/>
  <c r="B374" i="37" s="1"/>
  <c r="G62" i="31" s="1"/>
  <c r="E66" i="37"/>
  <c r="C67" i="37" s="1"/>
  <c r="C123" i="37"/>
  <c r="D123" i="37" s="1"/>
  <c r="E123" i="37" s="1"/>
  <c r="F123" i="37" s="1"/>
  <c r="AM66" i="37"/>
  <c r="AN66" i="37" s="1"/>
  <c r="AT122" i="37"/>
  <c r="C149" i="37" s="1"/>
  <c r="AU122" i="37"/>
  <c r="G142" i="37" s="1"/>
  <c r="AS66" i="38"/>
  <c r="F66" i="38"/>
  <c r="G66" i="38" s="1"/>
  <c r="H66" i="38" s="1"/>
  <c r="D67" i="38"/>
  <c r="B164" i="40" s="1"/>
  <c r="C164" i="40" s="1"/>
  <c r="D164" i="40" s="1"/>
  <c r="I123" i="38"/>
  <c r="H123" i="38"/>
  <c r="G123" i="38"/>
  <c r="H154" i="38"/>
  <c r="H153" i="38"/>
  <c r="H158" i="38"/>
  <c r="H152" i="38"/>
  <c r="H149" i="38"/>
  <c r="X149" i="38" s="1"/>
  <c r="E289" i="38" s="1"/>
  <c r="H151" i="38"/>
  <c r="H160" i="38"/>
  <c r="H155" i="38"/>
  <c r="H156" i="38"/>
  <c r="H163" i="38"/>
  <c r="H164" i="38"/>
  <c r="H162" i="38"/>
  <c r="H159" i="38"/>
  <c r="H161" i="38"/>
  <c r="H157" i="38"/>
  <c r="H150" i="38"/>
  <c r="N184" i="12"/>
  <c r="N68" i="12"/>
  <c r="L69" i="12" s="1"/>
  <c r="F185" i="38"/>
  <c r="G185" i="38" s="1"/>
  <c r="H185" i="38" s="1"/>
  <c r="B190" i="40"/>
  <c r="C190" i="40" s="1"/>
  <c r="D190" i="40" s="1"/>
  <c r="G241" i="38"/>
  <c r="H241" i="38"/>
  <c r="I241" i="38"/>
  <c r="H219" i="37"/>
  <c r="H225" i="37"/>
  <c r="H216" i="37"/>
  <c r="H221" i="37"/>
  <c r="H226" i="37"/>
  <c r="H220" i="37"/>
  <c r="H211" i="37"/>
  <c r="H210" i="37"/>
  <c r="H227" i="37"/>
  <c r="H204" i="37"/>
  <c r="I201" i="37" s="1"/>
  <c r="H218" i="37"/>
  <c r="H209" i="37"/>
  <c r="H217" i="37"/>
  <c r="H215" i="37"/>
  <c r="H208" i="37"/>
  <c r="H223" i="37"/>
  <c r="H222" i="37"/>
  <c r="H213" i="37"/>
  <c r="H214" i="37"/>
  <c r="I239" i="37"/>
  <c r="G239" i="37"/>
  <c r="H239" i="37"/>
  <c r="B138" i="40"/>
  <c r="C138" i="40" s="1"/>
  <c r="D138" i="40" s="1"/>
  <c r="F183" i="37"/>
  <c r="G183" i="37" s="1"/>
  <c r="H183" i="37" s="1"/>
  <c r="C315" i="36"/>
  <c r="B374" i="36"/>
  <c r="G35" i="31" s="1"/>
  <c r="F182" i="36"/>
  <c r="G182" i="36" s="1"/>
  <c r="H182" i="36" s="1"/>
  <c r="F290" i="36" s="1"/>
  <c r="B87" i="40"/>
  <c r="C87" i="40" s="1"/>
  <c r="D87" i="40" s="1"/>
  <c r="AS182" i="36"/>
  <c r="AT237" i="36"/>
  <c r="C264" i="36" s="1"/>
  <c r="AU237" i="36"/>
  <c r="G257" i="36" s="1"/>
  <c r="F66" i="36"/>
  <c r="G66" i="36" s="1"/>
  <c r="H66" i="36" s="1"/>
  <c r="AS66" i="36"/>
  <c r="H123" i="36"/>
  <c r="G123" i="36"/>
  <c r="I123" i="36"/>
  <c r="AM182" i="36"/>
  <c r="AN182" i="36" s="1"/>
  <c r="C238" i="36"/>
  <c r="D238" i="36" s="1"/>
  <c r="E238" i="36" s="1"/>
  <c r="F238" i="36" s="1"/>
  <c r="R239" i="12"/>
  <c r="Q239" i="12"/>
  <c r="S239" i="12"/>
  <c r="AH239" i="12"/>
  <c r="AI239" i="12" s="1"/>
  <c r="AJ239" i="12" s="1"/>
  <c r="AG184" i="12"/>
  <c r="AI183" i="12"/>
  <c r="F236" i="12"/>
  <c r="AT235" i="12"/>
  <c r="C262" i="12" s="1"/>
  <c r="AU235" i="12"/>
  <c r="E257" i="12" s="1"/>
  <c r="M999" i="4"/>
  <c r="M777" i="4"/>
  <c r="S778" i="4"/>
  <c r="Y571" i="4"/>
  <c r="M571" i="4"/>
  <c r="M472" i="4"/>
  <c r="AK384" i="4"/>
  <c r="G385" i="4"/>
  <c r="M384" i="4"/>
  <c r="S305" i="4"/>
  <c r="Y260" i="4"/>
  <c r="S260" i="4"/>
  <c r="G260" i="4"/>
  <c r="R827" i="4"/>
  <c r="P828" i="4" s="1"/>
  <c r="S828" i="4" s="1"/>
  <c r="R260" i="4"/>
  <c r="P261" i="4" s="1"/>
  <c r="F998" i="4"/>
  <c r="G999" i="4" s="1"/>
  <c r="L261" i="4"/>
  <c r="J262" i="4" s="1"/>
  <c r="F260" i="4"/>
  <c r="G261" i="4" s="1"/>
  <c r="R964" i="4"/>
  <c r="P965" i="4" s="1"/>
  <c r="S965" i="4" s="1"/>
  <c r="R343" i="4"/>
  <c r="S344" i="4" s="1"/>
  <c r="L571" i="4"/>
  <c r="M572" i="4" s="1"/>
  <c r="L966" i="4"/>
  <c r="M967" i="4" s="1"/>
  <c r="F343" i="4"/>
  <c r="G344" i="4" s="1"/>
  <c r="F385" i="4"/>
  <c r="D386" i="4" s="1"/>
  <c r="G386" i="4" s="1"/>
  <c r="L302" i="4"/>
  <c r="J303" i="4" s="1"/>
  <c r="R472" i="4"/>
  <c r="P473" i="4" s="1"/>
  <c r="R723" i="4"/>
  <c r="P724" i="4" s="1"/>
  <c r="S724" i="4" s="1"/>
  <c r="X470" i="4"/>
  <c r="V471" i="4" s="1"/>
  <c r="Y471" i="4" s="1"/>
  <c r="AJ384" i="4"/>
  <c r="AH385" i="4" s="1"/>
  <c r="AK385" i="4" s="1"/>
  <c r="X385" i="4"/>
  <c r="V386" i="4" s="1"/>
  <c r="Y386" i="4" s="1"/>
  <c r="R384" i="4"/>
  <c r="P385" i="4" s="1"/>
  <c r="X260" i="4"/>
  <c r="V261" i="4" s="1"/>
  <c r="Y261" i="4" s="1"/>
  <c r="L384" i="4"/>
  <c r="J385" i="4" s="1"/>
  <c r="F513" i="4"/>
  <c r="D514" i="4" s="1"/>
  <c r="G514" i="4" s="1"/>
  <c r="R305" i="4"/>
  <c r="P306" i="4" s="1"/>
  <c r="L999" i="4"/>
  <c r="J1000" i="4" s="1"/>
  <c r="M1000" i="4" s="1"/>
  <c r="F723" i="4"/>
  <c r="D724" i="4" s="1"/>
  <c r="G724" i="4" s="1"/>
  <c r="AD385" i="4"/>
  <c r="AB386" i="4" s="1"/>
  <c r="F629" i="4"/>
  <c r="D630" i="4" s="1"/>
  <c r="G630" i="4" s="1"/>
  <c r="L472" i="4"/>
  <c r="J473" i="4" s="1"/>
  <c r="M473" i="4" s="1"/>
  <c r="L827" i="4"/>
  <c r="J828" i="4" s="1"/>
  <c r="M828" i="4" s="1"/>
  <c r="AD261" i="4"/>
  <c r="AB262" i="4" s="1"/>
  <c r="AE262" i="4" s="1"/>
  <c r="R778" i="4"/>
  <c r="P779" i="4" s="1"/>
  <c r="S779" i="4" s="1"/>
  <c r="F777" i="4"/>
  <c r="D778" i="4" s="1"/>
  <c r="G778" i="4" s="1"/>
  <c r="R572" i="4"/>
  <c r="P573" i="4" s="1"/>
  <c r="S573" i="4" s="1"/>
  <c r="X571" i="4"/>
  <c r="V572" i="4" s="1"/>
  <c r="L777" i="4"/>
  <c r="J778" i="4" s="1"/>
  <c r="M778" i="4" s="1"/>
  <c r="F828" i="4"/>
  <c r="D829" i="4" s="1"/>
  <c r="O184" i="36" l="1"/>
  <c r="P184" i="36" s="1"/>
  <c r="Q184" i="36" s="1"/>
  <c r="AG183" i="37"/>
  <c r="AH183" i="37" s="1"/>
  <c r="AH239" i="37" s="1"/>
  <c r="AI239" i="37" s="1"/>
  <c r="AJ239" i="37" s="1"/>
  <c r="AD68" i="37"/>
  <c r="AE68" i="37" s="1"/>
  <c r="Q115" i="40" s="1"/>
  <c r="R115" i="40" s="1"/>
  <c r="S115" i="40" s="1"/>
  <c r="AG240" i="37"/>
  <c r="AF184" i="37"/>
  <c r="AD185" i="37" s="1"/>
  <c r="AE185" i="37" s="1"/>
  <c r="Q139" i="40" s="1"/>
  <c r="R139" i="40" s="1"/>
  <c r="S139" i="40" s="1"/>
  <c r="M241" i="36"/>
  <c r="N241" i="36" s="1"/>
  <c r="O241" i="36" s="1"/>
  <c r="P241" i="36" s="1"/>
  <c r="Q241" i="36" s="1"/>
  <c r="N185" i="36"/>
  <c r="L186" i="36" s="1"/>
  <c r="M186" i="36" s="1"/>
  <c r="H203" i="37"/>
  <c r="H205" i="37" s="1"/>
  <c r="H224" i="37"/>
  <c r="V183" i="12"/>
  <c r="L37" i="40" s="1"/>
  <c r="M37" i="40" s="1"/>
  <c r="N37" i="40" s="1"/>
  <c r="AA238" i="12"/>
  <c r="AC238" i="12"/>
  <c r="O182" i="38"/>
  <c r="P182" i="38" s="1"/>
  <c r="Q182" i="38" s="1"/>
  <c r="C237" i="12"/>
  <c r="D237" i="12" s="1"/>
  <c r="E237" i="12" s="1"/>
  <c r="B35" i="40"/>
  <c r="C35" i="40" s="1"/>
  <c r="D35" i="40" s="1"/>
  <c r="AM9" i="40" s="1"/>
  <c r="W238" i="38"/>
  <c r="X238" i="38" s="1"/>
  <c r="Y238" i="38" s="1"/>
  <c r="Z238" i="38" s="1"/>
  <c r="L186" i="40"/>
  <c r="M186" i="40" s="1"/>
  <c r="N186" i="40" s="1"/>
  <c r="AG241" i="12"/>
  <c r="Q39" i="40"/>
  <c r="R39" i="40" s="1"/>
  <c r="S39" i="40" s="1"/>
  <c r="AM183" i="37"/>
  <c r="G137" i="40"/>
  <c r="H137" i="40" s="1"/>
  <c r="I137" i="40" s="1"/>
  <c r="AG238" i="38"/>
  <c r="Q186" i="40"/>
  <c r="R186" i="40" s="1"/>
  <c r="S186" i="40" s="1"/>
  <c r="AS123" i="38"/>
  <c r="C290" i="38"/>
  <c r="E314" i="38"/>
  <c r="AQ123" i="38"/>
  <c r="H150" i="36"/>
  <c r="H155" i="36"/>
  <c r="H149" i="36"/>
  <c r="X149" i="36" s="1"/>
  <c r="E289" i="36" s="1"/>
  <c r="H156" i="36"/>
  <c r="AI181" i="38"/>
  <c r="F289" i="38" s="1"/>
  <c r="M289" i="38" s="1"/>
  <c r="C315" i="38" s="1"/>
  <c r="G205" i="38"/>
  <c r="H152" i="36"/>
  <c r="AR123" i="38"/>
  <c r="AG125" i="38"/>
  <c r="AF68" i="38"/>
  <c r="AH67" i="38"/>
  <c r="AH124" i="38" s="1"/>
  <c r="AI124" i="38" s="1"/>
  <c r="AJ124" i="38" s="1"/>
  <c r="AF182" i="38"/>
  <c r="AL237" i="38"/>
  <c r="AR237" i="38" s="1"/>
  <c r="AM237" i="38"/>
  <c r="AS237" i="38" s="1"/>
  <c r="AK237" i="38"/>
  <c r="AQ237" i="38" s="1"/>
  <c r="H163" i="36"/>
  <c r="H160" i="36"/>
  <c r="H161" i="36"/>
  <c r="W182" i="38"/>
  <c r="AB238" i="38"/>
  <c r="AC238" i="38"/>
  <c r="AA238" i="38"/>
  <c r="W125" i="38"/>
  <c r="X125" i="38" s="1"/>
  <c r="Y125" i="38" s="1"/>
  <c r="Z125" i="38" s="1"/>
  <c r="W68" i="38"/>
  <c r="AM182" i="38"/>
  <c r="AN182" i="38" s="1"/>
  <c r="AO182" i="38" s="1"/>
  <c r="H202" i="38" s="1"/>
  <c r="H158" i="36"/>
  <c r="S238" i="38"/>
  <c r="Q238" i="38"/>
  <c r="R238" i="38"/>
  <c r="L68" i="38"/>
  <c r="M68" i="38" s="1"/>
  <c r="G165" i="40" s="1"/>
  <c r="H165" i="40" s="1"/>
  <c r="I165" i="40" s="1"/>
  <c r="O67" i="38"/>
  <c r="P67" i="38" s="1"/>
  <c r="Q67" i="38" s="1"/>
  <c r="S124" i="38"/>
  <c r="R124" i="38"/>
  <c r="Q124" i="38"/>
  <c r="H266" i="37"/>
  <c r="H265" i="37"/>
  <c r="H275" i="37"/>
  <c r="H277" i="37"/>
  <c r="H272" i="37"/>
  <c r="H276" i="37"/>
  <c r="H267" i="37"/>
  <c r="H268" i="37"/>
  <c r="H278" i="37"/>
  <c r="H274" i="37"/>
  <c r="H271" i="37"/>
  <c r="H273" i="37"/>
  <c r="H159" i="36"/>
  <c r="H154" i="36"/>
  <c r="H153" i="36"/>
  <c r="H269" i="37"/>
  <c r="H270" i="37"/>
  <c r="H162" i="36"/>
  <c r="H164" i="36"/>
  <c r="H157" i="36"/>
  <c r="H264" i="37"/>
  <c r="X264" i="37" s="1"/>
  <c r="H289" i="37" s="1"/>
  <c r="AQ123" i="36"/>
  <c r="H86" i="38"/>
  <c r="H88" i="38" s="1"/>
  <c r="AN183" i="37"/>
  <c r="AO183" i="37" s="1"/>
  <c r="I202" i="37" s="1"/>
  <c r="H86" i="36"/>
  <c r="H88" i="36" s="1"/>
  <c r="I85" i="36" s="1"/>
  <c r="AR123" i="36"/>
  <c r="AS123" i="36"/>
  <c r="C290" i="36"/>
  <c r="M290" i="36" s="1"/>
  <c r="AG187" i="36"/>
  <c r="AH187" i="36" s="1"/>
  <c r="AH243" i="36" s="1"/>
  <c r="AI243" i="36" s="1"/>
  <c r="AJ243" i="36" s="1"/>
  <c r="G219" i="36"/>
  <c r="U68" i="12"/>
  <c r="V68" i="12" s="1"/>
  <c r="L15" i="40" s="1"/>
  <c r="M15" i="40" s="1"/>
  <c r="N15" i="40" s="1"/>
  <c r="X67" i="12"/>
  <c r="Y67" i="12" s="1"/>
  <c r="Z67" i="12" s="1"/>
  <c r="G214" i="36"/>
  <c r="AH67" i="37"/>
  <c r="AH124" i="37" s="1"/>
  <c r="AI124" i="37" s="1"/>
  <c r="AJ124" i="37" s="1"/>
  <c r="AH67" i="36"/>
  <c r="AH124" i="36" s="1"/>
  <c r="AI124" i="36" s="1"/>
  <c r="AJ124" i="36" s="1"/>
  <c r="AG125" i="36"/>
  <c r="AF68" i="36"/>
  <c r="AD68" i="12"/>
  <c r="AE68" i="12" s="1"/>
  <c r="Q15" i="40" s="1"/>
  <c r="R15" i="40" s="1"/>
  <c r="S15" i="40" s="1"/>
  <c r="AG67" i="12"/>
  <c r="AH67" i="12" s="1"/>
  <c r="AH124" i="12" s="1"/>
  <c r="AI124" i="12" s="1"/>
  <c r="AJ124" i="12" s="1"/>
  <c r="AL124" i="12" s="1"/>
  <c r="G212" i="36"/>
  <c r="G225" i="36"/>
  <c r="G227" i="36"/>
  <c r="G218" i="36"/>
  <c r="G222" i="36"/>
  <c r="G223" i="36"/>
  <c r="G217" i="36"/>
  <c r="G209" i="36"/>
  <c r="G211" i="36"/>
  <c r="G216" i="36"/>
  <c r="G210" i="36"/>
  <c r="G226" i="36"/>
  <c r="G208" i="36"/>
  <c r="G220" i="36"/>
  <c r="G215" i="36"/>
  <c r="G203" i="36"/>
  <c r="G224" i="36"/>
  <c r="G204" i="36"/>
  <c r="H201" i="36" s="1"/>
  <c r="G213" i="36"/>
  <c r="X182" i="12"/>
  <c r="Y182" i="12" s="1"/>
  <c r="Z182" i="12" s="1"/>
  <c r="E314" i="37"/>
  <c r="X183" i="37"/>
  <c r="Y183" i="37" s="1"/>
  <c r="Z183" i="37" s="1"/>
  <c r="X184" i="36"/>
  <c r="Y184" i="36" s="1"/>
  <c r="Z184" i="36" s="1"/>
  <c r="S124" i="36"/>
  <c r="R124" i="36"/>
  <c r="Q124" i="36"/>
  <c r="E399" i="37"/>
  <c r="G399" i="37" s="1"/>
  <c r="E422" i="37"/>
  <c r="G422" i="37" s="1"/>
  <c r="S125" i="37"/>
  <c r="Q125" i="37"/>
  <c r="R125" i="37"/>
  <c r="M68" i="36"/>
  <c r="G65" i="40" s="1"/>
  <c r="H65" i="40" s="1"/>
  <c r="I65" i="40" s="1"/>
  <c r="O67" i="36"/>
  <c r="P67" i="36" s="1"/>
  <c r="Q67" i="36" s="1"/>
  <c r="AQ238" i="37"/>
  <c r="M69" i="37"/>
  <c r="G116" i="40" s="1"/>
  <c r="H116" i="40" s="1"/>
  <c r="I116" i="40" s="1"/>
  <c r="O68" i="37"/>
  <c r="P68" i="37" s="1"/>
  <c r="Q68" i="37" s="1"/>
  <c r="N183" i="37"/>
  <c r="M239" i="37"/>
  <c r="N239" i="37" s="1"/>
  <c r="O239" i="37" s="1"/>
  <c r="P239" i="37" s="1"/>
  <c r="AR238" i="37"/>
  <c r="AA124" i="36"/>
  <c r="AC124" i="36"/>
  <c r="AB124" i="36"/>
  <c r="AS238" i="37"/>
  <c r="V68" i="36"/>
  <c r="L65" i="40" s="1"/>
  <c r="M65" i="40" s="1"/>
  <c r="N65" i="40" s="1"/>
  <c r="X67" i="36"/>
  <c r="Y67" i="36" s="1"/>
  <c r="Z67" i="36" s="1"/>
  <c r="AC125" i="37"/>
  <c r="AA125" i="37"/>
  <c r="AB125" i="37"/>
  <c r="X68" i="37"/>
  <c r="Y68" i="37" s="1"/>
  <c r="Z68" i="37" s="1"/>
  <c r="V69" i="37"/>
  <c r="L116" i="40" s="1"/>
  <c r="M116" i="40" s="1"/>
  <c r="N116" i="40" s="1"/>
  <c r="L185" i="12"/>
  <c r="M185" i="12" s="1"/>
  <c r="AI183" i="37"/>
  <c r="AM239" i="37"/>
  <c r="AL239" i="37"/>
  <c r="AK239" i="37"/>
  <c r="L138" i="40"/>
  <c r="M138" i="40" s="1"/>
  <c r="N138" i="40" s="1"/>
  <c r="X239" i="37"/>
  <c r="Y239" i="37" s="1"/>
  <c r="Z239" i="37" s="1"/>
  <c r="X240" i="36"/>
  <c r="Y240" i="36" s="1"/>
  <c r="Z240" i="36" s="1"/>
  <c r="L89" i="40"/>
  <c r="M89" i="40" s="1"/>
  <c r="N89" i="40" s="1"/>
  <c r="AA124" i="12"/>
  <c r="AB124" i="12"/>
  <c r="AC124" i="12"/>
  <c r="S241" i="36"/>
  <c r="G89" i="36"/>
  <c r="E399" i="36"/>
  <c r="G399" i="36" s="1"/>
  <c r="E422" i="36"/>
  <c r="G422" i="36" s="1"/>
  <c r="D399" i="38"/>
  <c r="F399" i="38" s="1"/>
  <c r="D422" i="38"/>
  <c r="F422" i="38" s="1"/>
  <c r="D399" i="36"/>
  <c r="F399" i="36" s="1"/>
  <c r="D422" i="36"/>
  <c r="F422" i="36" s="1"/>
  <c r="F205" i="12"/>
  <c r="C315" i="37"/>
  <c r="AO182" i="36"/>
  <c r="O184" i="12"/>
  <c r="P184" i="12" s="1"/>
  <c r="Q184" i="12" s="1"/>
  <c r="G89" i="37"/>
  <c r="AO66" i="37"/>
  <c r="H86" i="37" s="1"/>
  <c r="AM181" i="12"/>
  <c r="AN181" i="12" s="1"/>
  <c r="E181" i="12"/>
  <c r="F181" i="12" s="1"/>
  <c r="G181" i="12" s="1"/>
  <c r="H181" i="12" s="1"/>
  <c r="F289" i="12" s="1"/>
  <c r="H154" i="37"/>
  <c r="H161" i="37"/>
  <c r="H156" i="37"/>
  <c r="H155" i="37"/>
  <c r="H151" i="37"/>
  <c r="H160" i="37"/>
  <c r="H158" i="37"/>
  <c r="H162" i="37"/>
  <c r="H150" i="37"/>
  <c r="H159" i="37"/>
  <c r="H163" i="37"/>
  <c r="H152" i="37"/>
  <c r="H153" i="37"/>
  <c r="H149" i="37"/>
  <c r="X149" i="37" s="1"/>
  <c r="E289" i="37" s="1"/>
  <c r="H164" i="37"/>
  <c r="H157" i="37"/>
  <c r="H123" i="37"/>
  <c r="AR123" i="37" s="1"/>
  <c r="I123" i="37"/>
  <c r="AS123" i="37" s="1"/>
  <c r="G123" i="37"/>
  <c r="AQ123" i="37" s="1"/>
  <c r="D67" i="37"/>
  <c r="B114" i="40" s="1"/>
  <c r="C114" i="40" s="1"/>
  <c r="D114" i="40" s="1"/>
  <c r="AS66" i="37"/>
  <c r="F66" i="37"/>
  <c r="G66" i="37" s="1"/>
  <c r="H66" i="37" s="1"/>
  <c r="C290" i="37" s="1"/>
  <c r="AM67" i="38"/>
  <c r="AN67" i="38" s="1"/>
  <c r="C124" i="38"/>
  <c r="D124" i="38" s="1"/>
  <c r="E124" i="38" s="1"/>
  <c r="F124" i="38" s="1"/>
  <c r="E67" i="38"/>
  <c r="C68" i="38" s="1"/>
  <c r="Q92" i="40"/>
  <c r="R92" i="40" s="1"/>
  <c r="S92" i="40" s="1"/>
  <c r="M69" i="12"/>
  <c r="N125" i="12"/>
  <c r="O125" i="12" s="1"/>
  <c r="P125" i="12" s="1"/>
  <c r="O68" i="12"/>
  <c r="P68" i="12" s="1"/>
  <c r="Q68" i="12" s="1"/>
  <c r="E186" i="38"/>
  <c r="C187" i="38" s="1"/>
  <c r="D187" i="38" s="1"/>
  <c r="E184" i="37"/>
  <c r="C185" i="37" s="1"/>
  <c r="D185" i="37" s="1"/>
  <c r="E314" i="36"/>
  <c r="C373" i="36"/>
  <c r="G238" i="36"/>
  <c r="AQ238" i="36" s="1"/>
  <c r="I238" i="36"/>
  <c r="AS238" i="36" s="1"/>
  <c r="H238" i="36"/>
  <c r="AR238" i="36" s="1"/>
  <c r="H279" i="36"/>
  <c r="H270" i="36"/>
  <c r="H275" i="36"/>
  <c r="H267" i="36"/>
  <c r="H276" i="36"/>
  <c r="H264" i="36"/>
  <c r="X264" i="36" s="1"/>
  <c r="H289" i="36" s="1"/>
  <c r="H277" i="36"/>
  <c r="H265" i="36"/>
  <c r="H278" i="36"/>
  <c r="H274" i="36"/>
  <c r="H268" i="36"/>
  <c r="H272" i="36"/>
  <c r="H269" i="36"/>
  <c r="H273" i="36"/>
  <c r="H271" i="36"/>
  <c r="H266" i="36"/>
  <c r="AM67" i="36"/>
  <c r="AN67" i="36" s="1"/>
  <c r="C124" i="36"/>
  <c r="D124" i="36" s="1"/>
  <c r="E124" i="36" s="1"/>
  <c r="F124" i="36" s="1"/>
  <c r="E67" i="36"/>
  <c r="E183" i="36"/>
  <c r="C184" i="36" s="1"/>
  <c r="D184" i="36" s="1"/>
  <c r="AM239" i="12"/>
  <c r="AK239" i="12"/>
  <c r="AL239" i="12"/>
  <c r="N240" i="12"/>
  <c r="O240" i="12" s="1"/>
  <c r="P240" i="12" s="1"/>
  <c r="AF185" i="12"/>
  <c r="AD186" i="12" s="1"/>
  <c r="AE186" i="12" s="1"/>
  <c r="AH184" i="12"/>
  <c r="F266" i="12"/>
  <c r="F274" i="12"/>
  <c r="F267" i="12"/>
  <c r="F275" i="12"/>
  <c r="F269" i="12"/>
  <c r="F279" i="12"/>
  <c r="F270" i="12"/>
  <c r="F271" i="12"/>
  <c r="F268" i="12"/>
  <c r="F278" i="12"/>
  <c r="F265" i="12"/>
  <c r="F272" i="12"/>
  <c r="F263" i="12"/>
  <c r="F264" i="12"/>
  <c r="F273" i="12"/>
  <c r="F276" i="12"/>
  <c r="F277" i="12"/>
  <c r="F262" i="12"/>
  <c r="X262" i="12" s="1"/>
  <c r="H287" i="12" s="1"/>
  <c r="G236" i="12"/>
  <c r="AQ236" i="12" s="1"/>
  <c r="H236" i="12"/>
  <c r="AR236" i="12" s="1"/>
  <c r="I236" i="12"/>
  <c r="AS236" i="12" s="1"/>
  <c r="G829" i="4"/>
  <c r="Y572" i="4"/>
  <c r="S473" i="4"/>
  <c r="AE386" i="4"/>
  <c r="S385" i="4"/>
  <c r="M385" i="4"/>
  <c r="S306" i="4"/>
  <c r="M303" i="4"/>
  <c r="S261" i="4"/>
  <c r="M262" i="4"/>
  <c r="R828" i="4"/>
  <c r="P829" i="4" s="1"/>
  <c r="R261" i="4"/>
  <c r="P262" i="4" s="1"/>
  <c r="L262" i="4"/>
  <c r="M263" i="4" s="1"/>
  <c r="R965" i="4"/>
  <c r="P966" i="4" s="1"/>
  <c r="S966" i="4" s="1"/>
  <c r="F386" i="4"/>
  <c r="D387" i="4" s="1"/>
  <c r="G387" i="4" s="1"/>
  <c r="R385" i="4"/>
  <c r="P386" i="4" s="1"/>
  <c r="R473" i="4"/>
  <c r="P474" i="4" s="1"/>
  <c r="S474" i="4" s="1"/>
  <c r="R724" i="4"/>
  <c r="P725" i="4" s="1"/>
  <c r="S725" i="4" s="1"/>
  <c r="X386" i="4"/>
  <c r="V387" i="4" s="1"/>
  <c r="Y387" i="4" s="1"/>
  <c r="AJ385" i="4"/>
  <c r="AH386" i="4" s="1"/>
  <c r="X471" i="4"/>
  <c r="V472" i="4" s="1"/>
  <c r="L303" i="4"/>
  <c r="J304" i="4" s="1"/>
  <c r="F829" i="4"/>
  <c r="D830" i="4" s="1"/>
  <c r="X572" i="4"/>
  <c r="V573" i="4" s="1"/>
  <c r="Y573" i="4" s="1"/>
  <c r="L828" i="4"/>
  <c r="J829" i="4" s="1"/>
  <c r="M829" i="4" s="1"/>
  <c r="F630" i="4"/>
  <c r="D631" i="4" s="1"/>
  <c r="G631" i="4" s="1"/>
  <c r="F514" i="4"/>
  <c r="D515" i="4" s="1"/>
  <c r="G515" i="4" s="1"/>
  <c r="AD262" i="4"/>
  <c r="AB263" i="4" s="1"/>
  <c r="AE263" i="4" s="1"/>
  <c r="L385" i="4"/>
  <c r="J386" i="4" s="1"/>
  <c r="M386" i="4" s="1"/>
  <c r="R306" i="4"/>
  <c r="P307" i="4" s="1"/>
  <c r="S307" i="4" s="1"/>
  <c r="AD386" i="4"/>
  <c r="AB387" i="4" s="1"/>
  <c r="AE387" i="4" s="1"/>
  <c r="R573" i="4"/>
  <c r="P574" i="4" s="1"/>
  <c r="S574" i="4" s="1"/>
  <c r="F778" i="4"/>
  <c r="D779" i="4" s="1"/>
  <c r="G779" i="4" s="1"/>
  <c r="L473" i="4"/>
  <c r="J474" i="4" s="1"/>
  <c r="L1000" i="4"/>
  <c r="J1001" i="4" s="1"/>
  <c r="X261" i="4"/>
  <c r="V262" i="4" s="1"/>
  <c r="R779" i="4"/>
  <c r="P780" i="4" s="1"/>
  <c r="L778" i="4"/>
  <c r="J779" i="4" s="1"/>
  <c r="F724" i="4"/>
  <c r="D725" i="4" s="1"/>
  <c r="G725" i="4" s="1"/>
  <c r="AG125" i="37" l="1"/>
  <c r="AH125" i="37" s="1"/>
  <c r="AI125" i="37" s="1"/>
  <c r="AJ125" i="37" s="1"/>
  <c r="R241" i="36"/>
  <c r="AF68" i="37"/>
  <c r="AG68" i="37" s="1"/>
  <c r="H202" i="36"/>
  <c r="W239" i="12"/>
  <c r="X239" i="12" s="1"/>
  <c r="Y239" i="12" s="1"/>
  <c r="Z239" i="12" s="1"/>
  <c r="AG184" i="37"/>
  <c r="AH184" i="37" s="1"/>
  <c r="AH240" i="37" s="1"/>
  <c r="AI240" i="37" s="1"/>
  <c r="AJ240" i="37" s="1"/>
  <c r="W183" i="12"/>
  <c r="U184" i="12" s="1"/>
  <c r="V184" i="12" s="1"/>
  <c r="G90" i="40"/>
  <c r="H90" i="40" s="1"/>
  <c r="I90" i="40" s="1"/>
  <c r="N186" i="36"/>
  <c r="L187" i="36" s="1"/>
  <c r="M187" i="36" s="1"/>
  <c r="O185" i="36"/>
  <c r="P185" i="36" s="1"/>
  <c r="Q185" i="36" s="1"/>
  <c r="M242" i="36"/>
  <c r="N242" i="36" s="1"/>
  <c r="O242" i="36" s="1"/>
  <c r="P242" i="36" s="1"/>
  <c r="F237" i="12"/>
  <c r="G237" i="12" s="1"/>
  <c r="AQ237" i="12" s="1"/>
  <c r="M241" i="12"/>
  <c r="G39" i="40"/>
  <c r="H39" i="40" s="1"/>
  <c r="I39" i="40" s="1"/>
  <c r="N183" i="38"/>
  <c r="L184" i="38" s="1"/>
  <c r="M184" i="38" s="1"/>
  <c r="G187" i="40"/>
  <c r="H187" i="40" s="1"/>
  <c r="I187" i="40" s="1"/>
  <c r="M126" i="12"/>
  <c r="G16" i="40"/>
  <c r="H16" i="40" s="1"/>
  <c r="I16" i="40" s="1"/>
  <c r="I204" i="37"/>
  <c r="J201" i="37" s="1"/>
  <c r="H204" i="36"/>
  <c r="I201" i="36" s="1"/>
  <c r="AT123" i="38"/>
  <c r="C150" i="38" s="1"/>
  <c r="B374" i="38"/>
  <c r="G89" i="31" s="1"/>
  <c r="AU123" i="38"/>
  <c r="H142" i="38" s="1"/>
  <c r="I153" i="38" s="1"/>
  <c r="AD183" i="38"/>
  <c r="AE183" i="38" s="1"/>
  <c r="AG182" i="38"/>
  <c r="AI67" i="38"/>
  <c r="AK124" i="38"/>
  <c r="AM124" i="38"/>
  <c r="AL124" i="38"/>
  <c r="AD69" i="38"/>
  <c r="AE69" i="38" s="1"/>
  <c r="Q166" i="40" s="1"/>
  <c r="R166" i="40" s="1"/>
  <c r="S166" i="40" s="1"/>
  <c r="AG68" i="38"/>
  <c r="AT237" i="38"/>
  <c r="C264" i="38" s="1"/>
  <c r="AU237" i="38"/>
  <c r="G257" i="38" s="1"/>
  <c r="U69" i="38"/>
  <c r="V69" i="38" s="1"/>
  <c r="L166" i="40" s="1"/>
  <c r="M166" i="40" s="1"/>
  <c r="N166" i="40" s="1"/>
  <c r="X68" i="38"/>
  <c r="Y68" i="38" s="1"/>
  <c r="Z68" i="38" s="1"/>
  <c r="AC125" i="38"/>
  <c r="AB125" i="38"/>
  <c r="AA125" i="38"/>
  <c r="U183" i="38"/>
  <c r="V183" i="38" s="1"/>
  <c r="X182" i="38"/>
  <c r="Y182" i="38" s="1"/>
  <c r="Z182" i="38" s="1"/>
  <c r="AS182" i="38"/>
  <c r="N289" i="36"/>
  <c r="M125" i="38"/>
  <c r="N125" i="38" s="1"/>
  <c r="O125" i="38" s="1"/>
  <c r="P125" i="38" s="1"/>
  <c r="N68" i="38"/>
  <c r="M239" i="38"/>
  <c r="N239" i="38" s="1"/>
  <c r="O239" i="38" s="1"/>
  <c r="P239" i="38" s="1"/>
  <c r="H221" i="38"/>
  <c r="H216" i="38"/>
  <c r="H212" i="38"/>
  <c r="H218" i="38"/>
  <c r="H209" i="38"/>
  <c r="H203" i="38"/>
  <c r="H215" i="38"/>
  <c r="H213" i="38"/>
  <c r="H223" i="38"/>
  <c r="H211" i="38"/>
  <c r="H214" i="38"/>
  <c r="H217" i="38"/>
  <c r="H219" i="38"/>
  <c r="H224" i="38"/>
  <c r="H220" i="38"/>
  <c r="H208" i="38"/>
  <c r="H226" i="38"/>
  <c r="H225" i="38"/>
  <c r="H227" i="38"/>
  <c r="H210" i="38"/>
  <c r="H222" i="38"/>
  <c r="H204" i="38"/>
  <c r="AT123" i="36"/>
  <c r="C150" i="36" s="1"/>
  <c r="N289" i="37"/>
  <c r="E315" i="37" s="1"/>
  <c r="AU123" i="36"/>
  <c r="H142" i="36" s="1"/>
  <c r="I160" i="36" s="1"/>
  <c r="AM124" i="36"/>
  <c r="AL124" i="36"/>
  <c r="AK124" i="36"/>
  <c r="AI67" i="36"/>
  <c r="AL124" i="37"/>
  <c r="AM124" i="37"/>
  <c r="AK124" i="37"/>
  <c r="AL125" i="37"/>
  <c r="AM125" i="37"/>
  <c r="AK125" i="37"/>
  <c r="AI67" i="37"/>
  <c r="W125" i="12"/>
  <c r="X125" i="12" s="1"/>
  <c r="Y125" i="12" s="1"/>
  <c r="Z125" i="12" s="1"/>
  <c r="W68" i="12"/>
  <c r="AI67" i="12"/>
  <c r="G205" i="36"/>
  <c r="AK124" i="12"/>
  <c r="AD69" i="37"/>
  <c r="AE69" i="37" s="1"/>
  <c r="Q116" i="40" s="1"/>
  <c r="R116" i="40" s="1"/>
  <c r="S116" i="40" s="1"/>
  <c r="AD69" i="36"/>
  <c r="AE69" i="36" s="1"/>
  <c r="Q66" i="40" s="1"/>
  <c r="R66" i="40" s="1"/>
  <c r="S66" i="40" s="1"/>
  <c r="AG68" i="36"/>
  <c r="C68" i="36"/>
  <c r="D68" i="36" s="1"/>
  <c r="B65" i="40" s="1"/>
  <c r="C65" i="40" s="1"/>
  <c r="D65" i="40" s="1"/>
  <c r="AM124" i="12"/>
  <c r="AG125" i="12"/>
  <c r="AF68" i="12"/>
  <c r="AU238" i="37"/>
  <c r="H257" i="37" s="1"/>
  <c r="I269" i="37" s="1"/>
  <c r="AT238" i="37"/>
  <c r="C265" i="37" s="1"/>
  <c r="M126" i="37"/>
  <c r="N126" i="37" s="1"/>
  <c r="O126" i="37" s="1"/>
  <c r="P126" i="37" s="1"/>
  <c r="N69" i="37"/>
  <c r="L70" i="37" s="1"/>
  <c r="W184" i="37"/>
  <c r="U185" i="37" s="1"/>
  <c r="V185" i="37" s="1"/>
  <c r="W240" i="37"/>
  <c r="AF185" i="37"/>
  <c r="AD186" i="37" s="1"/>
  <c r="AE186" i="37" s="1"/>
  <c r="AG241" i="37"/>
  <c r="W185" i="36"/>
  <c r="U186" i="36" s="1"/>
  <c r="V186" i="36" s="1"/>
  <c r="W241" i="36"/>
  <c r="W68" i="36"/>
  <c r="U69" i="36" s="1"/>
  <c r="W125" i="36"/>
  <c r="X125" i="36" s="1"/>
  <c r="Y125" i="36" s="1"/>
  <c r="Z125" i="36" s="1"/>
  <c r="N68" i="36"/>
  <c r="L69" i="36" s="1"/>
  <c r="M125" i="36"/>
  <c r="N125" i="36" s="1"/>
  <c r="O125" i="36" s="1"/>
  <c r="P125" i="36" s="1"/>
  <c r="AC239" i="12"/>
  <c r="AB239" i="12"/>
  <c r="AA239" i="12"/>
  <c r="AF188" i="36"/>
  <c r="AD189" i="36" s="1"/>
  <c r="AE189" i="36" s="1"/>
  <c r="AG244" i="36"/>
  <c r="R239" i="37"/>
  <c r="Q239" i="37"/>
  <c r="S239" i="37"/>
  <c r="L184" i="37"/>
  <c r="M184" i="37" s="1"/>
  <c r="O183" i="37"/>
  <c r="P183" i="37" s="1"/>
  <c r="Q183" i="37" s="1"/>
  <c r="F291" i="37" s="1"/>
  <c r="AS183" i="37"/>
  <c r="W69" i="37"/>
  <c r="U70" i="37" s="1"/>
  <c r="W126" i="37"/>
  <c r="X126" i="37" s="1"/>
  <c r="Y126" i="37" s="1"/>
  <c r="Z126" i="37" s="1"/>
  <c r="AL240" i="37"/>
  <c r="AM240" i="37"/>
  <c r="AK240" i="37"/>
  <c r="AB239" i="37"/>
  <c r="AA239" i="37"/>
  <c r="AC239" i="37"/>
  <c r="AA240" i="36"/>
  <c r="AB240" i="36"/>
  <c r="AC240" i="36"/>
  <c r="R242" i="36"/>
  <c r="S242" i="36"/>
  <c r="Q242" i="36"/>
  <c r="AM243" i="36"/>
  <c r="AK243" i="36"/>
  <c r="AL243" i="36"/>
  <c r="H103" i="36"/>
  <c r="H97" i="36"/>
  <c r="H111" i="36"/>
  <c r="H95" i="36"/>
  <c r="H99" i="36"/>
  <c r="H94" i="36"/>
  <c r="H102" i="36"/>
  <c r="H108" i="36"/>
  <c r="H100" i="36"/>
  <c r="H104" i="36"/>
  <c r="H93" i="36"/>
  <c r="H92" i="36"/>
  <c r="H107" i="36"/>
  <c r="H109" i="36"/>
  <c r="H87" i="36"/>
  <c r="H89" i="36" s="1"/>
  <c r="H96" i="36"/>
  <c r="H101" i="36"/>
  <c r="H105" i="36"/>
  <c r="H98" i="36"/>
  <c r="H110" i="36"/>
  <c r="H106" i="36"/>
  <c r="R125" i="12"/>
  <c r="S125" i="12"/>
  <c r="Q125" i="12"/>
  <c r="D399" i="37"/>
  <c r="F399" i="37" s="1"/>
  <c r="D422" i="37"/>
  <c r="F422" i="37" s="1"/>
  <c r="C182" i="12"/>
  <c r="D182" i="12" s="1"/>
  <c r="I85" i="38"/>
  <c r="AS181" i="12"/>
  <c r="H96" i="38"/>
  <c r="H111" i="38"/>
  <c r="H94" i="38"/>
  <c r="H106" i="38"/>
  <c r="H99" i="38"/>
  <c r="H95" i="38"/>
  <c r="H92" i="38"/>
  <c r="H97" i="38"/>
  <c r="H105" i="38"/>
  <c r="H101" i="38"/>
  <c r="H107" i="38"/>
  <c r="H102" i="38"/>
  <c r="H104" i="38"/>
  <c r="H98" i="38"/>
  <c r="H103" i="38"/>
  <c r="H93" i="38"/>
  <c r="H109" i="38"/>
  <c r="H100" i="38"/>
  <c r="H87" i="38"/>
  <c r="H89" i="38" s="1"/>
  <c r="H110" i="38"/>
  <c r="H108" i="38"/>
  <c r="AO181" i="12"/>
  <c r="G202" i="12" s="1"/>
  <c r="AO67" i="36"/>
  <c r="H105" i="37"/>
  <c r="H97" i="37"/>
  <c r="H107" i="37"/>
  <c r="H94" i="37"/>
  <c r="H102" i="37"/>
  <c r="H93" i="37"/>
  <c r="H109" i="37"/>
  <c r="H106" i="37"/>
  <c r="H88" i="37"/>
  <c r="I85" i="37" s="1"/>
  <c r="H111" i="37"/>
  <c r="H101" i="37"/>
  <c r="H92" i="37"/>
  <c r="H87" i="37"/>
  <c r="AO67" i="38"/>
  <c r="M290" i="37"/>
  <c r="B375" i="37" s="1"/>
  <c r="G63" i="31" s="1"/>
  <c r="H100" i="37"/>
  <c r="H95" i="37"/>
  <c r="H96" i="37"/>
  <c r="H99" i="37"/>
  <c r="H103" i="37"/>
  <c r="H110" i="37"/>
  <c r="H98" i="37"/>
  <c r="H104" i="37"/>
  <c r="H108" i="37"/>
  <c r="AI187" i="36"/>
  <c r="AM67" i="37"/>
  <c r="AN67" i="37" s="1"/>
  <c r="C124" i="37"/>
  <c r="D124" i="37" s="1"/>
  <c r="E124" i="37" s="1"/>
  <c r="F124" i="37" s="1"/>
  <c r="E67" i="37"/>
  <c r="C68" i="37" s="1"/>
  <c r="N185" i="12"/>
  <c r="AT123" i="37"/>
  <c r="C150" i="37" s="1"/>
  <c r="AU123" i="37"/>
  <c r="H142" i="37" s="1"/>
  <c r="D68" i="38"/>
  <c r="B165" i="40" s="1"/>
  <c r="C165" i="40" s="1"/>
  <c r="D165" i="40" s="1"/>
  <c r="AS67" i="38"/>
  <c r="F67" i="38"/>
  <c r="G67" i="38" s="1"/>
  <c r="H67" i="38" s="1"/>
  <c r="I124" i="38"/>
  <c r="G124" i="38"/>
  <c r="H124" i="38"/>
  <c r="N69" i="12"/>
  <c r="L70" i="12" s="1"/>
  <c r="B191" i="40"/>
  <c r="C191" i="40" s="1"/>
  <c r="D191" i="40" s="1"/>
  <c r="F186" i="38"/>
  <c r="G186" i="38" s="1"/>
  <c r="H186" i="38" s="1"/>
  <c r="C242" i="38"/>
  <c r="D242" i="38" s="1"/>
  <c r="E242" i="38" s="1"/>
  <c r="F242" i="38" s="1"/>
  <c r="B139" i="40"/>
  <c r="C139" i="40" s="1"/>
  <c r="D139" i="40" s="1"/>
  <c r="F184" i="37"/>
  <c r="G184" i="37" s="1"/>
  <c r="H184" i="37" s="1"/>
  <c r="C240" i="37"/>
  <c r="D240" i="37" s="1"/>
  <c r="E240" i="37" s="1"/>
  <c r="F240" i="37" s="1"/>
  <c r="C316" i="36"/>
  <c r="B375" i="36"/>
  <c r="G36" i="31" s="1"/>
  <c r="F183" i="36"/>
  <c r="G183" i="36" s="1"/>
  <c r="H183" i="36" s="1"/>
  <c r="F291" i="36" s="1"/>
  <c r="AS183" i="36"/>
  <c r="B88" i="40"/>
  <c r="C88" i="40" s="1"/>
  <c r="D88" i="40" s="1"/>
  <c r="C239" i="36"/>
  <c r="D239" i="36" s="1"/>
  <c r="E239" i="36" s="1"/>
  <c r="F239" i="36" s="1"/>
  <c r="AM183" i="36"/>
  <c r="AN183" i="36" s="1"/>
  <c r="AS67" i="36"/>
  <c r="F67" i="36"/>
  <c r="G67" i="36" s="1"/>
  <c r="H67" i="36" s="1"/>
  <c r="H124" i="36"/>
  <c r="I124" i="36"/>
  <c r="G124" i="36"/>
  <c r="AT238" i="36"/>
  <c r="C265" i="36" s="1"/>
  <c r="AU238" i="36"/>
  <c r="H257" i="36" s="1"/>
  <c r="AI184" i="12"/>
  <c r="S240" i="12"/>
  <c r="R240" i="12"/>
  <c r="Q240" i="12"/>
  <c r="AH240" i="12"/>
  <c r="AI240" i="12" s="1"/>
  <c r="AJ240" i="12" s="1"/>
  <c r="AM240" i="12" s="1"/>
  <c r="AG185" i="12"/>
  <c r="I237" i="12"/>
  <c r="AS237" i="12" s="1"/>
  <c r="AT236" i="12"/>
  <c r="C263" i="12" s="1"/>
  <c r="AU236" i="12"/>
  <c r="F257" i="12" s="1"/>
  <c r="M1001" i="4"/>
  <c r="S829" i="4"/>
  <c r="G830" i="4"/>
  <c r="M779" i="4"/>
  <c r="S780" i="4"/>
  <c r="Y472" i="4"/>
  <c r="M474" i="4"/>
  <c r="AK386" i="4"/>
  <c r="S386" i="4"/>
  <c r="M304" i="4"/>
  <c r="Y262" i="4"/>
  <c r="S262" i="4"/>
  <c r="R262" i="4"/>
  <c r="P263" i="4" s="1"/>
  <c r="R829" i="4"/>
  <c r="P830" i="4" s="1"/>
  <c r="R966" i="4"/>
  <c r="P967" i="4" s="1"/>
  <c r="S967" i="4" s="1"/>
  <c r="L304" i="4"/>
  <c r="M305" i="4" s="1"/>
  <c r="F387" i="4"/>
  <c r="D388" i="4" s="1"/>
  <c r="G388" i="4" s="1"/>
  <c r="X472" i="4"/>
  <c r="V473" i="4" s="1"/>
  <c r="Y473" i="4" s="1"/>
  <c r="R725" i="4"/>
  <c r="P726" i="4" s="1"/>
  <c r="S726" i="4" s="1"/>
  <c r="X387" i="4"/>
  <c r="V388" i="4" s="1"/>
  <c r="Y388" i="4" s="1"/>
  <c r="R474" i="4"/>
  <c r="P475" i="4" s="1"/>
  <c r="S475" i="4" s="1"/>
  <c r="AJ386" i="4"/>
  <c r="AH387" i="4" s="1"/>
  <c r="R386" i="4"/>
  <c r="P387" i="4" s="1"/>
  <c r="X262" i="4"/>
  <c r="V263" i="4" s="1"/>
  <c r="Y263" i="4" s="1"/>
  <c r="L386" i="4"/>
  <c r="J387" i="4" s="1"/>
  <c r="M387" i="4" s="1"/>
  <c r="L779" i="4"/>
  <c r="J780" i="4" s="1"/>
  <c r="R574" i="4"/>
  <c r="P575" i="4" s="1"/>
  <c r="F515" i="4"/>
  <c r="D516" i="4" s="1"/>
  <c r="G516" i="4" s="1"/>
  <c r="F725" i="4"/>
  <c r="D726" i="4" s="1"/>
  <c r="G726" i="4" s="1"/>
  <c r="R307" i="4"/>
  <c r="P308" i="4" s="1"/>
  <c r="S308" i="4" s="1"/>
  <c r="L829" i="4"/>
  <c r="J830" i="4" s="1"/>
  <c r="M830" i="4" s="1"/>
  <c r="L1001" i="4"/>
  <c r="J1002" i="4" s="1"/>
  <c r="M1002" i="4" s="1"/>
  <c r="AD263" i="4"/>
  <c r="AB264" i="4" s="1"/>
  <c r="AE264" i="4" s="1"/>
  <c r="L474" i="4"/>
  <c r="J475" i="4" s="1"/>
  <c r="F631" i="4"/>
  <c r="D632" i="4" s="1"/>
  <c r="F779" i="4"/>
  <c r="D780" i="4" s="1"/>
  <c r="G780" i="4" s="1"/>
  <c r="F830" i="4"/>
  <c r="D831" i="4" s="1"/>
  <c r="G831" i="4" s="1"/>
  <c r="X573" i="4"/>
  <c r="V574" i="4" s="1"/>
  <c r="Y574" i="4" s="1"/>
  <c r="R780" i="4"/>
  <c r="P781" i="4" s="1"/>
  <c r="AD387" i="4"/>
  <c r="AB388" i="4" s="1"/>
  <c r="X183" i="12" l="1"/>
  <c r="Y183" i="12" s="1"/>
  <c r="Z183" i="12" s="1"/>
  <c r="AI184" i="37"/>
  <c r="G91" i="40"/>
  <c r="H91" i="40" s="1"/>
  <c r="I91" i="40" s="1"/>
  <c r="N187" i="36"/>
  <c r="L188" i="36" s="1"/>
  <c r="M188" i="36" s="1"/>
  <c r="O186" i="36"/>
  <c r="P186" i="36" s="1"/>
  <c r="Q186" i="36" s="1"/>
  <c r="M243" i="36"/>
  <c r="N243" i="36" s="1"/>
  <c r="O243" i="36" s="1"/>
  <c r="P243" i="36" s="1"/>
  <c r="Q243" i="36" s="1"/>
  <c r="H237" i="12"/>
  <c r="AR237" i="12" s="1"/>
  <c r="AU237" i="12" s="1"/>
  <c r="G257" i="12" s="1"/>
  <c r="I218" i="37"/>
  <c r="I226" i="37"/>
  <c r="I220" i="37"/>
  <c r="I208" i="37"/>
  <c r="I222" i="37"/>
  <c r="I221" i="37"/>
  <c r="I219" i="37"/>
  <c r="I215" i="37"/>
  <c r="I212" i="37"/>
  <c r="I227" i="37"/>
  <c r="I217" i="37"/>
  <c r="I211" i="37"/>
  <c r="I213" i="37"/>
  <c r="I210" i="37"/>
  <c r="I203" i="37"/>
  <c r="I205" i="37" s="1"/>
  <c r="I224" i="37"/>
  <c r="I214" i="37"/>
  <c r="I209" i="37"/>
  <c r="I216" i="37"/>
  <c r="I225" i="37"/>
  <c r="I223" i="37"/>
  <c r="AM184" i="37"/>
  <c r="AN184" i="37" s="1"/>
  <c r="AO184" i="37" s="1"/>
  <c r="J202" i="37" s="1"/>
  <c r="G138" i="40"/>
  <c r="H138" i="40" s="1"/>
  <c r="I138" i="40" s="1"/>
  <c r="O183" i="38"/>
  <c r="P183" i="38" s="1"/>
  <c r="Q183" i="38" s="1"/>
  <c r="E182" i="12"/>
  <c r="C183" i="12" s="1"/>
  <c r="D183" i="12" s="1"/>
  <c r="B36" i="40"/>
  <c r="C36" i="40" s="1"/>
  <c r="D36" i="40" s="1"/>
  <c r="AM10" i="40" s="1"/>
  <c r="AG242" i="12"/>
  <c r="Q40" i="40"/>
  <c r="R40" i="40" s="1"/>
  <c r="S40" i="40" s="1"/>
  <c r="C374" i="37"/>
  <c r="I150" i="38"/>
  <c r="X150" i="38" s="1"/>
  <c r="E290" i="38" s="1"/>
  <c r="I161" i="38"/>
  <c r="I160" i="38"/>
  <c r="I164" i="38"/>
  <c r="I163" i="38"/>
  <c r="I159" i="38"/>
  <c r="I151" i="38"/>
  <c r="I152" i="38"/>
  <c r="I157" i="38"/>
  <c r="I158" i="38"/>
  <c r="I156" i="38"/>
  <c r="I155" i="38"/>
  <c r="I162" i="38"/>
  <c r="I154" i="38"/>
  <c r="C291" i="38"/>
  <c r="AS124" i="38"/>
  <c r="AR124" i="38"/>
  <c r="AQ124" i="38"/>
  <c r="AH68" i="38"/>
  <c r="AH125" i="38" s="1"/>
  <c r="AI125" i="38" s="1"/>
  <c r="AJ125" i="38" s="1"/>
  <c r="AG126" i="38"/>
  <c r="AF69" i="38"/>
  <c r="H277" i="38"/>
  <c r="H279" i="38"/>
  <c r="H264" i="38"/>
  <c r="X264" i="38" s="1"/>
  <c r="H289" i="38" s="1"/>
  <c r="N289" i="38" s="1"/>
  <c r="H276" i="38"/>
  <c r="H267" i="38"/>
  <c r="H268" i="38"/>
  <c r="H278" i="38"/>
  <c r="H272" i="38"/>
  <c r="H273" i="38"/>
  <c r="H270" i="38"/>
  <c r="H265" i="38"/>
  <c r="H271" i="38"/>
  <c r="H269" i="38"/>
  <c r="H266" i="38"/>
  <c r="H274" i="38"/>
  <c r="H275" i="38"/>
  <c r="AH182" i="38"/>
  <c r="AH238" i="38" s="1"/>
  <c r="AI238" i="38" s="1"/>
  <c r="AJ238" i="38" s="1"/>
  <c r="E422" i="38"/>
  <c r="G422" i="38" s="1"/>
  <c r="E399" i="38"/>
  <c r="G399" i="38" s="1"/>
  <c r="W126" i="38"/>
  <c r="X126" i="38" s="1"/>
  <c r="Y126" i="38" s="1"/>
  <c r="Z126" i="38" s="1"/>
  <c r="W69" i="38"/>
  <c r="L69" i="38"/>
  <c r="M69" i="38" s="1"/>
  <c r="G166" i="40" s="1"/>
  <c r="H166" i="40" s="1"/>
  <c r="I166" i="40" s="1"/>
  <c r="O68" i="38"/>
  <c r="P68" i="38" s="1"/>
  <c r="Q68" i="38" s="1"/>
  <c r="R125" i="38"/>
  <c r="Q125" i="38"/>
  <c r="S125" i="38"/>
  <c r="G188" i="40"/>
  <c r="H188" i="40" s="1"/>
  <c r="I188" i="40" s="1"/>
  <c r="I201" i="38"/>
  <c r="H205" i="38"/>
  <c r="S239" i="38"/>
  <c r="Q239" i="38"/>
  <c r="R239" i="38"/>
  <c r="I164" i="36"/>
  <c r="H208" i="36"/>
  <c r="I152" i="36"/>
  <c r="I158" i="36"/>
  <c r="I151" i="36"/>
  <c r="I153" i="36"/>
  <c r="I156" i="36"/>
  <c r="I159" i="36"/>
  <c r="I150" i="36"/>
  <c r="X150" i="36" s="1"/>
  <c r="E290" i="36" s="1"/>
  <c r="I163" i="36"/>
  <c r="I157" i="36"/>
  <c r="I161" i="36"/>
  <c r="I162" i="36"/>
  <c r="I155" i="36"/>
  <c r="I154" i="36"/>
  <c r="C291" i="36"/>
  <c r="M291" i="36" s="1"/>
  <c r="H214" i="36"/>
  <c r="H223" i="36"/>
  <c r="H220" i="36"/>
  <c r="H212" i="36"/>
  <c r="H227" i="36"/>
  <c r="H217" i="36"/>
  <c r="H211" i="36"/>
  <c r="H218" i="36"/>
  <c r="H221" i="36"/>
  <c r="AQ124" i="36"/>
  <c r="H216" i="36"/>
  <c r="H209" i="36"/>
  <c r="H219" i="36"/>
  <c r="H224" i="36"/>
  <c r="H215" i="36"/>
  <c r="H222" i="36"/>
  <c r="H225" i="36"/>
  <c r="H203" i="36"/>
  <c r="H205" i="36" s="1"/>
  <c r="H226" i="36"/>
  <c r="H213" i="36"/>
  <c r="H210" i="36"/>
  <c r="I86" i="38"/>
  <c r="AS124" i="36"/>
  <c r="I86" i="36"/>
  <c r="I88" i="36" s="1"/>
  <c r="J85" i="36" s="1"/>
  <c r="AR124" i="36"/>
  <c r="AG188" i="36"/>
  <c r="AH188" i="36" s="1"/>
  <c r="AH244" i="36" s="1"/>
  <c r="AI244" i="36" s="1"/>
  <c r="AJ244" i="36" s="1"/>
  <c r="X185" i="36"/>
  <c r="Y185" i="36" s="1"/>
  <c r="Z185" i="36" s="1"/>
  <c r="X184" i="37"/>
  <c r="Y184" i="37" s="1"/>
  <c r="Z184" i="37" s="1"/>
  <c r="U69" i="12"/>
  <c r="V69" i="12" s="1"/>
  <c r="L16" i="40" s="1"/>
  <c r="M16" i="40" s="1"/>
  <c r="N16" i="40" s="1"/>
  <c r="X68" i="12"/>
  <c r="Y68" i="12" s="1"/>
  <c r="Z68" i="12" s="1"/>
  <c r="I266" i="37"/>
  <c r="I270" i="37"/>
  <c r="I268" i="37"/>
  <c r="I273" i="37"/>
  <c r="I274" i="37"/>
  <c r="I276" i="37"/>
  <c r="I265" i="37"/>
  <c r="X265" i="37" s="1"/>
  <c r="H290" i="37" s="1"/>
  <c r="I278" i="37"/>
  <c r="AF69" i="37"/>
  <c r="AG126" i="37"/>
  <c r="AH68" i="37"/>
  <c r="AI68" i="37" s="1"/>
  <c r="AF69" i="36"/>
  <c r="AG126" i="36"/>
  <c r="AH68" i="36"/>
  <c r="AH125" i="36" s="1"/>
  <c r="AI125" i="36" s="1"/>
  <c r="AJ125" i="36" s="1"/>
  <c r="AD69" i="12"/>
  <c r="AE69" i="12" s="1"/>
  <c r="Q16" i="40" s="1"/>
  <c r="R16" i="40" s="1"/>
  <c r="S16" i="40" s="1"/>
  <c r="AG68" i="12"/>
  <c r="AH68" i="12" s="1"/>
  <c r="AH125" i="12" s="1"/>
  <c r="AI125" i="12" s="1"/>
  <c r="AJ125" i="12" s="1"/>
  <c r="AL125" i="12" s="1"/>
  <c r="I272" i="37"/>
  <c r="I271" i="37"/>
  <c r="I277" i="37"/>
  <c r="AG185" i="37"/>
  <c r="AH185" i="37" s="1"/>
  <c r="AH241" i="37" s="1"/>
  <c r="AI241" i="37" s="1"/>
  <c r="AJ241" i="37" s="1"/>
  <c r="I267" i="37"/>
  <c r="I279" i="37"/>
  <c r="I275" i="37"/>
  <c r="AR239" i="37"/>
  <c r="AB125" i="36"/>
  <c r="AC125" i="36"/>
  <c r="AA125" i="36"/>
  <c r="V69" i="36"/>
  <c r="L66" i="40" s="1"/>
  <c r="M66" i="40" s="1"/>
  <c r="N66" i="40" s="1"/>
  <c r="X68" i="36"/>
  <c r="Y68" i="36" s="1"/>
  <c r="Z68" i="36" s="1"/>
  <c r="E400" i="37"/>
  <c r="G400" i="37" s="1"/>
  <c r="E423" i="37"/>
  <c r="G423" i="37" s="1"/>
  <c r="M70" i="37"/>
  <c r="G117" i="40" s="1"/>
  <c r="H117" i="40" s="1"/>
  <c r="I117" i="40" s="1"/>
  <c r="O69" i="37"/>
  <c r="P69" i="37" s="1"/>
  <c r="Q69" i="37" s="1"/>
  <c r="Q126" i="37"/>
  <c r="S126" i="37"/>
  <c r="R126" i="37"/>
  <c r="AS239" i="37"/>
  <c r="N184" i="37"/>
  <c r="M240" i="37"/>
  <c r="N240" i="37" s="1"/>
  <c r="O240" i="37" s="1"/>
  <c r="P240" i="37" s="1"/>
  <c r="S125" i="36"/>
  <c r="Q125" i="36"/>
  <c r="R125" i="36"/>
  <c r="AQ239" i="37"/>
  <c r="M69" i="36"/>
  <c r="G66" i="40" s="1"/>
  <c r="H66" i="40" s="1"/>
  <c r="I66" i="40" s="1"/>
  <c r="O68" i="36"/>
  <c r="P68" i="36" s="1"/>
  <c r="Q68" i="36" s="1"/>
  <c r="AA126" i="37"/>
  <c r="AC126" i="37"/>
  <c r="AB126" i="37"/>
  <c r="V70" i="37"/>
  <c r="L117" i="40" s="1"/>
  <c r="M117" i="40" s="1"/>
  <c r="N117" i="40" s="1"/>
  <c r="X69" i="37"/>
  <c r="Y69" i="37" s="1"/>
  <c r="Z69" i="37" s="1"/>
  <c r="L186" i="12"/>
  <c r="Q140" i="40"/>
  <c r="R140" i="40" s="1"/>
  <c r="S140" i="40" s="1"/>
  <c r="L139" i="40"/>
  <c r="M139" i="40" s="1"/>
  <c r="N139" i="40" s="1"/>
  <c r="X240" i="37"/>
  <c r="Y240" i="37" s="1"/>
  <c r="Z240" i="37" s="1"/>
  <c r="L90" i="40"/>
  <c r="M90" i="40" s="1"/>
  <c r="N90" i="40" s="1"/>
  <c r="X241" i="36"/>
  <c r="Y241" i="36" s="1"/>
  <c r="Z241" i="36" s="1"/>
  <c r="AB125" i="12"/>
  <c r="AC125" i="12"/>
  <c r="AA125" i="12"/>
  <c r="H89" i="37"/>
  <c r="D400" i="38"/>
  <c r="F400" i="38" s="1"/>
  <c r="D423" i="38"/>
  <c r="F423" i="38" s="1"/>
  <c r="E398" i="12"/>
  <c r="G398" i="12" s="1"/>
  <c r="E421" i="12"/>
  <c r="G421" i="12" s="1"/>
  <c r="E400" i="36"/>
  <c r="G400" i="36" s="1"/>
  <c r="E423" i="36"/>
  <c r="G423" i="36" s="1"/>
  <c r="D400" i="36"/>
  <c r="F400" i="36" s="1"/>
  <c r="D423" i="36"/>
  <c r="F423" i="36" s="1"/>
  <c r="C316" i="37"/>
  <c r="G217" i="12"/>
  <c r="G222" i="12"/>
  <c r="G216" i="12"/>
  <c r="G208" i="12"/>
  <c r="G210" i="12"/>
  <c r="G213" i="12"/>
  <c r="G203" i="12"/>
  <c r="G223" i="12"/>
  <c r="G225" i="12"/>
  <c r="G220" i="12"/>
  <c r="G227" i="12"/>
  <c r="G214" i="12"/>
  <c r="G215" i="12"/>
  <c r="G209" i="12"/>
  <c r="G211" i="12"/>
  <c r="G224" i="12"/>
  <c r="G226" i="12"/>
  <c r="G219" i="12"/>
  <c r="G218" i="12"/>
  <c r="G204" i="12"/>
  <c r="G221" i="12"/>
  <c r="G212" i="12"/>
  <c r="AO183" i="36"/>
  <c r="I202" i="36" s="1"/>
  <c r="AO67" i="37"/>
  <c r="AM182" i="12"/>
  <c r="AN182" i="12" s="1"/>
  <c r="C238" i="12"/>
  <c r="D238" i="12" s="1"/>
  <c r="E238" i="12" s="1"/>
  <c r="F238" i="12" s="1"/>
  <c r="O185" i="12"/>
  <c r="P185" i="12" s="1"/>
  <c r="Q185" i="12" s="1"/>
  <c r="I154" i="37"/>
  <c r="I155" i="37"/>
  <c r="I162" i="37"/>
  <c r="I150" i="37"/>
  <c r="X150" i="37" s="1"/>
  <c r="E290" i="37" s="1"/>
  <c r="I156" i="37"/>
  <c r="I153" i="37"/>
  <c r="I152" i="37"/>
  <c r="I161" i="37"/>
  <c r="I159" i="37"/>
  <c r="I164" i="37"/>
  <c r="I158" i="37"/>
  <c r="I151" i="37"/>
  <c r="I160" i="37"/>
  <c r="I157" i="37"/>
  <c r="I163" i="37"/>
  <c r="D68" i="37"/>
  <c r="B115" i="40" s="1"/>
  <c r="C115" i="40" s="1"/>
  <c r="D115" i="40" s="1"/>
  <c r="F67" i="37"/>
  <c r="G67" i="37" s="1"/>
  <c r="H67" i="37" s="1"/>
  <c r="C291" i="37" s="1"/>
  <c r="AS67" i="37"/>
  <c r="E68" i="38"/>
  <c r="C69" i="38" s="1"/>
  <c r="C125" i="38"/>
  <c r="D125" i="38" s="1"/>
  <c r="E125" i="38" s="1"/>
  <c r="F125" i="38" s="1"/>
  <c r="AM68" i="38"/>
  <c r="AN68" i="38" s="1"/>
  <c r="I124" i="37"/>
  <c r="AS124" i="37" s="1"/>
  <c r="H124" i="37"/>
  <c r="AR124" i="37" s="1"/>
  <c r="G124" i="37"/>
  <c r="AQ124" i="37" s="1"/>
  <c r="Q93" i="40"/>
  <c r="R93" i="40" s="1"/>
  <c r="S93" i="40" s="1"/>
  <c r="N126" i="12"/>
  <c r="O126" i="12" s="1"/>
  <c r="P126" i="12" s="1"/>
  <c r="O69" i="12"/>
  <c r="P69" i="12" s="1"/>
  <c r="Q69" i="12" s="1"/>
  <c r="M70" i="12"/>
  <c r="C243" i="38"/>
  <c r="D243" i="38" s="1"/>
  <c r="E243" i="38" s="1"/>
  <c r="F243" i="38" s="1"/>
  <c r="I242" i="38"/>
  <c r="H242" i="38"/>
  <c r="G242" i="38"/>
  <c r="E187" i="38"/>
  <c r="C188" i="38" s="1"/>
  <c r="D188" i="38" s="1"/>
  <c r="G240" i="37"/>
  <c r="I240" i="37"/>
  <c r="H240" i="37"/>
  <c r="E185" i="37"/>
  <c r="C186" i="37" s="1"/>
  <c r="D186" i="37" s="1"/>
  <c r="E315" i="36"/>
  <c r="C374" i="36"/>
  <c r="E184" i="36"/>
  <c r="C185" i="36" s="1"/>
  <c r="D185" i="36" s="1"/>
  <c r="C240" i="36"/>
  <c r="D240" i="36" s="1"/>
  <c r="E240" i="36" s="1"/>
  <c r="F240" i="36" s="1"/>
  <c r="AM184" i="36"/>
  <c r="AN184" i="36" s="1"/>
  <c r="AM68" i="36"/>
  <c r="AN68" i="36" s="1"/>
  <c r="E68" i="36"/>
  <c r="C125" i="36"/>
  <c r="D125" i="36" s="1"/>
  <c r="E125" i="36" s="1"/>
  <c r="F125" i="36" s="1"/>
  <c r="H239" i="36"/>
  <c r="AR239" i="36" s="1"/>
  <c r="I239" i="36"/>
  <c r="AS239" i="36" s="1"/>
  <c r="G239" i="36"/>
  <c r="AQ239" i="36" s="1"/>
  <c r="I274" i="36"/>
  <c r="I271" i="36"/>
  <c r="I275" i="36"/>
  <c r="I279" i="36"/>
  <c r="I268" i="36"/>
  <c r="I277" i="36"/>
  <c r="I273" i="36"/>
  <c r="I272" i="36"/>
  <c r="I276" i="36"/>
  <c r="I265" i="36"/>
  <c r="X265" i="36" s="1"/>
  <c r="H290" i="36" s="1"/>
  <c r="I266" i="36"/>
  <c r="I270" i="36"/>
  <c r="I267" i="36"/>
  <c r="I269" i="36"/>
  <c r="I278" i="36"/>
  <c r="AF186" i="12"/>
  <c r="AL240" i="12"/>
  <c r="N241" i="12"/>
  <c r="O241" i="12" s="1"/>
  <c r="P241" i="12" s="1"/>
  <c r="AK240" i="12"/>
  <c r="AH185" i="12"/>
  <c r="G270" i="12"/>
  <c r="G278" i="12"/>
  <c r="G263" i="12"/>
  <c r="X263" i="12" s="1"/>
  <c r="H288" i="12" s="1"/>
  <c r="G271" i="12"/>
  <c r="G279" i="12"/>
  <c r="G268" i="12"/>
  <c r="G269" i="12"/>
  <c r="G272" i="12"/>
  <c r="G267" i="12"/>
  <c r="G277" i="12"/>
  <c r="G264" i="12"/>
  <c r="G265" i="12"/>
  <c r="G266" i="12"/>
  <c r="G273" i="12"/>
  <c r="G274" i="12"/>
  <c r="G275" i="12"/>
  <c r="G276" i="12"/>
  <c r="S830" i="4"/>
  <c r="M780" i="4"/>
  <c r="S781" i="4"/>
  <c r="G632" i="4"/>
  <c r="S575" i="4"/>
  <c r="M475" i="4"/>
  <c r="AK387" i="4"/>
  <c r="AE388" i="4"/>
  <c r="S387" i="4"/>
  <c r="S263" i="4"/>
  <c r="R830" i="4"/>
  <c r="P831" i="4" s="1"/>
  <c r="S831" i="4" s="1"/>
  <c r="R263" i="4"/>
  <c r="P264" i="4" s="1"/>
  <c r="R967" i="4"/>
  <c r="P968" i="4" s="1"/>
  <c r="S968" i="4" s="1"/>
  <c r="F388" i="4"/>
  <c r="D389" i="4" s="1"/>
  <c r="G389" i="4" s="1"/>
  <c r="X388" i="4"/>
  <c r="V389" i="4" s="1"/>
  <c r="AJ387" i="4"/>
  <c r="AH388" i="4" s="1"/>
  <c r="R726" i="4"/>
  <c r="P727" i="4" s="1"/>
  <c r="S727" i="4" s="1"/>
  <c r="X473" i="4"/>
  <c r="V474" i="4" s="1"/>
  <c r="R387" i="4"/>
  <c r="P388" i="4" s="1"/>
  <c r="S388" i="4" s="1"/>
  <c r="R475" i="4"/>
  <c r="P476" i="4" s="1"/>
  <c r="S476" i="4" s="1"/>
  <c r="X574" i="4"/>
  <c r="V575" i="4" s="1"/>
  <c r="Y575" i="4" s="1"/>
  <c r="F632" i="4"/>
  <c r="D633" i="4" s="1"/>
  <c r="G633" i="4" s="1"/>
  <c r="R308" i="4"/>
  <c r="P309" i="4" s="1"/>
  <c r="L387" i="4"/>
  <c r="J388" i="4" s="1"/>
  <c r="F780" i="4"/>
  <c r="D781" i="4" s="1"/>
  <c r="G781" i="4" s="1"/>
  <c r="F516" i="4"/>
  <c r="D517" i="4" s="1"/>
  <c r="AD388" i="4"/>
  <c r="AB389" i="4" s="1"/>
  <c r="L1002" i="4"/>
  <c r="J1003" i="4" s="1"/>
  <c r="M1003" i="4" s="1"/>
  <c r="R781" i="4"/>
  <c r="P782" i="4" s="1"/>
  <c r="S782" i="4" s="1"/>
  <c r="F831" i="4"/>
  <c r="D832" i="4" s="1"/>
  <c r="G832" i="4" s="1"/>
  <c r="L475" i="4"/>
  <c r="J476" i="4" s="1"/>
  <c r="L830" i="4"/>
  <c r="J831" i="4" s="1"/>
  <c r="M831" i="4" s="1"/>
  <c r="X263" i="4"/>
  <c r="V264" i="4" s="1"/>
  <c r="Y264" i="4" s="1"/>
  <c r="L780" i="4"/>
  <c r="J781" i="4" s="1"/>
  <c r="F726" i="4"/>
  <c r="D727" i="4" s="1"/>
  <c r="G727" i="4" s="1"/>
  <c r="AD264" i="4"/>
  <c r="AB265" i="4" s="1"/>
  <c r="AE265" i="4" s="1"/>
  <c r="R575" i="4"/>
  <c r="P576" i="4" s="1"/>
  <c r="R243" i="36" l="1"/>
  <c r="S243" i="36"/>
  <c r="O187" i="36"/>
  <c r="P187" i="36" s="1"/>
  <c r="Q187" i="36" s="1"/>
  <c r="G92" i="40"/>
  <c r="H92" i="40" s="1"/>
  <c r="I92" i="40" s="1"/>
  <c r="N188" i="36"/>
  <c r="L189" i="36" s="1"/>
  <c r="M189" i="36" s="1"/>
  <c r="G93" i="40" s="1"/>
  <c r="H93" i="40" s="1"/>
  <c r="I93" i="40" s="1"/>
  <c r="M244" i="36"/>
  <c r="N244" i="36" s="1"/>
  <c r="O244" i="36" s="1"/>
  <c r="P244" i="36" s="1"/>
  <c r="S244" i="36" s="1"/>
  <c r="AT237" i="12"/>
  <c r="C264" i="12" s="1"/>
  <c r="M186" i="12"/>
  <c r="G40" i="40" s="1"/>
  <c r="H40" i="40" s="1"/>
  <c r="I40" i="40" s="1"/>
  <c r="F182" i="12"/>
  <c r="G182" i="12" s="1"/>
  <c r="H182" i="12" s="1"/>
  <c r="F290" i="12" s="1"/>
  <c r="C239" i="12"/>
  <c r="D239" i="12" s="1"/>
  <c r="E239" i="12" s="1"/>
  <c r="B37" i="40"/>
  <c r="C37" i="40" s="1"/>
  <c r="D37" i="40" s="1"/>
  <c r="AG239" i="38"/>
  <c r="Q187" i="40"/>
  <c r="R187" i="40" s="1"/>
  <c r="S187" i="40" s="1"/>
  <c r="W240" i="12"/>
  <c r="X240" i="12" s="1"/>
  <c r="Y240" i="12" s="1"/>
  <c r="Z240" i="12" s="1"/>
  <c r="AA240" i="12" s="1"/>
  <c r="L38" i="40"/>
  <c r="M38" i="40" s="1"/>
  <c r="N38" i="40" s="1"/>
  <c r="M127" i="12"/>
  <c r="G17" i="40"/>
  <c r="H17" i="40" s="1"/>
  <c r="I17" i="40" s="1"/>
  <c r="AS182" i="12"/>
  <c r="E399" i="12" s="1"/>
  <c r="G399" i="12" s="1"/>
  <c r="W183" i="38"/>
  <c r="X183" i="38" s="1"/>
  <c r="Y183" i="38" s="1"/>
  <c r="Z183" i="38" s="1"/>
  <c r="L187" i="40"/>
  <c r="M187" i="40" s="1"/>
  <c r="N187" i="40" s="1"/>
  <c r="I204" i="36"/>
  <c r="J201" i="36" s="1"/>
  <c r="AU124" i="38"/>
  <c r="I142" i="38" s="1"/>
  <c r="J160" i="38" s="1"/>
  <c r="AT124" i="38"/>
  <c r="C151" i="38" s="1"/>
  <c r="AI68" i="38"/>
  <c r="AI182" i="38"/>
  <c r="F290" i="38" s="1"/>
  <c r="M290" i="38" s="1"/>
  <c r="B375" i="38" s="1"/>
  <c r="G90" i="31" s="1"/>
  <c r="C374" i="38"/>
  <c r="E315" i="38"/>
  <c r="AL238" i="38"/>
  <c r="AR238" i="38" s="1"/>
  <c r="AK238" i="38"/>
  <c r="AQ238" i="38" s="1"/>
  <c r="AM238" i="38"/>
  <c r="AS238" i="38" s="1"/>
  <c r="AG69" i="38"/>
  <c r="AD70" i="38"/>
  <c r="AE70" i="38" s="1"/>
  <c r="Q167" i="40" s="1"/>
  <c r="R167" i="40" s="1"/>
  <c r="S167" i="40" s="1"/>
  <c r="AF183" i="38"/>
  <c r="AK125" i="38"/>
  <c r="AM125" i="38"/>
  <c r="AL125" i="38"/>
  <c r="U70" i="38"/>
  <c r="V70" i="38" s="1"/>
  <c r="L167" i="40" s="1"/>
  <c r="M167" i="40" s="1"/>
  <c r="N167" i="40" s="1"/>
  <c r="X69" i="38"/>
  <c r="Y69" i="38" s="1"/>
  <c r="Z69" i="38" s="1"/>
  <c r="AC126" i="38"/>
  <c r="AA126" i="38"/>
  <c r="AB126" i="38"/>
  <c r="W239" i="38"/>
  <c r="X239" i="38" s="1"/>
  <c r="Y239" i="38" s="1"/>
  <c r="Z239" i="38" s="1"/>
  <c r="AM183" i="38"/>
  <c r="AN183" i="38" s="1"/>
  <c r="AO183" i="38" s="1"/>
  <c r="M240" i="38"/>
  <c r="N240" i="38" s="1"/>
  <c r="O240" i="38" s="1"/>
  <c r="P240" i="38" s="1"/>
  <c r="M126" i="38"/>
  <c r="N126" i="38" s="1"/>
  <c r="O126" i="38" s="1"/>
  <c r="P126" i="38" s="1"/>
  <c r="N69" i="38"/>
  <c r="N184" i="38"/>
  <c r="N290" i="36"/>
  <c r="I102" i="36"/>
  <c r="I107" i="36"/>
  <c r="I101" i="36"/>
  <c r="I110" i="36"/>
  <c r="I94" i="36"/>
  <c r="I87" i="36"/>
  <c r="I89" i="36" s="1"/>
  <c r="I108" i="36"/>
  <c r="I92" i="36"/>
  <c r="I100" i="36"/>
  <c r="I95" i="36"/>
  <c r="I99" i="36"/>
  <c r="I104" i="36"/>
  <c r="I96" i="36"/>
  <c r="I98" i="36"/>
  <c r="I93" i="36"/>
  <c r="I103" i="36"/>
  <c r="I111" i="36"/>
  <c r="I109" i="36"/>
  <c r="I105" i="36"/>
  <c r="I106" i="36"/>
  <c r="I97" i="36"/>
  <c r="AU124" i="36"/>
  <c r="I142" i="36" s="1"/>
  <c r="J153" i="36" s="1"/>
  <c r="AT124" i="36"/>
  <c r="C151" i="36" s="1"/>
  <c r="I86" i="37"/>
  <c r="I88" i="37" s="1"/>
  <c r="J85" i="37" s="1"/>
  <c r="AM125" i="36"/>
  <c r="AL125" i="36"/>
  <c r="AK125" i="36"/>
  <c r="AK125" i="12"/>
  <c r="O188" i="36"/>
  <c r="P188" i="36" s="1"/>
  <c r="Q188" i="36" s="1"/>
  <c r="W126" i="12"/>
  <c r="X126" i="12" s="1"/>
  <c r="Y126" i="12" s="1"/>
  <c r="Z126" i="12" s="1"/>
  <c r="W69" i="12"/>
  <c r="W184" i="12"/>
  <c r="X184" i="12" s="1"/>
  <c r="Y184" i="12" s="1"/>
  <c r="Z184" i="12" s="1"/>
  <c r="AI68" i="12"/>
  <c r="N290" i="37"/>
  <c r="C375" i="37" s="1"/>
  <c r="AI68" i="36"/>
  <c r="AM125" i="12"/>
  <c r="AD70" i="37"/>
  <c r="AE70" i="37" s="1"/>
  <c r="Q117" i="40" s="1"/>
  <c r="R117" i="40" s="1"/>
  <c r="S117" i="40" s="1"/>
  <c r="AG69" i="37"/>
  <c r="AD70" i="36"/>
  <c r="AE70" i="36" s="1"/>
  <c r="Q67" i="40" s="1"/>
  <c r="R67" i="40" s="1"/>
  <c r="S67" i="40" s="1"/>
  <c r="AG69" i="36"/>
  <c r="C69" i="36"/>
  <c r="D69" i="36" s="1"/>
  <c r="B66" i="40" s="1"/>
  <c r="C66" i="40" s="1"/>
  <c r="D66" i="40" s="1"/>
  <c r="AG126" i="12"/>
  <c r="AF69" i="12"/>
  <c r="AU239" i="37"/>
  <c r="I257" i="37" s="1"/>
  <c r="J267" i="37" s="1"/>
  <c r="AT239" i="37"/>
  <c r="C266" i="37" s="1"/>
  <c r="Q240" i="37"/>
  <c r="R240" i="37"/>
  <c r="S240" i="37"/>
  <c r="W186" i="36"/>
  <c r="U187" i="36" s="1"/>
  <c r="W242" i="36"/>
  <c r="N69" i="36"/>
  <c r="L70" i="36" s="1"/>
  <c r="M126" i="36"/>
  <c r="N126" i="36" s="1"/>
  <c r="O126" i="36" s="1"/>
  <c r="P126" i="36" s="1"/>
  <c r="L185" i="37"/>
  <c r="M185" i="37" s="1"/>
  <c r="O184" i="37"/>
  <c r="P184" i="37" s="1"/>
  <c r="Q184" i="37" s="1"/>
  <c r="F292" i="37" s="1"/>
  <c r="AS184" i="37"/>
  <c r="M127" i="37"/>
  <c r="N127" i="37" s="1"/>
  <c r="O127" i="37" s="1"/>
  <c r="P127" i="37" s="1"/>
  <c r="N70" i="37"/>
  <c r="L71" i="37" s="1"/>
  <c r="W69" i="36"/>
  <c r="U70" i="36" s="1"/>
  <c r="W126" i="36"/>
  <c r="X126" i="36" s="1"/>
  <c r="Y126" i="36" s="1"/>
  <c r="Z126" i="36" s="1"/>
  <c r="AF186" i="37"/>
  <c r="AD187" i="37" s="1"/>
  <c r="AE187" i="37" s="1"/>
  <c r="AG242" i="37"/>
  <c r="AF189" i="36"/>
  <c r="AD190" i="36" s="1"/>
  <c r="AE190" i="36" s="1"/>
  <c r="AG245" i="36"/>
  <c r="W185" i="37"/>
  <c r="U186" i="37" s="1"/>
  <c r="V186" i="37" s="1"/>
  <c r="W241" i="37"/>
  <c r="W127" i="37"/>
  <c r="X127" i="37" s="1"/>
  <c r="Y127" i="37" s="1"/>
  <c r="Z127" i="37" s="1"/>
  <c r="W70" i="37"/>
  <c r="U71" i="37" s="1"/>
  <c r="R244" i="36"/>
  <c r="Q244" i="36"/>
  <c r="AD187" i="12"/>
  <c r="AI185" i="37"/>
  <c r="AM241" i="37"/>
  <c r="AK241" i="37"/>
  <c r="AL241" i="37"/>
  <c r="AC240" i="37"/>
  <c r="AA240" i="37"/>
  <c r="AB240" i="37"/>
  <c r="AA241" i="36"/>
  <c r="AB241" i="36"/>
  <c r="AC241" i="36"/>
  <c r="AL244" i="36"/>
  <c r="AM244" i="36"/>
  <c r="AK244" i="36"/>
  <c r="R126" i="12"/>
  <c r="Q126" i="12"/>
  <c r="S126" i="12"/>
  <c r="D400" i="37"/>
  <c r="F400" i="37" s="1"/>
  <c r="D423" i="37"/>
  <c r="F423" i="37" s="1"/>
  <c r="I88" i="38"/>
  <c r="J85" i="38" s="1"/>
  <c r="I95" i="38"/>
  <c r="I111" i="38"/>
  <c r="I106" i="38"/>
  <c r="I104" i="38"/>
  <c r="I110" i="38"/>
  <c r="I97" i="38"/>
  <c r="I101" i="38"/>
  <c r="I96" i="38"/>
  <c r="I98" i="38"/>
  <c r="I107" i="38"/>
  <c r="I99" i="38"/>
  <c r="I92" i="38"/>
  <c r="I87" i="38"/>
  <c r="I94" i="38"/>
  <c r="I105" i="38"/>
  <c r="I109" i="38"/>
  <c r="I108" i="38"/>
  <c r="I102" i="38"/>
  <c r="I93" i="38"/>
  <c r="I103" i="38"/>
  <c r="I100" i="38"/>
  <c r="AO182" i="12"/>
  <c r="H201" i="12"/>
  <c r="G205" i="12"/>
  <c r="AO68" i="36"/>
  <c r="AO184" i="36"/>
  <c r="AO68" i="38"/>
  <c r="J217" i="37"/>
  <c r="J218" i="37"/>
  <c r="J220" i="37"/>
  <c r="J225" i="37"/>
  <c r="J226" i="37"/>
  <c r="J210" i="37"/>
  <c r="J212" i="37"/>
  <c r="J221" i="37"/>
  <c r="J208" i="37"/>
  <c r="J209" i="37"/>
  <c r="J204" i="37"/>
  <c r="K201" i="37" s="1"/>
  <c r="J213" i="37"/>
  <c r="J223" i="37"/>
  <c r="J216" i="37"/>
  <c r="J203" i="37"/>
  <c r="J227" i="37"/>
  <c r="J211" i="37"/>
  <c r="J214" i="37"/>
  <c r="J219" i="37"/>
  <c r="J215" i="37"/>
  <c r="J222" i="37"/>
  <c r="J224" i="37"/>
  <c r="M291" i="37"/>
  <c r="B376" i="37" s="1"/>
  <c r="G64" i="31" s="1"/>
  <c r="D69" i="38"/>
  <c r="B166" i="40" s="1"/>
  <c r="C166" i="40" s="1"/>
  <c r="D166" i="40" s="1"/>
  <c r="AS68" i="38"/>
  <c r="F68" i="38"/>
  <c r="G68" i="38" s="1"/>
  <c r="H68" i="38" s="1"/>
  <c r="H125" i="38"/>
  <c r="I125" i="38"/>
  <c r="G125" i="38"/>
  <c r="AU124" i="37"/>
  <c r="I142" i="37" s="1"/>
  <c r="AT124" i="37"/>
  <c r="C151" i="37" s="1"/>
  <c r="AI188" i="36"/>
  <c r="E68" i="37"/>
  <c r="C69" i="37" s="1"/>
  <c r="C125" i="37"/>
  <c r="D125" i="37" s="1"/>
  <c r="E125" i="37" s="1"/>
  <c r="F125" i="37" s="1"/>
  <c r="AM68" i="37"/>
  <c r="AN68" i="37" s="1"/>
  <c r="N70" i="12"/>
  <c r="L71" i="12" s="1"/>
  <c r="F187" i="38"/>
  <c r="G187" i="38" s="1"/>
  <c r="H187" i="38" s="1"/>
  <c r="B192" i="40"/>
  <c r="C192" i="40" s="1"/>
  <c r="D192" i="40" s="1"/>
  <c r="G243" i="38"/>
  <c r="H243" i="38"/>
  <c r="I243" i="38"/>
  <c r="B140" i="40"/>
  <c r="C140" i="40" s="1"/>
  <c r="D140" i="40" s="1"/>
  <c r="F185" i="37"/>
  <c r="G185" i="37" s="1"/>
  <c r="H185" i="37" s="1"/>
  <c r="C241" i="37"/>
  <c r="D241" i="37" s="1"/>
  <c r="E241" i="37" s="1"/>
  <c r="F241" i="37" s="1"/>
  <c r="C317" i="36"/>
  <c r="B376" i="36"/>
  <c r="G37" i="31" s="1"/>
  <c r="H125" i="36"/>
  <c r="G125" i="36"/>
  <c r="I125" i="36"/>
  <c r="AS184" i="36"/>
  <c r="B89" i="40"/>
  <c r="C89" i="40" s="1"/>
  <c r="D89" i="40" s="1"/>
  <c r="F184" i="36"/>
  <c r="G184" i="36" s="1"/>
  <c r="H184" i="36" s="1"/>
  <c r="F292" i="36" s="1"/>
  <c r="AS68" i="36"/>
  <c r="F68" i="36"/>
  <c r="G68" i="36" s="1"/>
  <c r="H68" i="36" s="1"/>
  <c r="H240" i="36"/>
  <c r="AR240" i="36" s="1"/>
  <c r="I240" i="36"/>
  <c r="AS240" i="36" s="1"/>
  <c r="G240" i="36"/>
  <c r="AQ240" i="36" s="1"/>
  <c r="AU239" i="36"/>
  <c r="I257" i="36" s="1"/>
  <c r="AT239" i="36"/>
  <c r="C266" i="36" s="1"/>
  <c r="AG186" i="12"/>
  <c r="AH186" i="12" s="1"/>
  <c r="AI185" i="12"/>
  <c r="Q241" i="12"/>
  <c r="S241" i="12"/>
  <c r="R241" i="12"/>
  <c r="AH241" i="12"/>
  <c r="AI241" i="12" s="1"/>
  <c r="AJ241" i="12" s="1"/>
  <c r="AM183" i="12"/>
  <c r="AN183" i="12" s="1"/>
  <c r="I238" i="12"/>
  <c r="AS238" i="12" s="1"/>
  <c r="G238" i="12"/>
  <c r="AQ238" i="12" s="1"/>
  <c r="H238" i="12"/>
  <c r="AR238" i="12" s="1"/>
  <c r="H266" i="12"/>
  <c r="H274" i="12"/>
  <c r="H267" i="12"/>
  <c r="H275" i="12"/>
  <c r="H270" i="12"/>
  <c r="H271" i="12"/>
  <c r="H272" i="12"/>
  <c r="H269" i="12"/>
  <c r="H279" i="12"/>
  <c r="H277" i="12"/>
  <c r="H278" i="12"/>
  <c r="H264" i="12"/>
  <c r="H265" i="12"/>
  <c r="H268" i="12"/>
  <c r="H273" i="12"/>
  <c r="H276" i="12"/>
  <c r="E183" i="12"/>
  <c r="F183" i="12" s="1"/>
  <c r="M781" i="4"/>
  <c r="S576" i="4"/>
  <c r="G517" i="4"/>
  <c r="Y474" i="4"/>
  <c r="M476" i="4"/>
  <c r="AK388" i="4"/>
  <c r="AE389" i="4"/>
  <c r="Y389" i="4"/>
  <c r="M388" i="4"/>
  <c r="S309" i="4"/>
  <c r="S264" i="4"/>
  <c r="R831" i="4"/>
  <c r="P832" i="4" s="1"/>
  <c r="R264" i="4"/>
  <c r="P265" i="4" s="1"/>
  <c r="S265" i="4" s="1"/>
  <c r="R309" i="4"/>
  <c r="S310" i="4" s="1"/>
  <c r="R968" i="4"/>
  <c r="P969" i="4" s="1"/>
  <c r="S969" i="4" s="1"/>
  <c r="R576" i="4"/>
  <c r="S577" i="4" s="1"/>
  <c r="F389" i="4"/>
  <c r="G390" i="4" s="1"/>
  <c r="X474" i="4"/>
  <c r="V475" i="4" s="1"/>
  <c r="Y475" i="4" s="1"/>
  <c r="R727" i="4"/>
  <c r="P728" i="4" s="1"/>
  <c r="S728" i="4" s="1"/>
  <c r="R476" i="4"/>
  <c r="P477" i="4" s="1"/>
  <c r="S477" i="4" s="1"/>
  <c r="AJ388" i="4"/>
  <c r="AH389" i="4" s="1"/>
  <c r="R388" i="4"/>
  <c r="P389" i="4" s="1"/>
  <c r="S389" i="4" s="1"/>
  <c r="X389" i="4"/>
  <c r="V390" i="4" s="1"/>
  <c r="Y390" i="4" s="1"/>
  <c r="AD265" i="4"/>
  <c r="AB266" i="4" s="1"/>
  <c r="AE266" i="4" s="1"/>
  <c r="X264" i="4"/>
  <c r="V265" i="4" s="1"/>
  <c r="Y265" i="4" s="1"/>
  <c r="F832" i="4"/>
  <c r="D833" i="4" s="1"/>
  <c r="G833" i="4" s="1"/>
  <c r="F781" i="4"/>
  <c r="D782" i="4" s="1"/>
  <c r="G782" i="4" s="1"/>
  <c r="L831" i="4"/>
  <c r="J832" i="4" s="1"/>
  <c r="M832" i="4" s="1"/>
  <c r="L476" i="4"/>
  <c r="J477" i="4" s="1"/>
  <c r="M477" i="4" s="1"/>
  <c r="AD389" i="4"/>
  <c r="AB390" i="4" s="1"/>
  <c r="AE390" i="4" s="1"/>
  <c r="F727" i="4"/>
  <c r="D728" i="4" s="1"/>
  <c r="G728" i="4" s="1"/>
  <c r="F633" i="4"/>
  <c r="D634" i="4" s="1"/>
  <c r="R782" i="4"/>
  <c r="P783" i="4" s="1"/>
  <c r="L1003" i="4"/>
  <c r="J1004" i="4" s="1"/>
  <c r="F517" i="4"/>
  <c r="D518" i="4" s="1"/>
  <c r="G518" i="4"/>
  <c r="X575" i="4"/>
  <c r="V576" i="4" s="1"/>
  <c r="Y576" i="4" s="1"/>
  <c r="L388" i="4"/>
  <c r="J389" i="4" s="1"/>
  <c r="L781" i="4"/>
  <c r="J782" i="4" s="1"/>
  <c r="I202" i="38" l="1"/>
  <c r="I204" i="38" s="1"/>
  <c r="J201" i="38" s="1"/>
  <c r="J202" i="36"/>
  <c r="X264" i="12"/>
  <c r="H289" i="12" s="1"/>
  <c r="N189" i="36"/>
  <c r="L190" i="36" s="1"/>
  <c r="M190" i="36" s="1"/>
  <c r="M245" i="36"/>
  <c r="N245" i="36" s="1"/>
  <c r="O245" i="36" s="1"/>
  <c r="P245" i="36" s="1"/>
  <c r="S245" i="36" s="1"/>
  <c r="M242" i="12"/>
  <c r="N242" i="12" s="1"/>
  <c r="O242" i="12" s="1"/>
  <c r="P242" i="12" s="1"/>
  <c r="S242" i="12" s="1"/>
  <c r="N186" i="12"/>
  <c r="L187" i="12" s="1"/>
  <c r="M187" i="12" s="1"/>
  <c r="M243" i="12" s="1"/>
  <c r="H202" i="12"/>
  <c r="H223" i="12" s="1"/>
  <c r="V187" i="36"/>
  <c r="L91" i="40" s="1"/>
  <c r="M91" i="40" s="1"/>
  <c r="N91" i="40" s="1"/>
  <c r="AE187" i="12"/>
  <c r="Q41" i="40" s="1"/>
  <c r="R41" i="40" s="1"/>
  <c r="S41" i="40" s="1"/>
  <c r="E422" i="12"/>
  <c r="G422" i="12" s="1"/>
  <c r="I227" i="36"/>
  <c r="AM11" i="40"/>
  <c r="U184" i="38"/>
  <c r="I222" i="36"/>
  <c r="I210" i="36"/>
  <c r="I219" i="36"/>
  <c r="I220" i="36"/>
  <c r="I223" i="36"/>
  <c r="I221" i="36"/>
  <c r="I225" i="36"/>
  <c r="I213" i="36"/>
  <c r="I218" i="36"/>
  <c r="I203" i="36"/>
  <c r="I205" i="36" s="1"/>
  <c r="I208" i="36"/>
  <c r="I209" i="36"/>
  <c r="AC240" i="12"/>
  <c r="I211" i="36"/>
  <c r="I212" i="36"/>
  <c r="I224" i="36"/>
  <c r="I215" i="36"/>
  <c r="I216" i="36"/>
  <c r="I226" i="36"/>
  <c r="AM185" i="37"/>
  <c r="AN185" i="37" s="1"/>
  <c r="AO185" i="37" s="1"/>
  <c r="K202" i="37" s="1"/>
  <c r="G139" i="40"/>
  <c r="H139" i="40" s="1"/>
  <c r="I139" i="40" s="1"/>
  <c r="AB240" i="12"/>
  <c r="I214" i="36"/>
  <c r="I217" i="36"/>
  <c r="AS183" i="38"/>
  <c r="E400" i="38" s="1"/>
  <c r="G400" i="38" s="1"/>
  <c r="J164" i="38"/>
  <c r="J154" i="38"/>
  <c r="J162" i="38"/>
  <c r="J161" i="38"/>
  <c r="J155" i="38"/>
  <c r="J163" i="38"/>
  <c r="J158" i="38"/>
  <c r="J152" i="38"/>
  <c r="J159" i="38"/>
  <c r="J156" i="38"/>
  <c r="J153" i="38"/>
  <c r="J157" i="38"/>
  <c r="J151" i="38"/>
  <c r="X151" i="38" s="1"/>
  <c r="E291" i="38" s="1"/>
  <c r="C292" i="38"/>
  <c r="C316" i="38"/>
  <c r="AQ125" i="38"/>
  <c r="AS125" i="38"/>
  <c r="AR125" i="38"/>
  <c r="AH69" i="38"/>
  <c r="AH126" i="38" s="1"/>
  <c r="AI126" i="38" s="1"/>
  <c r="AJ126" i="38" s="1"/>
  <c r="AU238" i="38"/>
  <c r="H257" i="38" s="1"/>
  <c r="AT238" i="38"/>
  <c r="C265" i="38" s="1"/>
  <c r="AG183" i="38"/>
  <c r="AD184" i="38"/>
  <c r="AE184" i="38" s="1"/>
  <c r="AG127" i="38"/>
  <c r="AF70" i="38"/>
  <c r="W127" i="38"/>
  <c r="X127" i="38" s="1"/>
  <c r="Y127" i="38" s="1"/>
  <c r="Z127" i="38" s="1"/>
  <c r="W70" i="38"/>
  <c r="AC239" i="38"/>
  <c r="AB239" i="38"/>
  <c r="AA239" i="38"/>
  <c r="J162" i="36"/>
  <c r="L185" i="38"/>
  <c r="M185" i="38" s="1"/>
  <c r="O184" i="38"/>
  <c r="P184" i="38" s="1"/>
  <c r="Q184" i="38" s="1"/>
  <c r="L70" i="38"/>
  <c r="M70" i="38" s="1"/>
  <c r="G167" i="40" s="1"/>
  <c r="H167" i="40" s="1"/>
  <c r="I167" i="40" s="1"/>
  <c r="O69" i="38"/>
  <c r="P69" i="38" s="1"/>
  <c r="Q69" i="38" s="1"/>
  <c r="S126" i="38"/>
  <c r="R126" i="38"/>
  <c r="Q126" i="38"/>
  <c r="I210" i="38"/>
  <c r="I208" i="38"/>
  <c r="I217" i="38"/>
  <c r="I218" i="38"/>
  <c r="I224" i="38"/>
  <c r="I209" i="38"/>
  <c r="I214" i="38"/>
  <c r="I222" i="38"/>
  <c r="I226" i="38"/>
  <c r="I225" i="38"/>
  <c r="I220" i="38"/>
  <c r="I215" i="38"/>
  <c r="I221" i="38"/>
  <c r="I227" i="38"/>
  <c r="I211" i="38"/>
  <c r="I219" i="38"/>
  <c r="I203" i="38"/>
  <c r="I216" i="38"/>
  <c r="S240" i="38"/>
  <c r="R240" i="38"/>
  <c r="Q240" i="38"/>
  <c r="J152" i="36"/>
  <c r="J151" i="36"/>
  <c r="X151" i="36" s="1"/>
  <c r="E291" i="36" s="1"/>
  <c r="J155" i="36"/>
  <c r="J158" i="36"/>
  <c r="J161" i="36"/>
  <c r="J156" i="36"/>
  <c r="J157" i="36"/>
  <c r="J154" i="36"/>
  <c r="J163" i="36"/>
  <c r="J160" i="36"/>
  <c r="J164" i="36"/>
  <c r="J159" i="36"/>
  <c r="I108" i="37"/>
  <c r="I105" i="37"/>
  <c r="I107" i="37"/>
  <c r="I94" i="37"/>
  <c r="I98" i="37"/>
  <c r="I106" i="37"/>
  <c r="I103" i="37"/>
  <c r="I96" i="37"/>
  <c r="I101" i="37"/>
  <c r="I99" i="37"/>
  <c r="I87" i="37"/>
  <c r="I89" i="37" s="1"/>
  <c r="I109" i="37"/>
  <c r="I110" i="37"/>
  <c r="I97" i="37"/>
  <c r="I100" i="37"/>
  <c r="I92" i="37"/>
  <c r="I102" i="37"/>
  <c r="I93" i="37"/>
  <c r="AS125" i="36"/>
  <c r="I111" i="37"/>
  <c r="I104" i="37"/>
  <c r="I95" i="37"/>
  <c r="AQ125" i="36"/>
  <c r="J86" i="38"/>
  <c r="J86" i="36"/>
  <c r="J87" i="36" s="1"/>
  <c r="AR125" i="36"/>
  <c r="U185" i="12"/>
  <c r="V185" i="12" s="1"/>
  <c r="E316" i="37"/>
  <c r="J272" i="37"/>
  <c r="J277" i="37"/>
  <c r="J270" i="37"/>
  <c r="J279" i="37"/>
  <c r="J274" i="37"/>
  <c r="J266" i="37"/>
  <c r="X266" i="37" s="1"/>
  <c r="H291" i="37" s="1"/>
  <c r="J275" i="37"/>
  <c r="J268" i="37"/>
  <c r="C292" i="36"/>
  <c r="M292" i="36" s="1"/>
  <c r="J269" i="37"/>
  <c r="J278" i="37"/>
  <c r="U70" i="12"/>
  <c r="V70" i="12" s="1"/>
  <c r="L17" i="40" s="1"/>
  <c r="M17" i="40" s="1"/>
  <c r="N17" i="40" s="1"/>
  <c r="X69" i="12"/>
  <c r="Y69" i="12" s="1"/>
  <c r="Z69" i="12" s="1"/>
  <c r="J273" i="37"/>
  <c r="J271" i="37"/>
  <c r="J276" i="37"/>
  <c r="AG189" i="36"/>
  <c r="AH189" i="36" s="1"/>
  <c r="AH245" i="36" s="1"/>
  <c r="AI245" i="36" s="1"/>
  <c r="AJ245" i="36" s="1"/>
  <c r="AH69" i="37"/>
  <c r="AH126" i="37" s="1"/>
  <c r="AI126" i="37" s="1"/>
  <c r="AJ126" i="37" s="1"/>
  <c r="AG127" i="37"/>
  <c r="AF70" i="37"/>
  <c r="AF70" i="36"/>
  <c r="AG127" i="36"/>
  <c r="AH69" i="36"/>
  <c r="AH126" i="36" s="1"/>
  <c r="AI126" i="36" s="1"/>
  <c r="AJ126" i="36" s="1"/>
  <c r="AD70" i="12"/>
  <c r="AE70" i="12" s="1"/>
  <c r="Q17" i="40" s="1"/>
  <c r="R17" i="40" s="1"/>
  <c r="S17" i="40" s="1"/>
  <c r="AG69" i="12"/>
  <c r="AH69" i="12" s="1"/>
  <c r="AH126" i="12" s="1"/>
  <c r="AI126" i="12" s="1"/>
  <c r="AJ126" i="12" s="1"/>
  <c r="AL126" i="12" s="1"/>
  <c r="X185" i="37"/>
  <c r="Y185" i="37" s="1"/>
  <c r="Z185" i="37" s="1"/>
  <c r="X186" i="36"/>
  <c r="Y186" i="36" s="1"/>
  <c r="Z186" i="36" s="1"/>
  <c r="AS240" i="37"/>
  <c r="M71" i="37"/>
  <c r="G118" i="40" s="1"/>
  <c r="H118" i="40" s="1"/>
  <c r="I118" i="40" s="1"/>
  <c r="O70" i="37"/>
  <c r="P70" i="37" s="1"/>
  <c r="Q70" i="37" s="1"/>
  <c r="Q127" i="37"/>
  <c r="S127" i="37"/>
  <c r="R127" i="37"/>
  <c r="E401" i="37"/>
  <c r="G401" i="37" s="1"/>
  <c r="E424" i="37"/>
  <c r="G424" i="37" s="1"/>
  <c r="N185" i="37"/>
  <c r="M241" i="37"/>
  <c r="N241" i="37" s="1"/>
  <c r="O241" i="37" s="1"/>
  <c r="P241" i="37" s="1"/>
  <c r="S126" i="36"/>
  <c r="Q126" i="36"/>
  <c r="R126" i="36"/>
  <c r="AR240" i="37"/>
  <c r="AG186" i="37"/>
  <c r="AH186" i="37" s="1"/>
  <c r="AH242" i="37" s="1"/>
  <c r="AI242" i="37" s="1"/>
  <c r="AJ242" i="37" s="1"/>
  <c r="AB126" i="36"/>
  <c r="AC126" i="36"/>
  <c r="AA126" i="36"/>
  <c r="M70" i="36"/>
  <c r="G67" i="40" s="1"/>
  <c r="H67" i="40" s="1"/>
  <c r="I67" i="40" s="1"/>
  <c r="O69" i="36"/>
  <c r="P69" i="36" s="1"/>
  <c r="Q69" i="36" s="1"/>
  <c r="AQ240" i="37"/>
  <c r="V70" i="36"/>
  <c r="L67" i="40" s="1"/>
  <c r="M67" i="40" s="1"/>
  <c r="N67" i="40" s="1"/>
  <c r="X69" i="36"/>
  <c r="Y69" i="36" s="1"/>
  <c r="Z69" i="36" s="1"/>
  <c r="V71" i="37"/>
  <c r="L118" i="40" s="1"/>
  <c r="M118" i="40" s="1"/>
  <c r="N118" i="40" s="1"/>
  <c r="X70" i="37"/>
  <c r="Y70" i="37" s="1"/>
  <c r="Z70" i="37" s="1"/>
  <c r="AC127" i="37"/>
  <c r="AB127" i="37"/>
  <c r="AA127" i="37"/>
  <c r="Q141" i="40"/>
  <c r="R141" i="40" s="1"/>
  <c r="S141" i="40" s="1"/>
  <c r="L140" i="40"/>
  <c r="M140" i="40" s="1"/>
  <c r="N140" i="40" s="1"/>
  <c r="X241" i="37"/>
  <c r="Y241" i="37" s="1"/>
  <c r="Z241" i="37" s="1"/>
  <c r="X242" i="36"/>
  <c r="Y242" i="36" s="1"/>
  <c r="Z242" i="36" s="1"/>
  <c r="AC126" i="12"/>
  <c r="AB126" i="12"/>
  <c r="AA126" i="12"/>
  <c r="D401" i="36"/>
  <c r="F401" i="36" s="1"/>
  <c r="D424" i="36"/>
  <c r="F424" i="36" s="1"/>
  <c r="I89" i="38"/>
  <c r="E401" i="36"/>
  <c r="G401" i="36" s="1"/>
  <c r="E424" i="36"/>
  <c r="G424" i="36" s="1"/>
  <c r="D401" i="38"/>
  <c r="F401" i="38" s="1"/>
  <c r="D424" i="38"/>
  <c r="F424" i="38" s="1"/>
  <c r="J205" i="37"/>
  <c r="AO183" i="12"/>
  <c r="C317" i="37"/>
  <c r="AO68" i="37"/>
  <c r="J155" i="37"/>
  <c r="J152" i="37"/>
  <c r="J159" i="37"/>
  <c r="J162" i="37"/>
  <c r="J163" i="37"/>
  <c r="J164" i="37"/>
  <c r="J156" i="37"/>
  <c r="J151" i="37"/>
  <c r="X151" i="37" s="1"/>
  <c r="E291" i="37" s="1"/>
  <c r="J154" i="37"/>
  <c r="J153" i="37"/>
  <c r="J160" i="37"/>
  <c r="J158" i="37"/>
  <c r="J157" i="37"/>
  <c r="J161" i="37"/>
  <c r="I125" i="37"/>
  <c r="AS125" i="37" s="1"/>
  <c r="H125" i="37"/>
  <c r="AR125" i="37" s="1"/>
  <c r="G125" i="37"/>
  <c r="AQ125" i="37" s="1"/>
  <c r="AS68" i="37"/>
  <c r="F68" i="37"/>
  <c r="G68" i="37" s="1"/>
  <c r="H68" i="37" s="1"/>
  <c r="C292" i="37" s="1"/>
  <c r="D69" i="37"/>
  <c r="B116" i="40" s="1"/>
  <c r="C116" i="40" s="1"/>
  <c r="D116" i="40" s="1"/>
  <c r="AM69" i="38"/>
  <c r="AN69" i="38" s="1"/>
  <c r="E69" i="38"/>
  <c r="C70" i="38" s="1"/>
  <c r="C126" i="38"/>
  <c r="D126" i="38" s="1"/>
  <c r="E126" i="38" s="1"/>
  <c r="F126" i="38" s="1"/>
  <c r="Q94" i="40"/>
  <c r="R94" i="40" s="1"/>
  <c r="S94" i="40" s="1"/>
  <c r="G94" i="40"/>
  <c r="H94" i="40" s="1"/>
  <c r="I94" i="40" s="1"/>
  <c r="M71" i="12"/>
  <c r="O70" i="12"/>
  <c r="P70" i="12" s="1"/>
  <c r="Q70" i="12" s="1"/>
  <c r="N127" i="12"/>
  <c r="O127" i="12" s="1"/>
  <c r="P127" i="12" s="1"/>
  <c r="E188" i="38"/>
  <c r="C189" i="38" s="1"/>
  <c r="D189" i="38" s="1"/>
  <c r="I241" i="37"/>
  <c r="H241" i="37"/>
  <c r="G241" i="37"/>
  <c r="E186" i="37"/>
  <c r="C187" i="37" s="1"/>
  <c r="D187" i="37" s="1"/>
  <c r="C242" i="37"/>
  <c r="D242" i="37" s="1"/>
  <c r="E242" i="37" s="1"/>
  <c r="F242" i="37" s="1"/>
  <c r="E316" i="36"/>
  <c r="C375" i="36"/>
  <c r="AM69" i="36"/>
  <c r="AN69" i="36" s="1"/>
  <c r="E69" i="36"/>
  <c r="C126" i="36"/>
  <c r="D126" i="36" s="1"/>
  <c r="E126" i="36" s="1"/>
  <c r="F126" i="36" s="1"/>
  <c r="J272" i="36"/>
  <c r="J276" i="36"/>
  <c r="J274" i="36"/>
  <c r="J271" i="36"/>
  <c r="J277" i="36"/>
  <c r="J266" i="36"/>
  <c r="X266" i="36" s="1"/>
  <c r="H291" i="36" s="1"/>
  <c r="J268" i="36"/>
  <c r="J279" i="36"/>
  <c r="J278" i="36"/>
  <c r="J275" i="36"/>
  <c r="J270" i="36"/>
  <c r="J267" i="36"/>
  <c r="J269" i="36"/>
  <c r="J273" i="36"/>
  <c r="E185" i="36"/>
  <c r="C186" i="36" s="1"/>
  <c r="D186" i="36" s="1"/>
  <c r="AT240" i="36"/>
  <c r="C267" i="36" s="1"/>
  <c r="AU240" i="36"/>
  <c r="J257" i="36" s="1"/>
  <c r="AI186" i="12"/>
  <c r="AK241" i="12"/>
  <c r="AL241" i="12"/>
  <c r="AM241" i="12"/>
  <c r="AH242" i="12"/>
  <c r="AI242" i="12" s="1"/>
  <c r="AJ242" i="12" s="1"/>
  <c r="AS183" i="12"/>
  <c r="C184" i="12"/>
  <c r="D184" i="12" s="1"/>
  <c r="AT238" i="12"/>
  <c r="C265" i="12" s="1"/>
  <c r="AU238" i="12"/>
  <c r="H257" i="12" s="1"/>
  <c r="G183" i="12"/>
  <c r="H183" i="12" s="1"/>
  <c r="F291" i="12" s="1"/>
  <c r="F239" i="12"/>
  <c r="M1004" i="4"/>
  <c r="S832" i="4"/>
  <c r="M782" i="4"/>
  <c r="S783" i="4"/>
  <c r="G634" i="4"/>
  <c r="AK389" i="4"/>
  <c r="M389" i="4"/>
  <c r="R265" i="4"/>
  <c r="S266" i="4" s="1"/>
  <c r="R832" i="4"/>
  <c r="P833" i="4" s="1"/>
  <c r="S833" i="4" s="1"/>
  <c r="R969" i="4"/>
  <c r="P970" i="4" s="1"/>
  <c r="S970" i="4" s="1"/>
  <c r="L1004" i="4"/>
  <c r="M1005" i="4" s="1"/>
  <c r="L389" i="4"/>
  <c r="M390" i="4" s="1"/>
  <c r="AJ389" i="4"/>
  <c r="AH390" i="4" s="1"/>
  <c r="AK390" i="4" s="1"/>
  <c r="X390" i="4"/>
  <c r="V391" i="4" s="1"/>
  <c r="Y391" i="4" s="1"/>
  <c r="R728" i="4"/>
  <c r="P729" i="4" s="1"/>
  <c r="S729" i="4" s="1"/>
  <c r="R389" i="4"/>
  <c r="P390" i="4" s="1"/>
  <c r="R477" i="4"/>
  <c r="P478" i="4" s="1"/>
  <c r="S478" i="4" s="1"/>
  <c r="X475" i="4"/>
  <c r="V476" i="4" s="1"/>
  <c r="Y476" i="4" s="1"/>
  <c r="X576" i="4"/>
  <c r="V577" i="4" s="1"/>
  <c r="L832" i="4"/>
  <c r="J833" i="4" s="1"/>
  <c r="M833" i="4" s="1"/>
  <c r="X265" i="4"/>
  <c r="V266" i="4" s="1"/>
  <c r="F518" i="4"/>
  <c r="D519" i="4" s="1"/>
  <c r="G519" i="4" s="1"/>
  <c r="L782" i="4"/>
  <c r="J783" i="4" s="1"/>
  <c r="M783" i="4" s="1"/>
  <c r="R783" i="4"/>
  <c r="P784" i="4" s="1"/>
  <c r="S784" i="4" s="1"/>
  <c r="F782" i="4"/>
  <c r="D783" i="4" s="1"/>
  <c r="G783" i="4" s="1"/>
  <c r="F728" i="4"/>
  <c r="D729" i="4" s="1"/>
  <c r="G729" i="4" s="1"/>
  <c r="F833" i="4"/>
  <c r="D834" i="4" s="1"/>
  <c r="G834" i="4" s="1"/>
  <c r="AD266" i="4"/>
  <c r="AB267" i="4" s="1"/>
  <c r="AE267" i="4" s="1"/>
  <c r="AD390" i="4"/>
  <c r="AB391" i="4" s="1"/>
  <c r="F634" i="4"/>
  <c r="D635" i="4" s="1"/>
  <c r="G635" i="4" s="1"/>
  <c r="L477" i="4"/>
  <c r="J478" i="4" s="1"/>
  <c r="Q245" i="36" l="1"/>
  <c r="R245" i="36"/>
  <c r="I205" i="38"/>
  <c r="I212" i="38"/>
  <c r="I213" i="38"/>
  <c r="I223" i="38"/>
  <c r="O189" i="36"/>
  <c r="P189" i="36" s="1"/>
  <c r="Q189" i="36" s="1"/>
  <c r="Q242" i="12"/>
  <c r="R242" i="12"/>
  <c r="N187" i="12"/>
  <c r="O187" i="12" s="1"/>
  <c r="P187" i="12" s="1"/>
  <c r="Q187" i="12" s="1"/>
  <c r="O186" i="12"/>
  <c r="P186" i="12" s="1"/>
  <c r="Q186" i="12" s="1"/>
  <c r="W243" i="36"/>
  <c r="X243" i="36" s="1"/>
  <c r="Y243" i="36" s="1"/>
  <c r="Z243" i="36" s="1"/>
  <c r="G41" i="40"/>
  <c r="H41" i="40" s="1"/>
  <c r="I41" i="40" s="1"/>
  <c r="W187" i="36"/>
  <c r="U188" i="36" s="1"/>
  <c r="V188" i="36" s="1"/>
  <c r="W188" i="36" s="1"/>
  <c r="U189" i="36" s="1"/>
  <c r="AG243" i="12"/>
  <c r="AF187" i="12"/>
  <c r="AD188" i="12" s="1"/>
  <c r="AE188" i="12" s="1"/>
  <c r="AG244" i="12" s="1"/>
  <c r="V184" i="38"/>
  <c r="L188" i="40" s="1"/>
  <c r="M188" i="40" s="1"/>
  <c r="N188" i="40" s="1"/>
  <c r="J203" i="36"/>
  <c r="J226" i="36"/>
  <c r="J220" i="36"/>
  <c r="E423" i="38"/>
  <c r="G423" i="38" s="1"/>
  <c r="J204" i="36"/>
  <c r="J225" i="36"/>
  <c r="J221" i="36"/>
  <c r="J214" i="36"/>
  <c r="J215" i="36"/>
  <c r="J213" i="36"/>
  <c r="J227" i="36"/>
  <c r="J210" i="36"/>
  <c r="J216" i="36"/>
  <c r="J211" i="36"/>
  <c r="J219" i="36"/>
  <c r="J223" i="36"/>
  <c r="J209" i="36"/>
  <c r="J224" i="36"/>
  <c r="J222" i="36"/>
  <c r="J212" i="36"/>
  <c r="M128" i="12"/>
  <c r="G18" i="40"/>
  <c r="H18" i="40" s="1"/>
  <c r="I18" i="40" s="1"/>
  <c r="W241" i="12"/>
  <c r="X241" i="12" s="1"/>
  <c r="Y241" i="12" s="1"/>
  <c r="Z241" i="12" s="1"/>
  <c r="AC241" i="12" s="1"/>
  <c r="L39" i="40"/>
  <c r="M39" i="40" s="1"/>
  <c r="N39" i="40" s="1"/>
  <c r="J218" i="36"/>
  <c r="J208" i="36"/>
  <c r="J217" i="36"/>
  <c r="AI69" i="38"/>
  <c r="AU125" i="38"/>
  <c r="J142" i="38" s="1"/>
  <c r="K163" i="38" s="1"/>
  <c r="AT125" i="38"/>
  <c r="C152" i="38" s="1"/>
  <c r="AH183" i="38"/>
  <c r="AH239" i="38" s="1"/>
  <c r="AI239" i="38" s="1"/>
  <c r="AJ239" i="38" s="1"/>
  <c r="I275" i="38"/>
  <c r="I279" i="38"/>
  <c r="I265" i="38"/>
  <c r="X265" i="38" s="1"/>
  <c r="H290" i="38" s="1"/>
  <c r="N290" i="38" s="1"/>
  <c r="I273" i="38"/>
  <c r="I277" i="38"/>
  <c r="I269" i="38"/>
  <c r="I276" i="38"/>
  <c r="I272" i="38"/>
  <c r="I274" i="38"/>
  <c r="I267" i="38"/>
  <c r="I271" i="38"/>
  <c r="I268" i="38"/>
  <c r="I266" i="38"/>
  <c r="I278" i="38"/>
  <c r="I270" i="38"/>
  <c r="AD71" i="38"/>
  <c r="AE71" i="38" s="1"/>
  <c r="Q168" i="40" s="1"/>
  <c r="R168" i="40" s="1"/>
  <c r="S168" i="40" s="1"/>
  <c r="AG70" i="38"/>
  <c r="AL126" i="38"/>
  <c r="AK126" i="38"/>
  <c r="AM126" i="38"/>
  <c r="U71" i="38"/>
  <c r="V71" i="38" s="1"/>
  <c r="L168" i="40" s="1"/>
  <c r="M168" i="40" s="1"/>
  <c r="N168" i="40" s="1"/>
  <c r="X70" i="38"/>
  <c r="Y70" i="38" s="1"/>
  <c r="Z70" i="38" s="1"/>
  <c r="AA127" i="38"/>
  <c r="AC127" i="38"/>
  <c r="AB127" i="38"/>
  <c r="N70" i="38"/>
  <c r="M127" i="38"/>
  <c r="N127" i="38" s="1"/>
  <c r="O127" i="38" s="1"/>
  <c r="P127" i="38" s="1"/>
  <c r="J88" i="36"/>
  <c r="K85" i="36" s="1"/>
  <c r="N291" i="36"/>
  <c r="J108" i="36"/>
  <c r="AT125" i="36"/>
  <c r="C152" i="36" s="1"/>
  <c r="J106" i="36"/>
  <c r="J96" i="36"/>
  <c r="J103" i="36"/>
  <c r="J111" i="36"/>
  <c r="J95" i="36"/>
  <c r="J92" i="36"/>
  <c r="J94" i="36"/>
  <c r="J98" i="36"/>
  <c r="J97" i="36"/>
  <c r="AU125" i="36"/>
  <c r="J142" i="36" s="1"/>
  <c r="K161" i="36" s="1"/>
  <c r="J110" i="36"/>
  <c r="J100" i="36"/>
  <c r="J93" i="36"/>
  <c r="J105" i="36"/>
  <c r="J107" i="36"/>
  <c r="J104" i="36"/>
  <c r="J99" i="36"/>
  <c r="J102" i="36"/>
  <c r="J109" i="36"/>
  <c r="J101" i="36"/>
  <c r="J86" i="37"/>
  <c r="J88" i="37" s="1"/>
  <c r="K85" i="37" s="1"/>
  <c r="AM126" i="36"/>
  <c r="AL126" i="36"/>
  <c r="AK126" i="36"/>
  <c r="W185" i="12"/>
  <c r="X185" i="12" s="1"/>
  <c r="Y185" i="12" s="1"/>
  <c r="Z185" i="12" s="1"/>
  <c r="AM126" i="12"/>
  <c r="AM126" i="37"/>
  <c r="AK126" i="37"/>
  <c r="AL126" i="37"/>
  <c r="N291" i="37"/>
  <c r="E317" i="37" s="1"/>
  <c r="W127" i="12"/>
  <c r="X127" i="12" s="1"/>
  <c r="Y127" i="12" s="1"/>
  <c r="Z127" i="12" s="1"/>
  <c r="W70" i="12"/>
  <c r="AI69" i="12"/>
  <c r="AI69" i="36"/>
  <c r="AI69" i="37"/>
  <c r="AD71" i="37"/>
  <c r="AE71" i="37" s="1"/>
  <c r="Q118" i="40" s="1"/>
  <c r="R118" i="40" s="1"/>
  <c r="S118" i="40" s="1"/>
  <c r="AG70" i="37"/>
  <c r="AG70" i="36"/>
  <c r="AD71" i="36"/>
  <c r="AE71" i="36" s="1"/>
  <c r="Q68" i="40" s="1"/>
  <c r="R68" i="40" s="1"/>
  <c r="S68" i="40" s="1"/>
  <c r="C70" i="36"/>
  <c r="D70" i="36" s="1"/>
  <c r="B67" i="40" s="1"/>
  <c r="C67" i="40" s="1"/>
  <c r="D67" i="40" s="1"/>
  <c r="AK126" i="12"/>
  <c r="AG127" i="12"/>
  <c r="AF70" i="12"/>
  <c r="AU240" i="37"/>
  <c r="J257" i="37" s="1"/>
  <c r="K272" i="37" s="1"/>
  <c r="AT240" i="37"/>
  <c r="C267" i="37" s="1"/>
  <c r="L186" i="37"/>
  <c r="M186" i="37" s="1"/>
  <c r="O185" i="37"/>
  <c r="P185" i="37" s="1"/>
  <c r="Q185" i="37" s="1"/>
  <c r="F293" i="37" s="1"/>
  <c r="AS185" i="37"/>
  <c r="N190" i="36"/>
  <c r="L191" i="36" s="1"/>
  <c r="M191" i="36" s="1"/>
  <c r="M246" i="36"/>
  <c r="N246" i="36" s="1"/>
  <c r="O246" i="36" s="1"/>
  <c r="P246" i="36" s="1"/>
  <c r="AF187" i="37"/>
  <c r="AD188" i="37" s="1"/>
  <c r="AG243" i="37"/>
  <c r="N70" i="36"/>
  <c r="L71" i="36" s="1"/>
  <c r="M127" i="36"/>
  <c r="N127" i="36" s="1"/>
  <c r="O127" i="36" s="1"/>
  <c r="P127" i="36" s="1"/>
  <c r="AF190" i="36"/>
  <c r="AD191" i="36" s="1"/>
  <c r="AE191" i="36" s="1"/>
  <c r="AG246" i="36"/>
  <c r="M128" i="37"/>
  <c r="N128" i="37" s="1"/>
  <c r="O128" i="37" s="1"/>
  <c r="P128" i="37" s="1"/>
  <c r="N71" i="37"/>
  <c r="L72" i="37" s="1"/>
  <c r="W70" i="36"/>
  <c r="U71" i="36" s="1"/>
  <c r="W127" i="36"/>
  <c r="X127" i="36" s="1"/>
  <c r="Y127" i="36" s="1"/>
  <c r="Z127" i="36" s="1"/>
  <c r="W186" i="37"/>
  <c r="U187" i="37" s="1"/>
  <c r="V187" i="37" s="1"/>
  <c r="W242" i="37"/>
  <c r="S241" i="37"/>
  <c r="R241" i="37"/>
  <c r="Q241" i="37"/>
  <c r="W128" i="37"/>
  <c r="X128" i="37" s="1"/>
  <c r="Y128" i="37" s="1"/>
  <c r="Z128" i="37" s="1"/>
  <c r="W71" i="37"/>
  <c r="U72" i="37" s="1"/>
  <c r="L188" i="12"/>
  <c r="M188" i="12" s="1"/>
  <c r="AI186" i="37"/>
  <c r="AL242" i="37"/>
  <c r="AK242" i="37"/>
  <c r="AM242" i="37"/>
  <c r="AA241" i="37"/>
  <c r="AC241" i="37"/>
  <c r="AB241" i="37"/>
  <c r="AC242" i="36"/>
  <c r="AA242" i="36"/>
  <c r="AB242" i="36"/>
  <c r="AK245" i="36"/>
  <c r="AL245" i="36"/>
  <c r="AM245" i="36"/>
  <c r="Q127" i="12"/>
  <c r="R127" i="12"/>
  <c r="S127" i="12"/>
  <c r="D401" i="37"/>
  <c r="F401" i="37" s="1"/>
  <c r="D424" i="37"/>
  <c r="F424" i="37" s="1"/>
  <c r="H204" i="12"/>
  <c r="I201" i="12" s="1"/>
  <c r="I202" i="12" s="1"/>
  <c r="E400" i="12"/>
  <c r="G400" i="12" s="1"/>
  <c r="E423" i="12"/>
  <c r="G423" i="12" s="1"/>
  <c r="H214" i="12"/>
  <c r="H222" i="12"/>
  <c r="H217" i="12"/>
  <c r="H210" i="12"/>
  <c r="H220" i="12"/>
  <c r="H215" i="12"/>
  <c r="H224" i="12"/>
  <c r="H211" i="12"/>
  <c r="J88" i="38"/>
  <c r="K85" i="38" s="1"/>
  <c r="J98" i="38"/>
  <c r="J97" i="38"/>
  <c r="J107" i="38"/>
  <c r="J110" i="38"/>
  <c r="J106" i="38"/>
  <c r="J93" i="38"/>
  <c r="J101" i="38"/>
  <c r="J100" i="38"/>
  <c r="J108" i="38"/>
  <c r="J103" i="38"/>
  <c r="J92" i="38"/>
  <c r="J99" i="38"/>
  <c r="J96" i="38"/>
  <c r="J111" i="38"/>
  <c r="J102" i="38"/>
  <c r="J105" i="38"/>
  <c r="J104" i="38"/>
  <c r="J94" i="38"/>
  <c r="J87" i="38"/>
  <c r="J109" i="38"/>
  <c r="J95" i="38"/>
  <c r="H213" i="12"/>
  <c r="H226" i="12"/>
  <c r="H218" i="12"/>
  <c r="H219" i="12"/>
  <c r="H225" i="12"/>
  <c r="H208" i="12"/>
  <c r="H216" i="12"/>
  <c r="H227" i="12"/>
  <c r="H212" i="12"/>
  <c r="H209" i="12"/>
  <c r="H221" i="12"/>
  <c r="H203" i="12"/>
  <c r="AO69" i="36"/>
  <c r="N243" i="12"/>
  <c r="O243" i="12" s="1"/>
  <c r="P243" i="12" s="1"/>
  <c r="S243" i="12" s="1"/>
  <c r="M292" i="37"/>
  <c r="C318" i="37" s="1"/>
  <c r="AO69" i="38"/>
  <c r="K210" i="37"/>
  <c r="K213" i="37"/>
  <c r="K218" i="37"/>
  <c r="K212" i="37"/>
  <c r="K204" i="37"/>
  <c r="L201" i="37" s="1"/>
  <c r="K209" i="37"/>
  <c r="K225" i="37"/>
  <c r="K216" i="37"/>
  <c r="K224" i="37"/>
  <c r="K214" i="37"/>
  <c r="K220" i="37"/>
  <c r="K221" i="37"/>
  <c r="K222" i="37"/>
  <c r="K226" i="37"/>
  <c r="K217" i="37"/>
  <c r="K215" i="37"/>
  <c r="K211" i="37"/>
  <c r="K227" i="37"/>
  <c r="K223" i="37"/>
  <c r="K219" i="37"/>
  <c r="K203" i="37"/>
  <c r="K208" i="37"/>
  <c r="AI189" i="36"/>
  <c r="H126" i="38"/>
  <c r="I126" i="38"/>
  <c r="G126" i="38"/>
  <c r="AT125" i="37"/>
  <c r="C152" i="37" s="1"/>
  <c r="AU125" i="37"/>
  <c r="J142" i="37" s="1"/>
  <c r="F69" i="38"/>
  <c r="G69" i="38" s="1"/>
  <c r="H69" i="38" s="1"/>
  <c r="AS69" i="38"/>
  <c r="D70" i="38"/>
  <c r="B167" i="40" s="1"/>
  <c r="C167" i="40" s="1"/>
  <c r="D167" i="40" s="1"/>
  <c r="C126" i="37"/>
  <c r="D126" i="37" s="1"/>
  <c r="E126" i="37" s="1"/>
  <c r="F126" i="37" s="1"/>
  <c r="E69" i="37"/>
  <c r="C70" i="37" s="1"/>
  <c r="AM69" i="37"/>
  <c r="AN69" i="37" s="1"/>
  <c r="N71" i="12"/>
  <c r="L72" i="12" s="1"/>
  <c r="F188" i="38"/>
  <c r="G188" i="38" s="1"/>
  <c r="H188" i="38" s="1"/>
  <c r="B193" i="40"/>
  <c r="C193" i="40" s="1"/>
  <c r="D193" i="40" s="1"/>
  <c r="C244" i="38"/>
  <c r="D244" i="38" s="1"/>
  <c r="E244" i="38" s="1"/>
  <c r="F244" i="38" s="1"/>
  <c r="I242" i="37"/>
  <c r="G242" i="37"/>
  <c r="H242" i="37"/>
  <c r="F186" i="37"/>
  <c r="G186" i="37" s="1"/>
  <c r="H186" i="37" s="1"/>
  <c r="B141" i="40"/>
  <c r="C141" i="40" s="1"/>
  <c r="D141" i="40" s="1"/>
  <c r="C318" i="36"/>
  <c r="B377" i="36"/>
  <c r="G38" i="31" s="1"/>
  <c r="F69" i="36"/>
  <c r="G69" i="36" s="1"/>
  <c r="H69" i="36" s="1"/>
  <c r="AS69" i="36"/>
  <c r="H126" i="36"/>
  <c r="I126" i="36"/>
  <c r="G126" i="36"/>
  <c r="F185" i="36"/>
  <c r="G185" i="36" s="1"/>
  <c r="H185" i="36" s="1"/>
  <c r="F293" i="36" s="1"/>
  <c r="AS185" i="36"/>
  <c r="B90" i="40"/>
  <c r="C90" i="40" s="1"/>
  <c r="D90" i="40" s="1"/>
  <c r="K273" i="36"/>
  <c r="K270" i="36"/>
  <c r="K268" i="36"/>
  <c r="K275" i="36"/>
  <c r="K267" i="36"/>
  <c r="X267" i="36" s="1"/>
  <c r="H292" i="36" s="1"/>
  <c r="K278" i="36"/>
  <c r="K269" i="36"/>
  <c r="K271" i="36"/>
  <c r="K276" i="36"/>
  <c r="K279" i="36"/>
  <c r="K277" i="36"/>
  <c r="K272" i="36"/>
  <c r="K274" i="36"/>
  <c r="AM185" i="36"/>
  <c r="AN185" i="36" s="1"/>
  <c r="C241" i="36"/>
  <c r="D241" i="36" s="1"/>
  <c r="E241" i="36" s="1"/>
  <c r="F241" i="36" s="1"/>
  <c r="AM242" i="12"/>
  <c r="AL242" i="12"/>
  <c r="AK242" i="12"/>
  <c r="AF188" i="12"/>
  <c r="AD189" i="12" s="1"/>
  <c r="AE189" i="12" s="1"/>
  <c r="I270" i="12"/>
  <c r="I278" i="12"/>
  <c r="I271" i="12"/>
  <c r="I279" i="12"/>
  <c r="I268" i="12"/>
  <c r="I269" i="12"/>
  <c r="I272" i="12"/>
  <c r="I267" i="12"/>
  <c r="I277" i="12"/>
  <c r="I266" i="12"/>
  <c r="I273" i="12"/>
  <c r="I265" i="12"/>
  <c r="X265" i="12" s="1"/>
  <c r="H290" i="12" s="1"/>
  <c r="I274" i="12"/>
  <c r="I275" i="12"/>
  <c r="I276" i="12"/>
  <c r="I239" i="12"/>
  <c r="AS239" i="12" s="1"/>
  <c r="H239" i="12"/>
  <c r="AR239" i="12" s="1"/>
  <c r="G239" i="12"/>
  <c r="AQ239" i="12" s="1"/>
  <c r="Y577" i="4"/>
  <c r="M478" i="4"/>
  <c r="AE391" i="4"/>
  <c r="S390" i="4"/>
  <c r="Y266" i="4"/>
  <c r="R833" i="4"/>
  <c r="P834" i="4" s="1"/>
  <c r="S834" i="4" s="1"/>
  <c r="R970" i="4"/>
  <c r="P971" i="4" s="1"/>
  <c r="S971" i="4" s="1"/>
  <c r="R390" i="4"/>
  <c r="P391" i="4" s="1"/>
  <c r="S391" i="4" s="1"/>
  <c r="X476" i="4"/>
  <c r="V477" i="4" s="1"/>
  <c r="Y477" i="4" s="1"/>
  <c r="R729" i="4"/>
  <c r="P730" i="4" s="1"/>
  <c r="S730" i="4" s="1"/>
  <c r="R478" i="4"/>
  <c r="P479" i="4" s="1"/>
  <c r="S479" i="4" s="1"/>
  <c r="X391" i="4"/>
  <c r="V392" i="4" s="1"/>
  <c r="AJ390" i="4"/>
  <c r="AH391" i="4" s="1"/>
  <c r="AK391" i="4" s="1"/>
  <c r="X266" i="4"/>
  <c r="V267" i="4" s="1"/>
  <c r="Y267" i="4" s="1"/>
  <c r="F635" i="4"/>
  <c r="D636" i="4" s="1"/>
  <c r="F834" i="4"/>
  <c r="D835" i="4" s="1"/>
  <c r="G835" i="4" s="1"/>
  <c r="R784" i="4"/>
  <c r="P785" i="4" s="1"/>
  <c r="S785" i="4" s="1"/>
  <c r="L833" i="4"/>
  <c r="J834" i="4" s="1"/>
  <c r="M834" i="4" s="1"/>
  <c r="AD267" i="4"/>
  <c r="AB268" i="4" s="1"/>
  <c r="AE268" i="4" s="1"/>
  <c r="F783" i="4"/>
  <c r="D784" i="4" s="1"/>
  <c r="G784" i="4" s="1"/>
  <c r="F519" i="4"/>
  <c r="D520" i="4" s="1"/>
  <c r="G520" i="4" s="1"/>
  <c r="X577" i="4"/>
  <c r="V578" i="4" s="1"/>
  <c r="Y578" i="4" s="1"/>
  <c r="L783" i="4"/>
  <c r="J784" i="4" s="1"/>
  <c r="AD391" i="4"/>
  <c r="AB392" i="4" s="1"/>
  <c r="F729" i="4"/>
  <c r="D730" i="4" s="1"/>
  <c r="G730" i="4" s="1"/>
  <c r="L478" i="4"/>
  <c r="J479" i="4" s="1"/>
  <c r="M479" i="4" s="1"/>
  <c r="X187" i="36" l="1"/>
  <c r="Y187" i="36" s="1"/>
  <c r="Z187" i="36" s="1"/>
  <c r="AA241" i="12"/>
  <c r="W184" i="38"/>
  <c r="U185" i="38" s="1"/>
  <c r="V185" i="38" s="1"/>
  <c r="W240" i="38"/>
  <c r="X240" i="38" s="1"/>
  <c r="Y240" i="38" s="1"/>
  <c r="Z240" i="38" s="1"/>
  <c r="AG187" i="12"/>
  <c r="AH187" i="12" s="1"/>
  <c r="J205" i="36"/>
  <c r="Q42" i="40"/>
  <c r="R42" i="40" s="1"/>
  <c r="S42" i="40" s="1"/>
  <c r="AB241" i="12"/>
  <c r="AE188" i="37"/>
  <c r="Q142" i="40" s="1"/>
  <c r="R142" i="40" s="1"/>
  <c r="S142" i="40" s="1"/>
  <c r="V189" i="36"/>
  <c r="L93" i="40" s="1"/>
  <c r="M93" i="40" s="1"/>
  <c r="N93" i="40" s="1"/>
  <c r="W244" i="36"/>
  <c r="X244" i="36" s="1"/>
  <c r="Y244" i="36" s="1"/>
  <c r="Z244" i="36" s="1"/>
  <c r="L92" i="40"/>
  <c r="M92" i="40" s="1"/>
  <c r="N92" i="40" s="1"/>
  <c r="AR126" i="38"/>
  <c r="K201" i="36"/>
  <c r="AM186" i="37"/>
  <c r="AN186" i="37" s="1"/>
  <c r="AO186" i="37" s="1"/>
  <c r="L202" i="37" s="1"/>
  <c r="G140" i="40"/>
  <c r="H140" i="40" s="1"/>
  <c r="I140" i="40" s="1"/>
  <c r="AG240" i="38"/>
  <c r="Q188" i="40"/>
  <c r="R188" i="40" s="1"/>
  <c r="S188" i="40" s="1"/>
  <c r="N185" i="38"/>
  <c r="L186" i="38" s="1"/>
  <c r="M186" i="38" s="1"/>
  <c r="G189" i="40"/>
  <c r="H189" i="40" s="1"/>
  <c r="I189" i="40" s="1"/>
  <c r="M244" i="12"/>
  <c r="G42" i="40"/>
  <c r="H42" i="40" s="1"/>
  <c r="I42" i="40" s="1"/>
  <c r="E184" i="12"/>
  <c r="F184" i="12" s="1"/>
  <c r="G184" i="12" s="1"/>
  <c r="H184" i="12" s="1"/>
  <c r="F292" i="12" s="1"/>
  <c r="B38" i="40"/>
  <c r="C38" i="40" s="1"/>
  <c r="D38" i="40" s="1"/>
  <c r="I217" i="12"/>
  <c r="K159" i="38"/>
  <c r="K160" i="38"/>
  <c r="K161" i="38"/>
  <c r="K156" i="38"/>
  <c r="K155" i="38"/>
  <c r="K164" i="38"/>
  <c r="K162" i="38"/>
  <c r="K157" i="38"/>
  <c r="C293" i="38"/>
  <c r="K154" i="38"/>
  <c r="K158" i="38"/>
  <c r="K152" i="38"/>
  <c r="X152" i="38" s="1"/>
  <c r="E292" i="38" s="1"/>
  <c r="K153" i="38"/>
  <c r="AM184" i="38"/>
  <c r="AN184" i="38" s="1"/>
  <c r="AO184" i="38" s="1"/>
  <c r="J89" i="36"/>
  <c r="AQ126" i="38"/>
  <c r="AS126" i="38"/>
  <c r="AH70" i="38"/>
  <c r="AH127" i="38" s="1"/>
  <c r="AI127" i="38" s="1"/>
  <c r="AJ127" i="38" s="1"/>
  <c r="AF71" i="38"/>
  <c r="AG128" i="38"/>
  <c r="AI183" i="38"/>
  <c r="F291" i="38" s="1"/>
  <c r="M291" i="38" s="1"/>
  <c r="AK239" i="38"/>
  <c r="AQ239" i="38" s="1"/>
  <c r="AL239" i="38"/>
  <c r="AR239" i="38" s="1"/>
  <c r="AM239" i="38"/>
  <c r="AS239" i="38" s="1"/>
  <c r="E316" i="38"/>
  <c r="C375" i="38"/>
  <c r="AF184" i="38"/>
  <c r="W128" i="38"/>
  <c r="X128" i="38" s="1"/>
  <c r="Y128" i="38" s="1"/>
  <c r="Z128" i="38" s="1"/>
  <c r="W71" i="38"/>
  <c r="AA240" i="38"/>
  <c r="AC240" i="38"/>
  <c r="AB240" i="38"/>
  <c r="K86" i="36"/>
  <c r="K88" i="36" s="1"/>
  <c r="L85" i="36" s="1"/>
  <c r="S127" i="38"/>
  <c r="Q127" i="38"/>
  <c r="R127" i="38"/>
  <c r="M241" i="38"/>
  <c r="N241" i="38" s="1"/>
  <c r="O241" i="38" s="1"/>
  <c r="P241" i="38" s="1"/>
  <c r="L71" i="38"/>
  <c r="M71" i="38" s="1"/>
  <c r="G168" i="40" s="1"/>
  <c r="H168" i="40" s="1"/>
  <c r="I168" i="40" s="1"/>
  <c r="O70" i="38"/>
  <c r="P70" i="38" s="1"/>
  <c r="Q70" i="38" s="1"/>
  <c r="K152" i="36"/>
  <c r="X152" i="36" s="1"/>
  <c r="E292" i="36" s="1"/>
  <c r="N292" i="36" s="1"/>
  <c r="J101" i="37"/>
  <c r="J111" i="37"/>
  <c r="J100" i="37"/>
  <c r="J95" i="37"/>
  <c r="J108" i="37"/>
  <c r="J87" i="37"/>
  <c r="J89" i="37" s="1"/>
  <c r="K160" i="36"/>
  <c r="J109" i="37"/>
  <c r="K153" i="36"/>
  <c r="J103" i="37"/>
  <c r="K158" i="36"/>
  <c r="K159" i="36"/>
  <c r="K162" i="36"/>
  <c r="K155" i="36"/>
  <c r="K157" i="36"/>
  <c r="K163" i="36"/>
  <c r="K156" i="36"/>
  <c r="K164" i="36"/>
  <c r="K154" i="36"/>
  <c r="J97" i="37"/>
  <c r="J99" i="37"/>
  <c r="J107" i="37"/>
  <c r="J106" i="37"/>
  <c r="J110" i="37"/>
  <c r="AQ126" i="36"/>
  <c r="J94" i="37"/>
  <c r="J92" i="37"/>
  <c r="J105" i="37"/>
  <c r="J96" i="37"/>
  <c r="J102" i="37"/>
  <c r="J104" i="37"/>
  <c r="J98" i="37"/>
  <c r="J93" i="37"/>
  <c r="O190" i="36"/>
  <c r="P190" i="36" s="1"/>
  <c r="Q190" i="36" s="1"/>
  <c r="C293" i="36"/>
  <c r="M293" i="36" s="1"/>
  <c r="K86" i="38"/>
  <c r="AS126" i="36"/>
  <c r="AR126" i="36"/>
  <c r="U186" i="12"/>
  <c r="V186" i="12" s="1"/>
  <c r="K277" i="37"/>
  <c r="C376" i="37"/>
  <c r="AG190" i="36"/>
  <c r="AH190" i="36" s="1"/>
  <c r="AH246" i="36" s="1"/>
  <c r="AI246" i="36" s="1"/>
  <c r="AJ246" i="36" s="1"/>
  <c r="K278" i="37"/>
  <c r="K273" i="37"/>
  <c r="K269" i="37"/>
  <c r="K279" i="37"/>
  <c r="K274" i="37"/>
  <c r="K271" i="37"/>
  <c r="K268" i="37"/>
  <c r="K275" i="37"/>
  <c r="U71" i="12"/>
  <c r="V71" i="12" s="1"/>
  <c r="L18" i="40" s="1"/>
  <c r="M18" i="40" s="1"/>
  <c r="N18" i="40" s="1"/>
  <c r="X70" i="12"/>
  <c r="Y70" i="12" s="1"/>
  <c r="Z70" i="12" s="1"/>
  <c r="K267" i="37"/>
  <c r="X267" i="37" s="1"/>
  <c r="H292" i="37" s="1"/>
  <c r="K276" i="37"/>
  <c r="K270" i="37"/>
  <c r="AS241" i="37"/>
  <c r="AH70" i="37"/>
  <c r="AH127" i="37" s="1"/>
  <c r="AI127" i="37" s="1"/>
  <c r="AJ127" i="37" s="1"/>
  <c r="AF71" i="37"/>
  <c r="AG128" i="37"/>
  <c r="AG128" i="36"/>
  <c r="AF71" i="36"/>
  <c r="AH70" i="36"/>
  <c r="AH127" i="36" s="1"/>
  <c r="AI127" i="36" s="1"/>
  <c r="AJ127" i="36" s="1"/>
  <c r="AD71" i="12"/>
  <c r="AE71" i="12" s="1"/>
  <c r="Q18" i="40" s="1"/>
  <c r="R18" i="40" s="1"/>
  <c r="S18" i="40" s="1"/>
  <c r="AG70" i="12"/>
  <c r="AH70" i="12" s="1"/>
  <c r="AH127" i="12" s="1"/>
  <c r="AI127" i="12" s="1"/>
  <c r="AJ127" i="12" s="1"/>
  <c r="AK127" i="12" s="1"/>
  <c r="AG187" i="37"/>
  <c r="AH187" i="37" s="1"/>
  <c r="AH243" i="37" s="1"/>
  <c r="AI243" i="37" s="1"/>
  <c r="AJ243" i="37" s="1"/>
  <c r="X188" i="36"/>
  <c r="Y188" i="36" s="1"/>
  <c r="Z188" i="36" s="1"/>
  <c r="AR241" i="37"/>
  <c r="AQ241" i="37"/>
  <c r="X186" i="37"/>
  <c r="Y186" i="37" s="1"/>
  <c r="Z186" i="37" s="1"/>
  <c r="AB127" i="36"/>
  <c r="AC127" i="36"/>
  <c r="AA127" i="36"/>
  <c r="V71" i="36"/>
  <c r="L68" i="40" s="1"/>
  <c r="M68" i="40" s="1"/>
  <c r="N68" i="40" s="1"/>
  <c r="X70" i="36"/>
  <c r="Y70" i="36" s="1"/>
  <c r="Z70" i="36" s="1"/>
  <c r="E425" i="37"/>
  <c r="G425" i="37" s="1"/>
  <c r="E402" i="37"/>
  <c r="G402" i="37" s="1"/>
  <c r="W245" i="36"/>
  <c r="O71" i="37"/>
  <c r="P71" i="37" s="1"/>
  <c r="Q71" i="37" s="1"/>
  <c r="M72" i="37"/>
  <c r="G119" i="40" s="1"/>
  <c r="H119" i="40" s="1"/>
  <c r="I119" i="40" s="1"/>
  <c r="N186" i="37"/>
  <c r="M242" i="37"/>
  <c r="N242" i="37" s="1"/>
  <c r="O242" i="37" s="1"/>
  <c r="P242" i="37" s="1"/>
  <c r="R128" i="37"/>
  <c r="S128" i="37"/>
  <c r="Q128" i="37"/>
  <c r="R127" i="36"/>
  <c r="S127" i="36"/>
  <c r="Q127" i="36"/>
  <c r="M71" i="36"/>
  <c r="G68" i="40" s="1"/>
  <c r="H68" i="40" s="1"/>
  <c r="I68" i="40" s="1"/>
  <c r="O70" i="36"/>
  <c r="P70" i="36" s="1"/>
  <c r="Q70" i="36" s="1"/>
  <c r="V72" i="37"/>
  <c r="L119" i="40" s="1"/>
  <c r="M119" i="40" s="1"/>
  <c r="N119" i="40" s="1"/>
  <c r="X71" i="37"/>
  <c r="Y71" i="37" s="1"/>
  <c r="Z71" i="37" s="1"/>
  <c r="AC128" i="37"/>
  <c r="AA128" i="37"/>
  <c r="AB128" i="37"/>
  <c r="X242" i="37"/>
  <c r="Y242" i="37" s="1"/>
  <c r="Z242" i="37" s="1"/>
  <c r="L141" i="40"/>
  <c r="M141" i="40" s="1"/>
  <c r="N141" i="40" s="1"/>
  <c r="AA243" i="36"/>
  <c r="AB243" i="36"/>
  <c r="AC243" i="36"/>
  <c r="AC127" i="12"/>
  <c r="AA127" i="12"/>
  <c r="AB127" i="12"/>
  <c r="R246" i="36"/>
  <c r="S246" i="36"/>
  <c r="Q246" i="36"/>
  <c r="K205" i="37"/>
  <c r="H205" i="12"/>
  <c r="E402" i="36"/>
  <c r="G402" i="36" s="1"/>
  <c r="E425" i="36"/>
  <c r="G425" i="36" s="1"/>
  <c r="D402" i="36"/>
  <c r="F402" i="36" s="1"/>
  <c r="D425" i="36"/>
  <c r="F425" i="36" s="1"/>
  <c r="D402" i="38"/>
  <c r="F402" i="38" s="1"/>
  <c r="D425" i="38"/>
  <c r="F425" i="38" s="1"/>
  <c r="J89" i="38"/>
  <c r="N188" i="12"/>
  <c r="B377" i="37"/>
  <c r="G65" i="31" s="1"/>
  <c r="AO185" i="36"/>
  <c r="AO69" i="37"/>
  <c r="K86" i="37" s="1"/>
  <c r="K161" i="37"/>
  <c r="K154" i="37"/>
  <c r="K152" i="37"/>
  <c r="X152" i="37" s="1"/>
  <c r="E292" i="37" s="1"/>
  <c r="K159" i="37"/>
  <c r="K163" i="37"/>
  <c r="K164" i="37"/>
  <c r="K162" i="37"/>
  <c r="K155" i="37"/>
  <c r="K158" i="37"/>
  <c r="K156" i="37"/>
  <c r="K160" i="37"/>
  <c r="K157" i="37"/>
  <c r="K153" i="37"/>
  <c r="D70" i="37"/>
  <c r="B117" i="40" s="1"/>
  <c r="C117" i="40" s="1"/>
  <c r="D117" i="40" s="1"/>
  <c r="F69" i="37"/>
  <c r="G69" i="37" s="1"/>
  <c r="H69" i="37" s="1"/>
  <c r="C293" i="37" s="1"/>
  <c r="AS69" i="37"/>
  <c r="G126" i="37"/>
  <c r="AQ126" i="37" s="1"/>
  <c r="H126" i="37"/>
  <c r="AR126" i="37" s="1"/>
  <c r="I126" i="37"/>
  <c r="AS126" i="37" s="1"/>
  <c r="AM70" i="38"/>
  <c r="AN70" i="38" s="1"/>
  <c r="E70" i="38"/>
  <c r="C71" i="38" s="1"/>
  <c r="C127" i="38"/>
  <c r="D127" i="38" s="1"/>
  <c r="E127" i="38" s="1"/>
  <c r="F127" i="38" s="1"/>
  <c r="Q95" i="40"/>
  <c r="R95" i="40" s="1"/>
  <c r="S95" i="40" s="1"/>
  <c r="G95" i="40"/>
  <c r="H95" i="40" s="1"/>
  <c r="I95" i="40" s="1"/>
  <c r="C240" i="12"/>
  <c r="D240" i="12" s="1"/>
  <c r="E240" i="12" s="1"/>
  <c r="AM184" i="12"/>
  <c r="AN184" i="12" s="1"/>
  <c r="N128" i="12"/>
  <c r="O128" i="12" s="1"/>
  <c r="P128" i="12" s="1"/>
  <c r="O71" i="12"/>
  <c r="P71" i="12" s="1"/>
  <c r="Q71" i="12" s="1"/>
  <c r="M72" i="12"/>
  <c r="H244" i="38"/>
  <c r="I244" i="38"/>
  <c r="G244" i="38"/>
  <c r="C245" i="38"/>
  <c r="D245" i="38" s="1"/>
  <c r="E245" i="38" s="1"/>
  <c r="F245" i="38" s="1"/>
  <c r="E189" i="38"/>
  <c r="C190" i="38" s="1"/>
  <c r="D190" i="38" s="1"/>
  <c r="E187" i="37"/>
  <c r="C188" i="37" s="1"/>
  <c r="D188" i="37" s="1"/>
  <c r="C243" i="37"/>
  <c r="D243" i="37" s="1"/>
  <c r="E243" i="37" s="1"/>
  <c r="F243" i="37" s="1"/>
  <c r="E317" i="36"/>
  <c r="C376" i="36"/>
  <c r="G241" i="36"/>
  <c r="AQ241" i="36" s="1"/>
  <c r="H241" i="36"/>
  <c r="AR241" i="36" s="1"/>
  <c r="I241" i="36"/>
  <c r="AS241" i="36" s="1"/>
  <c r="E70" i="36"/>
  <c r="AM70" i="36"/>
  <c r="AN70" i="36" s="1"/>
  <c r="C127" i="36"/>
  <c r="D127" i="36" s="1"/>
  <c r="E127" i="36" s="1"/>
  <c r="F127" i="36" s="1"/>
  <c r="E186" i="36"/>
  <c r="C187" i="36" s="1"/>
  <c r="D187" i="36" s="1"/>
  <c r="AM186" i="36"/>
  <c r="AN186" i="36" s="1"/>
  <c r="C242" i="36"/>
  <c r="D242" i="36" s="1"/>
  <c r="E242" i="36" s="1"/>
  <c r="F242" i="36" s="1"/>
  <c r="R243" i="12"/>
  <c r="AH243" i="12"/>
  <c r="AI243" i="12" s="1"/>
  <c r="AJ243" i="12" s="1"/>
  <c r="Q243" i="12"/>
  <c r="AG188" i="12"/>
  <c r="AU239" i="12"/>
  <c r="I257" i="12" s="1"/>
  <c r="AT239" i="12"/>
  <c r="C266" i="12" s="1"/>
  <c r="M784" i="4"/>
  <c r="G636" i="4"/>
  <c r="AE392" i="4"/>
  <c r="Y392" i="4"/>
  <c r="R834" i="4"/>
  <c r="P835" i="4" s="1"/>
  <c r="R971" i="4"/>
  <c r="P972" i="4" s="1"/>
  <c r="S972" i="4" s="1"/>
  <c r="R730" i="4"/>
  <c r="P731" i="4" s="1"/>
  <c r="S731" i="4" s="1"/>
  <c r="R479" i="4"/>
  <c r="P480" i="4" s="1"/>
  <c r="AJ391" i="4"/>
  <c r="AH392" i="4" s="1"/>
  <c r="X477" i="4"/>
  <c r="V478" i="4" s="1"/>
  <c r="Y478" i="4" s="1"/>
  <c r="R391" i="4"/>
  <c r="P392" i="4" s="1"/>
  <c r="X392" i="4"/>
  <c r="V393" i="4" s="1"/>
  <c r="L479" i="4"/>
  <c r="J480" i="4" s="1"/>
  <c r="M480" i="4" s="1"/>
  <c r="F520" i="4"/>
  <c r="D521" i="4" s="1"/>
  <c r="G521" i="4" s="1"/>
  <c r="L784" i="4"/>
  <c r="J785" i="4" s="1"/>
  <c r="M785" i="4" s="1"/>
  <c r="F730" i="4"/>
  <c r="D731" i="4" s="1"/>
  <c r="G731" i="4" s="1"/>
  <c r="F784" i="4"/>
  <c r="D785" i="4" s="1"/>
  <c r="G785" i="4" s="1"/>
  <c r="L834" i="4"/>
  <c r="J835" i="4" s="1"/>
  <c r="M835" i="4" s="1"/>
  <c r="X267" i="4"/>
  <c r="V268" i="4" s="1"/>
  <c r="AD268" i="4"/>
  <c r="AB269" i="4" s="1"/>
  <c r="AE269" i="4" s="1"/>
  <c r="X578" i="4"/>
  <c r="V579" i="4" s="1"/>
  <c r="F835" i="4"/>
  <c r="D836" i="4" s="1"/>
  <c r="G836" i="4" s="1"/>
  <c r="F636" i="4"/>
  <c r="D637" i="4" s="1"/>
  <c r="G637" i="4" s="1"/>
  <c r="AD392" i="4"/>
  <c r="AB393" i="4" s="1"/>
  <c r="AE393" i="4" s="1"/>
  <c r="R785" i="4"/>
  <c r="P786" i="4" s="1"/>
  <c r="S786" i="4" s="1"/>
  <c r="J202" i="38" l="1"/>
  <c r="J204" i="38" s="1"/>
  <c r="K201" i="38" s="1"/>
  <c r="AI187" i="12"/>
  <c r="K202" i="36"/>
  <c r="K223" i="36" s="1"/>
  <c r="W189" i="36"/>
  <c r="U190" i="36" s="1"/>
  <c r="V190" i="36" s="1"/>
  <c r="L94" i="40" s="1"/>
  <c r="M94" i="40" s="1"/>
  <c r="N94" i="40" s="1"/>
  <c r="X184" i="38"/>
  <c r="Y184" i="38" s="1"/>
  <c r="Z184" i="38" s="1"/>
  <c r="AS184" i="38"/>
  <c r="E424" i="38" s="1"/>
  <c r="G424" i="38" s="1"/>
  <c r="AG244" i="37"/>
  <c r="AF188" i="37"/>
  <c r="AD189" i="37" s="1"/>
  <c r="AE189" i="37" s="1"/>
  <c r="Q143" i="40" s="1"/>
  <c r="R143" i="40" s="1"/>
  <c r="S143" i="40" s="1"/>
  <c r="AS184" i="12"/>
  <c r="E401" i="12" s="1"/>
  <c r="G401" i="12" s="1"/>
  <c r="C185" i="12"/>
  <c r="AM12" i="40"/>
  <c r="I215" i="12"/>
  <c r="I219" i="12"/>
  <c r="I225" i="12"/>
  <c r="I213" i="12"/>
  <c r="I212" i="12"/>
  <c r="I221" i="12"/>
  <c r="I224" i="12"/>
  <c r="I218" i="12"/>
  <c r="I227" i="12"/>
  <c r="I209" i="12"/>
  <c r="I210" i="12"/>
  <c r="I204" i="12"/>
  <c r="J201" i="12" s="1"/>
  <c r="I220" i="12"/>
  <c r="O185" i="38"/>
  <c r="P185" i="38" s="1"/>
  <c r="Q185" i="38" s="1"/>
  <c r="M129" i="12"/>
  <c r="G19" i="40"/>
  <c r="H19" i="40" s="1"/>
  <c r="I19" i="40" s="1"/>
  <c r="W242" i="12"/>
  <c r="X242" i="12" s="1"/>
  <c r="Y242" i="12" s="1"/>
  <c r="Z242" i="12" s="1"/>
  <c r="AB242" i="12" s="1"/>
  <c r="L40" i="40"/>
  <c r="M40" i="40" s="1"/>
  <c r="N40" i="40" s="1"/>
  <c r="AG245" i="12"/>
  <c r="Q43" i="40"/>
  <c r="R43" i="40" s="1"/>
  <c r="S43" i="40" s="1"/>
  <c r="L204" i="37"/>
  <c r="M201" i="37" s="1"/>
  <c r="I211" i="12"/>
  <c r="I222" i="12"/>
  <c r="I203" i="12"/>
  <c r="I226" i="12"/>
  <c r="I216" i="12"/>
  <c r="I208" i="12"/>
  <c r="I223" i="12"/>
  <c r="I214" i="12"/>
  <c r="AU126" i="38"/>
  <c r="K142" i="38" s="1"/>
  <c r="L154" i="38" s="1"/>
  <c r="J225" i="38"/>
  <c r="J211" i="38"/>
  <c r="J216" i="38"/>
  <c r="J218" i="38"/>
  <c r="J227" i="38"/>
  <c r="J217" i="38"/>
  <c r="J223" i="38"/>
  <c r="J213" i="38"/>
  <c r="J215" i="38"/>
  <c r="J214" i="38"/>
  <c r="J224" i="38"/>
  <c r="J209" i="38"/>
  <c r="J208" i="38"/>
  <c r="J226" i="38"/>
  <c r="J222" i="38"/>
  <c r="J220" i="38"/>
  <c r="J219" i="38"/>
  <c r="J212" i="38"/>
  <c r="J221" i="38"/>
  <c r="AT126" i="38"/>
  <c r="C153" i="38" s="1"/>
  <c r="K96" i="36"/>
  <c r="K109" i="36"/>
  <c r="K102" i="36"/>
  <c r="K92" i="36"/>
  <c r="K95" i="36"/>
  <c r="K103" i="36"/>
  <c r="K108" i="36"/>
  <c r="K101" i="36"/>
  <c r="K99" i="36"/>
  <c r="K105" i="36"/>
  <c r="K106" i="36"/>
  <c r="K100" i="36"/>
  <c r="K104" i="36"/>
  <c r="K98" i="36"/>
  <c r="AI70" i="38"/>
  <c r="AU239" i="38"/>
  <c r="I257" i="38" s="1"/>
  <c r="AT239" i="38"/>
  <c r="C266" i="38" s="1"/>
  <c r="B376" i="38"/>
  <c r="G91" i="31" s="1"/>
  <c r="C317" i="38"/>
  <c r="AD185" i="38"/>
  <c r="AE185" i="38" s="1"/>
  <c r="AG184" i="38"/>
  <c r="AD72" i="38"/>
  <c r="AE72" i="38" s="1"/>
  <c r="Q169" i="40" s="1"/>
  <c r="R169" i="40" s="1"/>
  <c r="S169" i="40" s="1"/>
  <c r="AG71" i="38"/>
  <c r="AM127" i="38"/>
  <c r="AK127" i="38"/>
  <c r="AL127" i="38"/>
  <c r="K94" i="36"/>
  <c r="K97" i="36"/>
  <c r="K107" i="36"/>
  <c r="K93" i="36"/>
  <c r="K111" i="36"/>
  <c r="K87" i="36"/>
  <c r="K89" i="36" s="1"/>
  <c r="K110" i="36"/>
  <c r="U72" i="38"/>
  <c r="V72" i="38" s="1"/>
  <c r="L169" i="40" s="1"/>
  <c r="M169" i="40" s="1"/>
  <c r="N169" i="40" s="1"/>
  <c r="X71" i="38"/>
  <c r="Y71" i="38" s="1"/>
  <c r="Z71" i="38" s="1"/>
  <c r="AA128" i="38"/>
  <c r="AC128" i="38"/>
  <c r="AB128" i="38"/>
  <c r="Q241" i="38"/>
  <c r="S241" i="38"/>
  <c r="R241" i="38"/>
  <c r="N71" i="38"/>
  <c r="M128" i="38"/>
  <c r="N128" i="38" s="1"/>
  <c r="O128" i="38" s="1"/>
  <c r="P128" i="38" s="1"/>
  <c r="AT126" i="36"/>
  <c r="C153" i="36" s="1"/>
  <c r="AU126" i="36"/>
  <c r="K142" i="36" s="1"/>
  <c r="L154" i="36" s="1"/>
  <c r="W186" i="12"/>
  <c r="U187" i="12" s="1"/>
  <c r="V187" i="12" s="1"/>
  <c r="AM127" i="36"/>
  <c r="AL127" i="36"/>
  <c r="AK127" i="36"/>
  <c r="AI70" i="12"/>
  <c r="AL127" i="12"/>
  <c r="N292" i="37"/>
  <c r="E318" i="37" s="1"/>
  <c r="AT241" i="37"/>
  <c r="C268" i="37" s="1"/>
  <c r="AM127" i="37"/>
  <c r="AK127" i="37"/>
  <c r="AL127" i="37"/>
  <c r="AU241" i="37"/>
  <c r="K257" i="37" s="1"/>
  <c r="L272" i="37" s="1"/>
  <c r="W128" i="12"/>
  <c r="X128" i="12" s="1"/>
  <c r="Y128" i="12" s="1"/>
  <c r="Z128" i="12" s="1"/>
  <c r="W71" i="12"/>
  <c r="AI70" i="37"/>
  <c r="AI70" i="36"/>
  <c r="AD72" i="37"/>
  <c r="AE72" i="37" s="1"/>
  <c r="Q119" i="40" s="1"/>
  <c r="R119" i="40" s="1"/>
  <c r="S119" i="40" s="1"/>
  <c r="AG71" i="37"/>
  <c r="AD72" i="36"/>
  <c r="AE72" i="36" s="1"/>
  <c r="Q69" i="40" s="1"/>
  <c r="R69" i="40" s="1"/>
  <c r="S69" i="40" s="1"/>
  <c r="AG71" i="36"/>
  <c r="C71" i="36"/>
  <c r="D71" i="36" s="1"/>
  <c r="B68" i="40" s="1"/>
  <c r="C68" i="40" s="1"/>
  <c r="D68" i="40" s="1"/>
  <c r="AM127" i="12"/>
  <c r="AG128" i="12"/>
  <c r="AF71" i="12"/>
  <c r="W187" i="37"/>
  <c r="U188" i="37" s="1"/>
  <c r="V188" i="37" s="1"/>
  <c r="W243" i="37"/>
  <c r="N191" i="36"/>
  <c r="L192" i="36" s="1"/>
  <c r="M192" i="36" s="1"/>
  <c r="M247" i="36"/>
  <c r="N247" i="36" s="1"/>
  <c r="O247" i="36" s="1"/>
  <c r="P247" i="36" s="1"/>
  <c r="R242" i="37"/>
  <c r="Q242" i="37"/>
  <c r="S242" i="37"/>
  <c r="AF191" i="36"/>
  <c r="AD192" i="36" s="1"/>
  <c r="AE192" i="36" s="1"/>
  <c r="AG247" i="36"/>
  <c r="N71" i="36"/>
  <c r="L72" i="36" s="1"/>
  <c r="M128" i="36"/>
  <c r="N128" i="36" s="1"/>
  <c r="O128" i="36" s="1"/>
  <c r="P128" i="36" s="1"/>
  <c r="L187" i="37"/>
  <c r="M187" i="37" s="1"/>
  <c r="O186" i="37"/>
  <c r="P186" i="37" s="1"/>
  <c r="Q186" i="37" s="1"/>
  <c r="F294" i="37" s="1"/>
  <c r="AS186" i="37"/>
  <c r="W71" i="36"/>
  <c r="U72" i="36" s="1"/>
  <c r="W128" i="36"/>
  <c r="M129" i="37"/>
  <c r="N129" i="37" s="1"/>
  <c r="O129" i="37" s="1"/>
  <c r="P129" i="37" s="1"/>
  <c r="N72" i="37"/>
  <c r="L73" i="37" s="1"/>
  <c r="W129" i="37"/>
  <c r="X129" i="37" s="1"/>
  <c r="Y129" i="37" s="1"/>
  <c r="Z129" i="37" s="1"/>
  <c r="W72" i="37"/>
  <c r="U73" i="37" s="1"/>
  <c r="L189" i="12"/>
  <c r="M189" i="12" s="1"/>
  <c r="AI187" i="37"/>
  <c r="AM243" i="37"/>
  <c r="AL243" i="37"/>
  <c r="AK243" i="37"/>
  <c r="AC242" i="37"/>
  <c r="AA242" i="37"/>
  <c r="AB242" i="37"/>
  <c r="X245" i="36"/>
  <c r="Y245" i="36" s="1"/>
  <c r="Z245" i="36" s="1"/>
  <c r="AA244" i="36"/>
  <c r="AC244" i="36"/>
  <c r="AB244" i="36"/>
  <c r="AL246" i="36"/>
  <c r="AK246" i="36"/>
  <c r="AM246" i="36"/>
  <c r="S128" i="12"/>
  <c r="R128" i="12"/>
  <c r="Q128" i="12"/>
  <c r="D402" i="37"/>
  <c r="F402" i="37" s="1"/>
  <c r="D425" i="37"/>
  <c r="F425" i="37" s="1"/>
  <c r="K88" i="38"/>
  <c r="L85" i="38" s="1"/>
  <c r="K104" i="38"/>
  <c r="K101" i="38"/>
  <c r="K92" i="38"/>
  <c r="K99" i="38"/>
  <c r="K103" i="38"/>
  <c r="K100" i="38"/>
  <c r="K97" i="38"/>
  <c r="K111" i="38"/>
  <c r="K94" i="38"/>
  <c r="K95" i="38"/>
  <c r="K93" i="38"/>
  <c r="K109" i="38"/>
  <c r="K107" i="38"/>
  <c r="K108" i="38"/>
  <c r="K98" i="38"/>
  <c r="K102" i="38"/>
  <c r="K106" i="38"/>
  <c r="K105" i="38"/>
  <c r="K110" i="38"/>
  <c r="K96" i="38"/>
  <c r="K87" i="38"/>
  <c r="O188" i="12"/>
  <c r="P188" i="12" s="1"/>
  <c r="Q188" i="12" s="1"/>
  <c r="AO70" i="36"/>
  <c r="AO186" i="36"/>
  <c r="AO184" i="12"/>
  <c r="M293" i="37"/>
  <c r="B378" i="37" s="1"/>
  <c r="G66" i="31" s="1"/>
  <c r="AO70" i="38"/>
  <c r="K88" i="37"/>
  <c r="L85" i="37" s="1"/>
  <c r="K96" i="37"/>
  <c r="K94" i="37"/>
  <c r="K108" i="37"/>
  <c r="K98" i="37"/>
  <c r="K111" i="37"/>
  <c r="K97" i="37"/>
  <c r="K102" i="37"/>
  <c r="K99" i="37"/>
  <c r="K87" i="37"/>
  <c r="K92" i="37"/>
  <c r="K105" i="37"/>
  <c r="K93" i="37"/>
  <c r="K109" i="37"/>
  <c r="K106" i="37"/>
  <c r="K107" i="37"/>
  <c r="K100" i="37"/>
  <c r="K101" i="37"/>
  <c r="K95" i="37"/>
  <c r="K104" i="37"/>
  <c r="K110" i="37"/>
  <c r="K103" i="37"/>
  <c r="AT126" i="37"/>
  <c r="C153" i="37" s="1"/>
  <c r="AU126" i="37"/>
  <c r="K142" i="37" s="1"/>
  <c r="AI190" i="36"/>
  <c r="G127" i="38"/>
  <c r="H127" i="38"/>
  <c r="I127" i="38"/>
  <c r="C127" i="37"/>
  <c r="D127" i="37" s="1"/>
  <c r="E127" i="37" s="1"/>
  <c r="F127" i="37" s="1"/>
  <c r="AM70" i="37"/>
  <c r="AN70" i="37" s="1"/>
  <c r="E70" i="37"/>
  <c r="C71" i="37" s="1"/>
  <c r="D71" i="38"/>
  <c r="B168" i="40" s="1"/>
  <c r="C168" i="40" s="1"/>
  <c r="D168" i="40" s="1"/>
  <c r="AS70" i="38"/>
  <c r="F70" i="38"/>
  <c r="G70" i="38" s="1"/>
  <c r="H70" i="38" s="1"/>
  <c r="N72" i="12"/>
  <c r="L73" i="12" s="1"/>
  <c r="G245" i="38"/>
  <c r="H245" i="38"/>
  <c r="I245" i="38"/>
  <c r="B194" i="40"/>
  <c r="C194" i="40" s="1"/>
  <c r="D194" i="40" s="1"/>
  <c r="F189" i="38"/>
  <c r="G189" i="38" s="1"/>
  <c r="H189" i="38" s="1"/>
  <c r="G243" i="37"/>
  <c r="H243" i="37"/>
  <c r="I243" i="37"/>
  <c r="B142" i="40"/>
  <c r="C142" i="40" s="1"/>
  <c r="D142" i="40" s="1"/>
  <c r="F187" i="37"/>
  <c r="G187" i="37" s="1"/>
  <c r="H187" i="37" s="1"/>
  <c r="C319" i="36"/>
  <c r="B378" i="36"/>
  <c r="G39" i="31" s="1"/>
  <c r="E318" i="36"/>
  <c r="C377" i="36"/>
  <c r="B91" i="40"/>
  <c r="C91" i="40" s="1"/>
  <c r="D91" i="40" s="1"/>
  <c r="F186" i="36"/>
  <c r="G186" i="36" s="1"/>
  <c r="H186" i="36" s="1"/>
  <c r="F294" i="36" s="1"/>
  <c r="AS186" i="36"/>
  <c r="H127" i="36"/>
  <c r="G127" i="36"/>
  <c r="I127" i="36"/>
  <c r="F70" i="36"/>
  <c r="G70" i="36" s="1"/>
  <c r="H70" i="36" s="1"/>
  <c r="AS70" i="36"/>
  <c r="G242" i="36"/>
  <c r="AQ242" i="36" s="1"/>
  <c r="H242" i="36"/>
  <c r="AR242" i="36" s="1"/>
  <c r="I242" i="36"/>
  <c r="AS242" i="36" s="1"/>
  <c r="AU241" i="36"/>
  <c r="K257" i="36" s="1"/>
  <c r="AT241" i="36"/>
  <c r="C268" i="36" s="1"/>
  <c r="AK243" i="12"/>
  <c r="AM243" i="12"/>
  <c r="AL243" i="12"/>
  <c r="N244" i="12"/>
  <c r="O244" i="12" s="1"/>
  <c r="P244" i="12" s="1"/>
  <c r="AH188" i="12"/>
  <c r="AF189" i="12"/>
  <c r="AD190" i="12" s="1"/>
  <c r="AE190" i="12" s="1"/>
  <c r="F240" i="12"/>
  <c r="J266" i="12"/>
  <c r="X266" i="12" s="1"/>
  <c r="H291" i="12" s="1"/>
  <c r="J274" i="12"/>
  <c r="J267" i="12"/>
  <c r="J275" i="12"/>
  <c r="J270" i="12"/>
  <c r="J271" i="12"/>
  <c r="J272" i="12"/>
  <c r="J269" i="12"/>
  <c r="J279" i="12"/>
  <c r="J277" i="12"/>
  <c r="J278" i="12"/>
  <c r="J268" i="12"/>
  <c r="J273" i="12"/>
  <c r="J276" i="12"/>
  <c r="S835" i="4"/>
  <c r="Y579" i="4"/>
  <c r="S480" i="4"/>
  <c r="AK392" i="4"/>
  <c r="Y393" i="4"/>
  <c r="S392" i="4"/>
  <c r="Y268" i="4"/>
  <c r="R835" i="4"/>
  <c r="P836" i="4" s="1"/>
  <c r="L480" i="4"/>
  <c r="M481" i="4" s="1"/>
  <c r="R972" i="4"/>
  <c r="P973" i="4" s="1"/>
  <c r="S973" i="4" s="1"/>
  <c r="AJ392" i="4"/>
  <c r="AH393" i="4" s="1"/>
  <c r="AK393" i="4" s="1"/>
  <c r="X478" i="4"/>
  <c r="V479" i="4" s="1"/>
  <c r="X393" i="4"/>
  <c r="V394" i="4" s="1"/>
  <c r="Y394" i="4" s="1"/>
  <c r="R480" i="4"/>
  <c r="P481" i="4" s="1"/>
  <c r="S481" i="4" s="1"/>
  <c r="R392" i="4"/>
  <c r="P393" i="4" s="1"/>
  <c r="S393" i="4" s="1"/>
  <c r="R731" i="4"/>
  <c r="P732" i="4" s="1"/>
  <c r="S732" i="4" s="1"/>
  <c r="R786" i="4"/>
  <c r="P787" i="4" s="1"/>
  <c r="S787" i="4" s="1"/>
  <c r="F521" i="4"/>
  <c r="D522" i="4" s="1"/>
  <c r="AD393" i="4"/>
  <c r="AB394" i="4" s="1"/>
  <c r="L785" i="4"/>
  <c r="J786" i="4" s="1"/>
  <c r="M786" i="4" s="1"/>
  <c r="F637" i="4"/>
  <c r="D638" i="4" s="1"/>
  <c r="G638" i="4" s="1"/>
  <c r="F836" i="4"/>
  <c r="D837" i="4" s="1"/>
  <c r="G837" i="4" s="1"/>
  <c r="X579" i="4"/>
  <c r="V580" i="4" s="1"/>
  <c r="Y580" i="4" s="1"/>
  <c r="X268" i="4"/>
  <c r="V269" i="4" s="1"/>
  <c r="F731" i="4"/>
  <c r="D732" i="4" s="1"/>
  <c r="G732" i="4" s="1"/>
  <c r="L835" i="4"/>
  <c r="J836" i="4" s="1"/>
  <c r="F785" i="4"/>
  <c r="D786" i="4" s="1"/>
  <c r="G786" i="4" s="1"/>
  <c r="AD269" i="4"/>
  <c r="AB270" i="4" s="1"/>
  <c r="AE270" i="4" s="1"/>
  <c r="X189" i="36" l="1"/>
  <c r="Y189" i="36" s="1"/>
  <c r="Z189" i="36" s="1"/>
  <c r="J210" i="38"/>
  <c r="J203" i="38"/>
  <c r="J205" i="38" s="1"/>
  <c r="W190" i="36"/>
  <c r="U191" i="36" s="1"/>
  <c r="V191" i="36" s="1"/>
  <c r="E401" i="38"/>
  <c r="G401" i="38" s="1"/>
  <c r="W246" i="36"/>
  <c r="X246" i="36" s="1"/>
  <c r="Y246" i="36" s="1"/>
  <c r="Z246" i="36" s="1"/>
  <c r="AG188" i="37"/>
  <c r="AH188" i="37" s="1"/>
  <c r="AH244" i="37" s="1"/>
  <c r="AI244" i="37" s="1"/>
  <c r="AJ244" i="37" s="1"/>
  <c r="J202" i="12"/>
  <c r="J209" i="12" s="1"/>
  <c r="D185" i="12"/>
  <c r="E185" i="12" s="1"/>
  <c r="F185" i="12" s="1"/>
  <c r="G185" i="12" s="1"/>
  <c r="H185" i="12" s="1"/>
  <c r="F293" i="12" s="1"/>
  <c r="E424" i="12"/>
  <c r="G424" i="12" s="1"/>
  <c r="AC242" i="12"/>
  <c r="AA242" i="12"/>
  <c r="K226" i="36"/>
  <c r="L219" i="37"/>
  <c r="L225" i="37"/>
  <c r="L223" i="37"/>
  <c r="L216" i="37"/>
  <c r="L217" i="37"/>
  <c r="K214" i="36"/>
  <c r="L211" i="37"/>
  <c r="K217" i="36"/>
  <c r="L215" i="37"/>
  <c r="K220" i="36"/>
  <c r="K213" i="36"/>
  <c r="K218" i="36"/>
  <c r="K212" i="36"/>
  <c r="K209" i="36"/>
  <c r="K204" i="36"/>
  <c r="L201" i="36" s="1"/>
  <c r="L202" i="36" s="1"/>
  <c r="L221" i="37"/>
  <c r="L224" i="37"/>
  <c r="K208" i="36"/>
  <c r="L208" i="37"/>
  <c r="L222" i="37"/>
  <c r="K227" i="36"/>
  <c r="K211" i="36"/>
  <c r="K222" i="36"/>
  <c r="L209" i="37"/>
  <c r="L213" i="37"/>
  <c r="K224" i="36"/>
  <c r="K215" i="36"/>
  <c r="K210" i="36"/>
  <c r="L203" i="37"/>
  <c r="L205" i="37" s="1"/>
  <c r="L227" i="37"/>
  <c r="I205" i="12"/>
  <c r="L226" i="37"/>
  <c r="L214" i="37"/>
  <c r="L210" i="37"/>
  <c r="K225" i="36"/>
  <c r="K219" i="36"/>
  <c r="L220" i="37"/>
  <c r="L218" i="37"/>
  <c r="L212" i="37"/>
  <c r="W185" i="38"/>
  <c r="X185" i="38" s="1"/>
  <c r="Y185" i="38" s="1"/>
  <c r="Z185" i="38" s="1"/>
  <c r="L189" i="40"/>
  <c r="M189" i="40" s="1"/>
  <c r="N189" i="40" s="1"/>
  <c r="M245" i="12"/>
  <c r="G43" i="40"/>
  <c r="H43" i="40" s="1"/>
  <c r="I43" i="40" s="1"/>
  <c r="N186" i="38"/>
  <c r="O186" i="38" s="1"/>
  <c r="P186" i="38" s="1"/>
  <c r="Q186" i="38" s="1"/>
  <c r="G190" i="40"/>
  <c r="H190" i="40" s="1"/>
  <c r="I190" i="40" s="1"/>
  <c r="AM187" i="37"/>
  <c r="AN187" i="37" s="1"/>
  <c r="AO187" i="37" s="1"/>
  <c r="M202" i="37" s="1"/>
  <c r="G141" i="40"/>
  <c r="H141" i="40" s="1"/>
  <c r="I141" i="40" s="1"/>
  <c r="K221" i="36"/>
  <c r="K203" i="36"/>
  <c r="K216" i="36"/>
  <c r="L157" i="38"/>
  <c r="L162" i="38"/>
  <c r="L161" i="38"/>
  <c r="L163" i="38"/>
  <c r="L156" i="38"/>
  <c r="L158" i="38"/>
  <c r="L153" i="38"/>
  <c r="X153" i="38" s="1"/>
  <c r="E293" i="38" s="1"/>
  <c r="L159" i="38"/>
  <c r="L155" i="38"/>
  <c r="L164" i="38"/>
  <c r="L160" i="38"/>
  <c r="L156" i="36"/>
  <c r="AQ127" i="38"/>
  <c r="AS127" i="38"/>
  <c r="C294" i="38"/>
  <c r="AR127" i="38"/>
  <c r="AH71" i="38"/>
  <c r="AH128" i="38" s="1"/>
  <c r="AI128" i="38" s="1"/>
  <c r="AJ128" i="38" s="1"/>
  <c r="J273" i="38"/>
  <c r="J266" i="38"/>
  <c r="X266" i="38" s="1"/>
  <c r="H291" i="38" s="1"/>
  <c r="N291" i="38" s="1"/>
  <c r="J278" i="38"/>
  <c r="J274" i="38"/>
  <c r="J272" i="38"/>
  <c r="J279" i="38"/>
  <c r="J276" i="38"/>
  <c r="J271" i="38"/>
  <c r="J267" i="38"/>
  <c r="J275" i="38"/>
  <c r="J277" i="38"/>
  <c r="J268" i="38"/>
  <c r="J270" i="38"/>
  <c r="J269" i="38"/>
  <c r="AG129" i="38"/>
  <c r="AF72" i="38"/>
  <c r="AH184" i="38"/>
  <c r="AH240" i="38" s="1"/>
  <c r="AI240" i="38" s="1"/>
  <c r="AJ240" i="38" s="1"/>
  <c r="W241" i="38"/>
  <c r="X241" i="38" s="1"/>
  <c r="Y241" i="38" s="1"/>
  <c r="Z241" i="38" s="1"/>
  <c r="W129" i="38"/>
  <c r="X129" i="38" s="1"/>
  <c r="Y129" i="38" s="1"/>
  <c r="Z129" i="38" s="1"/>
  <c r="W72" i="38"/>
  <c r="L158" i="36"/>
  <c r="L161" i="36"/>
  <c r="L72" i="38"/>
  <c r="M72" i="38" s="1"/>
  <c r="G169" i="40" s="1"/>
  <c r="H169" i="40" s="1"/>
  <c r="I169" i="40" s="1"/>
  <c r="O71" i="38"/>
  <c r="P71" i="38" s="1"/>
  <c r="Q71" i="38" s="1"/>
  <c r="S128" i="38"/>
  <c r="R128" i="38"/>
  <c r="Q128" i="38"/>
  <c r="M242" i="38"/>
  <c r="N242" i="38" s="1"/>
  <c r="O242" i="38" s="1"/>
  <c r="P242" i="38" s="1"/>
  <c r="L163" i="36"/>
  <c r="L162" i="36"/>
  <c r="L153" i="36"/>
  <c r="X153" i="36" s="1"/>
  <c r="E293" i="36" s="1"/>
  <c r="L164" i="36"/>
  <c r="L160" i="36"/>
  <c r="L159" i="36"/>
  <c r="L155" i="36"/>
  <c r="L157" i="36"/>
  <c r="AR127" i="36"/>
  <c r="X186" i="12"/>
  <c r="Y186" i="12" s="1"/>
  <c r="Z186" i="12" s="1"/>
  <c r="AQ127" i="36"/>
  <c r="L86" i="38"/>
  <c r="L88" i="38" s="1"/>
  <c r="L86" i="36"/>
  <c r="L88" i="36" s="1"/>
  <c r="M85" i="36" s="1"/>
  <c r="AS127" i="36"/>
  <c r="C377" i="37"/>
  <c r="L271" i="37"/>
  <c r="L275" i="37"/>
  <c r="L276" i="37"/>
  <c r="L273" i="37"/>
  <c r="L277" i="37"/>
  <c r="L278" i="37"/>
  <c r="L268" i="37"/>
  <c r="X268" i="37" s="1"/>
  <c r="H293" i="37" s="1"/>
  <c r="L270" i="37"/>
  <c r="L279" i="37"/>
  <c r="L269" i="37"/>
  <c r="C294" i="36"/>
  <c r="M294" i="36" s="1"/>
  <c r="O191" i="36"/>
  <c r="P191" i="36" s="1"/>
  <c r="Q191" i="36" s="1"/>
  <c r="L274" i="37"/>
  <c r="U72" i="12"/>
  <c r="V72" i="12" s="1"/>
  <c r="L19" i="40" s="1"/>
  <c r="M19" i="40" s="1"/>
  <c r="N19" i="40" s="1"/>
  <c r="X71" i="12"/>
  <c r="Y71" i="12" s="1"/>
  <c r="Z71" i="12" s="1"/>
  <c r="AG191" i="36"/>
  <c r="AH191" i="36" s="1"/>
  <c r="AH247" i="36" s="1"/>
  <c r="AI247" i="36" s="1"/>
  <c r="AJ247" i="36" s="1"/>
  <c r="AH71" i="37"/>
  <c r="AH128" i="37" s="1"/>
  <c r="AI128" i="37" s="1"/>
  <c r="AJ128" i="37" s="1"/>
  <c r="AG129" i="37"/>
  <c r="AF72" i="37"/>
  <c r="AH71" i="36"/>
  <c r="AH128" i="36" s="1"/>
  <c r="AI128" i="36" s="1"/>
  <c r="AJ128" i="36" s="1"/>
  <c r="AG129" i="36"/>
  <c r="AF72" i="36"/>
  <c r="AD72" i="12"/>
  <c r="AE72" i="12" s="1"/>
  <c r="Q19" i="40" s="1"/>
  <c r="R19" i="40" s="1"/>
  <c r="S19" i="40" s="1"/>
  <c r="AG71" i="12"/>
  <c r="AH71" i="12" s="1"/>
  <c r="AH128" i="12" s="1"/>
  <c r="AI128" i="12" s="1"/>
  <c r="AJ128" i="12" s="1"/>
  <c r="AM128" i="12" s="1"/>
  <c r="AS242" i="37"/>
  <c r="AR242" i="37"/>
  <c r="AQ242" i="37"/>
  <c r="X187" i="37"/>
  <c r="Y187" i="37" s="1"/>
  <c r="Z187" i="37" s="1"/>
  <c r="R128" i="36"/>
  <c r="S128" i="36"/>
  <c r="Q128" i="36"/>
  <c r="M72" i="36"/>
  <c r="G69" i="40" s="1"/>
  <c r="H69" i="40" s="1"/>
  <c r="I69" i="40" s="1"/>
  <c r="O71" i="36"/>
  <c r="P71" i="36" s="1"/>
  <c r="Q71" i="36" s="1"/>
  <c r="AF189" i="37"/>
  <c r="AD190" i="37" s="1"/>
  <c r="AE190" i="37" s="1"/>
  <c r="AG245" i="37"/>
  <c r="X71" i="36"/>
  <c r="V72" i="36"/>
  <c r="L69" i="40" s="1"/>
  <c r="M69" i="40" s="1"/>
  <c r="N69" i="40" s="1"/>
  <c r="M73" i="37"/>
  <c r="G120" i="40" s="1"/>
  <c r="H120" i="40" s="1"/>
  <c r="I120" i="40" s="1"/>
  <c r="O72" i="37"/>
  <c r="P72" i="37" s="1"/>
  <c r="Q72" i="37" s="1"/>
  <c r="E426" i="37"/>
  <c r="G426" i="37" s="1"/>
  <c r="E403" i="37"/>
  <c r="G403" i="37" s="1"/>
  <c r="S129" i="37"/>
  <c r="R129" i="37"/>
  <c r="Q129" i="37"/>
  <c r="N187" i="37"/>
  <c r="M243" i="37"/>
  <c r="N243" i="37" s="1"/>
  <c r="O243" i="37" s="1"/>
  <c r="P243" i="37" s="1"/>
  <c r="V73" i="37"/>
  <c r="L120" i="40" s="1"/>
  <c r="M120" i="40" s="1"/>
  <c r="N120" i="40" s="1"/>
  <c r="X72" i="37"/>
  <c r="Y72" i="37" s="1"/>
  <c r="Z72" i="37" s="1"/>
  <c r="AA129" i="37"/>
  <c r="AB129" i="37"/>
  <c r="AC129" i="37"/>
  <c r="AK244" i="37"/>
  <c r="AL244" i="37"/>
  <c r="AM244" i="37"/>
  <c r="L142" i="40"/>
  <c r="M142" i="40" s="1"/>
  <c r="N142" i="40" s="1"/>
  <c r="X243" i="37"/>
  <c r="Y243" i="37" s="1"/>
  <c r="Z243" i="37" s="1"/>
  <c r="AB245" i="36"/>
  <c r="AC245" i="36"/>
  <c r="AA245" i="36"/>
  <c r="AC128" i="12"/>
  <c r="AA128" i="12"/>
  <c r="AB128" i="12"/>
  <c r="S247" i="36"/>
  <c r="Q247" i="36"/>
  <c r="R247" i="36"/>
  <c r="D403" i="36"/>
  <c r="F403" i="36" s="1"/>
  <c r="D426" i="36"/>
  <c r="F426" i="36" s="1"/>
  <c r="D403" i="38"/>
  <c r="F403" i="38" s="1"/>
  <c r="D426" i="38"/>
  <c r="F426" i="38" s="1"/>
  <c r="E403" i="36"/>
  <c r="G403" i="36" s="1"/>
  <c r="E426" i="36"/>
  <c r="G426" i="36" s="1"/>
  <c r="K89" i="38"/>
  <c r="N189" i="12"/>
  <c r="C319" i="37"/>
  <c r="AO70" i="37"/>
  <c r="L86" i="37" s="1"/>
  <c r="K89" i="37"/>
  <c r="AM71" i="38"/>
  <c r="AN71" i="38" s="1"/>
  <c r="E71" i="38"/>
  <c r="C72" i="38" s="1"/>
  <c r="C128" i="38"/>
  <c r="D128" i="38" s="1"/>
  <c r="E128" i="38" s="1"/>
  <c r="F128" i="38" s="1"/>
  <c r="F70" i="37"/>
  <c r="G70" i="37" s="1"/>
  <c r="H70" i="37" s="1"/>
  <c r="C294" i="37" s="1"/>
  <c r="AS70" i="37"/>
  <c r="D71" i="37"/>
  <c r="B118" i="40" s="1"/>
  <c r="C118" i="40" s="1"/>
  <c r="D118" i="40" s="1"/>
  <c r="G127" i="37"/>
  <c r="AQ127" i="37" s="1"/>
  <c r="H127" i="37"/>
  <c r="AR127" i="37" s="1"/>
  <c r="I127" i="37"/>
  <c r="AS127" i="37" s="1"/>
  <c r="L154" i="37"/>
  <c r="L156" i="37"/>
  <c r="L153" i="37"/>
  <c r="X153" i="37" s="1"/>
  <c r="E293" i="37" s="1"/>
  <c r="L161" i="37"/>
  <c r="L155" i="37"/>
  <c r="L164" i="37"/>
  <c r="L157" i="37"/>
  <c r="L162" i="37"/>
  <c r="L160" i="37"/>
  <c r="L163" i="37"/>
  <c r="L158" i="37"/>
  <c r="L159" i="37"/>
  <c r="Q96" i="40"/>
  <c r="R96" i="40" s="1"/>
  <c r="S96" i="40" s="1"/>
  <c r="G96" i="40"/>
  <c r="H96" i="40" s="1"/>
  <c r="I96" i="40" s="1"/>
  <c r="N129" i="12"/>
  <c r="O129" i="12" s="1"/>
  <c r="P129" i="12" s="1"/>
  <c r="M73" i="12"/>
  <c r="O72" i="12"/>
  <c r="P72" i="12" s="1"/>
  <c r="Q72" i="12" s="1"/>
  <c r="E190" i="38"/>
  <c r="C191" i="38" s="1"/>
  <c r="D191" i="38" s="1"/>
  <c r="L278" i="36"/>
  <c r="L279" i="36"/>
  <c r="L273" i="36"/>
  <c r="L268" i="36"/>
  <c r="X268" i="36" s="1"/>
  <c r="H293" i="36" s="1"/>
  <c r="L274" i="36"/>
  <c r="L276" i="36"/>
  <c r="L269" i="36"/>
  <c r="L275" i="36"/>
  <c r="L271" i="36"/>
  <c r="L277" i="36"/>
  <c r="L272" i="36"/>
  <c r="L270" i="36"/>
  <c r="E71" i="36"/>
  <c r="C128" i="36"/>
  <c r="D128" i="36" s="1"/>
  <c r="E128" i="36" s="1"/>
  <c r="F128" i="36" s="1"/>
  <c r="AM71" i="36"/>
  <c r="AN71" i="36" s="1"/>
  <c r="AT242" i="36"/>
  <c r="C269" i="36" s="1"/>
  <c r="AU242" i="36"/>
  <c r="L257" i="36" s="1"/>
  <c r="E187" i="36"/>
  <c r="C188" i="36" s="1"/>
  <c r="D188" i="36" s="1"/>
  <c r="R244" i="12"/>
  <c r="S244" i="12"/>
  <c r="Q244" i="12"/>
  <c r="AH244" i="12"/>
  <c r="AI244" i="12" s="1"/>
  <c r="AJ244" i="12" s="1"/>
  <c r="AG189" i="12"/>
  <c r="AI188" i="12"/>
  <c r="I240" i="12"/>
  <c r="AS240" i="12" s="1"/>
  <c r="H240" i="12"/>
  <c r="AR240" i="12" s="1"/>
  <c r="G240" i="12"/>
  <c r="AQ240" i="12" s="1"/>
  <c r="S836" i="4"/>
  <c r="M836" i="4"/>
  <c r="G522" i="4"/>
  <c r="Y479" i="4"/>
  <c r="AE394" i="4"/>
  <c r="Y269" i="4"/>
  <c r="R836" i="4"/>
  <c r="P837" i="4" s="1"/>
  <c r="F732" i="4"/>
  <c r="G733" i="4" s="1"/>
  <c r="R481" i="4"/>
  <c r="S482" i="4" s="1"/>
  <c r="R973" i="4"/>
  <c r="P974" i="4" s="1"/>
  <c r="S974" i="4" s="1"/>
  <c r="X394" i="4"/>
  <c r="V395" i="4" s="1"/>
  <c r="Y395" i="4" s="1"/>
  <c r="X479" i="4"/>
  <c r="V480" i="4" s="1"/>
  <c r="R732" i="4"/>
  <c r="P733" i="4" s="1"/>
  <c r="S733" i="4" s="1"/>
  <c r="R393" i="4"/>
  <c r="P394" i="4" s="1"/>
  <c r="S394" i="4" s="1"/>
  <c r="AJ393" i="4"/>
  <c r="AH394" i="4" s="1"/>
  <c r="AK394" i="4" s="1"/>
  <c r="AD270" i="4"/>
  <c r="AB271" i="4" s="1"/>
  <c r="AE271" i="4" s="1"/>
  <c r="X269" i="4"/>
  <c r="V270" i="4" s="1"/>
  <c r="Y270" i="4"/>
  <c r="F837" i="4"/>
  <c r="D838" i="4" s="1"/>
  <c r="G838" i="4" s="1"/>
  <c r="L786" i="4"/>
  <c r="J787" i="4" s="1"/>
  <c r="M787" i="4" s="1"/>
  <c r="L836" i="4"/>
  <c r="J837" i="4" s="1"/>
  <c r="M837" i="4" s="1"/>
  <c r="F786" i="4"/>
  <c r="D787" i="4" s="1"/>
  <c r="G787" i="4" s="1"/>
  <c r="F638" i="4"/>
  <c r="D639" i="4" s="1"/>
  <c r="G639" i="4" s="1"/>
  <c r="R787" i="4"/>
  <c r="P788" i="4" s="1"/>
  <c r="S788" i="4" s="1"/>
  <c r="AD394" i="4"/>
  <c r="AB395" i="4" s="1"/>
  <c r="X580" i="4"/>
  <c r="V581" i="4" s="1"/>
  <c r="Y581" i="4" s="1"/>
  <c r="F522" i="4"/>
  <c r="D523" i="4" s="1"/>
  <c r="G523" i="4" s="1"/>
  <c r="X190" i="36" l="1"/>
  <c r="Y190" i="36" s="1"/>
  <c r="Z190" i="36" s="1"/>
  <c r="L95" i="40"/>
  <c r="M95" i="40" s="1"/>
  <c r="N95" i="40" s="1"/>
  <c r="W191" i="36"/>
  <c r="U192" i="36" s="1"/>
  <c r="V192" i="36" s="1"/>
  <c r="L96" i="40" s="1"/>
  <c r="M96" i="40" s="1"/>
  <c r="N96" i="40" s="1"/>
  <c r="W247" i="36"/>
  <c r="X247" i="36" s="1"/>
  <c r="Y247" i="36" s="1"/>
  <c r="Z247" i="36" s="1"/>
  <c r="AI188" i="37"/>
  <c r="AM185" i="12"/>
  <c r="AN185" i="12" s="1"/>
  <c r="AO185" i="12" s="1"/>
  <c r="AS185" i="12"/>
  <c r="E402" i="12" s="1"/>
  <c r="G402" i="12" s="1"/>
  <c r="C186" i="12"/>
  <c r="D186" i="12" s="1"/>
  <c r="B40" i="40" s="1"/>
  <c r="C40" i="40" s="1"/>
  <c r="D40" i="40" s="1"/>
  <c r="C241" i="12"/>
  <c r="D241" i="12" s="1"/>
  <c r="E241" i="12" s="1"/>
  <c r="B39" i="40"/>
  <c r="C39" i="40" s="1"/>
  <c r="D39" i="40" s="1"/>
  <c r="U186" i="38"/>
  <c r="V186" i="38" s="1"/>
  <c r="K205" i="36"/>
  <c r="J218" i="12"/>
  <c r="J210" i="12"/>
  <c r="J214" i="12"/>
  <c r="L204" i="36"/>
  <c r="M201" i="36" s="1"/>
  <c r="J221" i="12"/>
  <c r="J220" i="12"/>
  <c r="J213" i="12"/>
  <c r="J219" i="12"/>
  <c r="J211" i="12"/>
  <c r="J223" i="12"/>
  <c r="J224" i="12"/>
  <c r="J227" i="12"/>
  <c r="J222" i="12"/>
  <c r="J215" i="12"/>
  <c r="J226" i="12"/>
  <c r="J217" i="12"/>
  <c r="J204" i="12"/>
  <c r="K201" i="12" s="1"/>
  <c r="J208" i="12"/>
  <c r="J203" i="12"/>
  <c r="J212" i="12"/>
  <c r="J225" i="12"/>
  <c r="J216" i="12"/>
  <c r="L187" i="38"/>
  <c r="M187" i="38" s="1"/>
  <c r="AG246" i="12"/>
  <c r="Q44" i="40"/>
  <c r="R44" i="40" s="1"/>
  <c r="S44" i="40" s="1"/>
  <c r="AG241" i="38"/>
  <c r="Q189" i="40"/>
  <c r="R189" i="40" s="1"/>
  <c r="S189" i="40" s="1"/>
  <c r="M130" i="12"/>
  <c r="G20" i="40"/>
  <c r="H20" i="40" s="1"/>
  <c r="I20" i="40" s="1"/>
  <c r="W243" i="12"/>
  <c r="X243" i="12" s="1"/>
  <c r="Y243" i="12" s="1"/>
  <c r="Z243" i="12" s="1"/>
  <c r="AA243" i="12" s="1"/>
  <c r="L41" i="40"/>
  <c r="M41" i="40" s="1"/>
  <c r="N41" i="40" s="1"/>
  <c r="AU127" i="38"/>
  <c r="L142" i="38" s="1"/>
  <c r="M160" i="38" s="1"/>
  <c r="AT127" i="38"/>
  <c r="C154" i="38" s="1"/>
  <c r="AI184" i="38"/>
  <c r="F292" i="38" s="1"/>
  <c r="M292" i="38" s="1"/>
  <c r="C318" i="38" s="1"/>
  <c r="AM185" i="38"/>
  <c r="AN185" i="38" s="1"/>
  <c r="AO185" i="38" s="1"/>
  <c r="AI71" i="38"/>
  <c r="C376" i="38"/>
  <c r="E317" i="38"/>
  <c r="AK240" i="38"/>
  <c r="AQ240" i="38" s="1"/>
  <c r="AM240" i="38"/>
  <c r="AS240" i="38" s="1"/>
  <c r="AL240" i="38"/>
  <c r="AR240" i="38" s="1"/>
  <c r="AD73" i="38"/>
  <c r="AE73" i="38" s="1"/>
  <c r="Q170" i="40" s="1"/>
  <c r="R170" i="40" s="1"/>
  <c r="S170" i="40" s="1"/>
  <c r="AG72" i="38"/>
  <c r="AL128" i="38"/>
  <c r="AM128" i="38"/>
  <c r="AK128" i="38"/>
  <c r="AF185" i="38"/>
  <c r="U73" i="38"/>
  <c r="V73" i="38" s="1"/>
  <c r="L170" i="40" s="1"/>
  <c r="M170" i="40" s="1"/>
  <c r="N170" i="40" s="1"/>
  <c r="X72" i="38"/>
  <c r="Y72" i="38" s="1"/>
  <c r="Z72" i="38" s="1"/>
  <c r="AA241" i="38"/>
  <c r="AC241" i="38"/>
  <c r="AB241" i="38"/>
  <c r="AC129" i="38"/>
  <c r="AB129" i="38"/>
  <c r="AA129" i="38"/>
  <c r="N72" i="38"/>
  <c r="M129" i="38"/>
  <c r="N129" i="38" s="1"/>
  <c r="O129" i="38" s="1"/>
  <c r="P129" i="38" s="1"/>
  <c r="Q242" i="38"/>
  <c r="S242" i="38"/>
  <c r="R242" i="38"/>
  <c r="AT127" i="36"/>
  <c r="C154" i="36" s="1"/>
  <c r="L111" i="36"/>
  <c r="L100" i="36"/>
  <c r="L105" i="36"/>
  <c r="L104" i="36"/>
  <c r="L96" i="36"/>
  <c r="L110" i="36"/>
  <c r="L95" i="36"/>
  <c r="L101" i="36"/>
  <c r="L97" i="36"/>
  <c r="L107" i="36"/>
  <c r="L109" i="36"/>
  <c r="L94" i="36"/>
  <c r="L99" i="36"/>
  <c r="L103" i="36"/>
  <c r="L93" i="36"/>
  <c r="L92" i="36"/>
  <c r="L108" i="36"/>
  <c r="L98" i="36"/>
  <c r="L87" i="36"/>
  <c r="L89" i="36" s="1"/>
  <c r="L102" i="36"/>
  <c r="L106" i="36"/>
  <c r="AU127" i="36"/>
  <c r="L142" i="36" s="1"/>
  <c r="M158" i="36" s="1"/>
  <c r="M203" i="37"/>
  <c r="M210" i="37"/>
  <c r="M226" i="37"/>
  <c r="M214" i="37"/>
  <c r="M218" i="37"/>
  <c r="M221" i="37"/>
  <c r="M208" i="37"/>
  <c r="M213" i="37"/>
  <c r="M204" i="37"/>
  <c r="N201" i="37" s="1"/>
  <c r="M223" i="37"/>
  <c r="M224" i="37"/>
  <c r="M215" i="37"/>
  <c r="M212" i="37"/>
  <c r="M227" i="37"/>
  <c r="M217" i="37"/>
  <c r="M211" i="37"/>
  <c r="M222" i="37"/>
  <c r="M219" i="37"/>
  <c r="M220" i="37"/>
  <c r="M225" i="37"/>
  <c r="M209" i="37"/>
  <c r="M216" i="37"/>
  <c r="AK128" i="36"/>
  <c r="AL128" i="36"/>
  <c r="AM128" i="36"/>
  <c r="AK128" i="12"/>
  <c r="AL128" i="12"/>
  <c r="N293" i="37"/>
  <c r="E319" i="37" s="1"/>
  <c r="AL128" i="37"/>
  <c r="AM128" i="37"/>
  <c r="AK128" i="37"/>
  <c r="AI71" i="12"/>
  <c r="AT242" i="37"/>
  <c r="C269" i="37" s="1"/>
  <c r="W129" i="12"/>
  <c r="X129" i="12" s="1"/>
  <c r="Y129" i="12" s="1"/>
  <c r="Z129" i="12" s="1"/>
  <c r="W72" i="12"/>
  <c r="AI71" i="36"/>
  <c r="AU242" i="37"/>
  <c r="L257" i="37" s="1"/>
  <c r="M276" i="37" s="1"/>
  <c r="AI71" i="37"/>
  <c r="AD73" i="37"/>
  <c r="AE73" i="37" s="1"/>
  <c r="Q120" i="40" s="1"/>
  <c r="R120" i="40" s="1"/>
  <c r="S120" i="40" s="1"/>
  <c r="AG72" i="37"/>
  <c r="AD73" i="36"/>
  <c r="AE73" i="36" s="1"/>
  <c r="Q70" i="40" s="1"/>
  <c r="R70" i="40" s="1"/>
  <c r="S70" i="40" s="1"/>
  <c r="AG72" i="36"/>
  <c r="C72" i="36"/>
  <c r="D72" i="36" s="1"/>
  <c r="B69" i="40" s="1"/>
  <c r="C69" i="40" s="1"/>
  <c r="D69" i="40" s="1"/>
  <c r="AG129" i="12"/>
  <c r="AF72" i="12"/>
  <c r="W187" i="12"/>
  <c r="X187" i="12" s="1"/>
  <c r="Y187" i="12" s="1"/>
  <c r="Z187" i="12" s="1"/>
  <c r="AG189" i="37"/>
  <c r="AH189" i="37" s="1"/>
  <c r="AH245" i="37" s="1"/>
  <c r="AI245" i="37" s="1"/>
  <c r="AJ245" i="37" s="1"/>
  <c r="X191" i="36"/>
  <c r="Y191" i="36" s="1"/>
  <c r="Z191" i="36" s="1"/>
  <c r="M130" i="37"/>
  <c r="N130" i="37" s="1"/>
  <c r="O130" i="37" s="1"/>
  <c r="P130" i="37" s="1"/>
  <c r="N73" i="37"/>
  <c r="L74" i="37" s="1"/>
  <c r="W72" i="36"/>
  <c r="U73" i="36" s="1"/>
  <c r="W129" i="36"/>
  <c r="X129" i="36" s="1"/>
  <c r="Y129" i="36" s="1"/>
  <c r="Z129" i="36" s="1"/>
  <c r="X128" i="36"/>
  <c r="Y128" i="36" s="1"/>
  <c r="Z128" i="36" s="1"/>
  <c r="Y71" i="36"/>
  <c r="Z71" i="36" s="1"/>
  <c r="W188" i="37"/>
  <c r="U189" i="37" s="1"/>
  <c r="V189" i="37" s="1"/>
  <c r="W244" i="37"/>
  <c r="N72" i="36"/>
  <c r="L73" i="36" s="1"/>
  <c r="M129" i="36"/>
  <c r="N129" i="36" s="1"/>
  <c r="O129" i="36" s="1"/>
  <c r="P129" i="36" s="1"/>
  <c r="N192" i="36"/>
  <c r="L193" i="36" s="1"/>
  <c r="M193" i="36" s="1"/>
  <c r="M248" i="36"/>
  <c r="N248" i="36" s="1"/>
  <c r="O248" i="36" s="1"/>
  <c r="P248" i="36" s="1"/>
  <c r="Q243" i="37"/>
  <c r="R243" i="37"/>
  <c r="S243" i="37"/>
  <c r="AF192" i="36"/>
  <c r="AD193" i="36" s="1"/>
  <c r="AE193" i="36" s="1"/>
  <c r="AG248" i="36"/>
  <c r="L188" i="37"/>
  <c r="M188" i="37" s="1"/>
  <c r="O187" i="37"/>
  <c r="P187" i="37" s="1"/>
  <c r="Q187" i="37" s="1"/>
  <c r="F295" i="37" s="1"/>
  <c r="AS187" i="37"/>
  <c r="W130" i="37"/>
  <c r="X130" i="37" s="1"/>
  <c r="Y130" i="37" s="1"/>
  <c r="Z130" i="37" s="1"/>
  <c r="W73" i="37"/>
  <c r="U74" i="37" s="1"/>
  <c r="L190" i="12"/>
  <c r="Q144" i="40"/>
  <c r="R144" i="40" s="1"/>
  <c r="S144" i="40" s="1"/>
  <c r="AC243" i="37"/>
  <c r="AB243" i="37"/>
  <c r="AA243" i="37"/>
  <c r="AA246" i="36"/>
  <c r="AB246" i="36"/>
  <c r="AC246" i="36"/>
  <c r="AM247" i="36"/>
  <c r="AK247" i="36"/>
  <c r="AL247" i="36"/>
  <c r="R129" i="12"/>
  <c r="S129" i="12"/>
  <c r="Q129" i="12"/>
  <c r="O189" i="12"/>
  <c r="P189" i="12" s="1"/>
  <c r="Q189" i="12" s="1"/>
  <c r="D403" i="37"/>
  <c r="F403" i="37" s="1"/>
  <c r="D426" i="37"/>
  <c r="F426" i="37" s="1"/>
  <c r="M85" i="38"/>
  <c r="L103" i="38"/>
  <c r="L108" i="38"/>
  <c r="L97" i="38"/>
  <c r="L92" i="38"/>
  <c r="L109" i="38"/>
  <c r="L93" i="38"/>
  <c r="L102" i="38"/>
  <c r="L110" i="38"/>
  <c r="L106" i="38"/>
  <c r="L99" i="38"/>
  <c r="L94" i="38"/>
  <c r="L101" i="38"/>
  <c r="L95" i="38"/>
  <c r="L111" i="38"/>
  <c r="L107" i="38"/>
  <c r="L100" i="38"/>
  <c r="L98" i="38"/>
  <c r="L96" i="38"/>
  <c r="L104" i="38"/>
  <c r="L87" i="38"/>
  <c r="L89" i="38" s="1"/>
  <c r="L105" i="38"/>
  <c r="N293" i="36"/>
  <c r="AO71" i="36"/>
  <c r="M86" i="36" s="1"/>
  <c r="AO71" i="38"/>
  <c r="M294" i="37"/>
  <c r="B379" i="37" s="1"/>
  <c r="G67" i="31" s="1"/>
  <c r="AI191" i="36"/>
  <c r="L88" i="37"/>
  <c r="M85" i="37" s="1"/>
  <c r="L99" i="37"/>
  <c r="L110" i="37"/>
  <c r="L111" i="37"/>
  <c r="L94" i="37"/>
  <c r="L93" i="37"/>
  <c r="L103" i="37"/>
  <c r="L101" i="37"/>
  <c r="L102" i="37"/>
  <c r="L109" i="37"/>
  <c r="L107" i="37"/>
  <c r="L98" i="37"/>
  <c r="L97" i="37"/>
  <c r="L105" i="37"/>
  <c r="L100" i="37"/>
  <c r="L108" i="37"/>
  <c r="L96" i="37"/>
  <c r="L87" i="37"/>
  <c r="L104" i="37"/>
  <c r="L106" i="37"/>
  <c r="L95" i="37"/>
  <c r="L92" i="37"/>
  <c r="AM71" i="37"/>
  <c r="AN71" i="37" s="1"/>
  <c r="E71" i="37"/>
  <c r="C72" i="37" s="1"/>
  <c r="C128" i="37"/>
  <c r="D128" i="37" s="1"/>
  <c r="E128" i="37" s="1"/>
  <c r="F128" i="37" s="1"/>
  <c r="I128" i="38"/>
  <c r="H128" i="38"/>
  <c r="G128" i="38"/>
  <c r="AS71" i="38"/>
  <c r="D72" i="38"/>
  <c r="B169" i="40" s="1"/>
  <c r="C169" i="40" s="1"/>
  <c r="D169" i="40" s="1"/>
  <c r="F71" i="38"/>
  <c r="G71" i="38" s="1"/>
  <c r="H71" i="38" s="1"/>
  <c r="AT127" i="37"/>
  <c r="C154" i="37" s="1"/>
  <c r="AU127" i="37"/>
  <c r="L142" i="37" s="1"/>
  <c r="N73" i="12"/>
  <c r="L74" i="12" s="1"/>
  <c r="B195" i="40"/>
  <c r="C195" i="40" s="1"/>
  <c r="D195" i="40" s="1"/>
  <c r="F190" i="38"/>
  <c r="G190" i="38" s="1"/>
  <c r="H190" i="38" s="1"/>
  <c r="C246" i="38"/>
  <c r="D246" i="38" s="1"/>
  <c r="E246" i="38" s="1"/>
  <c r="F246" i="38" s="1"/>
  <c r="C244" i="37"/>
  <c r="D244" i="37" s="1"/>
  <c r="E244" i="37" s="1"/>
  <c r="F244" i="37" s="1"/>
  <c r="E188" i="37"/>
  <c r="C189" i="37" s="1"/>
  <c r="D189" i="37" s="1"/>
  <c r="C320" i="36"/>
  <c r="B379" i="36"/>
  <c r="G40" i="31" s="1"/>
  <c r="M270" i="36"/>
  <c r="M277" i="36"/>
  <c r="M274" i="36"/>
  <c r="M271" i="36"/>
  <c r="M278" i="36"/>
  <c r="M276" i="36"/>
  <c r="M272" i="36"/>
  <c r="M269" i="36"/>
  <c r="X269" i="36" s="1"/>
  <c r="H294" i="36" s="1"/>
  <c r="M273" i="36"/>
  <c r="M279" i="36"/>
  <c r="M275" i="36"/>
  <c r="AS187" i="36"/>
  <c r="B92" i="40"/>
  <c r="C92" i="40" s="1"/>
  <c r="D92" i="40" s="1"/>
  <c r="F187" i="36"/>
  <c r="G187" i="36" s="1"/>
  <c r="H187" i="36" s="1"/>
  <c r="F295" i="36" s="1"/>
  <c r="H128" i="36"/>
  <c r="I128" i="36"/>
  <c r="G128" i="36"/>
  <c r="AM187" i="36"/>
  <c r="AN187" i="36" s="1"/>
  <c r="C243" i="36"/>
  <c r="D243" i="36" s="1"/>
  <c r="E243" i="36" s="1"/>
  <c r="F243" i="36" s="1"/>
  <c r="AS71" i="36"/>
  <c r="F71" i="36"/>
  <c r="G71" i="36" s="1"/>
  <c r="H71" i="36" s="1"/>
  <c r="L209" i="36"/>
  <c r="L211" i="36"/>
  <c r="L208" i="36"/>
  <c r="L226" i="36"/>
  <c r="L217" i="36"/>
  <c r="L212" i="36"/>
  <c r="L224" i="36"/>
  <c r="L223" i="36"/>
  <c r="L219" i="36"/>
  <c r="L210" i="36"/>
  <c r="L225" i="36"/>
  <c r="L216" i="36"/>
  <c r="L213" i="36"/>
  <c r="L215" i="36"/>
  <c r="L227" i="36"/>
  <c r="L218" i="36"/>
  <c r="L221" i="36"/>
  <c r="L203" i="36"/>
  <c r="L222" i="36"/>
  <c r="L214" i="36"/>
  <c r="L220" i="36"/>
  <c r="AM244" i="12"/>
  <c r="AK244" i="12"/>
  <c r="AL244" i="12"/>
  <c r="N245" i="12"/>
  <c r="O245" i="12" s="1"/>
  <c r="P245" i="12" s="1"/>
  <c r="AH189" i="12"/>
  <c r="AF190" i="12"/>
  <c r="AD191" i="12" s="1"/>
  <c r="AE191" i="12" s="1"/>
  <c r="AU240" i="12"/>
  <c r="J257" i="12" s="1"/>
  <c r="AT240" i="12"/>
  <c r="C267" i="12" s="1"/>
  <c r="S837" i="4"/>
  <c r="Y480" i="4"/>
  <c r="AE395" i="4"/>
  <c r="R837" i="4"/>
  <c r="P838" i="4" s="1"/>
  <c r="R974" i="4"/>
  <c r="P975" i="4" s="1"/>
  <c r="S975" i="4" s="1"/>
  <c r="F523" i="4"/>
  <c r="G524" i="4" s="1"/>
  <c r="F639" i="4"/>
  <c r="G640" i="4" s="1"/>
  <c r="R394" i="4"/>
  <c r="S395" i="4" s="1"/>
  <c r="R788" i="4"/>
  <c r="S789" i="4" s="1"/>
  <c r="X581" i="4"/>
  <c r="Y582" i="4" s="1"/>
  <c r="X270" i="4"/>
  <c r="Y271" i="4" s="1"/>
  <c r="X480" i="4"/>
  <c r="V481" i="4" s="1"/>
  <c r="Y481" i="4" s="1"/>
  <c r="R733" i="4"/>
  <c r="P734" i="4" s="1"/>
  <c r="S734" i="4" s="1"/>
  <c r="X395" i="4"/>
  <c r="V396" i="4" s="1"/>
  <c r="AJ394" i="4"/>
  <c r="AH395" i="4" s="1"/>
  <c r="L837" i="4"/>
  <c r="J838" i="4" s="1"/>
  <c r="M838" i="4" s="1"/>
  <c r="F838" i="4"/>
  <c r="D839" i="4" s="1"/>
  <c r="F787" i="4"/>
  <c r="D788" i="4" s="1"/>
  <c r="G788" i="4" s="1"/>
  <c r="L787" i="4"/>
  <c r="J788" i="4" s="1"/>
  <c r="M788" i="4" s="1"/>
  <c r="AD395" i="4"/>
  <c r="AB396" i="4" s="1"/>
  <c r="AD271" i="4"/>
  <c r="AB272" i="4" s="1"/>
  <c r="AE272" i="4" s="1"/>
  <c r="K202" i="38" l="1"/>
  <c r="K218" i="38" s="1"/>
  <c r="E425" i="12"/>
  <c r="G425" i="12" s="1"/>
  <c r="AM186" i="12"/>
  <c r="AN186" i="12" s="1"/>
  <c r="F241" i="12"/>
  <c r="I241" i="12" s="1"/>
  <c r="AS241" i="12" s="1"/>
  <c r="E186" i="12"/>
  <c r="F186" i="12" s="1"/>
  <c r="G186" i="12" s="1"/>
  <c r="H186" i="12" s="1"/>
  <c r="F294" i="12" s="1"/>
  <c r="W248" i="36"/>
  <c r="X248" i="36" s="1"/>
  <c r="Y248" i="36" s="1"/>
  <c r="Z248" i="36" s="1"/>
  <c r="W192" i="36"/>
  <c r="U193" i="36" s="1"/>
  <c r="K202" i="12"/>
  <c r="K218" i="12" s="1"/>
  <c r="M190" i="12"/>
  <c r="G44" i="40" s="1"/>
  <c r="H44" i="40" s="1"/>
  <c r="I44" i="40" s="1"/>
  <c r="C242" i="12"/>
  <c r="D242" i="12" s="1"/>
  <c r="E242" i="12" s="1"/>
  <c r="AM13" i="40"/>
  <c r="AC243" i="12"/>
  <c r="AB243" i="12"/>
  <c r="L205" i="36"/>
  <c r="J205" i="12"/>
  <c r="AM188" i="37"/>
  <c r="AN188" i="37" s="1"/>
  <c r="AO188" i="37" s="1"/>
  <c r="N202" i="37" s="1"/>
  <c r="G142" i="40"/>
  <c r="H142" i="40" s="1"/>
  <c r="I142" i="40" s="1"/>
  <c r="W186" i="38"/>
  <c r="X186" i="38" s="1"/>
  <c r="Y186" i="38" s="1"/>
  <c r="Z186" i="38" s="1"/>
  <c r="L190" i="40"/>
  <c r="M190" i="40" s="1"/>
  <c r="N190" i="40" s="1"/>
  <c r="N187" i="38"/>
  <c r="O187" i="38" s="1"/>
  <c r="P187" i="38" s="1"/>
  <c r="Q187" i="38" s="1"/>
  <c r="G191" i="40"/>
  <c r="H191" i="40" s="1"/>
  <c r="I191" i="40" s="1"/>
  <c r="M162" i="38"/>
  <c r="M154" i="38"/>
  <c r="X154" i="38" s="1"/>
  <c r="E294" i="38" s="1"/>
  <c r="M157" i="38"/>
  <c r="M158" i="38"/>
  <c r="M163" i="38"/>
  <c r="M164" i="38"/>
  <c r="M156" i="38"/>
  <c r="M161" i="38"/>
  <c r="M159" i="38"/>
  <c r="M155" i="38"/>
  <c r="B377" i="38"/>
  <c r="G92" i="31" s="1"/>
  <c r="C295" i="38"/>
  <c r="K226" i="38"/>
  <c r="K204" i="38"/>
  <c r="L201" i="38" s="1"/>
  <c r="K210" i="38"/>
  <c r="K221" i="38"/>
  <c r="K220" i="38"/>
  <c r="K223" i="38"/>
  <c r="K212" i="38"/>
  <c r="K219" i="38"/>
  <c r="AR128" i="38"/>
  <c r="K203" i="38"/>
  <c r="K214" i="38"/>
  <c r="K225" i="38"/>
  <c r="K213" i="38"/>
  <c r="K216" i="38"/>
  <c r="K227" i="38"/>
  <c r="K224" i="38"/>
  <c r="K208" i="38"/>
  <c r="K209" i="38"/>
  <c r="K215" i="38"/>
  <c r="K211" i="38"/>
  <c r="AS128" i="38"/>
  <c r="AQ128" i="38"/>
  <c r="AD186" i="38"/>
  <c r="AE186" i="38" s="1"/>
  <c r="AG185" i="38"/>
  <c r="AS185" i="38"/>
  <c r="AU240" i="38"/>
  <c r="J257" i="38" s="1"/>
  <c r="AT240" i="38"/>
  <c r="C267" i="38" s="1"/>
  <c r="AH72" i="38"/>
  <c r="AH129" i="38" s="1"/>
  <c r="AI129" i="38" s="1"/>
  <c r="AJ129" i="38" s="1"/>
  <c r="AF73" i="38"/>
  <c r="AG130" i="38"/>
  <c r="W242" i="38"/>
  <c r="X242" i="38" s="1"/>
  <c r="Y242" i="38" s="1"/>
  <c r="Z242" i="38" s="1"/>
  <c r="W73" i="38"/>
  <c r="W130" i="38"/>
  <c r="X130" i="38" s="1"/>
  <c r="Y130" i="38" s="1"/>
  <c r="Z130" i="38" s="1"/>
  <c r="M243" i="38"/>
  <c r="N243" i="38" s="1"/>
  <c r="O243" i="38" s="1"/>
  <c r="P243" i="38" s="1"/>
  <c r="Q129" i="38"/>
  <c r="R129" i="38"/>
  <c r="S129" i="38"/>
  <c r="O72" i="38"/>
  <c r="P72" i="38" s="1"/>
  <c r="Q72" i="38" s="1"/>
  <c r="L73" i="38"/>
  <c r="M73" i="38" s="1"/>
  <c r="G170" i="40" s="1"/>
  <c r="H170" i="40" s="1"/>
  <c r="I170" i="40" s="1"/>
  <c r="M159" i="36"/>
  <c r="M162" i="36"/>
  <c r="M157" i="36"/>
  <c r="M155" i="36"/>
  <c r="M163" i="36"/>
  <c r="M160" i="36"/>
  <c r="M156" i="36"/>
  <c r="M154" i="36"/>
  <c r="X154" i="36" s="1"/>
  <c r="E294" i="36" s="1"/>
  <c r="N294" i="36" s="1"/>
  <c r="M205" i="37"/>
  <c r="M161" i="36"/>
  <c r="M164" i="36"/>
  <c r="C378" i="37"/>
  <c r="M86" i="38"/>
  <c r="M88" i="38" s="1"/>
  <c r="M277" i="37"/>
  <c r="M274" i="37"/>
  <c r="M273" i="37"/>
  <c r="M279" i="37"/>
  <c r="M269" i="37"/>
  <c r="X269" i="37" s="1"/>
  <c r="H294" i="37" s="1"/>
  <c r="M278" i="37"/>
  <c r="M275" i="37"/>
  <c r="M272" i="37"/>
  <c r="M270" i="37"/>
  <c r="U73" i="12"/>
  <c r="V73" i="12" s="1"/>
  <c r="L20" i="40" s="1"/>
  <c r="M20" i="40" s="1"/>
  <c r="N20" i="40" s="1"/>
  <c r="X72" i="12"/>
  <c r="Y72" i="12" s="1"/>
  <c r="Z72" i="12" s="1"/>
  <c r="M271" i="37"/>
  <c r="AQ243" i="37"/>
  <c r="U188" i="12"/>
  <c r="V188" i="12" s="1"/>
  <c r="AH72" i="37"/>
  <c r="AH129" i="37" s="1"/>
  <c r="AI129" i="37" s="1"/>
  <c r="AJ129" i="37" s="1"/>
  <c r="AF73" i="37"/>
  <c r="AG130" i="37"/>
  <c r="AH72" i="36"/>
  <c r="AH129" i="36" s="1"/>
  <c r="AI129" i="36" s="1"/>
  <c r="AJ129" i="36" s="1"/>
  <c r="AG130" i="36"/>
  <c r="AF73" i="36"/>
  <c r="AD73" i="12"/>
  <c r="AE73" i="12" s="1"/>
  <c r="Q20" i="40" s="1"/>
  <c r="R20" i="40" s="1"/>
  <c r="S20" i="40" s="1"/>
  <c r="AG72" i="12"/>
  <c r="AH72" i="12" s="1"/>
  <c r="AH129" i="12" s="1"/>
  <c r="AI129" i="12" s="1"/>
  <c r="AJ129" i="12" s="1"/>
  <c r="AK129" i="12" s="1"/>
  <c r="O192" i="36"/>
  <c r="P192" i="36" s="1"/>
  <c r="Q192" i="36" s="1"/>
  <c r="AG192" i="36"/>
  <c r="AH192" i="36" s="1"/>
  <c r="AH248" i="36" s="1"/>
  <c r="AI248" i="36" s="1"/>
  <c r="AJ248" i="36" s="1"/>
  <c r="C295" i="36"/>
  <c r="M295" i="36" s="1"/>
  <c r="AR243" i="37"/>
  <c r="AS243" i="37"/>
  <c r="E427" i="37"/>
  <c r="G427" i="37" s="1"/>
  <c r="E404" i="37"/>
  <c r="G404" i="37" s="1"/>
  <c r="AF190" i="37"/>
  <c r="AD191" i="37" s="1"/>
  <c r="AG246" i="37"/>
  <c r="N188" i="37"/>
  <c r="AS188" i="37" s="1"/>
  <c r="M244" i="37"/>
  <c r="N244" i="37" s="1"/>
  <c r="O244" i="37" s="1"/>
  <c r="P244" i="37" s="1"/>
  <c r="AB128" i="36"/>
  <c r="AR128" i="36" s="1"/>
  <c r="AA128" i="36"/>
  <c r="AQ128" i="36" s="1"/>
  <c r="AC128" i="36"/>
  <c r="AS128" i="36" s="1"/>
  <c r="R129" i="36"/>
  <c r="S129" i="36"/>
  <c r="Q129" i="36"/>
  <c r="AB129" i="36"/>
  <c r="AC129" i="36"/>
  <c r="AA129" i="36"/>
  <c r="M74" i="37"/>
  <c r="G121" i="40" s="1"/>
  <c r="H121" i="40" s="1"/>
  <c r="I121" i="40" s="1"/>
  <c r="O73" i="37"/>
  <c r="P73" i="37" s="1"/>
  <c r="Q73" i="37" s="1"/>
  <c r="X188" i="37"/>
  <c r="Y188" i="37" s="1"/>
  <c r="Z188" i="37" s="1"/>
  <c r="M73" i="36"/>
  <c r="G70" i="40" s="1"/>
  <c r="H70" i="40" s="1"/>
  <c r="I70" i="40" s="1"/>
  <c r="O72" i="36"/>
  <c r="P72" i="36" s="1"/>
  <c r="Q72" i="36" s="1"/>
  <c r="V73" i="36"/>
  <c r="L70" i="40" s="1"/>
  <c r="M70" i="40" s="1"/>
  <c r="N70" i="40" s="1"/>
  <c r="X72" i="36"/>
  <c r="Y72" i="36" s="1"/>
  <c r="Z72" i="36" s="1"/>
  <c r="Q130" i="37"/>
  <c r="R130" i="37"/>
  <c r="S130" i="37"/>
  <c r="V74" i="37"/>
  <c r="L121" i="40" s="1"/>
  <c r="M121" i="40" s="1"/>
  <c r="N121" i="40" s="1"/>
  <c r="X73" i="37"/>
  <c r="Y73" i="37" s="1"/>
  <c r="Z73" i="37" s="1"/>
  <c r="AB130" i="37"/>
  <c r="AA130" i="37"/>
  <c r="AC130" i="37"/>
  <c r="AI189" i="37"/>
  <c r="AL245" i="37"/>
  <c r="AK245" i="37"/>
  <c r="AM245" i="37"/>
  <c r="L143" i="40"/>
  <c r="M143" i="40" s="1"/>
  <c r="N143" i="40" s="1"/>
  <c r="X244" i="37"/>
  <c r="Y244" i="37" s="1"/>
  <c r="Z244" i="37" s="1"/>
  <c r="AC247" i="36"/>
  <c r="AB247" i="36"/>
  <c r="AA247" i="36"/>
  <c r="AC129" i="12"/>
  <c r="AB129" i="12"/>
  <c r="AA129" i="12"/>
  <c r="S248" i="36"/>
  <c r="Q248" i="36"/>
  <c r="R248" i="36"/>
  <c r="D404" i="38"/>
  <c r="F404" i="38" s="1"/>
  <c r="D427" i="38"/>
  <c r="F427" i="38" s="1"/>
  <c r="D404" i="36"/>
  <c r="F404" i="36" s="1"/>
  <c r="D427" i="36"/>
  <c r="F427" i="36" s="1"/>
  <c r="E404" i="36"/>
  <c r="G404" i="36" s="1"/>
  <c r="E427" i="36"/>
  <c r="G427" i="36" s="1"/>
  <c r="C320" i="37"/>
  <c r="M99" i="36"/>
  <c r="M97" i="36"/>
  <c r="M98" i="36"/>
  <c r="M94" i="36"/>
  <c r="M107" i="36"/>
  <c r="M95" i="36"/>
  <c r="M96" i="36"/>
  <c r="M87" i="36"/>
  <c r="M105" i="36"/>
  <c r="M108" i="36"/>
  <c r="M109" i="36"/>
  <c r="M106" i="36"/>
  <c r="M93" i="36"/>
  <c r="M101" i="36"/>
  <c r="M92" i="36"/>
  <c r="M100" i="36"/>
  <c r="M104" i="36"/>
  <c r="M111" i="36"/>
  <c r="M102" i="36"/>
  <c r="M103" i="36"/>
  <c r="M88" i="36"/>
  <c r="N85" i="36" s="1"/>
  <c r="M110" i="36"/>
  <c r="L89" i="37"/>
  <c r="AO186" i="12"/>
  <c r="AO187" i="36"/>
  <c r="M202" i="36" s="1"/>
  <c r="AO71" i="37"/>
  <c r="M86" i="37" s="1"/>
  <c r="E72" i="38"/>
  <c r="C73" i="38" s="1"/>
  <c r="AM72" i="38"/>
  <c r="AN72" i="38" s="1"/>
  <c r="C129" i="38"/>
  <c r="D129" i="38" s="1"/>
  <c r="E129" i="38" s="1"/>
  <c r="F129" i="38" s="1"/>
  <c r="D72" i="37"/>
  <c r="B119" i="40" s="1"/>
  <c r="C119" i="40" s="1"/>
  <c r="D119" i="40" s="1"/>
  <c r="F71" i="37"/>
  <c r="G71" i="37" s="1"/>
  <c r="H71" i="37" s="1"/>
  <c r="C295" i="37" s="1"/>
  <c r="AS71" i="37"/>
  <c r="M155" i="37"/>
  <c r="M159" i="37"/>
  <c r="M161" i="37"/>
  <c r="M158" i="37"/>
  <c r="M156" i="37"/>
  <c r="M164" i="37"/>
  <c r="M154" i="37"/>
  <c r="X154" i="37" s="1"/>
  <c r="E294" i="37" s="1"/>
  <c r="M163" i="37"/>
  <c r="M160" i="37"/>
  <c r="M157" i="37"/>
  <c r="M162" i="37"/>
  <c r="I128" i="37"/>
  <c r="AS128" i="37" s="1"/>
  <c r="H128" i="37"/>
  <c r="AR128" i="37" s="1"/>
  <c r="G128" i="37"/>
  <c r="AQ128" i="37" s="1"/>
  <c r="Q97" i="40"/>
  <c r="R97" i="40" s="1"/>
  <c r="S97" i="40" s="1"/>
  <c r="G97" i="40"/>
  <c r="H97" i="40" s="1"/>
  <c r="I97" i="40" s="1"/>
  <c r="N130" i="12"/>
  <c r="O130" i="12" s="1"/>
  <c r="P130" i="12" s="1"/>
  <c r="M74" i="12"/>
  <c r="O73" i="12"/>
  <c r="P73" i="12" s="1"/>
  <c r="Q73" i="12" s="1"/>
  <c r="H246" i="38"/>
  <c r="I246" i="38"/>
  <c r="G246" i="38"/>
  <c r="F188" i="37"/>
  <c r="G188" i="37" s="1"/>
  <c r="H188" i="37" s="1"/>
  <c r="B143" i="40"/>
  <c r="C143" i="40" s="1"/>
  <c r="D143" i="40" s="1"/>
  <c r="I244" i="37"/>
  <c r="G244" i="37"/>
  <c r="H244" i="37"/>
  <c r="E319" i="36"/>
  <c r="C378" i="36"/>
  <c r="E72" i="36"/>
  <c r="AM72" i="36"/>
  <c r="AN72" i="36" s="1"/>
  <c r="C129" i="36"/>
  <c r="D129" i="36" s="1"/>
  <c r="E129" i="36" s="1"/>
  <c r="F129" i="36" s="1"/>
  <c r="E188" i="36"/>
  <c r="C189" i="36" s="1"/>
  <c r="D189" i="36" s="1"/>
  <c r="I243" i="36"/>
  <c r="AS243" i="36" s="1"/>
  <c r="H243" i="36"/>
  <c r="AR243" i="36" s="1"/>
  <c r="G243" i="36"/>
  <c r="AQ243" i="36" s="1"/>
  <c r="AM188" i="36"/>
  <c r="AN188" i="36" s="1"/>
  <c r="C244" i="36"/>
  <c r="D244" i="36" s="1"/>
  <c r="E244" i="36" s="1"/>
  <c r="F244" i="36" s="1"/>
  <c r="R245" i="12"/>
  <c r="Q245" i="12"/>
  <c r="S245" i="12"/>
  <c r="AH245" i="12"/>
  <c r="AI245" i="12" s="1"/>
  <c r="AJ245" i="12" s="1"/>
  <c r="AG190" i="12"/>
  <c r="AI189" i="12"/>
  <c r="G241" i="12"/>
  <c r="AQ241" i="12" s="1"/>
  <c r="K270" i="12"/>
  <c r="K278" i="12"/>
  <c r="K271" i="12"/>
  <c r="K279" i="12"/>
  <c r="K268" i="12"/>
  <c r="K269" i="12"/>
  <c r="K272" i="12"/>
  <c r="K267" i="12"/>
  <c r="X267" i="12" s="1"/>
  <c r="H292" i="12" s="1"/>
  <c r="K277" i="12"/>
  <c r="K274" i="12"/>
  <c r="K275" i="12"/>
  <c r="K273" i="12"/>
  <c r="K276" i="12"/>
  <c r="S838" i="4"/>
  <c r="G839" i="4"/>
  <c r="AK395" i="4"/>
  <c r="AE396" i="4"/>
  <c r="Y396" i="4"/>
  <c r="L838" i="4"/>
  <c r="M839" i="4" s="1"/>
  <c r="R838" i="4"/>
  <c r="S839" i="4" s="1"/>
  <c r="R975" i="4"/>
  <c r="S976" i="4" s="1"/>
  <c r="L788" i="4"/>
  <c r="M789" i="4" s="1"/>
  <c r="X481" i="4"/>
  <c r="Y482" i="4" s="1"/>
  <c r="R734" i="4"/>
  <c r="P735" i="4" s="1"/>
  <c r="S735" i="4" s="1"/>
  <c r="AJ395" i="4"/>
  <c r="AH396" i="4" s="1"/>
  <c r="AK396" i="4" s="1"/>
  <c r="X396" i="4"/>
  <c r="V397" i="4" s="1"/>
  <c r="Y397" i="4" s="1"/>
  <c r="F839" i="4"/>
  <c r="D840" i="4" s="1"/>
  <c r="F788" i="4"/>
  <c r="D789" i="4" s="1"/>
  <c r="G789" i="4" s="1"/>
  <c r="AD396" i="4"/>
  <c r="AB397" i="4" s="1"/>
  <c r="AE397" i="4" s="1"/>
  <c r="AD272" i="4"/>
  <c r="AB273" i="4" s="1"/>
  <c r="AE273" i="4" s="1"/>
  <c r="H241" i="12" l="1"/>
  <c r="AR241" i="12" s="1"/>
  <c r="K217" i="38"/>
  <c r="K222" i="38"/>
  <c r="C187" i="12"/>
  <c r="D187" i="12" s="1"/>
  <c r="B41" i="40" s="1"/>
  <c r="C41" i="40" s="1"/>
  <c r="D41" i="40" s="1"/>
  <c r="K219" i="12"/>
  <c r="K220" i="12"/>
  <c r="K225" i="12"/>
  <c r="K214" i="12"/>
  <c r="AS186" i="12"/>
  <c r="E403" i="12" s="1"/>
  <c r="G403" i="12" s="1"/>
  <c r="K224" i="12"/>
  <c r="K227" i="12"/>
  <c r="K209" i="12"/>
  <c r="K203" i="12"/>
  <c r="K215" i="12"/>
  <c r="AE191" i="37"/>
  <c r="Q145" i="40" s="1"/>
  <c r="R145" i="40" s="1"/>
  <c r="S145" i="40" s="1"/>
  <c r="X192" i="36"/>
  <c r="Y192" i="36" s="1"/>
  <c r="Z192" i="36" s="1"/>
  <c r="K217" i="12"/>
  <c r="K210" i="12"/>
  <c r="K211" i="12"/>
  <c r="K221" i="12"/>
  <c r="K204" i="12"/>
  <c r="L201" i="12" s="1"/>
  <c r="L202" i="12" s="1"/>
  <c r="L217" i="12" s="1"/>
  <c r="K212" i="12"/>
  <c r="K223" i="12"/>
  <c r="K208" i="12"/>
  <c r="K213" i="12"/>
  <c r="N190" i="12"/>
  <c r="L191" i="12" s="1"/>
  <c r="M191" i="12" s="1"/>
  <c r="G45" i="40" s="1"/>
  <c r="H45" i="40" s="1"/>
  <c r="I45" i="40" s="1"/>
  <c r="V193" i="36"/>
  <c r="K216" i="12"/>
  <c r="K222" i="12"/>
  <c r="K226" i="12"/>
  <c r="M246" i="12"/>
  <c r="N246" i="12" s="1"/>
  <c r="O246" i="12" s="1"/>
  <c r="P246" i="12" s="1"/>
  <c r="Q246" i="12" s="1"/>
  <c r="U187" i="38"/>
  <c r="V187" i="38" s="1"/>
  <c r="L188" i="38"/>
  <c r="M188" i="38" s="1"/>
  <c r="AG247" i="12"/>
  <c r="Q45" i="40"/>
  <c r="R45" i="40" s="1"/>
  <c r="S45" i="40" s="1"/>
  <c r="M131" i="12"/>
  <c r="G21" i="40"/>
  <c r="H21" i="40" s="1"/>
  <c r="I21" i="40" s="1"/>
  <c r="W244" i="12"/>
  <c r="X244" i="12" s="1"/>
  <c r="Y244" i="12" s="1"/>
  <c r="Z244" i="12" s="1"/>
  <c r="AA244" i="12" s="1"/>
  <c r="L42" i="40"/>
  <c r="M42" i="40" s="1"/>
  <c r="N42" i="40" s="1"/>
  <c r="M204" i="36"/>
  <c r="N201" i="36" s="1"/>
  <c r="K205" i="38"/>
  <c r="AU128" i="38"/>
  <c r="M142" i="38" s="1"/>
  <c r="N157" i="38" s="1"/>
  <c r="AT128" i="38"/>
  <c r="C155" i="38" s="1"/>
  <c r="AI72" i="38"/>
  <c r="K273" i="38"/>
  <c r="K267" i="38"/>
  <c r="X267" i="38" s="1"/>
  <c r="H292" i="38" s="1"/>
  <c r="N292" i="38" s="1"/>
  <c r="K279" i="38"/>
  <c r="K275" i="38"/>
  <c r="K270" i="38"/>
  <c r="K271" i="38"/>
  <c r="K272" i="38"/>
  <c r="K277" i="38"/>
  <c r="K268" i="38"/>
  <c r="K269" i="38"/>
  <c r="K278" i="38"/>
  <c r="K276" i="38"/>
  <c r="K274" i="38"/>
  <c r="E425" i="38"/>
  <c r="G425" i="38" s="1"/>
  <c r="E402" i="38"/>
  <c r="G402" i="38" s="1"/>
  <c r="AG73" i="38"/>
  <c r="AD74" i="38"/>
  <c r="AE74" i="38" s="1"/>
  <c r="Q171" i="40" s="1"/>
  <c r="R171" i="40" s="1"/>
  <c r="S171" i="40" s="1"/>
  <c r="AH185" i="38"/>
  <c r="AH241" i="38" s="1"/>
  <c r="AI241" i="38" s="1"/>
  <c r="AJ241" i="38" s="1"/>
  <c r="AM129" i="38"/>
  <c r="AK129" i="38"/>
  <c r="AL129" i="38"/>
  <c r="AA130" i="38"/>
  <c r="AC130" i="38"/>
  <c r="AB130" i="38"/>
  <c r="U74" i="38"/>
  <c r="V74" i="38" s="1"/>
  <c r="L171" i="40" s="1"/>
  <c r="M171" i="40" s="1"/>
  <c r="N171" i="40" s="1"/>
  <c r="X73" i="38"/>
  <c r="Y73" i="38" s="1"/>
  <c r="Z73" i="38" s="1"/>
  <c r="AA242" i="38"/>
  <c r="AC242" i="38"/>
  <c r="AB242" i="38"/>
  <c r="S243" i="38"/>
  <c r="Q243" i="38"/>
  <c r="R243" i="38"/>
  <c r="M130" i="38"/>
  <c r="N130" i="38" s="1"/>
  <c r="O130" i="38" s="1"/>
  <c r="P130" i="38" s="1"/>
  <c r="N73" i="38"/>
  <c r="AL129" i="36"/>
  <c r="AM129" i="36"/>
  <c r="AK129" i="36"/>
  <c r="AM129" i="12"/>
  <c r="AL129" i="12"/>
  <c r="AI72" i="12"/>
  <c r="N294" i="37"/>
  <c r="C379" i="37" s="1"/>
  <c r="AL129" i="37"/>
  <c r="AM129" i="37"/>
  <c r="AK129" i="37"/>
  <c r="W130" i="12"/>
  <c r="X130" i="12" s="1"/>
  <c r="Y130" i="12" s="1"/>
  <c r="Z130" i="12" s="1"/>
  <c r="W73" i="12"/>
  <c r="AT243" i="37"/>
  <c r="C270" i="37" s="1"/>
  <c r="W188" i="12"/>
  <c r="U189" i="12" s="1"/>
  <c r="V189" i="12" s="1"/>
  <c r="AI72" i="36"/>
  <c r="AI72" i="37"/>
  <c r="AD74" i="37"/>
  <c r="AE74" i="37" s="1"/>
  <c r="Q121" i="40" s="1"/>
  <c r="R121" i="40" s="1"/>
  <c r="S121" i="40" s="1"/>
  <c r="AG73" i="37"/>
  <c r="AD74" i="36"/>
  <c r="AE74" i="36" s="1"/>
  <c r="Q71" i="40" s="1"/>
  <c r="R71" i="40" s="1"/>
  <c r="S71" i="40" s="1"/>
  <c r="AG73" i="36"/>
  <c r="C73" i="36"/>
  <c r="D73" i="36" s="1"/>
  <c r="B70" i="40" s="1"/>
  <c r="C70" i="40" s="1"/>
  <c r="D70" i="40" s="1"/>
  <c r="AG130" i="12"/>
  <c r="AF73" i="12"/>
  <c r="AU243" i="37"/>
  <c r="M257" i="37" s="1"/>
  <c r="N276" i="37" s="1"/>
  <c r="AT128" i="36"/>
  <c r="C155" i="36" s="1"/>
  <c r="AU128" i="36"/>
  <c r="M142" i="36" s="1"/>
  <c r="N161" i="36" s="1"/>
  <c r="AG190" i="37"/>
  <c r="AH190" i="37" s="1"/>
  <c r="AH246" i="37" s="1"/>
  <c r="AI246" i="37" s="1"/>
  <c r="AJ246" i="37" s="1"/>
  <c r="N193" i="36"/>
  <c r="L194" i="36" s="1"/>
  <c r="M194" i="36" s="1"/>
  <c r="M249" i="36"/>
  <c r="N249" i="36" s="1"/>
  <c r="O249" i="36" s="1"/>
  <c r="P249" i="36" s="1"/>
  <c r="W189" i="37"/>
  <c r="U190" i="37" s="1"/>
  <c r="V190" i="37" s="1"/>
  <c r="W245" i="37"/>
  <c r="AF193" i="36"/>
  <c r="AD194" i="36" s="1"/>
  <c r="AE194" i="36" s="1"/>
  <c r="AG249" i="36"/>
  <c r="W130" i="36"/>
  <c r="X130" i="36" s="1"/>
  <c r="Y130" i="36" s="1"/>
  <c r="Z130" i="36" s="1"/>
  <c r="W73" i="36"/>
  <c r="U74" i="36" s="1"/>
  <c r="M131" i="37"/>
  <c r="N131" i="37" s="1"/>
  <c r="O131" i="37" s="1"/>
  <c r="P131" i="37" s="1"/>
  <c r="N74" i="37"/>
  <c r="L75" i="37" s="1"/>
  <c r="R244" i="37"/>
  <c r="S244" i="37"/>
  <c r="Q244" i="37"/>
  <c r="L189" i="37"/>
  <c r="O188" i="37"/>
  <c r="P188" i="37" s="1"/>
  <c r="Q188" i="37" s="1"/>
  <c r="F296" i="37" s="1"/>
  <c r="M130" i="36"/>
  <c r="N130" i="36" s="1"/>
  <c r="O130" i="36" s="1"/>
  <c r="P130" i="36" s="1"/>
  <c r="N73" i="36"/>
  <c r="L74" i="36" s="1"/>
  <c r="W131" i="37"/>
  <c r="X131" i="37" s="1"/>
  <c r="Y131" i="37" s="1"/>
  <c r="Z131" i="37" s="1"/>
  <c r="W74" i="37"/>
  <c r="U75" i="37" s="1"/>
  <c r="AB244" i="37"/>
  <c r="AA244" i="37"/>
  <c r="AC244" i="37"/>
  <c r="AB249" i="36"/>
  <c r="AA249" i="36"/>
  <c r="AC249" i="36"/>
  <c r="AC248" i="36"/>
  <c r="AB248" i="36"/>
  <c r="AA248" i="36"/>
  <c r="AL248" i="36"/>
  <c r="AK248" i="36"/>
  <c r="AM248" i="36"/>
  <c r="R130" i="12"/>
  <c r="Q130" i="12"/>
  <c r="S130" i="12"/>
  <c r="E405" i="37"/>
  <c r="G405" i="37" s="1"/>
  <c r="E428" i="37"/>
  <c r="G428" i="37" s="1"/>
  <c r="D404" i="37"/>
  <c r="F404" i="37" s="1"/>
  <c r="D427" i="37"/>
  <c r="F427" i="37" s="1"/>
  <c r="N85" i="38"/>
  <c r="M95" i="38"/>
  <c r="M101" i="38"/>
  <c r="M97" i="38"/>
  <c r="M110" i="38"/>
  <c r="M87" i="38"/>
  <c r="M89" i="38" s="1"/>
  <c r="M109" i="38"/>
  <c r="M105" i="38"/>
  <c r="M98" i="38"/>
  <c r="M93" i="38"/>
  <c r="M92" i="38"/>
  <c r="M107" i="38"/>
  <c r="M106" i="38"/>
  <c r="M102" i="38"/>
  <c r="M96" i="38"/>
  <c r="M94" i="38"/>
  <c r="M111" i="38"/>
  <c r="M99" i="38"/>
  <c r="M108" i="38"/>
  <c r="M104" i="38"/>
  <c r="M103" i="38"/>
  <c r="M100" i="38"/>
  <c r="M89" i="36"/>
  <c r="AO188" i="36"/>
  <c r="AO72" i="36"/>
  <c r="AO72" i="38"/>
  <c r="N204" i="37"/>
  <c r="O201" i="37" s="1"/>
  <c r="N213" i="37"/>
  <c r="N203" i="37"/>
  <c r="N226" i="37"/>
  <c r="N227" i="37"/>
  <c r="N221" i="37"/>
  <c r="N219" i="37"/>
  <c r="N210" i="37"/>
  <c r="N218" i="37"/>
  <c r="N211" i="37"/>
  <c r="N216" i="37"/>
  <c r="N220" i="37"/>
  <c r="N225" i="37"/>
  <c r="N224" i="37"/>
  <c r="N208" i="37"/>
  <c r="N209" i="37"/>
  <c r="N215" i="37"/>
  <c r="N222" i="37"/>
  <c r="N214" i="37"/>
  <c r="N212" i="37"/>
  <c r="N223" i="37"/>
  <c r="N217" i="37"/>
  <c r="M295" i="37"/>
  <c r="C321" i="37" s="1"/>
  <c r="AI192" i="36"/>
  <c r="M88" i="37"/>
  <c r="N85" i="37" s="1"/>
  <c r="M93" i="37"/>
  <c r="M99" i="37"/>
  <c r="M109" i="37"/>
  <c r="M107" i="37"/>
  <c r="M104" i="37"/>
  <c r="M103" i="37"/>
  <c r="M98" i="37"/>
  <c r="M111" i="37"/>
  <c r="M96" i="37"/>
  <c r="M97" i="37"/>
  <c r="M101" i="37"/>
  <c r="M92" i="37"/>
  <c r="M94" i="37"/>
  <c r="M105" i="37"/>
  <c r="M106" i="37"/>
  <c r="M87" i="37"/>
  <c r="M95" i="37"/>
  <c r="M100" i="37"/>
  <c r="M110" i="37"/>
  <c r="M102" i="37"/>
  <c r="M108" i="37"/>
  <c r="C129" i="37"/>
  <c r="D129" i="37" s="1"/>
  <c r="E129" i="37" s="1"/>
  <c r="F129" i="37" s="1"/>
  <c r="E72" i="37"/>
  <c r="C73" i="37" s="1"/>
  <c r="AM72" i="37"/>
  <c r="AN72" i="37" s="1"/>
  <c r="G129" i="38"/>
  <c r="I129" i="38"/>
  <c r="H129" i="38"/>
  <c r="AS72" i="38"/>
  <c r="F72" i="38"/>
  <c r="G72" i="38" s="1"/>
  <c r="H72" i="38" s="1"/>
  <c r="D73" i="38"/>
  <c r="B170" i="40" s="1"/>
  <c r="C170" i="40" s="1"/>
  <c r="D170" i="40" s="1"/>
  <c r="AU128" i="37"/>
  <c r="M142" i="37" s="1"/>
  <c r="AT128" i="37"/>
  <c r="C155" i="37" s="1"/>
  <c r="N74" i="12"/>
  <c r="L75" i="12" s="1"/>
  <c r="C247" i="38"/>
  <c r="D247" i="38" s="1"/>
  <c r="E247" i="38" s="1"/>
  <c r="F247" i="38" s="1"/>
  <c r="E191" i="38"/>
  <c r="C192" i="38" s="1"/>
  <c r="D192" i="38" s="1"/>
  <c r="E189" i="37"/>
  <c r="C190" i="37" s="1"/>
  <c r="D190" i="37" s="1"/>
  <c r="E320" i="36"/>
  <c r="C379" i="36"/>
  <c r="C321" i="36"/>
  <c r="B380" i="36"/>
  <c r="G41" i="31" s="1"/>
  <c r="AT243" i="36"/>
  <c r="C270" i="36" s="1"/>
  <c r="AU243" i="36"/>
  <c r="M257" i="36" s="1"/>
  <c r="H129" i="36"/>
  <c r="I129" i="36"/>
  <c r="G129" i="36"/>
  <c r="I244" i="36"/>
  <c r="AS244" i="36" s="1"/>
  <c r="G244" i="36"/>
  <c r="AQ244" i="36" s="1"/>
  <c r="H244" i="36"/>
  <c r="AR244" i="36" s="1"/>
  <c r="AS72" i="36"/>
  <c r="F72" i="36"/>
  <c r="G72" i="36" s="1"/>
  <c r="H72" i="36" s="1"/>
  <c r="AS188" i="36"/>
  <c r="B93" i="40"/>
  <c r="C93" i="40" s="1"/>
  <c r="D93" i="40" s="1"/>
  <c r="F188" i="36"/>
  <c r="G188" i="36" s="1"/>
  <c r="H188" i="36" s="1"/>
  <c r="F296" i="36" s="1"/>
  <c r="AL245" i="12"/>
  <c r="AM245" i="12"/>
  <c r="AK245" i="12"/>
  <c r="AF191" i="12"/>
  <c r="AD192" i="12" s="1"/>
  <c r="AE192" i="12" s="1"/>
  <c r="AH190" i="12"/>
  <c r="F242" i="12"/>
  <c r="G242" i="12" s="1"/>
  <c r="AQ242" i="12" s="1"/>
  <c r="AU241" i="12"/>
  <c r="K257" i="12" s="1"/>
  <c r="AT241" i="12"/>
  <c r="C268" i="12" s="1"/>
  <c r="G840" i="4"/>
  <c r="X397" i="4"/>
  <c r="V398" i="4" s="1"/>
  <c r="AJ396" i="4"/>
  <c r="AH397" i="4" s="1"/>
  <c r="AK397" i="4" s="1"/>
  <c r="R735" i="4"/>
  <c r="P736" i="4" s="1"/>
  <c r="S736" i="4" s="1"/>
  <c r="AD273" i="4"/>
  <c r="AB274" i="4" s="1"/>
  <c r="AE274" i="4" s="1"/>
  <c r="F789" i="4"/>
  <c r="D790" i="4" s="1"/>
  <c r="G790" i="4" s="1"/>
  <c r="AD397" i="4"/>
  <c r="AB398" i="4" s="1"/>
  <c r="F840" i="4"/>
  <c r="D841" i="4" s="1"/>
  <c r="G841" i="4" s="1"/>
  <c r="N202" i="36" l="1"/>
  <c r="E426" i="12"/>
  <c r="G426" i="12" s="1"/>
  <c r="K205" i="12"/>
  <c r="AM187" i="12"/>
  <c r="AN187" i="12" s="1"/>
  <c r="AO187" i="12" s="1"/>
  <c r="AG247" i="37"/>
  <c r="AF191" i="37"/>
  <c r="AD192" i="37" s="1"/>
  <c r="AE192" i="37" s="1"/>
  <c r="Q146" i="40" s="1"/>
  <c r="R146" i="40" s="1"/>
  <c r="S146" i="40" s="1"/>
  <c r="M247" i="12"/>
  <c r="N191" i="12"/>
  <c r="L192" i="12" s="1"/>
  <c r="M192" i="12" s="1"/>
  <c r="M189" i="37"/>
  <c r="G143" i="40" s="1"/>
  <c r="H143" i="40" s="1"/>
  <c r="I143" i="40" s="1"/>
  <c r="O190" i="12"/>
  <c r="P190" i="12" s="1"/>
  <c r="Q190" i="12" s="1"/>
  <c r="W193" i="36"/>
  <c r="W249" i="36"/>
  <c r="X249" i="36" s="1"/>
  <c r="Y249" i="36" s="1"/>
  <c r="Z249" i="36" s="1"/>
  <c r="L97" i="40"/>
  <c r="M97" i="40" s="1"/>
  <c r="N97" i="40" s="1"/>
  <c r="C243" i="12"/>
  <c r="D243" i="12" s="1"/>
  <c r="E243" i="12" s="1"/>
  <c r="E187" i="12"/>
  <c r="F187" i="12" s="1"/>
  <c r="G187" i="12" s="1"/>
  <c r="H187" i="12" s="1"/>
  <c r="F295" i="12" s="1"/>
  <c r="M218" i="36"/>
  <c r="M225" i="36"/>
  <c r="M220" i="36"/>
  <c r="M222" i="36"/>
  <c r="AB244" i="12"/>
  <c r="M214" i="36"/>
  <c r="M216" i="36"/>
  <c r="AC244" i="12"/>
  <c r="M209" i="36"/>
  <c r="M221" i="36"/>
  <c r="M227" i="36"/>
  <c r="M210" i="36"/>
  <c r="M208" i="36"/>
  <c r="M203" i="36"/>
  <c r="M205" i="36" s="1"/>
  <c r="M212" i="36"/>
  <c r="M215" i="36"/>
  <c r="M217" i="36"/>
  <c r="M213" i="36"/>
  <c r="M223" i="36"/>
  <c r="M219" i="36"/>
  <c r="M226" i="36"/>
  <c r="M211" i="36"/>
  <c r="M224" i="36"/>
  <c r="W187" i="38"/>
  <c r="U188" i="38" s="1"/>
  <c r="V188" i="38" s="1"/>
  <c r="L191" i="40"/>
  <c r="M191" i="40" s="1"/>
  <c r="N191" i="40" s="1"/>
  <c r="N188" i="38"/>
  <c r="L189" i="38" s="1"/>
  <c r="M189" i="38" s="1"/>
  <c r="G192" i="40"/>
  <c r="H192" i="40" s="1"/>
  <c r="I192" i="40" s="1"/>
  <c r="AF186" i="38"/>
  <c r="AG186" i="38" s="1"/>
  <c r="Q190" i="40"/>
  <c r="R190" i="40" s="1"/>
  <c r="S190" i="40" s="1"/>
  <c r="AM14" i="40" s="1"/>
  <c r="N161" i="38"/>
  <c r="N159" i="38"/>
  <c r="N160" i="38"/>
  <c r="N158" i="38"/>
  <c r="N163" i="38"/>
  <c r="N164" i="38"/>
  <c r="N156" i="38"/>
  <c r="N155" i="38"/>
  <c r="X155" i="38" s="1"/>
  <c r="E295" i="38" s="1"/>
  <c r="C296" i="38"/>
  <c r="N162" i="38"/>
  <c r="AQ129" i="38"/>
  <c r="AR129" i="38"/>
  <c r="AH73" i="38"/>
  <c r="AH130" i="38" s="1"/>
  <c r="AI130" i="38" s="1"/>
  <c r="AJ130" i="38" s="1"/>
  <c r="AG242" i="38"/>
  <c r="AM186" i="38"/>
  <c r="AN186" i="38" s="1"/>
  <c r="AO186" i="38" s="1"/>
  <c r="L202" i="38" s="1"/>
  <c r="AI185" i="38"/>
  <c r="F293" i="38" s="1"/>
  <c r="M293" i="38" s="1"/>
  <c r="AM241" i="38"/>
  <c r="AS241" i="38" s="1"/>
  <c r="AL241" i="38"/>
  <c r="AR241" i="38" s="1"/>
  <c r="AK241" i="38"/>
  <c r="AQ241" i="38" s="1"/>
  <c r="C377" i="38"/>
  <c r="E318" i="38"/>
  <c r="AS129" i="38"/>
  <c r="AG131" i="38"/>
  <c r="AF74" i="38"/>
  <c r="W131" i="38"/>
  <c r="X131" i="38" s="1"/>
  <c r="Y131" i="38" s="1"/>
  <c r="Z131" i="38" s="1"/>
  <c r="W74" i="38"/>
  <c r="W243" i="38"/>
  <c r="X243" i="38" s="1"/>
  <c r="Y243" i="38" s="1"/>
  <c r="Z243" i="38" s="1"/>
  <c r="S130" i="38"/>
  <c r="R130" i="38"/>
  <c r="Q130" i="38"/>
  <c r="M244" i="38"/>
  <c r="N244" i="38" s="1"/>
  <c r="O244" i="38" s="1"/>
  <c r="P244" i="38" s="1"/>
  <c r="L74" i="38"/>
  <c r="M74" i="38" s="1"/>
  <c r="G171" i="40" s="1"/>
  <c r="H171" i="40" s="1"/>
  <c r="I171" i="40" s="1"/>
  <c r="O73" i="38"/>
  <c r="P73" i="38" s="1"/>
  <c r="Q73" i="38" s="1"/>
  <c r="N86" i="38"/>
  <c r="N88" i="38" s="1"/>
  <c r="AQ129" i="36"/>
  <c r="N86" i="36"/>
  <c r="N88" i="36" s="1"/>
  <c r="O85" i="36" s="1"/>
  <c r="AR129" i="36"/>
  <c r="AS129" i="36"/>
  <c r="E320" i="37"/>
  <c r="C296" i="36"/>
  <c r="M296" i="36" s="1"/>
  <c r="AG193" i="36"/>
  <c r="AH193" i="36" s="1"/>
  <c r="AH249" i="36" s="1"/>
  <c r="AI249" i="36" s="1"/>
  <c r="AJ249" i="36" s="1"/>
  <c r="O193" i="36"/>
  <c r="P193" i="36" s="1"/>
  <c r="Q193" i="36" s="1"/>
  <c r="X188" i="12"/>
  <c r="Y188" i="12" s="1"/>
  <c r="Z188" i="12" s="1"/>
  <c r="U74" i="12"/>
  <c r="V74" i="12" s="1"/>
  <c r="L21" i="40" s="1"/>
  <c r="M21" i="40" s="1"/>
  <c r="N21" i="40" s="1"/>
  <c r="X73" i="12"/>
  <c r="Y73" i="12" s="1"/>
  <c r="Z73" i="12" s="1"/>
  <c r="N272" i="37"/>
  <c r="N270" i="37"/>
  <c r="X270" i="37" s="1"/>
  <c r="H295" i="37" s="1"/>
  <c r="N277" i="37"/>
  <c r="N274" i="37"/>
  <c r="AS244" i="37"/>
  <c r="N278" i="37"/>
  <c r="N279" i="37"/>
  <c r="N271" i="37"/>
  <c r="N273" i="37"/>
  <c r="N275" i="37"/>
  <c r="AH73" i="37"/>
  <c r="AH130" i="37" s="1"/>
  <c r="AI130" i="37" s="1"/>
  <c r="AJ130" i="37" s="1"/>
  <c r="AG131" i="37"/>
  <c r="AF74" i="37"/>
  <c r="AH73" i="36"/>
  <c r="AH130" i="36" s="1"/>
  <c r="AI130" i="36" s="1"/>
  <c r="AJ130" i="36" s="1"/>
  <c r="N159" i="36"/>
  <c r="AG131" i="36"/>
  <c r="AF74" i="36"/>
  <c r="N160" i="36"/>
  <c r="AD74" i="12"/>
  <c r="AE74" i="12" s="1"/>
  <c r="Q21" i="40" s="1"/>
  <c r="R21" i="40" s="1"/>
  <c r="S21" i="40" s="1"/>
  <c r="AG73" i="12"/>
  <c r="AH73" i="12" s="1"/>
  <c r="AH130" i="12" s="1"/>
  <c r="AI130" i="12" s="1"/>
  <c r="AJ130" i="12" s="1"/>
  <c r="AK130" i="12" s="1"/>
  <c r="N162" i="36"/>
  <c r="N158" i="36"/>
  <c r="N163" i="36"/>
  <c r="N156" i="36"/>
  <c r="N155" i="36"/>
  <c r="X155" i="36" s="1"/>
  <c r="E295" i="36" s="1"/>
  <c r="N164" i="36"/>
  <c r="N157" i="36"/>
  <c r="AQ244" i="37"/>
  <c r="AR244" i="37"/>
  <c r="X189" i="37"/>
  <c r="Y189" i="37" s="1"/>
  <c r="Z189" i="37" s="1"/>
  <c r="Q131" i="37"/>
  <c r="R131" i="37"/>
  <c r="S131" i="37"/>
  <c r="V74" i="36"/>
  <c r="L71" i="40" s="1"/>
  <c r="M71" i="40" s="1"/>
  <c r="N71" i="40" s="1"/>
  <c r="X73" i="36"/>
  <c r="Y73" i="36" s="1"/>
  <c r="Z73" i="36" s="1"/>
  <c r="M74" i="36"/>
  <c r="G71" i="40" s="1"/>
  <c r="H71" i="40" s="1"/>
  <c r="I71" i="40" s="1"/>
  <c r="O73" i="36"/>
  <c r="P73" i="36" s="1"/>
  <c r="Q73" i="36" s="1"/>
  <c r="AA130" i="36"/>
  <c r="AB130" i="36"/>
  <c r="AC130" i="36"/>
  <c r="Q130" i="36"/>
  <c r="R130" i="36"/>
  <c r="S130" i="36"/>
  <c r="O74" i="37"/>
  <c r="P74" i="37" s="1"/>
  <c r="Q74" i="37" s="1"/>
  <c r="M75" i="37"/>
  <c r="G122" i="40" s="1"/>
  <c r="H122" i="40" s="1"/>
  <c r="I122" i="40" s="1"/>
  <c r="X74" i="37"/>
  <c r="Y74" i="37" s="1"/>
  <c r="Z74" i="37" s="1"/>
  <c r="V75" i="37"/>
  <c r="L122" i="40" s="1"/>
  <c r="M122" i="40" s="1"/>
  <c r="N122" i="40" s="1"/>
  <c r="AA131" i="37"/>
  <c r="AB131" i="37"/>
  <c r="AC131" i="37"/>
  <c r="AI190" i="37"/>
  <c r="AL246" i="37"/>
  <c r="AK246" i="37"/>
  <c r="AM246" i="37"/>
  <c r="L144" i="40"/>
  <c r="M144" i="40" s="1"/>
  <c r="N144" i="40" s="1"/>
  <c r="X245" i="37"/>
  <c r="Y245" i="37" s="1"/>
  <c r="Z245" i="37" s="1"/>
  <c r="AB130" i="12"/>
  <c r="AA130" i="12"/>
  <c r="AC130" i="12"/>
  <c r="R249" i="36"/>
  <c r="Q249" i="36"/>
  <c r="S249" i="36"/>
  <c r="L211" i="12"/>
  <c r="L220" i="12"/>
  <c r="L227" i="12"/>
  <c r="L208" i="12"/>
  <c r="L219" i="12"/>
  <c r="L214" i="12"/>
  <c r="L221" i="12"/>
  <c r="L204" i="12"/>
  <c r="M201" i="12" s="1"/>
  <c r="L226" i="12"/>
  <c r="L225" i="12"/>
  <c r="L209" i="12"/>
  <c r="L213" i="12"/>
  <c r="L218" i="12"/>
  <c r="L210" i="12"/>
  <c r="L212" i="12"/>
  <c r="L224" i="12"/>
  <c r="L215" i="12"/>
  <c r="L222" i="12"/>
  <c r="L216" i="12"/>
  <c r="L203" i="12"/>
  <c r="L223" i="12"/>
  <c r="M89" i="37"/>
  <c r="E405" i="36"/>
  <c r="G405" i="36" s="1"/>
  <c r="E428" i="36"/>
  <c r="G428" i="36" s="1"/>
  <c r="D405" i="38"/>
  <c r="F405" i="38" s="1"/>
  <c r="D428" i="38"/>
  <c r="F428" i="38" s="1"/>
  <c r="D405" i="36"/>
  <c r="F405" i="36" s="1"/>
  <c r="D428" i="36"/>
  <c r="F428" i="36" s="1"/>
  <c r="B380" i="37"/>
  <c r="G68" i="31" s="1"/>
  <c r="N205" i="37"/>
  <c r="AO72" i="37"/>
  <c r="N160" i="37"/>
  <c r="N159" i="37"/>
  <c r="N157" i="37"/>
  <c r="N162" i="37"/>
  <c r="N156" i="37"/>
  <c r="N158" i="37"/>
  <c r="N164" i="37"/>
  <c r="N163" i="37"/>
  <c r="N161" i="37"/>
  <c r="N155" i="37"/>
  <c r="X155" i="37" s="1"/>
  <c r="E295" i="37" s="1"/>
  <c r="C130" i="38"/>
  <c r="D130" i="38" s="1"/>
  <c r="E130" i="38" s="1"/>
  <c r="F130" i="38" s="1"/>
  <c r="AM73" i="38"/>
  <c r="AN73" i="38" s="1"/>
  <c r="E73" i="38"/>
  <c r="C74" i="38" s="1"/>
  <c r="AS72" i="37"/>
  <c r="F72" i="37"/>
  <c r="G72" i="37" s="1"/>
  <c r="H72" i="37" s="1"/>
  <c r="D73" i="37"/>
  <c r="B120" i="40" s="1"/>
  <c r="C120" i="40" s="1"/>
  <c r="D120" i="40" s="1"/>
  <c r="I129" i="37"/>
  <c r="AS129" i="37" s="1"/>
  <c r="G129" i="37"/>
  <c r="AQ129" i="37" s="1"/>
  <c r="H129" i="37"/>
  <c r="AR129" i="37" s="1"/>
  <c r="Q98" i="40"/>
  <c r="R98" i="40" s="1"/>
  <c r="S98" i="40" s="1"/>
  <c r="G98" i="40"/>
  <c r="H98" i="40" s="1"/>
  <c r="I98" i="40" s="1"/>
  <c r="M75" i="12"/>
  <c r="O74" i="12"/>
  <c r="P74" i="12" s="1"/>
  <c r="Q74" i="12" s="1"/>
  <c r="N131" i="12"/>
  <c r="O131" i="12" s="1"/>
  <c r="P131" i="12" s="1"/>
  <c r="B196" i="40"/>
  <c r="C196" i="40" s="1"/>
  <c r="D196" i="40" s="1"/>
  <c r="F191" i="38"/>
  <c r="G191" i="38" s="1"/>
  <c r="H191" i="38" s="1"/>
  <c r="G247" i="38"/>
  <c r="I247" i="38"/>
  <c r="H247" i="38"/>
  <c r="C245" i="37"/>
  <c r="D245" i="37" s="1"/>
  <c r="E245" i="37" s="1"/>
  <c r="F245" i="37" s="1"/>
  <c r="F189" i="37"/>
  <c r="G189" i="37" s="1"/>
  <c r="H189" i="37" s="1"/>
  <c r="B144" i="40"/>
  <c r="C144" i="40" s="1"/>
  <c r="D144" i="40" s="1"/>
  <c r="N275" i="36"/>
  <c r="N272" i="36"/>
  <c r="N273" i="36"/>
  <c r="N271" i="36"/>
  <c r="N274" i="36"/>
  <c r="N276" i="36"/>
  <c r="N270" i="36"/>
  <c r="X270" i="36" s="1"/>
  <c r="H295" i="36" s="1"/>
  <c r="N279" i="36"/>
  <c r="N278" i="36"/>
  <c r="N277" i="36"/>
  <c r="AM73" i="36"/>
  <c r="AN73" i="36" s="1"/>
  <c r="C130" i="36"/>
  <c r="D130" i="36" s="1"/>
  <c r="E130" i="36" s="1"/>
  <c r="F130" i="36" s="1"/>
  <c r="E73" i="36"/>
  <c r="AT244" i="36"/>
  <c r="C271" i="36" s="1"/>
  <c r="AU244" i="36"/>
  <c r="N257" i="36" s="1"/>
  <c r="N204" i="36"/>
  <c r="AH246" i="12"/>
  <c r="AI246" i="12" s="1"/>
  <c r="AJ246" i="12" s="1"/>
  <c r="S246" i="12"/>
  <c r="R246" i="12"/>
  <c r="AI190" i="12"/>
  <c r="AG191" i="12"/>
  <c r="H242" i="12"/>
  <c r="AR242" i="12" s="1"/>
  <c r="I242" i="12"/>
  <c r="AS242" i="12" s="1"/>
  <c r="L274" i="12"/>
  <c r="L275" i="12"/>
  <c r="L268" i="12"/>
  <c r="X268" i="12" s="1"/>
  <c r="H293" i="12" s="1"/>
  <c r="L278" i="12"/>
  <c r="L269" i="12"/>
  <c r="L279" i="12"/>
  <c r="L270" i="12"/>
  <c r="L277" i="12"/>
  <c r="L271" i="12"/>
  <c r="L272" i="12"/>
  <c r="L273" i="12"/>
  <c r="L276" i="12"/>
  <c r="AE398" i="4"/>
  <c r="Y398" i="4"/>
  <c r="X398" i="4"/>
  <c r="V399" i="4" s="1"/>
  <c r="R736" i="4"/>
  <c r="P737" i="4" s="1"/>
  <c r="S737" i="4" s="1"/>
  <c r="AJ397" i="4"/>
  <c r="AH398" i="4" s="1"/>
  <c r="AK398" i="4" s="1"/>
  <c r="AD398" i="4"/>
  <c r="AB399" i="4" s="1"/>
  <c r="AE399" i="4"/>
  <c r="F790" i="4"/>
  <c r="D791" i="4" s="1"/>
  <c r="G791" i="4" s="1"/>
  <c r="F841" i="4"/>
  <c r="D842" i="4" s="1"/>
  <c r="G842" i="4" s="1"/>
  <c r="AD274" i="4"/>
  <c r="AB275" i="4" s="1"/>
  <c r="AE275" i="4" s="1"/>
  <c r="AS187" i="12" l="1"/>
  <c r="E404" i="12" s="1"/>
  <c r="G404" i="12" s="1"/>
  <c r="AG191" i="37"/>
  <c r="AH191" i="37" s="1"/>
  <c r="AH247" i="37" s="1"/>
  <c r="AI247" i="37" s="1"/>
  <c r="AJ247" i="37" s="1"/>
  <c r="C188" i="12"/>
  <c r="D188" i="12" s="1"/>
  <c r="B42" i="40" s="1"/>
  <c r="C42" i="40" s="1"/>
  <c r="D42" i="40" s="1"/>
  <c r="O191" i="12"/>
  <c r="P191" i="12" s="1"/>
  <c r="Q191" i="12" s="1"/>
  <c r="AG248" i="37"/>
  <c r="AF192" i="37"/>
  <c r="AD193" i="37" s="1"/>
  <c r="AE193" i="37" s="1"/>
  <c r="Q147" i="40" s="1"/>
  <c r="R147" i="40" s="1"/>
  <c r="S147" i="40" s="1"/>
  <c r="AM189" i="37"/>
  <c r="AN189" i="37" s="1"/>
  <c r="AO189" i="37" s="1"/>
  <c r="O202" i="37" s="1"/>
  <c r="M245" i="37"/>
  <c r="N245" i="37" s="1"/>
  <c r="O245" i="37" s="1"/>
  <c r="P245" i="37" s="1"/>
  <c r="S245" i="37" s="1"/>
  <c r="N189" i="37"/>
  <c r="AS189" i="37" s="1"/>
  <c r="E406" i="37" s="1"/>
  <c r="G406" i="37" s="1"/>
  <c r="U194" i="36"/>
  <c r="X193" i="36"/>
  <c r="Y193" i="36" s="1"/>
  <c r="Z193" i="36" s="1"/>
  <c r="M202" i="12"/>
  <c r="M213" i="12" s="1"/>
  <c r="AD187" i="38"/>
  <c r="X187" i="38"/>
  <c r="Y187" i="38" s="1"/>
  <c r="Z187" i="38" s="1"/>
  <c r="AS186" i="38"/>
  <c r="E426" i="38" s="1"/>
  <c r="G426" i="38" s="1"/>
  <c r="W245" i="12"/>
  <c r="X245" i="12" s="1"/>
  <c r="Y245" i="12" s="1"/>
  <c r="Z245" i="12" s="1"/>
  <c r="AA245" i="12" s="1"/>
  <c r="L43" i="40"/>
  <c r="M43" i="40" s="1"/>
  <c r="N43" i="40" s="1"/>
  <c r="AG248" i="12"/>
  <c r="Q46" i="40"/>
  <c r="R46" i="40" s="1"/>
  <c r="S46" i="40" s="1"/>
  <c r="M248" i="12"/>
  <c r="G46" i="40"/>
  <c r="H46" i="40" s="1"/>
  <c r="I46" i="40" s="1"/>
  <c r="M132" i="12"/>
  <c r="G22" i="40"/>
  <c r="H22" i="40" s="1"/>
  <c r="I22" i="40" s="1"/>
  <c r="O188" i="38"/>
  <c r="P188" i="38" s="1"/>
  <c r="Q188" i="38" s="1"/>
  <c r="N106" i="36"/>
  <c r="AU129" i="38"/>
  <c r="N142" i="38" s="1"/>
  <c r="O164" i="38" s="1"/>
  <c r="AI73" i="38"/>
  <c r="AT129" i="38"/>
  <c r="C156" i="38" s="1"/>
  <c r="AT241" i="38"/>
  <c r="C268" i="38" s="1"/>
  <c r="AU241" i="38"/>
  <c r="K257" i="38" s="1"/>
  <c r="AH186" i="38"/>
  <c r="AH242" i="38" s="1"/>
  <c r="AI242" i="38" s="1"/>
  <c r="AJ242" i="38" s="1"/>
  <c r="AD75" i="38"/>
  <c r="AE75" i="38" s="1"/>
  <c r="Q172" i="40" s="1"/>
  <c r="R172" i="40" s="1"/>
  <c r="S172" i="40" s="1"/>
  <c r="AG74" i="38"/>
  <c r="C319" i="38"/>
  <c r="B378" i="38"/>
  <c r="G93" i="31" s="1"/>
  <c r="L208" i="38"/>
  <c r="L222" i="38"/>
  <c r="L204" i="38"/>
  <c r="M201" i="38" s="1"/>
  <c r="L212" i="38"/>
  <c r="L209" i="38"/>
  <c r="L203" i="38"/>
  <c r="L218" i="38"/>
  <c r="L213" i="38"/>
  <c r="L224" i="38"/>
  <c r="L210" i="38"/>
  <c r="L217" i="38"/>
  <c r="L214" i="38"/>
  <c r="L211" i="38"/>
  <c r="L216" i="38"/>
  <c r="L220" i="38"/>
  <c r="L225" i="38"/>
  <c r="L223" i="38"/>
  <c r="L215" i="38"/>
  <c r="L226" i="38"/>
  <c r="L219" i="38"/>
  <c r="L221" i="38"/>
  <c r="L227" i="38"/>
  <c r="AL130" i="38"/>
  <c r="AK130" i="38"/>
  <c r="AM130" i="38"/>
  <c r="N111" i="36"/>
  <c r="N94" i="36"/>
  <c r="N110" i="36"/>
  <c r="N100" i="36"/>
  <c r="N105" i="36"/>
  <c r="N108" i="36"/>
  <c r="N101" i="36"/>
  <c r="N103" i="36"/>
  <c r="N87" i="36"/>
  <c r="N89" i="36" s="1"/>
  <c r="AA243" i="38"/>
  <c r="AB243" i="38"/>
  <c r="AC243" i="38"/>
  <c r="U75" i="38"/>
  <c r="V75" i="38" s="1"/>
  <c r="L172" i="40" s="1"/>
  <c r="M172" i="40" s="1"/>
  <c r="N172" i="40" s="1"/>
  <c r="X74" i="38"/>
  <c r="Y74" i="38" s="1"/>
  <c r="Z74" i="38" s="1"/>
  <c r="AB131" i="38"/>
  <c r="AA131" i="38"/>
  <c r="AC131" i="38"/>
  <c r="M131" i="38"/>
  <c r="N131" i="38" s="1"/>
  <c r="O131" i="38" s="1"/>
  <c r="P131" i="38" s="1"/>
  <c r="N74" i="38"/>
  <c r="R244" i="38"/>
  <c r="S244" i="38"/>
  <c r="Q244" i="38"/>
  <c r="N107" i="36"/>
  <c r="N99" i="36"/>
  <c r="N95" i="36"/>
  <c r="N109" i="36"/>
  <c r="N93" i="36"/>
  <c r="N96" i="36"/>
  <c r="N98" i="36"/>
  <c r="N92" i="36"/>
  <c r="N104" i="36"/>
  <c r="N97" i="36"/>
  <c r="N102" i="36"/>
  <c r="AU129" i="36"/>
  <c r="N142" i="36" s="1"/>
  <c r="O156" i="36" s="1"/>
  <c r="AT129" i="36"/>
  <c r="C156" i="36" s="1"/>
  <c r="N86" i="37"/>
  <c r="N88" i="37" s="1"/>
  <c r="O85" i="37" s="1"/>
  <c r="AM130" i="12"/>
  <c r="AL130" i="12"/>
  <c r="AM130" i="36"/>
  <c r="AL130" i="36"/>
  <c r="AK130" i="36"/>
  <c r="AI73" i="36"/>
  <c r="AU244" i="37"/>
  <c r="N257" i="37" s="1"/>
  <c r="O279" i="37" s="1"/>
  <c r="AM130" i="37"/>
  <c r="AL130" i="37"/>
  <c r="AK130" i="37"/>
  <c r="N295" i="37"/>
  <c r="E321" i="37" s="1"/>
  <c r="W131" i="12"/>
  <c r="X131" i="12" s="1"/>
  <c r="Y131" i="12" s="1"/>
  <c r="Z131" i="12" s="1"/>
  <c r="W74" i="12"/>
  <c r="AI73" i="12"/>
  <c r="AT244" i="37"/>
  <c r="C271" i="37" s="1"/>
  <c r="AI73" i="37"/>
  <c r="AD75" i="37"/>
  <c r="AE75" i="37" s="1"/>
  <c r="Q122" i="40" s="1"/>
  <c r="R122" i="40" s="1"/>
  <c r="S122" i="40" s="1"/>
  <c r="AG74" i="37"/>
  <c r="AD75" i="36"/>
  <c r="AE75" i="36" s="1"/>
  <c r="Q72" i="40" s="1"/>
  <c r="R72" i="40" s="1"/>
  <c r="S72" i="40" s="1"/>
  <c r="AG74" i="36"/>
  <c r="C74" i="36"/>
  <c r="D74" i="36" s="1"/>
  <c r="B71" i="40" s="1"/>
  <c r="C71" i="40" s="1"/>
  <c r="D71" i="40" s="1"/>
  <c r="AG131" i="12"/>
  <c r="AF74" i="12"/>
  <c r="N295" i="36"/>
  <c r="W189" i="12"/>
  <c r="W131" i="36"/>
  <c r="X131" i="36" s="1"/>
  <c r="Y131" i="36" s="1"/>
  <c r="Z131" i="36" s="1"/>
  <c r="W74" i="36"/>
  <c r="U75" i="36" s="1"/>
  <c r="AF194" i="36"/>
  <c r="AD195" i="36" s="1"/>
  <c r="AE195" i="36" s="1"/>
  <c r="AG250" i="36"/>
  <c r="W190" i="37"/>
  <c r="U191" i="37" s="1"/>
  <c r="V191" i="37" s="1"/>
  <c r="W246" i="37"/>
  <c r="M131" i="36"/>
  <c r="N131" i="36" s="1"/>
  <c r="O131" i="36" s="1"/>
  <c r="P131" i="36" s="1"/>
  <c r="N74" i="36"/>
  <c r="L75" i="36" s="1"/>
  <c r="M132" i="37"/>
  <c r="N132" i="37" s="1"/>
  <c r="O132" i="37" s="1"/>
  <c r="P132" i="37" s="1"/>
  <c r="N75" i="37"/>
  <c r="L76" i="37" s="1"/>
  <c r="N194" i="36"/>
  <c r="L195" i="36" s="1"/>
  <c r="M195" i="36" s="1"/>
  <c r="M250" i="36"/>
  <c r="N250" i="36" s="1"/>
  <c r="O250" i="36" s="1"/>
  <c r="P250" i="36" s="1"/>
  <c r="W132" i="37"/>
  <c r="X132" i="37" s="1"/>
  <c r="Y132" i="37" s="1"/>
  <c r="Z132" i="37" s="1"/>
  <c r="W75" i="37"/>
  <c r="U76" i="37" s="1"/>
  <c r="AK247" i="37"/>
  <c r="AL247" i="37"/>
  <c r="AM247" i="37"/>
  <c r="AC245" i="37"/>
  <c r="AA245" i="37"/>
  <c r="AB245" i="37"/>
  <c r="AC250" i="36"/>
  <c r="AA250" i="36"/>
  <c r="AB250" i="36"/>
  <c r="AL249" i="36"/>
  <c r="AK249" i="36"/>
  <c r="AM249" i="36"/>
  <c r="R131" i="12"/>
  <c r="Q131" i="12"/>
  <c r="S131" i="12"/>
  <c r="L205" i="12"/>
  <c r="E427" i="12"/>
  <c r="G427" i="12" s="1"/>
  <c r="D405" i="37"/>
  <c r="F405" i="37" s="1"/>
  <c r="D428" i="37"/>
  <c r="F428" i="37" s="1"/>
  <c r="O85" i="38"/>
  <c r="N106" i="38"/>
  <c r="N111" i="38"/>
  <c r="N107" i="38"/>
  <c r="N103" i="38"/>
  <c r="N105" i="38"/>
  <c r="N104" i="38"/>
  <c r="N108" i="38"/>
  <c r="N95" i="38"/>
  <c r="N93" i="38"/>
  <c r="N97" i="38"/>
  <c r="N94" i="38"/>
  <c r="N98" i="38"/>
  <c r="N101" i="38"/>
  <c r="N102" i="38"/>
  <c r="N100" i="38"/>
  <c r="N110" i="38"/>
  <c r="N109" i="38"/>
  <c r="N96" i="38"/>
  <c r="N92" i="38"/>
  <c r="N87" i="38"/>
  <c r="N89" i="38" s="1"/>
  <c r="N99" i="38"/>
  <c r="AO73" i="36"/>
  <c r="AO73" i="38"/>
  <c r="C296" i="37"/>
  <c r="AT129" i="37"/>
  <c r="C156" i="37" s="1"/>
  <c r="AU129" i="37"/>
  <c r="N142" i="37" s="1"/>
  <c r="AS73" i="38"/>
  <c r="D74" i="38"/>
  <c r="B171" i="40" s="1"/>
  <c r="C171" i="40" s="1"/>
  <c r="D171" i="40" s="1"/>
  <c r="F73" i="38"/>
  <c r="G73" i="38" s="1"/>
  <c r="H73" i="38" s="1"/>
  <c r="C130" i="37"/>
  <c r="D130" i="37" s="1"/>
  <c r="E130" i="37" s="1"/>
  <c r="F130" i="37" s="1"/>
  <c r="AM73" i="37"/>
  <c r="AN73" i="37" s="1"/>
  <c r="E73" i="37"/>
  <c r="C74" i="37" s="1"/>
  <c r="H130" i="38"/>
  <c r="I130" i="38"/>
  <c r="G130" i="38"/>
  <c r="AI193" i="36"/>
  <c r="N75" i="12"/>
  <c r="L76" i="12" s="1"/>
  <c r="E192" i="38"/>
  <c r="C193" i="38" s="1"/>
  <c r="D193" i="38" s="1"/>
  <c r="C248" i="38"/>
  <c r="D248" i="38" s="1"/>
  <c r="E248" i="38" s="1"/>
  <c r="F248" i="38" s="1"/>
  <c r="E190" i="37"/>
  <c r="C191" i="37" s="1"/>
  <c r="D191" i="37" s="1"/>
  <c r="C246" i="37"/>
  <c r="D246" i="37" s="1"/>
  <c r="E246" i="37" s="1"/>
  <c r="F246" i="37" s="1"/>
  <c r="G245" i="37"/>
  <c r="I245" i="37"/>
  <c r="H245" i="37"/>
  <c r="C322" i="36"/>
  <c r="B381" i="36"/>
  <c r="G42" i="31" s="1"/>
  <c r="O201" i="36"/>
  <c r="N220" i="36"/>
  <c r="N223" i="36"/>
  <c r="N225" i="36"/>
  <c r="N214" i="36"/>
  <c r="N208" i="36"/>
  <c r="N219" i="36"/>
  <c r="N203" i="36"/>
  <c r="N205" i="36" s="1"/>
  <c r="N209" i="36"/>
  <c r="N212" i="36"/>
  <c r="N218" i="36"/>
  <c r="N215" i="36"/>
  <c r="N226" i="36"/>
  <c r="N210" i="36"/>
  <c r="N217" i="36"/>
  <c r="N211" i="36"/>
  <c r="N222" i="36"/>
  <c r="N227" i="36"/>
  <c r="N213" i="36"/>
  <c r="N221" i="36"/>
  <c r="N216" i="36"/>
  <c r="N224" i="36"/>
  <c r="I130" i="36"/>
  <c r="H130" i="36"/>
  <c r="G130" i="36"/>
  <c r="O275" i="36"/>
  <c r="O273" i="36"/>
  <c r="O279" i="36"/>
  <c r="O278" i="36"/>
  <c r="O276" i="36"/>
  <c r="O272" i="36"/>
  <c r="O277" i="36"/>
  <c r="O271" i="36"/>
  <c r="X271" i="36" s="1"/>
  <c r="H296" i="36" s="1"/>
  <c r="O274" i="36"/>
  <c r="AM189" i="36"/>
  <c r="AN189" i="36" s="1"/>
  <c r="C245" i="36"/>
  <c r="D245" i="36" s="1"/>
  <c r="E245" i="36" s="1"/>
  <c r="F245" i="36" s="1"/>
  <c r="E189" i="36"/>
  <c r="C190" i="36" s="1"/>
  <c r="D190" i="36" s="1"/>
  <c r="F73" i="36"/>
  <c r="G73" i="36" s="1"/>
  <c r="H73" i="36" s="1"/>
  <c r="AS73" i="36"/>
  <c r="AM246" i="12"/>
  <c r="AL246" i="12"/>
  <c r="AK246" i="12"/>
  <c r="N247" i="12"/>
  <c r="O247" i="12" s="1"/>
  <c r="P247" i="12" s="1"/>
  <c r="S247" i="12" s="1"/>
  <c r="AF192" i="12"/>
  <c r="AD193" i="12" s="1"/>
  <c r="AE193" i="12" s="1"/>
  <c r="AH191" i="12"/>
  <c r="N192" i="12"/>
  <c r="L193" i="12" s="1"/>
  <c r="M193" i="12" s="1"/>
  <c r="AT242" i="12"/>
  <c r="C269" i="12" s="1"/>
  <c r="AU242" i="12"/>
  <c r="L257" i="12" s="1"/>
  <c r="M276" i="12" s="1"/>
  <c r="F243" i="12"/>
  <c r="Y399" i="4"/>
  <c r="X399" i="4"/>
  <c r="Y400" i="4" s="1"/>
  <c r="AD399" i="4"/>
  <c r="AE400" i="4" s="1"/>
  <c r="AJ398" i="4"/>
  <c r="AH399" i="4" s="1"/>
  <c r="AK399" i="4" s="1"/>
  <c r="R737" i="4"/>
  <c r="P738" i="4" s="1"/>
  <c r="S738" i="4" s="1"/>
  <c r="F791" i="4"/>
  <c r="D792" i="4" s="1"/>
  <c r="G792" i="4" s="1"/>
  <c r="F842" i="4"/>
  <c r="D843" i="4" s="1"/>
  <c r="G843" i="4" s="1"/>
  <c r="AD275" i="4"/>
  <c r="AB276" i="4" s="1"/>
  <c r="AE276" i="4" s="1"/>
  <c r="R245" i="37" l="1"/>
  <c r="Q245" i="37"/>
  <c r="AQ245" i="37" s="1"/>
  <c r="AI191" i="37"/>
  <c r="AG192" i="37"/>
  <c r="AH192" i="37" s="1"/>
  <c r="AH248" i="37" s="1"/>
  <c r="AI248" i="37" s="1"/>
  <c r="AJ248" i="37" s="1"/>
  <c r="C244" i="12"/>
  <c r="D244" i="12" s="1"/>
  <c r="E244" i="12" s="1"/>
  <c r="AF193" i="37"/>
  <c r="AD194" i="37" s="1"/>
  <c r="AE194" i="37" s="1"/>
  <c r="Q148" i="40" s="1"/>
  <c r="R148" i="40" s="1"/>
  <c r="S148" i="40" s="1"/>
  <c r="E188" i="12"/>
  <c r="F188" i="12" s="1"/>
  <c r="G188" i="12" s="1"/>
  <c r="H188" i="12" s="1"/>
  <c r="F296" i="12" s="1"/>
  <c r="E429" i="37"/>
  <c r="G429" i="37" s="1"/>
  <c r="O189" i="37"/>
  <c r="P189" i="37" s="1"/>
  <c r="Q189" i="37" s="1"/>
  <c r="F297" i="37" s="1"/>
  <c r="L190" i="37"/>
  <c r="M190" i="37" s="1"/>
  <c r="AM190" i="37" s="1"/>
  <c r="AN190" i="37" s="1"/>
  <c r="AO190" i="37" s="1"/>
  <c r="AE187" i="38"/>
  <c r="Q191" i="40" s="1"/>
  <c r="R191" i="40" s="1"/>
  <c r="S191" i="40" s="1"/>
  <c r="AM15" i="40" s="1"/>
  <c r="AG249" i="37"/>
  <c r="AM188" i="12"/>
  <c r="AN188" i="12" s="1"/>
  <c r="AO188" i="12" s="1"/>
  <c r="V194" i="36"/>
  <c r="W250" i="36" s="1"/>
  <c r="X250" i="36" s="1"/>
  <c r="Y250" i="36" s="1"/>
  <c r="Z250" i="36" s="1"/>
  <c r="AC245" i="12"/>
  <c r="AB245" i="12"/>
  <c r="E403" i="38"/>
  <c r="G403" i="38" s="1"/>
  <c r="W188" i="38"/>
  <c r="U189" i="38" s="1"/>
  <c r="V189" i="38" s="1"/>
  <c r="L192" i="40"/>
  <c r="M192" i="40" s="1"/>
  <c r="N192" i="40" s="1"/>
  <c r="N189" i="38"/>
  <c r="L190" i="38" s="1"/>
  <c r="M190" i="38" s="1"/>
  <c r="G193" i="40"/>
  <c r="H193" i="40" s="1"/>
  <c r="I193" i="40" s="1"/>
  <c r="O156" i="38"/>
  <c r="X156" i="38" s="1"/>
  <c r="E296" i="38" s="1"/>
  <c r="O163" i="38"/>
  <c r="O157" i="38"/>
  <c r="O160" i="38"/>
  <c r="O158" i="38"/>
  <c r="O162" i="38"/>
  <c r="O161" i="38"/>
  <c r="O159" i="38"/>
  <c r="C297" i="38"/>
  <c r="AQ130" i="38"/>
  <c r="AR130" i="38"/>
  <c r="AS130" i="38"/>
  <c r="AI186" i="38"/>
  <c r="F294" i="38" s="1"/>
  <c r="M294" i="38" s="1"/>
  <c r="C320" i="38" s="1"/>
  <c r="L205" i="38"/>
  <c r="AK242" i="38"/>
  <c r="AQ242" i="38" s="1"/>
  <c r="AM242" i="38"/>
  <c r="AS242" i="38" s="1"/>
  <c r="AL242" i="38"/>
  <c r="AR242" i="38" s="1"/>
  <c r="L269" i="38"/>
  <c r="L278" i="38"/>
  <c r="L274" i="38"/>
  <c r="L271" i="38"/>
  <c r="L279" i="38"/>
  <c r="L273" i="38"/>
  <c r="L277" i="38"/>
  <c r="L268" i="38"/>
  <c r="X268" i="38" s="1"/>
  <c r="H293" i="38" s="1"/>
  <c r="N293" i="38" s="1"/>
  <c r="L272" i="38"/>
  <c r="L276" i="38"/>
  <c r="L270" i="38"/>
  <c r="L275" i="38"/>
  <c r="AH74" i="38"/>
  <c r="AH131" i="38" s="1"/>
  <c r="AI131" i="38" s="1"/>
  <c r="AJ131" i="38" s="1"/>
  <c r="AG132" i="38"/>
  <c r="AF75" i="38"/>
  <c r="W75" i="38"/>
  <c r="W132" i="38"/>
  <c r="X132" i="38" s="1"/>
  <c r="Y132" i="38" s="1"/>
  <c r="Z132" i="38" s="1"/>
  <c r="W244" i="38"/>
  <c r="X244" i="38" s="1"/>
  <c r="Y244" i="38" s="1"/>
  <c r="Z244" i="38" s="1"/>
  <c r="L75" i="38"/>
  <c r="M75" i="38" s="1"/>
  <c r="G172" i="40" s="1"/>
  <c r="H172" i="40" s="1"/>
  <c r="I172" i="40" s="1"/>
  <c r="O74" i="38"/>
  <c r="P74" i="38" s="1"/>
  <c r="Q74" i="38" s="1"/>
  <c r="M245" i="38"/>
  <c r="N245" i="38" s="1"/>
  <c r="O245" i="38" s="1"/>
  <c r="P245" i="38" s="1"/>
  <c r="R131" i="38"/>
  <c r="Q131" i="38"/>
  <c r="S131" i="38"/>
  <c r="O157" i="36"/>
  <c r="O164" i="36"/>
  <c r="O162" i="36"/>
  <c r="O160" i="36"/>
  <c r="O163" i="36"/>
  <c r="X156" i="36"/>
  <c r="E296" i="36" s="1"/>
  <c r="N296" i="36" s="1"/>
  <c r="O158" i="36"/>
  <c r="O159" i="36"/>
  <c r="O161" i="36"/>
  <c r="N108" i="37"/>
  <c r="N99" i="37"/>
  <c r="N87" i="37"/>
  <c r="N89" i="37" s="1"/>
  <c r="N96" i="37"/>
  <c r="N105" i="37"/>
  <c r="N95" i="37"/>
  <c r="N111" i="37"/>
  <c r="N97" i="37"/>
  <c r="N100" i="37"/>
  <c r="N106" i="37"/>
  <c r="N109" i="37"/>
  <c r="N92" i="37"/>
  <c r="N101" i="37"/>
  <c r="N98" i="37"/>
  <c r="N107" i="37"/>
  <c r="N103" i="37"/>
  <c r="N102" i="37"/>
  <c r="N104" i="37"/>
  <c r="AS130" i="36"/>
  <c r="N94" i="37"/>
  <c r="N110" i="37"/>
  <c r="N93" i="37"/>
  <c r="AQ130" i="36"/>
  <c r="O86" i="38"/>
  <c r="O88" i="38" s="1"/>
  <c r="O86" i="36"/>
  <c r="O88" i="36" s="1"/>
  <c r="P85" i="36" s="1"/>
  <c r="AR130" i="36"/>
  <c r="C297" i="36"/>
  <c r="O276" i="37"/>
  <c r="O277" i="37"/>
  <c r="O278" i="37"/>
  <c r="O274" i="37"/>
  <c r="C380" i="37"/>
  <c r="AG194" i="36"/>
  <c r="AH194" i="36" s="1"/>
  <c r="AH250" i="36" s="1"/>
  <c r="AI250" i="36" s="1"/>
  <c r="AJ250" i="36" s="1"/>
  <c r="O272" i="37"/>
  <c r="O275" i="37"/>
  <c r="O273" i="37"/>
  <c r="O271" i="37"/>
  <c r="X271" i="37" s="1"/>
  <c r="H296" i="37" s="1"/>
  <c r="U75" i="12"/>
  <c r="V75" i="12" s="1"/>
  <c r="L22" i="40" s="1"/>
  <c r="M22" i="40" s="1"/>
  <c r="N22" i="40" s="1"/>
  <c r="X74" i="12"/>
  <c r="Y74" i="12" s="1"/>
  <c r="Z74" i="12" s="1"/>
  <c r="AH74" i="37"/>
  <c r="AH131" i="37" s="1"/>
  <c r="AI131" i="37" s="1"/>
  <c r="AJ131" i="37" s="1"/>
  <c r="AG132" i="37"/>
  <c r="AF75" i="37"/>
  <c r="AH74" i="36"/>
  <c r="AH131" i="36" s="1"/>
  <c r="AI131" i="36" s="1"/>
  <c r="AJ131" i="36" s="1"/>
  <c r="AG132" i="36"/>
  <c r="AF75" i="36"/>
  <c r="AD75" i="12"/>
  <c r="AE75" i="12" s="1"/>
  <c r="Q22" i="40" s="1"/>
  <c r="R22" i="40" s="1"/>
  <c r="S22" i="40" s="1"/>
  <c r="AG74" i="12"/>
  <c r="AH74" i="12" s="1"/>
  <c r="AH131" i="12" s="1"/>
  <c r="AI131" i="12" s="1"/>
  <c r="AJ131" i="12" s="1"/>
  <c r="AL131" i="12" s="1"/>
  <c r="X190" i="37"/>
  <c r="Y190" i="37" s="1"/>
  <c r="Z190" i="37" s="1"/>
  <c r="O194" i="36"/>
  <c r="P194" i="36" s="1"/>
  <c r="Q194" i="36" s="1"/>
  <c r="M75" i="36"/>
  <c r="G72" i="40" s="1"/>
  <c r="H72" i="40" s="1"/>
  <c r="I72" i="40" s="1"/>
  <c r="O74" i="36"/>
  <c r="P74" i="36" s="1"/>
  <c r="Q74" i="36" s="1"/>
  <c r="Q131" i="36"/>
  <c r="S131" i="36"/>
  <c r="R131" i="36"/>
  <c r="M76" i="37"/>
  <c r="G123" i="40" s="1"/>
  <c r="H123" i="40" s="1"/>
  <c r="I123" i="40" s="1"/>
  <c r="O75" i="37"/>
  <c r="P75" i="37" s="1"/>
  <c r="Q75" i="37" s="1"/>
  <c r="X189" i="12"/>
  <c r="Y189" i="12" s="1"/>
  <c r="Z189" i="12" s="1"/>
  <c r="U190" i="12"/>
  <c r="V190" i="12" s="1"/>
  <c r="R132" i="37"/>
  <c r="S132" i="37"/>
  <c r="Q132" i="37"/>
  <c r="V75" i="36"/>
  <c r="L72" i="40" s="1"/>
  <c r="M72" i="40" s="1"/>
  <c r="N72" i="40" s="1"/>
  <c r="X74" i="36"/>
  <c r="Y74" i="36" s="1"/>
  <c r="Z74" i="36" s="1"/>
  <c r="AA131" i="36"/>
  <c r="AC131" i="36"/>
  <c r="AB131" i="36"/>
  <c r="V76" i="37"/>
  <c r="L123" i="40" s="1"/>
  <c r="M123" i="40" s="1"/>
  <c r="N123" i="40" s="1"/>
  <c r="X75" i="37"/>
  <c r="Y75" i="37" s="1"/>
  <c r="Z75" i="37" s="1"/>
  <c r="AA132" i="37"/>
  <c r="AB132" i="37"/>
  <c r="AC132" i="37"/>
  <c r="AR245" i="37"/>
  <c r="AS245" i="37"/>
  <c r="AK248" i="37"/>
  <c r="AM248" i="37"/>
  <c r="AL248" i="37"/>
  <c r="L145" i="40"/>
  <c r="M145" i="40" s="1"/>
  <c r="N145" i="40" s="1"/>
  <c r="X246" i="37"/>
  <c r="Y246" i="37" s="1"/>
  <c r="Z246" i="37" s="1"/>
  <c r="AC131" i="12"/>
  <c r="AA131" i="12"/>
  <c r="AB131" i="12"/>
  <c r="R250" i="36"/>
  <c r="S250" i="36"/>
  <c r="Q250" i="36"/>
  <c r="M204" i="12"/>
  <c r="N201" i="12" s="1"/>
  <c r="M224" i="12"/>
  <c r="M210" i="12"/>
  <c r="M220" i="12"/>
  <c r="M225" i="12"/>
  <c r="M219" i="12"/>
  <c r="M208" i="12"/>
  <c r="M211" i="12"/>
  <c r="M212" i="12"/>
  <c r="M226" i="12"/>
  <c r="M217" i="12"/>
  <c r="M215" i="12"/>
  <c r="M203" i="12"/>
  <c r="M223" i="12"/>
  <c r="M221" i="12"/>
  <c r="M209" i="12"/>
  <c r="M214" i="12"/>
  <c r="M227" i="12"/>
  <c r="M222" i="12"/>
  <c r="M218" i="12"/>
  <c r="M216" i="12"/>
  <c r="D406" i="36"/>
  <c r="F406" i="36" s="1"/>
  <c r="D429" i="36"/>
  <c r="F429" i="36" s="1"/>
  <c r="D406" i="38"/>
  <c r="F406" i="38" s="1"/>
  <c r="D429" i="38"/>
  <c r="F429" i="38" s="1"/>
  <c r="AO189" i="36"/>
  <c r="O202" i="36" s="1"/>
  <c r="O210" i="37"/>
  <c r="O208" i="37"/>
  <c r="O222" i="37"/>
  <c r="O227" i="37"/>
  <c r="O213" i="37"/>
  <c r="O204" i="37"/>
  <c r="O216" i="37"/>
  <c r="O221" i="37"/>
  <c r="O217" i="37"/>
  <c r="O223" i="37"/>
  <c r="O220" i="37"/>
  <c r="O209" i="37"/>
  <c r="O203" i="37"/>
  <c r="O225" i="37"/>
  <c r="O218" i="37"/>
  <c r="O226" i="37"/>
  <c r="O215" i="37"/>
  <c r="O212" i="37"/>
  <c r="O224" i="37"/>
  <c r="O214" i="37"/>
  <c r="O219" i="37"/>
  <c r="O211" i="37"/>
  <c r="M296" i="37"/>
  <c r="AO73" i="37"/>
  <c r="D74" i="37"/>
  <c r="B121" i="40" s="1"/>
  <c r="C121" i="40" s="1"/>
  <c r="D121" i="40" s="1"/>
  <c r="F73" i="37"/>
  <c r="G73" i="37" s="1"/>
  <c r="H73" i="37" s="1"/>
  <c r="AS73" i="37"/>
  <c r="H130" i="37"/>
  <c r="AR130" i="37" s="1"/>
  <c r="G130" i="37"/>
  <c r="AQ130" i="37" s="1"/>
  <c r="I130" i="37"/>
  <c r="AS130" i="37" s="1"/>
  <c r="E74" i="38"/>
  <c r="C75" i="38" s="1"/>
  <c r="AM74" i="38"/>
  <c r="AN74" i="38" s="1"/>
  <c r="C131" i="38"/>
  <c r="D131" i="38" s="1"/>
  <c r="E131" i="38" s="1"/>
  <c r="F131" i="38" s="1"/>
  <c r="O164" i="37"/>
  <c r="O161" i="37"/>
  <c r="O157" i="37"/>
  <c r="O160" i="37"/>
  <c r="O162" i="37"/>
  <c r="O156" i="37"/>
  <c r="X156" i="37" s="1"/>
  <c r="E296" i="37" s="1"/>
  <c r="O159" i="37"/>
  <c r="O163" i="37"/>
  <c r="O158" i="37"/>
  <c r="Q99" i="40"/>
  <c r="R99" i="40" s="1"/>
  <c r="S99" i="40" s="1"/>
  <c r="G99" i="40"/>
  <c r="H99" i="40" s="1"/>
  <c r="I99" i="40" s="1"/>
  <c r="M76" i="12"/>
  <c r="O75" i="12"/>
  <c r="P75" i="12" s="1"/>
  <c r="Q75" i="12" s="1"/>
  <c r="N132" i="12"/>
  <c r="O132" i="12" s="1"/>
  <c r="P132" i="12" s="1"/>
  <c r="I248" i="38"/>
  <c r="G248" i="38"/>
  <c r="H248" i="38"/>
  <c r="F192" i="38"/>
  <c r="G192" i="38" s="1"/>
  <c r="H192" i="38" s="1"/>
  <c r="B197" i="40"/>
  <c r="C197" i="40" s="1"/>
  <c r="D197" i="40" s="1"/>
  <c r="H246" i="37"/>
  <c r="I246" i="37"/>
  <c r="G246" i="37"/>
  <c r="B145" i="40"/>
  <c r="C145" i="40" s="1"/>
  <c r="D145" i="40" s="1"/>
  <c r="F190" i="37"/>
  <c r="G190" i="37" s="1"/>
  <c r="H190" i="37" s="1"/>
  <c r="E321" i="36"/>
  <c r="C380" i="36"/>
  <c r="AM74" i="36"/>
  <c r="AN74" i="36" s="1"/>
  <c r="C131" i="36"/>
  <c r="D131" i="36" s="1"/>
  <c r="E131" i="36" s="1"/>
  <c r="F131" i="36" s="1"/>
  <c r="E74" i="36"/>
  <c r="B94" i="40"/>
  <c r="C94" i="40" s="1"/>
  <c r="D94" i="40" s="1"/>
  <c r="F189" i="36"/>
  <c r="G189" i="36" s="1"/>
  <c r="H189" i="36" s="1"/>
  <c r="F297" i="36" s="1"/>
  <c r="AS189" i="36"/>
  <c r="G245" i="36"/>
  <c r="AQ245" i="36" s="1"/>
  <c r="H245" i="36"/>
  <c r="AR245" i="36" s="1"/>
  <c r="I245" i="36"/>
  <c r="AS245" i="36" s="1"/>
  <c r="Q247" i="12"/>
  <c r="AH247" i="12"/>
  <c r="AI247" i="12" s="1"/>
  <c r="AJ247" i="12" s="1"/>
  <c r="R247" i="12"/>
  <c r="AG192" i="12"/>
  <c r="O192" i="12"/>
  <c r="P192" i="12" s="1"/>
  <c r="Q192" i="12" s="1"/>
  <c r="AI191" i="12"/>
  <c r="M279" i="12"/>
  <c r="M278" i="12"/>
  <c r="M270" i="12"/>
  <c r="M271" i="12"/>
  <c r="M273" i="12"/>
  <c r="M274" i="12"/>
  <c r="M272" i="12"/>
  <c r="M275" i="12"/>
  <c r="M269" i="12"/>
  <c r="X269" i="12" s="1"/>
  <c r="H294" i="12" s="1"/>
  <c r="M277" i="12"/>
  <c r="I243" i="12"/>
  <c r="AS243" i="12" s="1"/>
  <c r="H243" i="12"/>
  <c r="AR243" i="12" s="1"/>
  <c r="G243" i="12"/>
  <c r="AQ243" i="12" s="1"/>
  <c r="F843" i="4"/>
  <c r="G844" i="4" s="1"/>
  <c r="R738" i="4"/>
  <c r="P739" i="4" s="1"/>
  <c r="S739" i="4" s="1"/>
  <c r="AJ399" i="4"/>
  <c r="AH400" i="4" s="1"/>
  <c r="AK400" i="4" s="1"/>
  <c r="AD276" i="4"/>
  <c r="AB277" i="4" s="1"/>
  <c r="F792" i="4"/>
  <c r="D793" i="4" s="1"/>
  <c r="G793" i="4" s="1"/>
  <c r="AI192" i="37" l="1"/>
  <c r="AG193" i="37"/>
  <c r="AH193" i="37" s="1"/>
  <c r="C189" i="12"/>
  <c r="D189" i="12" s="1"/>
  <c r="B43" i="40" s="1"/>
  <c r="C43" i="40" s="1"/>
  <c r="D43" i="40" s="1"/>
  <c r="AS188" i="12"/>
  <c r="E405" i="12" s="1"/>
  <c r="G405" i="12" s="1"/>
  <c r="M246" i="37"/>
  <c r="N246" i="37" s="1"/>
  <c r="O246" i="37" s="1"/>
  <c r="P246" i="37" s="1"/>
  <c r="S246" i="37" s="1"/>
  <c r="AF194" i="37"/>
  <c r="AD195" i="37" s="1"/>
  <c r="AE195" i="37" s="1"/>
  <c r="Q149" i="40" s="1"/>
  <c r="R149" i="40" s="1"/>
  <c r="S149" i="40" s="1"/>
  <c r="N190" i="37"/>
  <c r="AS190" i="37" s="1"/>
  <c r="E430" i="37" s="1"/>
  <c r="G430" i="37" s="1"/>
  <c r="G144" i="40"/>
  <c r="H144" i="40" s="1"/>
  <c r="I144" i="40" s="1"/>
  <c r="AF187" i="38"/>
  <c r="AD188" i="38" s="1"/>
  <c r="AE188" i="38" s="1"/>
  <c r="AG250" i="37"/>
  <c r="AM187" i="38"/>
  <c r="AN187" i="38" s="1"/>
  <c r="AO187" i="38" s="1"/>
  <c r="M202" i="38" s="1"/>
  <c r="M220" i="38" s="1"/>
  <c r="AG243" i="38"/>
  <c r="AH249" i="37"/>
  <c r="AI249" i="37" s="1"/>
  <c r="AJ249" i="37" s="1"/>
  <c r="W194" i="36"/>
  <c r="U195" i="36" s="1"/>
  <c r="L98" i="40"/>
  <c r="M98" i="40" s="1"/>
  <c r="N98" i="40" s="1"/>
  <c r="N202" i="12"/>
  <c r="N217" i="12" s="1"/>
  <c r="X188" i="38"/>
  <c r="Y188" i="38" s="1"/>
  <c r="Z188" i="38" s="1"/>
  <c r="O189" i="38"/>
  <c r="P189" i="38" s="1"/>
  <c r="Q189" i="38" s="1"/>
  <c r="M133" i="12"/>
  <c r="G23" i="40"/>
  <c r="H23" i="40" s="1"/>
  <c r="I23" i="40" s="1"/>
  <c r="AG249" i="12"/>
  <c r="Q47" i="40"/>
  <c r="R47" i="40" s="1"/>
  <c r="S47" i="40" s="1"/>
  <c r="M249" i="12"/>
  <c r="G47" i="40"/>
  <c r="H47" i="40" s="1"/>
  <c r="I47" i="40" s="1"/>
  <c r="O204" i="36"/>
  <c r="P201" i="36" s="1"/>
  <c r="AU130" i="38"/>
  <c r="O142" i="38" s="1"/>
  <c r="P160" i="38" s="1"/>
  <c r="AT130" i="38"/>
  <c r="C157" i="38" s="1"/>
  <c r="B379" i="38"/>
  <c r="G94" i="31" s="1"/>
  <c r="AI74" i="38"/>
  <c r="C378" i="38"/>
  <c r="E319" i="38"/>
  <c r="AU242" i="38"/>
  <c r="L257" i="38" s="1"/>
  <c r="AT242" i="38"/>
  <c r="C269" i="38" s="1"/>
  <c r="AM131" i="38"/>
  <c r="AK131" i="38"/>
  <c r="AL131" i="38"/>
  <c r="M216" i="38"/>
  <c r="AD76" i="38"/>
  <c r="AE76" i="38" s="1"/>
  <c r="Q173" i="40" s="1"/>
  <c r="R173" i="40" s="1"/>
  <c r="S173" i="40" s="1"/>
  <c r="AG75" i="38"/>
  <c r="O107" i="36"/>
  <c r="AA132" i="38"/>
  <c r="AB132" i="38"/>
  <c r="AC132" i="38"/>
  <c r="U76" i="38"/>
  <c r="V76" i="38" s="1"/>
  <c r="L173" i="40" s="1"/>
  <c r="M173" i="40" s="1"/>
  <c r="N173" i="40" s="1"/>
  <c r="X75" i="38"/>
  <c r="Y75" i="38" s="1"/>
  <c r="Z75" i="38" s="1"/>
  <c r="AA244" i="38"/>
  <c r="AC244" i="38"/>
  <c r="AB244" i="38"/>
  <c r="N75" i="38"/>
  <c r="M132" i="38"/>
  <c r="N132" i="38" s="1"/>
  <c r="O132" i="38" s="1"/>
  <c r="P132" i="38" s="1"/>
  <c r="R245" i="38"/>
  <c r="Q245" i="38"/>
  <c r="S245" i="38"/>
  <c r="O96" i="36"/>
  <c r="O101" i="36"/>
  <c r="O111" i="36"/>
  <c r="O103" i="36"/>
  <c r="O87" i="36"/>
  <c r="O89" i="36" s="1"/>
  <c r="O99" i="36"/>
  <c r="O95" i="36"/>
  <c r="O94" i="36"/>
  <c r="O105" i="36"/>
  <c r="AT130" i="36"/>
  <c r="C157" i="36" s="1"/>
  <c r="O104" i="36"/>
  <c r="O108" i="36"/>
  <c r="O109" i="36"/>
  <c r="O100" i="36"/>
  <c r="O93" i="36"/>
  <c r="O97" i="36"/>
  <c r="O110" i="36"/>
  <c r="O92" i="36"/>
  <c r="O102" i="36"/>
  <c r="O106" i="36"/>
  <c r="O98" i="36"/>
  <c r="O86" i="37"/>
  <c r="O88" i="37" s="1"/>
  <c r="P85" i="37" s="1"/>
  <c r="AU130" i="36"/>
  <c r="O142" i="36" s="1"/>
  <c r="P159" i="36" s="1"/>
  <c r="AM131" i="12"/>
  <c r="AK131" i="12"/>
  <c r="AK131" i="36"/>
  <c r="AM131" i="36"/>
  <c r="AL131" i="36"/>
  <c r="AI74" i="36"/>
  <c r="AM131" i="37"/>
  <c r="AK131" i="37"/>
  <c r="AL131" i="37"/>
  <c r="N296" i="37"/>
  <c r="E322" i="37" s="1"/>
  <c r="W132" i="12"/>
  <c r="X132" i="12" s="1"/>
  <c r="Y132" i="12" s="1"/>
  <c r="Z132" i="12" s="1"/>
  <c r="W75" i="12"/>
  <c r="AI74" i="12"/>
  <c r="AI74" i="37"/>
  <c r="AD76" i="37"/>
  <c r="AE76" i="37" s="1"/>
  <c r="Q123" i="40" s="1"/>
  <c r="R123" i="40" s="1"/>
  <c r="S123" i="40" s="1"/>
  <c r="AG75" i="37"/>
  <c r="AD76" i="36"/>
  <c r="AE76" i="36" s="1"/>
  <c r="Q73" i="40" s="1"/>
  <c r="R73" i="40" s="1"/>
  <c r="S73" i="40" s="1"/>
  <c r="AG75" i="36"/>
  <c r="C75" i="36"/>
  <c r="D75" i="36" s="1"/>
  <c r="B72" i="40" s="1"/>
  <c r="C72" i="40" s="1"/>
  <c r="D72" i="40" s="1"/>
  <c r="AG132" i="12"/>
  <c r="AF75" i="12"/>
  <c r="W132" i="36"/>
  <c r="X132" i="36" s="1"/>
  <c r="Y132" i="36" s="1"/>
  <c r="Z132" i="36" s="1"/>
  <c r="W75" i="36"/>
  <c r="U76" i="36" s="1"/>
  <c r="M132" i="36"/>
  <c r="N132" i="36" s="1"/>
  <c r="O132" i="36" s="1"/>
  <c r="P132" i="36" s="1"/>
  <c r="N75" i="36"/>
  <c r="L76" i="36" s="1"/>
  <c r="W191" i="37"/>
  <c r="U192" i="37" s="1"/>
  <c r="V192" i="37" s="1"/>
  <c r="W247" i="37"/>
  <c r="M133" i="37"/>
  <c r="N133" i="37" s="1"/>
  <c r="O133" i="37" s="1"/>
  <c r="P133" i="37" s="1"/>
  <c r="N76" i="37"/>
  <c r="L77" i="37" s="1"/>
  <c r="AF195" i="36"/>
  <c r="AD196" i="36" s="1"/>
  <c r="AE196" i="36" s="1"/>
  <c r="AG251" i="36"/>
  <c r="N195" i="36"/>
  <c r="L196" i="36" s="1"/>
  <c r="M196" i="36" s="1"/>
  <c r="M251" i="36"/>
  <c r="N251" i="36" s="1"/>
  <c r="O251" i="36" s="1"/>
  <c r="P251" i="36" s="1"/>
  <c r="W133" i="37"/>
  <c r="X133" i="37" s="1"/>
  <c r="Y133" i="37" s="1"/>
  <c r="Z133" i="37" s="1"/>
  <c r="W76" i="37"/>
  <c r="U77" i="37" s="1"/>
  <c r="AT245" i="37"/>
  <c r="C272" i="37" s="1"/>
  <c r="AU245" i="37"/>
  <c r="O257" i="37" s="1"/>
  <c r="P276" i="37" s="1"/>
  <c r="AI193" i="37"/>
  <c r="AL249" i="37"/>
  <c r="AM249" i="37"/>
  <c r="AK249" i="37"/>
  <c r="AA246" i="37"/>
  <c r="AC246" i="37"/>
  <c r="AB246" i="37"/>
  <c r="AC251" i="36"/>
  <c r="AB251" i="36"/>
  <c r="AA251" i="36"/>
  <c r="AL250" i="36"/>
  <c r="AK250" i="36"/>
  <c r="AM250" i="36"/>
  <c r="M205" i="12"/>
  <c r="Q132" i="12"/>
  <c r="R132" i="12"/>
  <c r="S132" i="12"/>
  <c r="E428" i="12"/>
  <c r="G428" i="12" s="1"/>
  <c r="E406" i="36"/>
  <c r="G406" i="36" s="1"/>
  <c r="E429" i="36"/>
  <c r="G429" i="36" s="1"/>
  <c r="D406" i="37"/>
  <c r="F406" i="37" s="1"/>
  <c r="D429" i="37"/>
  <c r="F429" i="37" s="1"/>
  <c r="P85" i="38"/>
  <c r="O98" i="38"/>
  <c r="O94" i="38"/>
  <c r="O105" i="38"/>
  <c r="O106" i="38"/>
  <c r="O93" i="38"/>
  <c r="O87" i="38"/>
  <c r="O89" i="38" s="1"/>
  <c r="O103" i="38"/>
  <c r="O108" i="38"/>
  <c r="O110" i="38"/>
  <c r="O104" i="38"/>
  <c r="O107" i="38"/>
  <c r="O102" i="38"/>
  <c r="O101" i="38"/>
  <c r="O109" i="38"/>
  <c r="O99" i="38"/>
  <c r="O111" i="38"/>
  <c r="O95" i="38"/>
  <c r="O96" i="38"/>
  <c r="O92" i="38"/>
  <c r="O100" i="38"/>
  <c r="O97" i="38"/>
  <c r="AI194" i="36"/>
  <c r="AO74" i="36"/>
  <c r="P86" i="36" s="1"/>
  <c r="M297" i="36"/>
  <c r="O205" i="37"/>
  <c r="AO74" i="38"/>
  <c r="P201" i="37"/>
  <c r="P202" i="37" s="1"/>
  <c r="C322" i="37"/>
  <c r="B381" i="37"/>
  <c r="G69" i="31" s="1"/>
  <c r="C297" i="37"/>
  <c r="AU130" i="37"/>
  <c r="O142" i="37" s="1"/>
  <c r="AT130" i="37"/>
  <c r="C157" i="37" s="1"/>
  <c r="H131" i="38"/>
  <c r="I131" i="38"/>
  <c r="G131" i="38"/>
  <c r="D75" i="38"/>
  <c r="B172" i="40" s="1"/>
  <c r="C172" i="40" s="1"/>
  <c r="D172" i="40" s="1"/>
  <c r="F74" i="38"/>
  <c r="G74" i="38" s="1"/>
  <c r="H74" i="38" s="1"/>
  <c r="AS74" i="38"/>
  <c r="E74" i="37"/>
  <c r="C75" i="37" s="1"/>
  <c r="AM74" i="37"/>
  <c r="AN74" i="37" s="1"/>
  <c r="C131" i="37"/>
  <c r="D131" i="37" s="1"/>
  <c r="E131" i="37" s="1"/>
  <c r="F131" i="37" s="1"/>
  <c r="N76" i="12"/>
  <c r="L77" i="12" s="1"/>
  <c r="C249" i="38"/>
  <c r="D249" i="38" s="1"/>
  <c r="E249" i="38" s="1"/>
  <c r="F249" i="38" s="1"/>
  <c r="E193" i="38"/>
  <c r="C194" i="38" s="1"/>
  <c r="D194" i="38" s="1"/>
  <c r="E322" i="36"/>
  <c r="C381" i="36"/>
  <c r="AU245" i="36"/>
  <c r="O257" i="36" s="1"/>
  <c r="AT245" i="36"/>
  <c r="C272" i="36" s="1"/>
  <c r="E190" i="36"/>
  <c r="C191" i="36" s="1"/>
  <c r="D191" i="36" s="1"/>
  <c r="AS74" i="36"/>
  <c r="F74" i="36"/>
  <c r="G74" i="36" s="1"/>
  <c r="H74" i="36" s="1"/>
  <c r="I131" i="36"/>
  <c r="H131" i="36"/>
  <c r="G131" i="36"/>
  <c r="AK247" i="12"/>
  <c r="AL247" i="12"/>
  <c r="AM247" i="12"/>
  <c r="N248" i="12"/>
  <c r="O248" i="12" s="1"/>
  <c r="P248" i="12" s="1"/>
  <c r="S248" i="12" s="1"/>
  <c r="AH192" i="12"/>
  <c r="AF193" i="12"/>
  <c r="AD194" i="12" s="1"/>
  <c r="AE194" i="12" s="1"/>
  <c r="N193" i="12"/>
  <c r="L194" i="12" s="1"/>
  <c r="M194" i="12" s="1"/>
  <c r="F244" i="12"/>
  <c r="AU243" i="12"/>
  <c r="M257" i="12" s="1"/>
  <c r="AT243" i="12"/>
  <c r="C270" i="12" s="1"/>
  <c r="AE277" i="4"/>
  <c r="AE278" i="4"/>
  <c r="AD277" i="4"/>
  <c r="F793" i="4"/>
  <c r="G794" i="4" s="1"/>
  <c r="AJ400" i="4"/>
  <c r="AH401" i="4" s="1"/>
  <c r="AK401" i="4" s="1"/>
  <c r="R739" i="4"/>
  <c r="P740" i="4" s="1"/>
  <c r="S740" i="4" s="1"/>
  <c r="M213" i="38" l="1"/>
  <c r="M217" i="38"/>
  <c r="M209" i="38"/>
  <c r="M226" i="38"/>
  <c r="M214" i="38"/>
  <c r="M211" i="38"/>
  <c r="M210" i="38"/>
  <c r="M221" i="38"/>
  <c r="M212" i="38"/>
  <c r="M225" i="38"/>
  <c r="M227" i="38"/>
  <c r="M203" i="38"/>
  <c r="M208" i="38"/>
  <c r="M219" i="38"/>
  <c r="M204" i="38"/>
  <c r="N201" i="38" s="1"/>
  <c r="M222" i="38"/>
  <c r="M218" i="38"/>
  <c r="M215" i="38"/>
  <c r="M223" i="38"/>
  <c r="M224" i="38"/>
  <c r="R246" i="37"/>
  <c r="Q246" i="37"/>
  <c r="AG194" i="37"/>
  <c r="AH194" i="37" s="1"/>
  <c r="E407" i="37"/>
  <c r="G407" i="37" s="1"/>
  <c r="L191" i="37"/>
  <c r="M191" i="37" s="1"/>
  <c r="G145" i="40" s="1"/>
  <c r="H145" i="40" s="1"/>
  <c r="I145" i="40" s="1"/>
  <c r="O190" i="37"/>
  <c r="P190" i="37" s="1"/>
  <c r="Q190" i="37" s="1"/>
  <c r="F298" i="37" s="1"/>
  <c r="AH250" i="37"/>
  <c r="AI250" i="37" s="1"/>
  <c r="AJ250" i="37" s="1"/>
  <c r="AS187" i="38"/>
  <c r="E404" i="38" s="1"/>
  <c r="G404" i="38" s="1"/>
  <c r="AG187" i="38"/>
  <c r="AH187" i="38" s="1"/>
  <c r="AH243" i="38" s="1"/>
  <c r="AI243" i="38" s="1"/>
  <c r="AJ243" i="38" s="1"/>
  <c r="X194" i="36"/>
  <c r="Y194" i="36" s="1"/>
  <c r="Z194" i="36" s="1"/>
  <c r="AM189" i="12"/>
  <c r="AN189" i="12" s="1"/>
  <c r="AO189" i="12" s="1"/>
  <c r="AG251" i="37"/>
  <c r="AF195" i="37"/>
  <c r="AD196" i="37" s="1"/>
  <c r="AE196" i="37" s="1"/>
  <c r="Q150" i="40" s="1"/>
  <c r="R150" i="40" s="1"/>
  <c r="S150" i="40" s="1"/>
  <c r="C245" i="12"/>
  <c r="D245" i="12" s="1"/>
  <c r="E245" i="12" s="1"/>
  <c r="V195" i="36"/>
  <c r="E189" i="12"/>
  <c r="F189" i="12" s="1"/>
  <c r="G189" i="12" s="1"/>
  <c r="H189" i="12" s="1"/>
  <c r="F297" i="12" s="1"/>
  <c r="O221" i="36"/>
  <c r="O216" i="36"/>
  <c r="O224" i="36"/>
  <c r="O227" i="36"/>
  <c r="O211" i="36"/>
  <c r="O213" i="36"/>
  <c r="O212" i="36"/>
  <c r="O217" i="36"/>
  <c r="O220" i="36"/>
  <c r="O226" i="36"/>
  <c r="O222" i="36"/>
  <c r="W246" i="12"/>
  <c r="X246" i="12" s="1"/>
  <c r="Y246" i="12" s="1"/>
  <c r="Z246" i="12" s="1"/>
  <c r="AB246" i="12" s="1"/>
  <c r="L44" i="40"/>
  <c r="M44" i="40" s="1"/>
  <c r="N44" i="40" s="1"/>
  <c r="O203" i="36"/>
  <c r="O205" i="36" s="1"/>
  <c r="O209" i="36"/>
  <c r="O208" i="36"/>
  <c r="O225" i="36"/>
  <c r="O210" i="36"/>
  <c r="N190" i="38"/>
  <c r="L191" i="38" s="1"/>
  <c r="M191" i="38" s="1"/>
  <c r="G194" i="40"/>
  <c r="H194" i="40" s="1"/>
  <c r="I194" i="40" s="1"/>
  <c r="O214" i="36"/>
  <c r="O223" i="36"/>
  <c r="O219" i="36"/>
  <c r="O215" i="36"/>
  <c r="O218" i="36"/>
  <c r="W189" i="38"/>
  <c r="U190" i="38" s="1"/>
  <c r="V190" i="38" s="1"/>
  <c r="L193" i="40"/>
  <c r="M193" i="40" s="1"/>
  <c r="N193" i="40" s="1"/>
  <c r="P211" i="37"/>
  <c r="P161" i="38"/>
  <c r="P157" i="38"/>
  <c r="X157" i="38" s="1"/>
  <c r="E297" i="38" s="1"/>
  <c r="P158" i="38"/>
  <c r="P164" i="38"/>
  <c r="P163" i="38"/>
  <c r="P162" i="38"/>
  <c r="P159" i="38"/>
  <c r="C298" i="38"/>
  <c r="AR131" i="38"/>
  <c r="AQ131" i="38"/>
  <c r="AS131" i="38"/>
  <c r="M278" i="38"/>
  <c r="M279" i="38"/>
  <c r="M272" i="38"/>
  <c r="M275" i="38"/>
  <c r="M271" i="38"/>
  <c r="M274" i="38"/>
  <c r="M270" i="38"/>
  <c r="M273" i="38"/>
  <c r="M277" i="38"/>
  <c r="M269" i="38"/>
  <c r="X269" i="38" s="1"/>
  <c r="H294" i="38" s="1"/>
  <c r="N294" i="38" s="1"/>
  <c r="M276" i="38"/>
  <c r="AH75" i="38"/>
  <c r="AH132" i="38" s="1"/>
  <c r="AI132" i="38" s="1"/>
  <c r="AJ132" i="38" s="1"/>
  <c r="AF76" i="38"/>
  <c r="AG133" i="38"/>
  <c r="W245" i="38"/>
  <c r="X245" i="38" s="1"/>
  <c r="Y245" i="38" s="1"/>
  <c r="Z245" i="38" s="1"/>
  <c r="W133" i="38"/>
  <c r="X133" i="38" s="1"/>
  <c r="Y133" i="38" s="1"/>
  <c r="Z133" i="38" s="1"/>
  <c r="W76" i="38"/>
  <c r="Q132" i="38"/>
  <c r="R132" i="38"/>
  <c r="S132" i="38"/>
  <c r="M246" i="38"/>
  <c r="N246" i="38" s="1"/>
  <c r="O246" i="38" s="1"/>
  <c r="P246" i="38" s="1"/>
  <c r="L76" i="38"/>
  <c r="M76" i="38" s="1"/>
  <c r="G173" i="40" s="1"/>
  <c r="H173" i="40" s="1"/>
  <c r="I173" i="40" s="1"/>
  <c r="O75" i="38"/>
  <c r="P75" i="38" s="1"/>
  <c r="Q75" i="38" s="1"/>
  <c r="AR131" i="36"/>
  <c r="O99" i="37"/>
  <c r="O101" i="37"/>
  <c r="O102" i="37"/>
  <c r="O104" i="37"/>
  <c r="C298" i="36"/>
  <c r="O93" i="37"/>
  <c r="O111" i="37"/>
  <c r="O103" i="37"/>
  <c r="O87" i="37"/>
  <c r="O89" i="37" s="1"/>
  <c r="O100" i="37"/>
  <c r="P157" i="36"/>
  <c r="X157" i="36" s="1"/>
  <c r="E297" i="36" s="1"/>
  <c r="O97" i="37"/>
  <c r="O94" i="37"/>
  <c r="O105" i="37"/>
  <c r="O96" i="37"/>
  <c r="O106" i="37"/>
  <c r="O107" i="37"/>
  <c r="P164" i="36"/>
  <c r="P161" i="36"/>
  <c r="O109" i="37"/>
  <c r="O92" i="37"/>
  <c r="O110" i="37"/>
  <c r="O98" i="37"/>
  <c r="P162" i="36"/>
  <c r="O95" i="37"/>
  <c r="O108" i="37"/>
  <c r="AS131" i="36"/>
  <c r="P158" i="36"/>
  <c r="P163" i="36"/>
  <c r="P160" i="36"/>
  <c r="P86" i="38"/>
  <c r="P88" i="38" s="1"/>
  <c r="AQ131" i="36"/>
  <c r="AS246" i="37"/>
  <c r="C381" i="37"/>
  <c r="AQ246" i="37"/>
  <c r="U76" i="12"/>
  <c r="V76" i="12" s="1"/>
  <c r="L23" i="40" s="1"/>
  <c r="M23" i="40" s="1"/>
  <c r="N23" i="40" s="1"/>
  <c r="X75" i="12"/>
  <c r="Y75" i="12" s="1"/>
  <c r="Z75" i="12" s="1"/>
  <c r="AG195" i="36"/>
  <c r="AH195" i="36" s="1"/>
  <c r="AH251" i="36" s="1"/>
  <c r="AI251" i="36" s="1"/>
  <c r="AJ251" i="36" s="1"/>
  <c r="O195" i="36"/>
  <c r="P195" i="36" s="1"/>
  <c r="Q195" i="36" s="1"/>
  <c r="AH75" i="37"/>
  <c r="AH132" i="37" s="1"/>
  <c r="AI132" i="37" s="1"/>
  <c r="AJ132" i="37" s="1"/>
  <c r="AF76" i="37"/>
  <c r="AG133" i="37"/>
  <c r="AH75" i="36"/>
  <c r="AH132" i="36" s="1"/>
  <c r="AI132" i="36" s="1"/>
  <c r="AJ132" i="36" s="1"/>
  <c r="AG133" i="36"/>
  <c r="AF76" i="36"/>
  <c r="AD76" i="12"/>
  <c r="AE76" i="12" s="1"/>
  <c r="Q23" i="40" s="1"/>
  <c r="R23" i="40" s="1"/>
  <c r="S23" i="40" s="1"/>
  <c r="AG75" i="12"/>
  <c r="AH75" i="12" s="1"/>
  <c r="AH132" i="12" s="1"/>
  <c r="AI132" i="12" s="1"/>
  <c r="AJ132" i="12" s="1"/>
  <c r="AL132" i="12" s="1"/>
  <c r="P275" i="37"/>
  <c r="X191" i="37"/>
  <c r="Y191" i="37" s="1"/>
  <c r="Z191" i="37" s="1"/>
  <c r="AR246" i="37"/>
  <c r="O76" i="37"/>
  <c r="P76" i="37" s="1"/>
  <c r="Q76" i="37" s="1"/>
  <c r="M77" i="37"/>
  <c r="G124" i="40" s="1"/>
  <c r="H124" i="40" s="1"/>
  <c r="I124" i="40" s="1"/>
  <c r="V76" i="36"/>
  <c r="L73" i="40" s="1"/>
  <c r="M73" i="40" s="1"/>
  <c r="N73" i="40" s="1"/>
  <c r="X75" i="36"/>
  <c r="Y75" i="36" s="1"/>
  <c r="Z75" i="36" s="1"/>
  <c r="R133" i="37"/>
  <c r="S133" i="37"/>
  <c r="Q133" i="37"/>
  <c r="AC132" i="36"/>
  <c r="AA132" i="36"/>
  <c r="AB132" i="36"/>
  <c r="W190" i="12"/>
  <c r="M76" i="36"/>
  <c r="G73" i="40" s="1"/>
  <c r="H73" i="40" s="1"/>
  <c r="I73" i="40" s="1"/>
  <c r="O75" i="36"/>
  <c r="P75" i="36" s="1"/>
  <c r="Q75" i="36" s="1"/>
  <c r="R132" i="36"/>
  <c r="S132" i="36"/>
  <c r="Q132" i="36"/>
  <c r="X76" i="37"/>
  <c r="Y76" i="37" s="1"/>
  <c r="Z76" i="37" s="1"/>
  <c r="V77" i="37"/>
  <c r="L124" i="40" s="1"/>
  <c r="M124" i="40" s="1"/>
  <c r="N124" i="40" s="1"/>
  <c r="AA133" i="37"/>
  <c r="AB133" i="37"/>
  <c r="AC133" i="37"/>
  <c r="P279" i="37"/>
  <c r="P273" i="37"/>
  <c r="P274" i="37"/>
  <c r="P278" i="37"/>
  <c r="P277" i="37"/>
  <c r="P272" i="37"/>
  <c r="X272" i="37" s="1"/>
  <c r="H297" i="37" s="1"/>
  <c r="AL250" i="37"/>
  <c r="AM250" i="37"/>
  <c r="AK250" i="37"/>
  <c r="X247" i="37"/>
  <c r="Y247" i="37" s="1"/>
  <c r="Z247" i="37" s="1"/>
  <c r="L146" i="40"/>
  <c r="M146" i="40" s="1"/>
  <c r="N146" i="40" s="1"/>
  <c r="AC252" i="36"/>
  <c r="AA252" i="36"/>
  <c r="AB252" i="36"/>
  <c r="AC132" i="12"/>
  <c r="AA132" i="12"/>
  <c r="AB132" i="12"/>
  <c r="S251" i="36"/>
  <c r="Q251" i="36"/>
  <c r="R251" i="36"/>
  <c r="N223" i="12"/>
  <c r="N221" i="12"/>
  <c r="N209" i="12"/>
  <c r="N224" i="12"/>
  <c r="N215" i="12"/>
  <c r="N214" i="12"/>
  <c r="N220" i="12"/>
  <c r="N216" i="12"/>
  <c r="N208" i="12"/>
  <c r="N219" i="12"/>
  <c r="N211" i="12"/>
  <c r="N204" i="12"/>
  <c r="O201" i="12" s="1"/>
  <c r="N226" i="12"/>
  <c r="N222" i="12"/>
  <c r="N212" i="12"/>
  <c r="N210" i="12"/>
  <c r="N213" i="12"/>
  <c r="N218" i="12"/>
  <c r="N227" i="12"/>
  <c r="N203" i="12"/>
  <c r="N225" i="12"/>
  <c r="D407" i="36"/>
  <c r="F407" i="36" s="1"/>
  <c r="D430" i="36"/>
  <c r="F430" i="36" s="1"/>
  <c r="D407" i="38"/>
  <c r="F407" i="38" s="1"/>
  <c r="D430" i="38"/>
  <c r="F430" i="38" s="1"/>
  <c r="M297" i="37"/>
  <c r="AO74" i="37"/>
  <c r="P86" i="37" s="1"/>
  <c r="E75" i="38"/>
  <c r="C76" i="38" s="1"/>
  <c r="C132" i="38"/>
  <c r="D132" i="38" s="1"/>
  <c r="E132" i="38" s="1"/>
  <c r="F132" i="38" s="1"/>
  <c r="AM75" i="38"/>
  <c r="AN75" i="38" s="1"/>
  <c r="AS74" i="37"/>
  <c r="F74" i="37"/>
  <c r="G74" i="37" s="1"/>
  <c r="H74" i="37" s="1"/>
  <c r="D75" i="37"/>
  <c r="B122" i="40" s="1"/>
  <c r="C122" i="40" s="1"/>
  <c r="D122" i="40" s="1"/>
  <c r="G131" i="37"/>
  <c r="AQ131" i="37" s="1"/>
  <c r="H131" i="37"/>
  <c r="AR131" i="37" s="1"/>
  <c r="I131" i="37"/>
  <c r="AS131" i="37" s="1"/>
  <c r="P160" i="37"/>
  <c r="P164" i="37"/>
  <c r="P159" i="37"/>
  <c r="P157" i="37"/>
  <c r="X157" i="37" s="1"/>
  <c r="P158" i="37"/>
  <c r="P161" i="37"/>
  <c r="P162" i="37"/>
  <c r="P163" i="37"/>
  <c r="Q100" i="40"/>
  <c r="R100" i="40" s="1"/>
  <c r="S100" i="40" s="1"/>
  <c r="G100" i="40"/>
  <c r="H100" i="40" s="1"/>
  <c r="I100" i="40" s="1"/>
  <c r="N133" i="12"/>
  <c r="O133" i="12" s="1"/>
  <c r="P133" i="12" s="1"/>
  <c r="O76" i="12"/>
  <c r="P76" i="12" s="1"/>
  <c r="Q76" i="12" s="1"/>
  <c r="M77" i="12"/>
  <c r="G249" i="38"/>
  <c r="H249" i="38"/>
  <c r="I249" i="38"/>
  <c r="F193" i="38"/>
  <c r="G193" i="38" s="1"/>
  <c r="H193" i="38" s="1"/>
  <c r="B198" i="40"/>
  <c r="C198" i="40" s="1"/>
  <c r="D198" i="40" s="1"/>
  <c r="C247" i="37"/>
  <c r="D247" i="37" s="1"/>
  <c r="E247" i="37" s="1"/>
  <c r="F247" i="37" s="1"/>
  <c r="E191" i="37"/>
  <c r="C192" i="37" s="1"/>
  <c r="D192" i="37" s="1"/>
  <c r="C323" i="36"/>
  <c r="B382" i="36"/>
  <c r="G43" i="31" s="1"/>
  <c r="B95" i="40"/>
  <c r="C95" i="40" s="1"/>
  <c r="D95" i="40" s="1"/>
  <c r="AS190" i="36"/>
  <c r="F190" i="36"/>
  <c r="G190" i="36" s="1"/>
  <c r="H190" i="36" s="1"/>
  <c r="F298" i="36" s="1"/>
  <c r="C246" i="36"/>
  <c r="D246" i="36" s="1"/>
  <c r="E246" i="36" s="1"/>
  <c r="F246" i="36" s="1"/>
  <c r="AM190" i="36"/>
  <c r="AN190" i="36" s="1"/>
  <c r="P275" i="36"/>
  <c r="P276" i="36"/>
  <c r="P274" i="36"/>
  <c r="P273" i="36"/>
  <c r="P279" i="36"/>
  <c r="P278" i="36"/>
  <c r="P277" i="36"/>
  <c r="P272" i="36"/>
  <c r="X272" i="36" s="1"/>
  <c r="H297" i="36" s="1"/>
  <c r="P88" i="36"/>
  <c r="Q85" i="36" s="1"/>
  <c r="P105" i="36"/>
  <c r="P109" i="36"/>
  <c r="P107" i="36"/>
  <c r="P108" i="36"/>
  <c r="P104" i="36"/>
  <c r="P98" i="36"/>
  <c r="P111" i="36"/>
  <c r="P96" i="36"/>
  <c r="P106" i="36"/>
  <c r="P95" i="36"/>
  <c r="P94" i="36"/>
  <c r="P99" i="36"/>
  <c r="P110" i="36"/>
  <c r="P101" i="36"/>
  <c r="P93" i="36"/>
  <c r="P100" i="36"/>
  <c r="P87" i="36"/>
  <c r="P103" i="36"/>
  <c r="P92" i="36"/>
  <c r="P97" i="36"/>
  <c r="P102" i="36"/>
  <c r="C132" i="36"/>
  <c r="D132" i="36" s="1"/>
  <c r="E132" i="36" s="1"/>
  <c r="F132" i="36" s="1"/>
  <c r="E75" i="36"/>
  <c r="AM75" i="36"/>
  <c r="AN75" i="36" s="1"/>
  <c r="AI192" i="12"/>
  <c r="AH248" i="12"/>
  <c r="AI248" i="12" s="1"/>
  <c r="AJ248" i="12" s="1"/>
  <c r="R248" i="12"/>
  <c r="Q248" i="12"/>
  <c r="AG193" i="12"/>
  <c r="O193" i="12"/>
  <c r="P193" i="12" s="1"/>
  <c r="Q193" i="12" s="1"/>
  <c r="N274" i="12"/>
  <c r="N275" i="12"/>
  <c r="N276" i="12"/>
  <c r="N277" i="12"/>
  <c r="N278" i="12"/>
  <c r="N273" i="12"/>
  <c r="N272" i="12"/>
  <c r="N279" i="12"/>
  <c r="N270" i="12"/>
  <c r="X270" i="12" s="1"/>
  <c r="H295" i="12" s="1"/>
  <c r="N271" i="12"/>
  <c r="G244" i="12"/>
  <c r="AQ244" i="12" s="1"/>
  <c r="H244" i="12"/>
  <c r="AR244" i="12" s="1"/>
  <c r="I244" i="12"/>
  <c r="AS244" i="12" s="1"/>
  <c r="R740" i="4"/>
  <c r="P741" i="4" s="1"/>
  <c r="S741" i="4" s="1"/>
  <c r="AJ401" i="4"/>
  <c r="AH402" i="4" s="1"/>
  <c r="M205" i="38" l="1"/>
  <c r="AI194" i="37"/>
  <c r="E427" i="38"/>
  <c r="G427" i="38" s="1"/>
  <c r="AG195" i="37"/>
  <c r="AH195" i="37" s="1"/>
  <c r="AH251" i="37" s="1"/>
  <c r="AI251" i="37" s="1"/>
  <c r="AJ251" i="37" s="1"/>
  <c r="M247" i="37"/>
  <c r="N247" i="37" s="1"/>
  <c r="O247" i="37" s="1"/>
  <c r="P247" i="37" s="1"/>
  <c r="Q247" i="37" s="1"/>
  <c r="AM191" i="37"/>
  <c r="AN191" i="37" s="1"/>
  <c r="AO191" i="37" s="1"/>
  <c r="AG252" i="37"/>
  <c r="AH252" i="37" s="1"/>
  <c r="AI252" i="37" s="1"/>
  <c r="AJ252" i="37" s="1"/>
  <c r="AM252" i="37" s="1"/>
  <c r="N191" i="37"/>
  <c r="L192" i="37" s="1"/>
  <c r="AS189" i="12"/>
  <c r="E429" i="12" s="1"/>
  <c r="G429" i="12" s="1"/>
  <c r="C190" i="12"/>
  <c r="D190" i="12" s="1"/>
  <c r="AF196" i="37"/>
  <c r="AG196" i="37" s="1"/>
  <c r="AH196" i="37" s="1"/>
  <c r="L99" i="40"/>
  <c r="M99" i="40" s="1"/>
  <c r="N99" i="40" s="1"/>
  <c r="W251" i="36"/>
  <c r="X251" i="36" s="1"/>
  <c r="Y251" i="36" s="1"/>
  <c r="Z251" i="36" s="1"/>
  <c r="W195" i="36"/>
  <c r="O202" i="12"/>
  <c r="O212" i="12" s="1"/>
  <c r="AA246" i="12"/>
  <c r="P224" i="37"/>
  <c r="X189" i="38"/>
  <c r="Y189" i="38" s="1"/>
  <c r="Z189" i="38" s="1"/>
  <c r="P225" i="37"/>
  <c r="P215" i="37"/>
  <c r="P217" i="37"/>
  <c r="M134" i="12"/>
  <c r="G24" i="40"/>
  <c r="H24" i="40" s="1"/>
  <c r="I24" i="40" s="1"/>
  <c r="M250" i="12"/>
  <c r="G48" i="40"/>
  <c r="H48" i="40" s="1"/>
  <c r="I48" i="40" s="1"/>
  <c r="AG250" i="12"/>
  <c r="Q48" i="40"/>
  <c r="R48" i="40" s="1"/>
  <c r="S48" i="40" s="1"/>
  <c r="P214" i="37"/>
  <c r="P219" i="37"/>
  <c r="P208" i="37"/>
  <c r="P213" i="37"/>
  <c r="P209" i="37"/>
  <c r="P210" i="37"/>
  <c r="P227" i="37"/>
  <c r="P226" i="37"/>
  <c r="AC246" i="12"/>
  <c r="AF188" i="38"/>
  <c r="AS188" i="38" s="1"/>
  <c r="Q192" i="40"/>
  <c r="R192" i="40" s="1"/>
  <c r="S192" i="40" s="1"/>
  <c r="AM16" i="40" s="1"/>
  <c r="P220" i="37"/>
  <c r="P218" i="37"/>
  <c r="P204" i="37"/>
  <c r="Q201" i="37" s="1"/>
  <c r="O190" i="38"/>
  <c r="P190" i="38" s="1"/>
  <c r="Q190" i="38" s="1"/>
  <c r="P203" i="37"/>
  <c r="P221" i="37"/>
  <c r="P223" i="37"/>
  <c r="P212" i="37"/>
  <c r="P222" i="37"/>
  <c r="P216" i="37"/>
  <c r="AU131" i="38"/>
  <c r="P142" i="38" s="1"/>
  <c r="Q160" i="38" s="1"/>
  <c r="AI187" i="38"/>
  <c r="F295" i="38" s="1"/>
  <c r="M295" i="38" s="1"/>
  <c r="C321" i="38" s="1"/>
  <c r="AT131" i="38"/>
  <c r="C158" i="38" s="1"/>
  <c r="AG244" i="38"/>
  <c r="AM188" i="38"/>
  <c r="AN188" i="38" s="1"/>
  <c r="AO188" i="38" s="1"/>
  <c r="N202" i="38" s="1"/>
  <c r="AI75" i="38"/>
  <c r="AK132" i="38"/>
  <c r="AL132" i="38"/>
  <c r="AM132" i="38"/>
  <c r="AL243" i="38"/>
  <c r="AR243" i="38" s="1"/>
  <c r="AM243" i="38"/>
  <c r="AS243" i="38" s="1"/>
  <c r="AK243" i="38"/>
  <c r="AQ243" i="38" s="1"/>
  <c r="C379" i="38"/>
  <c r="E320" i="38"/>
  <c r="AD77" i="38"/>
  <c r="AE77" i="38" s="1"/>
  <c r="Q174" i="40" s="1"/>
  <c r="R174" i="40" s="1"/>
  <c r="S174" i="40" s="1"/>
  <c r="AG76" i="38"/>
  <c r="AB245" i="38"/>
  <c r="AA245" i="38"/>
  <c r="AC245" i="38"/>
  <c r="U77" i="38"/>
  <c r="V77" i="38" s="1"/>
  <c r="L174" i="40" s="1"/>
  <c r="M174" i="40" s="1"/>
  <c r="N174" i="40" s="1"/>
  <c r="X76" i="38"/>
  <c r="Y76" i="38" s="1"/>
  <c r="Z76" i="38" s="1"/>
  <c r="AB133" i="38"/>
  <c r="AA133" i="38"/>
  <c r="AC133" i="38"/>
  <c r="R246" i="38"/>
  <c r="S246" i="38"/>
  <c r="Q246" i="38"/>
  <c r="M133" i="38"/>
  <c r="N133" i="38" s="1"/>
  <c r="O133" i="38" s="1"/>
  <c r="P133" i="38" s="1"/>
  <c r="N76" i="38"/>
  <c r="N297" i="36"/>
  <c r="AU131" i="36"/>
  <c r="P142" i="36" s="1"/>
  <c r="Q164" i="36" s="1"/>
  <c r="AT131" i="36"/>
  <c r="C158" i="36" s="1"/>
  <c r="AL132" i="36"/>
  <c r="AM132" i="36"/>
  <c r="AK132" i="36"/>
  <c r="AT246" i="37"/>
  <c r="C273" i="37" s="1"/>
  <c r="AI75" i="12"/>
  <c r="AM132" i="37"/>
  <c r="AK132" i="37"/>
  <c r="AL132" i="37"/>
  <c r="W133" i="12"/>
  <c r="X133" i="12" s="1"/>
  <c r="Y133" i="12" s="1"/>
  <c r="Z133" i="12" s="1"/>
  <c r="W76" i="12"/>
  <c r="AI75" i="36"/>
  <c r="AI75" i="37"/>
  <c r="AD77" i="37"/>
  <c r="AE77" i="37" s="1"/>
  <c r="Q124" i="40" s="1"/>
  <c r="R124" i="40" s="1"/>
  <c r="S124" i="40" s="1"/>
  <c r="AG76" i="37"/>
  <c r="AD77" i="36"/>
  <c r="AE77" i="36" s="1"/>
  <c r="Q74" i="40" s="1"/>
  <c r="R74" i="40" s="1"/>
  <c r="S74" i="40" s="1"/>
  <c r="AG76" i="36"/>
  <c r="C76" i="36"/>
  <c r="D76" i="36" s="1"/>
  <c r="B73" i="40" s="1"/>
  <c r="C73" i="40" s="1"/>
  <c r="D73" i="40" s="1"/>
  <c r="AK132" i="12"/>
  <c r="AM132" i="12"/>
  <c r="AG133" i="12"/>
  <c r="AF76" i="12"/>
  <c r="AU246" i="37"/>
  <c r="P257" i="37" s="1"/>
  <c r="Q275" i="37" s="1"/>
  <c r="N196" i="36"/>
  <c r="O196" i="36" s="1"/>
  <c r="P196" i="36" s="1"/>
  <c r="Q196" i="36" s="1"/>
  <c r="M252" i="36"/>
  <c r="N252" i="36" s="1"/>
  <c r="O252" i="36" s="1"/>
  <c r="P252" i="36" s="1"/>
  <c r="AF196" i="36"/>
  <c r="AG196" i="36" s="1"/>
  <c r="AH196" i="36" s="1"/>
  <c r="AG252" i="36"/>
  <c r="M133" i="36"/>
  <c r="N133" i="36" s="1"/>
  <c r="O133" i="36" s="1"/>
  <c r="P133" i="36" s="1"/>
  <c r="N76" i="36"/>
  <c r="L77" i="36" s="1"/>
  <c r="U191" i="12"/>
  <c r="V191" i="12" s="1"/>
  <c r="X190" i="12"/>
  <c r="Y190" i="12" s="1"/>
  <c r="Z190" i="12" s="1"/>
  <c r="W133" i="36"/>
  <c r="X133" i="36" s="1"/>
  <c r="Y133" i="36" s="1"/>
  <c r="Z133" i="36" s="1"/>
  <c r="W76" i="36"/>
  <c r="U77" i="36" s="1"/>
  <c r="S247" i="37"/>
  <c r="M134" i="37"/>
  <c r="N134" i="37" s="1"/>
  <c r="O134" i="37" s="1"/>
  <c r="P134" i="37" s="1"/>
  <c r="N77" i="37"/>
  <c r="L78" i="37" s="1"/>
  <c r="W192" i="37"/>
  <c r="U193" i="37" s="1"/>
  <c r="V193" i="37" s="1"/>
  <c r="W248" i="37"/>
  <c r="W134" i="37"/>
  <c r="X134" i="37" s="1"/>
  <c r="Y134" i="37" s="1"/>
  <c r="Z134" i="37" s="1"/>
  <c r="W77" i="37"/>
  <c r="U78" i="37" s="1"/>
  <c r="AM251" i="37"/>
  <c r="AK251" i="37"/>
  <c r="AL251" i="37"/>
  <c r="AA247" i="37"/>
  <c r="AC247" i="37"/>
  <c r="AB247" i="37"/>
  <c r="AL251" i="36"/>
  <c r="AK251" i="36"/>
  <c r="AM251" i="36"/>
  <c r="N205" i="12"/>
  <c r="R133" i="12"/>
  <c r="S133" i="12"/>
  <c r="Q133" i="12"/>
  <c r="E407" i="36"/>
  <c r="G407" i="36" s="1"/>
  <c r="E430" i="36"/>
  <c r="G430" i="36" s="1"/>
  <c r="D407" i="37"/>
  <c r="F407" i="37" s="1"/>
  <c r="D430" i="37"/>
  <c r="F430" i="37" s="1"/>
  <c r="Q85" i="38"/>
  <c r="P96" i="38"/>
  <c r="P110" i="38"/>
  <c r="P99" i="38"/>
  <c r="P93" i="38"/>
  <c r="P104" i="38"/>
  <c r="P105" i="38"/>
  <c r="P95" i="38"/>
  <c r="P87" i="38"/>
  <c r="P89" i="38" s="1"/>
  <c r="P103" i="38"/>
  <c r="P97" i="38"/>
  <c r="P94" i="38"/>
  <c r="P108" i="38"/>
  <c r="P107" i="38"/>
  <c r="P106" i="38"/>
  <c r="P109" i="38"/>
  <c r="P102" i="38"/>
  <c r="P101" i="38"/>
  <c r="P92" i="38"/>
  <c r="P98" i="38"/>
  <c r="P100" i="38"/>
  <c r="P111" i="38"/>
  <c r="M298" i="36"/>
  <c r="AO190" i="36"/>
  <c r="P202" i="36" s="1"/>
  <c r="AO75" i="36"/>
  <c r="AO75" i="38"/>
  <c r="E297" i="37"/>
  <c r="N297" i="37" s="1"/>
  <c r="C382" i="37" s="1"/>
  <c r="C298" i="37"/>
  <c r="B382" i="37"/>
  <c r="G70" i="31" s="1"/>
  <c r="C323" i="37"/>
  <c r="AI195" i="36"/>
  <c r="P88" i="37"/>
  <c r="Q85" i="37" s="1"/>
  <c r="P93" i="37"/>
  <c r="P99" i="37"/>
  <c r="P109" i="37"/>
  <c r="P92" i="37"/>
  <c r="P87" i="37"/>
  <c r="P94" i="37"/>
  <c r="P96" i="37"/>
  <c r="P107" i="37"/>
  <c r="P97" i="37"/>
  <c r="P106" i="37"/>
  <c r="P98" i="37"/>
  <c r="P103" i="37"/>
  <c r="P102" i="37"/>
  <c r="P111" i="37"/>
  <c r="P100" i="37"/>
  <c r="P108" i="37"/>
  <c r="P101" i="37"/>
  <c r="P110" i="37"/>
  <c r="P104" i="37"/>
  <c r="P95" i="37"/>
  <c r="P105" i="37"/>
  <c r="AT131" i="37"/>
  <c r="C158" i="37" s="1"/>
  <c r="AU131" i="37"/>
  <c r="P142" i="37" s="1"/>
  <c r="C132" i="37"/>
  <c r="D132" i="37" s="1"/>
  <c r="E132" i="37" s="1"/>
  <c r="F132" i="37" s="1"/>
  <c r="AM75" i="37"/>
  <c r="AN75" i="37" s="1"/>
  <c r="E75" i="37"/>
  <c r="C76" i="37" s="1"/>
  <c r="G132" i="38"/>
  <c r="I132" i="38"/>
  <c r="H132" i="38"/>
  <c r="D76" i="38"/>
  <c r="B173" i="40" s="1"/>
  <c r="C173" i="40" s="1"/>
  <c r="D173" i="40" s="1"/>
  <c r="F75" i="38"/>
  <c r="G75" i="38" s="1"/>
  <c r="H75" i="38" s="1"/>
  <c r="AS75" i="38"/>
  <c r="N77" i="12"/>
  <c r="L78" i="12" s="1"/>
  <c r="E194" i="38"/>
  <c r="C195" i="38" s="1"/>
  <c r="D195" i="38" s="1"/>
  <c r="C250" i="38"/>
  <c r="D250" i="38" s="1"/>
  <c r="E250" i="38" s="1"/>
  <c r="F250" i="38" s="1"/>
  <c r="G247" i="37"/>
  <c r="I247" i="37"/>
  <c r="H247" i="37"/>
  <c r="B146" i="40"/>
  <c r="C146" i="40" s="1"/>
  <c r="D146" i="40" s="1"/>
  <c r="F191" i="37"/>
  <c r="G191" i="37" s="1"/>
  <c r="H191" i="37" s="1"/>
  <c r="P89" i="36"/>
  <c r="E191" i="36"/>
  <c r="C192" i="36" s="1"/>
  <c r="D192" i="36" s="1"/>
  <c r="C247" i="36"/>
  <c r="D247" i="36" s="1"/>
  <c r="E247" i="36" s="1"/>
  <c r="F247" i="36" s="1"/>
  <c r="AM191" i="36"/>
  <c r="AN191" i="36" s="1"/>
  <c r="H246" i="36"/>
  <c r="AR246" i="36" s="1"/>
  <c r="G246" i="36"/>
  <c r="AQ246" i="36" s="1"/>
  <c r="I246" i="36"/>
  <c r="AS246" i="36" s="1"/>
  <c r="AS75" i="36"/>
  <c r="F75" i="36"/>
  <c r="G75" i="36" s="1"/>
  <c r="H75" i="36" s="1"/>
  <c r="G132" i="36"/>
  <c r="I132" i="36"/>
  <c r="H132" i="36"/>
  <c r="AK248" i="12"/>
  <c r="AL248" i="12"/>
  <c r="AM248" i="12"/>
  <c r="N249" i="12"/>
  <c r="O249" i="12" s="1"/>
  <c r="P249" i="12" s="1"/>
  <c r="S249" i="12" s="1"/>
  <c r="AF194" i="12"/>
  <c r="AD195" i="12" s="1"/>
  <c r="AE195" i="12" s="1"/>
  <c r="N194" i="12"/>
  <c r="L195" i="12" s="1"/>
  <c r="M195" i="12" s="1"/>
  <c r="AH193" i="12"/>
  <c r="F245" i="12"/>
  <c r="AU244" i="12"/>
  <c r="N257" i="12" s="1"/>
  <c r="AT244" i="12"/>
  <c r="C271" i="12" s="1"/>
  <c r="AK402" i="4"/>
  <c r="AJ402" i="4"/>
  <c r="AH403" i="4" s="1"/>
  <c r="R741" i="4"/>
  <c r="P742" i="4" s="1"/>
  <c r="S742" i="4" s="1"/>
  <c r="O191" i="37" l="1"/>
  <c r="P191" i="37" s="1"/>
  <c r="Q191" i="37" s="1"/>
  <c r="R247" i="37"/>
  <c r="Q202" i="37"/>
  <c r="Q203" i="37" s="1"/>
  <c r="AI195" i="37"/>
  <c r="AS191" i="37"/>
  <c r="E431" i="37" s="1"/>
  <c r="G431" i="37" s="1"/>
  <c r="E406" i="12"/>
  <c r="G406" i="12" s="1"/>
  <c r="AI196" i="37"/>
  <c r="B44" i="40"/>
  <c r="C44" i="40" s="1"/>
  <c r="D44" i="40" s="1"/>
  <c r="E190" i="12"/>
  <c r="F190" i="12" s="1"/>
  <c r="G190" i="12" s="1"/>
  <c r="H190" i="12" s="1"/>
  <c r="F298" i="12" s="1"/>
  <c r="AM190" i="12"/>
  <c r="AN190" i="12" s="1"/>
  <c r="AO190" i="12" s="1"/>
  <c r="M192" i="37"/>
  <c r="G146" i="40" s="1"/>
  <c r="H146" i="40" s="1"/>
  <c r="I146" i="40" s="1"/>
  <c r="U196" i="36"/>
  <c r="X195" i="36"/>
  <c r="Y195" i="36" s="1"/>
  <c r="Z195" i="36" s="1"/>
  <c r="C246" i="12"/>
  <c r="AD189" i="38"/>
  <c r="AE189" i="38" s="1"/>
  <c r="AG188" i="38"/>
  <c r="AH188" i="38" s="1"/>
  <c r="AH244" i="38" s="1"/>
  <c r="AI244" i="38" s="1"/>
  <c r="AJ244" i="38" s="1"/>
  <c r="P205" i="37"/>
  <c r="Q158" i="38"/>
  <c r="X158" i="38" s="1"/>
  <c r="E298" i="38" s="1"/>
  <c r="N191" i="38"/>
  <c r="O191" i="38" s="1"/>
  <c r="P191" i="38" s="1"/>
  <c r="Q191" i="38" s="1"/>
  <c r="G195" i="40"/>
  <c r="H195" i="40" s="1"/>
  <c r="I195" i="40" s="1"/>
  <c r="W190" i="38"/>
  <c r="X190" i="38" s="1"/>
  <c r="Y190" i="38" s="1"/>
  <c r="Z190" i="38" s="1"/>
  <c r="L194" i="40"/>
  <c r="M194" i="40" s="1"/>
  <c r="N194" i="40" s="1"/>
  <c r="Q162" i="38"/>
  <c r="Q161" i="38"/>
  <c r="Q164" i="38"/>
  <c r="Q159" i="38"/>
  <c r="Q163" i="38"/>
  <c r="AS132" i="38"/>
  <c r="C299" i="38"/>
  <c r="B380" i="38"/>
  <c r="G95" i="31" s="1"/>
  <c r="AR132" i="38"/>
  <c r="Q161" i="36"/>
  <c r="AQ132" i="38"/>
  <c r="AU243" i="38"/>
  <c r="M257" i="38" s="1"/>
  <c r="AT243" i="38"/>
  <c r="C270" i="38" s="1"/>
  <c r="N204" i="38"/>
  <c r="O201" i="38" s="1"/>
  <c r="N222" i="38"/>
  <c r="N209" i="38"/>
  <c r="N215" i="38"/>
  <c r="N211" i="38"/>
  <c r="N220" i="38"/>
  <c r="N224" i="38"/>
  <c r="N203" i="38"/>
  <c r="N217" i="38"/>
  <c r="N218" i="38"/>
  <c r="N210" i="38"/>
  <c r="N213" i="38"/>
  <c r="N223" i="38"/>
  <c r="N227" i="38"/>
  <c r="N216" i="38"/>
  <c r="N208" i="38"/>
  <c r="N226" i="38"/>
  <c r="N219" i="38"/>
  <c r="N212" i="38"/>
  <c r="N221" i="38"/>
  <c r="N214" i="38"/>
  <c r="N225" i="38"/>
  <c r="AH76" i="38"/>
  <c r="AH133" i="38" s="1"/>
  <c r="AI133" i="38" s="1"/>
  <c r="AJ133" i="38" s="1"/>
  <c r="E428" i="38"/>
  <c r="G428" i="38" s="1"/>
  <c r="E405" i="38"/>
  <c r="G405" i="38" s="1"/>
  <c r="AF77" i="38"/>
  <c r="AG134" i="38"/>
  <c r="Q163" i="36"/>
  <c r="W134" i="38"/>
  <c r="X134" i="38" s="1"/>
  <c r="Y134" i="38" s="1"/>
  <c r="Z134" i="38" s="1"/>
  <c r="W77" i="38"/>
  <c r="W246" i="38"/>
  <c r="X246" i="38" s="1"/>
  <c r="Y246" i="38" s="1"/>
  <c r="Z246" i="38" s="1"/>
  <c r="M247" i="38"/>
  <c r="N247" i="38" s="1"/>
  <c r="O247" i="38" s="1"/>
  <c r="P247" i="38" s="1"/>
  <c r="O76" i="38"/>
  <c r="P76" i="38" s="1"/>
  <c r="Q76" i="38" s="1"/>
  <c r="L77" i="38"/>
  <c r="M77" i="38" s="1"/>
  <c r="G174" i="40" s="1"/>
  <c r="H174" i="40" s="1"/>
  <c r="I174" i="40" s="1"/>
  <c r="Q133" i="38"/>
  <c r="R133" i="38"/>
  <c r="S133" i="38"/>
  <c r="Q160" i="36"/>
  <c r="Q158" i="36"/>
  <c r="X158" i="36" s="1"/>
  <c r="E298" i="36" s="1"/>
  <c r="Q159" i="36"/>
  <c r="Q162" i="36"/>
  <c r="AQ132" i="36"/>
  <c r="Q86" i="38"/>
  <c r="Q86" i="36"/>
  <c r="Q88" i="36" s="1"/>
  <c r="R85" i="36" s="1"/>
  <c r="AR132" i="36"/>
  <c r="AS132" i="36"/>
  <c r="AK252" i="37"/>
  <c r="AL252" i="37"/>
  <c r="Q277" i="37"/>
  <c r="Q276" i="37"/>
  <c r="C299" i="36"/>
  <c r="AH252" i="36"/>
  <c r="AI252" i="36" s="1"/>
  <c r="AJ252" i="36" s="1"/>
  <c r="AM252" i="36" s="1"/>
  <c r="Q279" i="37"/>
  <c r="Q278" i="37"/>
  <c r="Q273" i="37"/>
  <c r="X273" i="37" s="1"/>
  <c r="H298" i="37" s="1"/>
  <c r="U77" i="12"/>
  <c r="V77" i="12" s="1"/>
  <c r="L24" i="40" s="1"/>
  <c r="M24" i="40" s="1"/>
  <c r="N24" i="40" s="1"/>
  <c r="X76" i="12"/>
  <c r="Y76" i="12" s="1"/>
  <c r="Z76" i="12" s="1"/>
  <c r="Q274" i="37"/>
  <c r="AH76" i="37"/>
  <c r="AH133" i="37" s="1"/>
  <c r="AI133" i="37" s="1"/>
  <c r="AJ133" i="37" s="1"/>
  <c r="AF77" i="37"/>
  <c r="AG134" i="37"/>
  <c r="AH76" i="36"/>
  <c r="AH133" i="36" s="1"/>
  <c r="AI133" i="36" s="1"/>
  <c r="AJ133" i="36" s="1"/>
  <c r="AG134" i="36"/>
  <c r="AF77" i="36"/>
  <c r="AD77" i="12"/>
  <c r="AE77" i="12" s="1"/>
  <c r="Q24" i="40" s="1"/>
  <c r="R24" i="40" s="1"/>
  <c r="S24" i="40" s="1"/>
  <c r="AG76" i="12"/>
  <c r="AH76" i="12" s="1"/>
  <c r="AH133" i="12" s="1"/>
  <c r="AI133" i="12" s="1"/>
  <c r="AJ133" i="12" s="1"/>
  <c r="AM133" i="12" s="1"/>
  <c r="X192" i="37"/>
  <c r="Y192" i="37" s="1"/>
  <c r="Z192" i="37" s="1"/>
  <c r="F299" i="37"/>
  <c r="V77" i="36"/>
  <c r="L74" i="40" s="1"/>
  <c r="M74" i="40" s="1"/>
  <c r="N74" i="40" s="1"/>
  <c r="X76" i="36"/>
  <c r="Y76" i="36" s="1"/>
  <c r="Z76" i="36" s="1"/>
  <c r="AA133" i="36"/>
  <c r="AB133" i="36"/>
  <c r="AC133" i="36"/>
  <c r="O77" i="37"/>
  <c r="P77" i="37" s="1"/>
  <c r="Q77" i="37" s="1"/>
  <c r="M78" i="37"/>
  <c r="G125" i="40" s="1"/>
  <c r="H125" i="40" s="1"/>
  <c r="I125" i="40" s="1"/>
  <c r="Q134" i="37"/>
  <c r="S134" i="37"/>
  <c r="R134" i="37"/>
  <c r="M77" i="36"/>
  <c r="G74" i="40" s="1"/>
  <c r="H74" i="40" s="1"/>
  <c r="I74" i="40" s="1"/>
  <c r="O76" i="36"/>
  <c r="P76" i="36" s="1"/>
  <c r="Q76" i="36" s="1"/>
  <c r="R133" i="36"/>
  <c r="Q133" i="36"/>
  <c r="S133" i="36"/>
  <c r="V78" i="37"/>
  <c r="L125" i="40" s="1"/>
  <c r="M125" i="40" s="1"/>
  <c r="N125" i="40" s="1"/>
  <c r="X77" i="37"/>
  <c r="Y77" i="37" s="1"/>
  <c r="Z77" i="37" s="1"/>
  <c r="AB134" i="37"/>
  <c r="AC134" i="37"/>
  <c r="AA134" i="37"/>
  <c r="AR247" i="37"/>
  <c r="AS247" i="37"/>
  <c r="AQ247" i="37"/>
  <c r="X248" i="37"/>
  <c r="Y248" i="37" s="1"/>
  <c r="Z248" i="37" s="1"/>
  <c r="L147" i="40"/>
  <c r="M147" i="40" s="1"/>
  <c r="N147" i="40" s="1"/>
  <c r="AA133" i="12"/>
  <c r="AC133" i="12"/>
  <c r="AB133" i="12"/>
  <c r="R252" i="36"/>
  <c r="Q252" i="36"/>
  <c r="S252" i="36"/>
  <c r="O209" i="12"/>
  <c r="O203" i="12"/>
  <c r="O219" i="12"/>
  <c r="O204" i="12"/>
  <c r="P201" i="12" s="1"/>
  <c r="O225" i="12"/>
  <c r="O226" i="12"/>
  <c r="O224" i="12"/>
  <c r="O218" i="12"/>
  <c r="O210" i="12"/>
  <c r="O208" i="12"/>
  <c r="O216" i="12"/>
  <c r="O222" i="12"/>
  <c r="O221" i="12"/>
  <c r="O215" i="12"/>
  <c r="O223" i="12"/>
  <c r="O220" i="12"/>
  <c r="O227" i="12"/>
  <c r="O217" i="12"/>
  <c r="O211" i="12"/>
  <c r="O214" i="12"/>
  <c r="O213" i="12"/>
  <c r="D408" i="38"/>
  <c r="F408" i="38" s="1"/>
  <c r="D431" i="38"/>
  <c r="F431" i="38" s="1"/>
  <c r="D408" i="36"/>
  <c r="F408" i="36" s="1"/>
  <c r="D431" i="36"/>
  <c r="F431" i="36" s="1"/>
  <c r="E323" i="37"/>
  <c r="P204" i="36"/>
  <c r="Q201" i="36" s="1"/>
  <c r="P221" i="36"/>
  <c r="P212" i="36"/>
  <c r="P222" i="36"/>
  <c r="P203" i="36"/>
  <c r="P216" i="36"/>
  <c r="P218" i="36"/>
  <c r="P217" i="36"/>
  <c r="P223" i="36"/>
  <c r="P220" i="36"/>
  <c r="P209" i="36"/>
  <c r="P211" i="36"/>
  <c r="P227" i="36"/>
  <c r="P226" i="36"/>
  <c r="P219" i="36"/>
  <c r="P213" i="36"/>
  <c r="P215" i="36"/>
  <c r="P214" i="36"/>
  <c r="P210" i="36"/>
  <c r="P208" i="36"/>
  <c r="P224" i="36"/>
  <c r="P225" i="36"/>
  <c r="AO191" i="36"/>
  <c r="AO75" i="37"/>
  <c r="M298" i="37"/>
  <c r="P89" i="37"/>
  <c r="AI196" i="36"/>
  <c r="F75" i="37"/>
  <c r="G75" i="37" s="1"/>
  <c r="H75" i="37" s="1"/>
  <c r="D76" i="37"/>
  <c r="B123" i="40" s="1"/>
  <c r="C123" i="40" s="1"/>
  <c r="D123" i="40" s="1"/>
  <c r="AS75" i="37"/>
  <c r="H132" i="37"/>
  <c r="AR132" i="37" s="1"/>
  <c r="I132" i="37"/>
  <c r="AS132" i="37" s="1"/>
  <c r="G132" i="37"/>
  <c r="AQ132" i="37" s="1"/>
  <c r="Q160" i="37"/>
  <c r="Q163" i="37"/>
  <c r="Q162" i="37"/>
  <c r="Q161" i="37"/>
  <c r="Q158" i="37"/>
  <c r="X158" i="37" s="1"/>
  <c r="E298" i="37" s="1"/>
  <c r="Q159" i="37"/>
  <c r="Q164" i="37"/>
  <c r="AM76" i="38"/>
  <c r="AN76" i="38" s="1"/>
  <c r="E76" i="38"/>
  <c r="C77" i="38" s="1"/>
  <c r="C133" i="38"/>
  <c r="D133" i="38" s="1"/>
  <c r="E133" i="38" s="1"/>
  <c r="F133" i="38" s="1"/>
  <c r="N134" i="12"/>
  <c r="O134" i="12" s="1"/>
  <c r="P134" i="12" s="1"/>
  <c r="O77" i="12"/>
  <c r="P77" i="12" s="1"/>
  <c r="Q77" i="12" s="1"/>
  <c r="M78" i="12"/>
  <c r="G250" i="38"/>
  <c r="I250" i="38"/>
  <c r="H250" i="38"/>
  <c r="B199" i="40"/>
  <c r="C199" i="40" s="1"/>
  <c r="D199" i="40" s="1"/>
  <c r="F194" i="38"/>
  <c r="G194" i="38" s="1"/>
  <c r="H194" i="38" s="1"/>
  <c r="C248" i="37"/>
  <c r="D248" i="37" s="1"/>
  <c r="E248" i="37" s="1"/>
  <c r="F248" i="37" s="1"/>
  <c r="E192" i="37"/>
  <c r="C193" i="37" s="1"/>
  <c r="D193" i="37" s="1"/>
  <c r="E323" i="36"/>
  <c r="C382" i="36"/>
  <c r="C324" i="36"/>
  <c r="B383" i="36"/>
  <c r="G44" i="31" s="1"/>
  <c r="F191" i="36"/>
  <c r="G191" i="36" s="1"/>
  <c r="H191" i="36" s="1"/>
  <c r="F299" i="36" s="1"/>
  <c r="B96" i="40"/>
  <c r="C96" i="40" s="1"/>
  <c r="D96" i="40" s="1"/>
  <c r="AS191" i="36"/>
  <c r="AT246" i="36"/>
  <c r="C273" i="36" s="1"/>
  <c r="AU246" i="36"/>
  <c r="P257" i="36" s="1"/>
  <c r="H247" i="36"/>
  <c r="AR247" i="36" s="1"/>
  <c r="G247" i="36"/>
  <c r="AQ247" i="36" s="1"/>
  <c r="I247" i="36"/>
  <c r="AS247" i="36" s="1"/>
  <c r="AM76" i="36"/>
  <c r="AN76" i="36" s="1"/>
  <c r="C133" i="36"/>
  <c r="D133" i="36" s="1"/>
  <c r="E133" i="36" s="1"/>
  <c r="F133" i="36" s="1"/>
  <c r="E76" i="36"/>
  <c r="AI193" i="12"/>
  <c r="Q249" i="12"/>
  <c r="AH249" i="12"/>
  <c r="AI249" i="12" s="1"/>
  <c r="AJ249" i="12" s="1"/>
  <c r="R249" i="12"/>
  <c r="AG194" i="12"/>
  <c r="O194" i="12"/>
  <c r="P194" i="12" s="1"/>
  <c r="Q194" i="12" s="1"/>
  <c r="O278" i="12"/>
  <c r="O271" i="12"/>
  <c r="X271" i="12" s="1"/>
  <c r="H296" i="12" s="1"/>
  <c r="O279" i="12"/>
  <c r="O273" i="12"/>
  <c r="O274" i="12"/>
  <c r="O275" i="12"/>
  <c r="O272" i="12"/>
  <c r="O276" i="12"/>
  <c r="O277" i="12"/>
  <c r="D246" i="12"/>
  <c r="E246" i="12" s="1"/>
  <c r="H245" i="12"/>
  <c r="AR245" i="12" s="1"/>
  <c r="I245" i="12"/>
  <c r="AS245" i="12" s="1"/>
  <c r="G245" i="12"/>
  <c r="AQ245" i="12" s="1"/>
  <c r="AK403" i="4"/>
  <c r="R742" i="4"/>
  <c r="P743" i="4" s="1"/>
  <c r="S743" i="4" s="1"/>
  <c r="AJ403" i="4"/>
  <c r="AH404" i="4" s="1"/>
  <c r="E408" i="37" l="1"/>
  <c r="G408" i="37" s="1"/>
  <c r="Q202" i="36"/>
  <c r="Q216" i="36" s="1"/>
  <c r="AM192" i="37"/>
  <c r="AN192" i="37" s="1"/>
  <c r="AS190" i="12"/>
  <c r="E430" i="12" s="1"/>
  <c r="G430" i="12" s="1"/>
  <c r="M248" i="37"/>
  <c r="N248" i="37" s="1"/>
  <c r="O248" i="37" s="1"/>
  <c r="P248" i="37" s="1"/>
  <c r="S248" i="37" s="1"/>
  <c r="C191" i="12"/>
  <c r="D191" i="12" s="1"/>
  <c r="B45" i="40" s="1"/>
  <c r="C45" i="40" s="1"/>
  <c r="D45" i="40" s="1"/>
  <c r="N192" i="37"/>
  <c r="L193" i="37" s="1"/>
  <c r="V196" i="36"/>
  <c r="W196" i="36" s="1"/>
  <c r="X196" i="36" s="1"/>
  <c r="Y196" i="36" s="1"/>
  <c r="Z196" i="36" s="1"/>
  <c r="P202" i="12"/>
  <c r="P203" i="12" s="1"/>
  <c r="Q204" i="37"/>
  <c r="R201" i="37" s="1"/>
  <c r="Q223" i="37"/>
  <c r="Q225" i="37"/>
  <c r="Q208" i="37"/>
  <c r="Q215" i="37"/>
  <c r="Q211" i="37"/>
  <c r="Q209" i="37"/>
  <c r="Q213" i="37"/>
  <c r="Q227" i="37"/>
  <c r="Q221" i="37"/>
  <c r="Q217" i="37"/>
  <c r="Q224" i="37"/>
  <c r="Q222" i="37"/>
  <c r="Q212" i="37"/>
  <c r="Q210" i="37"/>
  <c r="Q218" i="37"/>
  <c r="Q214" i="37"/>
  <c r="Q219" i="37"/>
  <c r="Q216" i="37"/>
  <c r="Q220" i="37"/>
  <c r="Q226" i="37"/>
  <c r="U191" i="38"/>
  <c r="V191" i="38" s="1"/>
  <c r="L192" i="38"/>
  <c r="M192" i="38" s="1"/>
  <c r="AF189" i="38"/>
  <c r="AD190" i="38" s="1"/>
  <c r="AE190" i="38" s="1"/>
  <c r="Q193" i="40"/>
  <c r="R193" i="40" s="1"/>
  <c r="S193" i="40" s="1"/>
  <c r="AM17" i="40" s="1"/>
  <c r="AG251" i="12"/>
  <c r="Q49" i="40"/>
  <c r="R49" i="40" s="1"/>
  <c r="S49" i="40" s="1"/>
  <c r="M135" i="12"/>
  <c r="G25" i="40"/>
  <c r="H25" i="40" s="1"/>
  <c r="I25" i="40" s="1"/>
  <c r="W247" i="12"/>
  <c r="X247" i="12" s="1"/>
  <c r="Y247" i="12" s="1"/>
  <c r="Z247" i="12" s="1"/>
  <c r="AC247" i="12" s="1"/>
  <c r="L45" i="40"/>
  <c r="M45" i="40" s="1"/>
  <c r="N45" i="40" s="1"/>
  <c r="M251" i="12"/>
  <c r="G49" i="40"/>
  <c r="H49" i="40" s="1"/>
  <c r="I49" i="40" s="1"/>
  <c r="AT132" i="38"/>
  <c r="C159" i="38" s="1"/>
  <c r="AU132" i="38"/>
  <c r="Q142" i="38" s="1"/>
  <c r="R163" i="38" s="1"/>
  <c r="AI188" i="38"/>
  <c r="F296" i="38" s="1"/>
  <c r="M296" i="38" s="1"/>
  <c r="C322" i="38" s="1"/>
  <c r="AI76" i="38"/>
  <c r="N205" i="38"/>
  <c r="AG245" i="38"/>
  <c r="AM189" i="38"/>
  <c r="AN189" i="38" s="1"/>
  <c r="AO189" i="38" s="1"/>
  <c r="O202" i="38" s="1"/>
  <c r="AK133" i="38"/>
  <c r="AL133" i="38"/>
  <c r="AM133" i="38"/>
  <c r="N273" i="38"/>
  <c r="N272" i="38"/>
  <c r="N279" i="38"/>
  <c r="N271" i="38"/>
  <c r="N274" i="38"/>
  <c r="N270" i="38"/>
  <c r="X270" i="38" s="1"/>
  <c r="H295" i="38" s="1"/>
  <c r="N295" i="38" s="1"/>
  <c r="N275" i="38"/>
  <c r="N276" i="38"/>
  <c r="N278" i="38"/>
  <c r="N277" i="38"/>
  <c r="AK244" i="38"/>
  <c r="AQ244" i="38" s="1"/>
  <c r="AM244" i="38"/>
  <c r="AS244" i="38" s="1"/>
  <c r="AL244" i="38"/>
  <c r="AR244" i="38" s="1"/>
  <c r="AD78" i="38"/>
  <c r="AE78" i="38" s="1"/>
  <c r="Q175" i="40" s="1"/>
  <c r="R175" i="40" s="1"/>
  <c r="S175" i="40" s="1"/>
  <c r="AG77" i="38"/>
  <c r="AL252" i="36"/>
  <c r="AB246" i="38"/>
  <c r="AA246" i="38"/>
  <c r="AC246" i="38"/>
  <c r="U78" i="38"/>
  <c r="V78" i="38" s="1"/>
  <c r="L175" i="40" s="1"/>
  <c r="M175" i="40" s="1"/>
  <c r="N175" i="40" s="1"/>
  <c r="X77" i="38"/>
  <c r="Y77" i="38" s="1"/>
  <c r="Z77" i="38" s="1"/>
  <c r="AB134" i="38"/>
  <c r="AA134" i="38"/>
  <c r="AC134" i="38"/>
  <c r="Q247" i="38"/>
  <c r="S247" i="38"/>
  <c r="R247" i="38"/>
  <c r="N77" i="38"/>
  <c r="M134" i="38"/>
  <c r="N134" i="38" s="1"/>
  <c r="O134" i="38" s="1"/>
  <c r="P134" i="38" s="1"/>
  <c r="Q107" i="36"/>
  <c r="Q95" i="36"/>
  <c r="Q106" i="36"/>
  <c r="Q111" i="36"/>
  <c r="Q96" i="36"/>
  <c r="Q93" i="36"/>
  <c r="Q104" i="36"/>
  <c r="Q109" i="36"/>
  <c r="Q105" i="36"/>
  <c r="Q98" i="36"/>
  <c r="Q92" i="36"/>
  <c r="Q94" i="36"/>
  <c r="Q101" i="36"/>
  <c r="Q110" i="36"/>
  <c r="Q103" i="36"/>
  <c r="Q99" i="36"/>
  <c r="Q87" i="36"/>
  <c r="Q89" i="36" s="1"/>
  <c r="Q100" i="36"/>
  <c r="Q108" i="36"/>
  <c r="Q102" i="36"/>
  <c r="Q97" i="36"/>
  <c r="AU132" i="36"/>
  <c r="Q142" i="36" s="1"/>
  <c r="R163" i="36" s="1"/>
  <c r="AT132" i="36"/>
  <c r="C159" i="36" s="1"/>
  <c r="Q86" i="37"/>
  <c r="Q95" i="37" s="1"/>
  <c r="AI76" i="12"/>
  <c r="AK133" i="12"/>
  <c r="N298" i="37"/>
  <c r="C383" i="37" s="1"/>
  <c r="AK133" i="36"/>
  <c r="AL133" i="36"/>
  <c r="AM133" i="36"/>
  <c r="AK252" i="36"/>
  <c r="AL133" i="12"/>
  <c r="AK133" i="37"/>
  <c r="AM133" i="37"/>
  <c r="AL133" i="37"/>
  <c r="W134" i="12"/>
  <c r="X134" i="12" s="1"/>
  <c r="Y134" i="12" s="1"/>
  <c r="Z134" i="12" s="1"/>
  <c r="W77" i="12"/>
  <c r="AI76" i="36"/>
  <c r="AI76" i="37"/>
  <c r="AD78" i="37"/>
  <c r="AE78" i="37" s="1"/>
  <c r="Q125" i="40" s="1"/>
  <c r="R125" i="40" s="1"/>
  <c r="S125" i="40" s="1"/>
  <c r="AG77" i="37"/>
  <c r="AD78" i="36"/>
  <c r="AE78" i="36" s="1"/>
  <c r="Q75" i="40" s="1"/>
  <c r="R75" i="40" s="1"/>
  <c r="S75" i="40" s="1"/>
  <c r="AG77" i="36"/>
  <c r="C77" i="36"/>
  <c r="D77" i="36" s="1"/>
  <c r="B74" i="40" s="1"/>
  <c r="C74" i="40" s="1"/>
  <c r="D74" i="40" s="1"/>
  <c r="AG134" i="12"/>
  <c r="AF77" i="12"/>
  <c r="W191" i="12"/>
  <c r="Q248" i="37"/>
  <c r="W193" i="37"/>
  <c r="U194" i="37" s="1"/>
  <c r="V194" i="37" s="1"/>
  <c r="W249" i="37"/>
  <c r="W134" i="36"/>
  <c r="X134" i="36" s="1"/>
  <c r="Y134" i="36" s="1"/>
  <c r="Z134" i="36" s="1"/>
  <c r="W77" i="36"/>
  <c r="U78" i="36" s="1"/>
  <c r="M134" i="36"/>
  <c r="N134" i="36" s="1"/>
  <c r="O134" i="36" s="1"/>
  <c r="P134" i="36" s="1"/>
  <c r="N77" i="36"/>
  <c r="L78" i="36" s="1"/>
  <c r="M135" i="37"/>
  <c r="N135" i="37" s="1"/>
  <c r="O135" i="37" s="1"/>
  <c r="P135" i="37" s="1"/>
  <c r="N78" i="37"/>
  <c r="L79" i="37" s="1"/>
  <c r="W135" i="37"/>
  <c r="X135" i="37" s="1"/>
  <c r="Y135" i="37" s="1"/>
  <c r="Z135" i="37" s="1"/>
  <c r="W78" i="37"/>
  <c r="U79" i="37" s="1"/>
  <c r="AU247" i="37"/>
  <c r="Q257" i="37" s="1"/>
  <c r="R278" i="37" s="1"/>
  <c r="AT247" i="37"/>
  <c r="C274" i="37" s="1"/>
  <c r="AC248" i="37"/>
  <c r="AA248" i="37"/>
  <c r="AB248" i="37"/>
  <c r="O205" i="12"/>
  <c r="R134" i="12"/>
  <c r="Q134" i="12"/>
  <c r="S134" i="12"/>
  <c r="E408" i="36"/>
  <c r="G408" i="36" s="1"/>
  <c r="E431" i="36"/>
  <c r="G431" i="36" s="1"/>
  <c r="D408" i="37"/>
  <c r="F408" i="37" s="1"/>
  <c r="D431" i="37"/>
  <c r="F431" i="37" s="1"/>
  <c r="P205" i="36"/>
  <c r="Q88" i="38"/>
  <c r="R85" i="38" s="1"/>
  <c r="Q100" i="38"/>
  <c r="Q96" i="38"/>
  <c r="Q92" i="38"/>
  <c r="Q102" i="38"/>
  <c r="Q93" i="38"/>
  <c r="Q105" i="38"/>
  <c r="Q99" i="38"/>
  <c r="Q95" i="38"/>
  <c r="Q97" i="38"/>
  <c r="Q110" i="38"/>
  <c r="Q101" i="38"/>
  <c r="Q111" i="38"/>
  <c r="Q103" i="38"/>
  <c r="Q94" i="38"/>
  <c r="Q106" i="38"/>
  <c r="Q107" i="38"/>
  <c r="Q108" i="38"/>
  <c r="Q104" i="38"/>
  <c r="Q98" i="38"/>
  <c r="Q87" i="38"/>
  <c r="Q109" i="38"/>
  <c r="M299" i="36"/>
  <c r="AO76" i="36"/>
  <c r="R86" i="36" s="1"/>
  <c r="AO76" i="38"/>
  <c r="AO192" i="37"/>
  <c r="C324" i="37"/>
  <c r="B383" i="37"/>
  <c r="G71" i="31" s="1"/>
  <c r="C299" i="37"/>
  <c r="H133" i="38"/>
  <c r="I133" i="38"/>
  <c r="G133" i="38"/>
  <c r="E76" i="37"/>
  <c r="C77" i="37" s="1"/>
  <c r="C133" i="37"/>
  <c r="D133" i="37" s="1"/>
  <c r="E133" i="37" s="1"/>
  <c r="F133" i="37" s="1"/>
  <c r="AM76" i="37"/>
  <c r="AN76" i="37" s="1"/>
  <c r="AS76" i="38"/>
  <c r="D77" i="38"/>
  <c r="B174" i="40" s="1"/>
  <c r="C174" i="40" s="1"/>
  <c r="D174" i="40" s="1"/>
  <c r="F76" i="38"/>
  <c r="G76" i="38" s="1"/>
  <c r="H76" i="38" s="1"/>
  <c r="AU132" i="37"/>
  <c r="Q142" i="37" s="1"/>
  <c r="AT132" i="37"/>
  <c r="C159" i="37" s="1"/>
  <c r="N78" i="12"/>
  <c r="L79" i="12" s="1"/>
  <c r="E195" i="38"/>
  <c r="C196" i="38" s="1"/>
  <c r="D196" i="38" s="1"/>
  <c r="C251" i="38"/>
  <c r="D251" i="38" s="1"/>
  <c r="E251" i="38" s="1"/>
  <c r="F251" i="38" s="1"/>
  <c r="B147" i="40"/>
  <c r="C147" i="40" s="1"/>
  <c r="D147" i="40" s="1"/>
  <c r="F192" i="37"/>
  <c r="G192" i="37" s="1"/>
  <c r="H192" i="37" s="1"/>
  <c r="H248" i="37"/>
  <c r="I248" i="37"/>
  <c r="G248" i="37"/>
  <c r="E192" i="36"/>
  <c r="C193" i="36" s="1"/>
  <c r="D193" i="36" s="1"/>
  <c r="C248" i="36"/>
  <c r="D248" i="36" s="1"/>
  <c r="E248" i="36" s="1"/>
  <c r="F248" i="36" s="1"/>
  <c r="AM192" i="36"/>
  <c r="AN192" i="36" s="1"/>
  <c r="I133" i="36"/>
  <c r="H133" i="36"/>
  <c r="G133" i="36"/>
  <c r="AT247" i="36"/>
  <c r="C274" i="36" s="1"/>
  <c r="AU247" i="36"/>
  <c r="Q257" i="36" s="1"/>
  <c r="AS76" i="36"/>
  <c r="F76" i="36"/>
  <c r="G76" i="36" s="1"/>
  <c r="H76" i="36" s="1"/>
  <c r="Q278" i="36"/>
  <c r="Q273" i="36"/>
  <c r="X273" i="36" s="1"/>
  <c r="H298" i="36" s="1"/>
  <c r="N298" i="36" s="1"/>
  <c r="Q275" i="36"/>
  <c r="Q276" i="36"/>
  <c r="Q277" i="36"/>
  <c r="Q279" i="36"/>
  <c r="Q274" i="36"/>
  <c r="AL249" i="12"/>
  <c r="AK249" i="12"/>
  <c r="AM249" i="12"/>
  <c r="N250" i="12"/>
  <c r="O250" i="12" s="1"/>
  <c r="P250" i="12" s="1"/>
  <c r="AH194" i="12"/>
  <c r="AF195" i="12"/>
  <c r="AD196" i="12" s="1"/>
  <c r="AE196" i="12" s="1"/>
  <c r="N195" i="12"/>
  <c r="L196" i="12" s="1"/>
  <c r="M196" i="12" s="1"/>
  <c r="AT245" i="12"/>
  <c r="C272" i="12" s="1"/>
  <c r="AU245" i="12"/>
  <c r="O257" i="12" s="1"/>
  <c r="F246" i="12"/>
  <c r="AK404" i="4"/>
  <c r="AJ404" i="4"/>
  <c r="AK405" i="4" s="1"/>
  <c r="R743" i="4"/>
  <c r="P744" i="4" s="1"/>
  <c r="S744" i="4" s="1"/>
  <c r="R248" i="37" l="1"/>
  <c r="R202" i="37"/>
  <c r="R217" i="37" s="1"/>
  <c r="E407" i="12"/>
  <c r="G407" i="12" s="1"/>
  <c r="Q205" i="37"/>
  <c r="AS192" i="37"/>
  <c r="E432" i="37" s="1"/>
  <c r="G432" i="37" s="1"/>
  <c r="O192" i="37"/>
  <c r="P192" i="37" s="1"/>
  <c r="Q192" i="37" s="1"/>
  <c r="F300" i="37" s="1"/>
  <c r="C247" i="12"/>
  <c r="D247" i="12" s="1"/>
  <c r="E247" i="12" s="1"/>
  <c r="AM191" i="12"/>
  <c r="AN191" i="12" s="1"/>
  <c r="AO191" i="12" s="1"/>
  <c r="E191" i="12"/>
  <c r="F191" i="12" s="1"/>
  <c r="G191" i="12" s="1"/>
  <c r="H191" i="12" s="1"/>
  <c r="M193" i="37"/>
  <c r="G147" i="40" s="1"/>
  <c r="H147" i="40" s="1"/>
  <c r="I147" i="40" s="1"/>
  <c r="L100" i="40"/>
  <c r="M100" i="40" s="1"/>
  <c r="N100" i="40" s="1"/>
  <c r="W252" i="36"/>
  <c r="X252" i="36" s="1"/>
  <c r="Y252" i="36" s="1"/>
  <c r="Z252" i="36" s="1"/>
  <c r="AS189" i="38"/>
  <c r="E429" i="38" s="1"/>
  <c r="G429" i="38" s="1"/>
  <c r="AG189" i="38"/>
  <c r="AH189" i="38" s="1"/>
  <c r="AH245" i="38" s="1"/>
  <c r="AI245" i="38" s="1"/>
  <c r="AJ245" i="38" s="1"/>
  <c r="N192" i="38"/>
  <c r="L193" i="38" s="1"/>
  <c r="M193" i="38" s="1"/>
  <c r="G196" i="40"/>
  <c r="H196" i="40" s="1"/>
  <c r="I196" i="40" s="1"/>
  <c r="AB247" i="12"/>
  <c r="W191" i="38"/>
  <c r="U192" i="38" s="1"/>
  <c r="V192" i="38" s="1"/>
  <c r="L195" i="40"/>
  <c r="M195" i="40" s="1"/>
  <c r="N195" i="40" s="1"/>
  <c r="AA247" i="12"/>
  <c r="R162" i="38"/>
  <c r="R161" i="38"/>
  <c r="R159" i="38"/>
  <c r="X159" i="38" s="1"/>
  <c r="E299" i="38" s="1"/>
  <c r="C300" i="38"/>
  <c r="R164" i="38"/>
  <c r="R160" i="38"/>
  <c r="AR133" i="38"/>
  <c r="AQ133" i="38"/>
  <c r="AS133" i="38"/>
  <c r="B381" i="38"/>
  <c r="G96" i="31" s="1"/>
  <c r="E321" i="38"/>
  <c r="C380" i="38"/>
  <c r="AU244" i="38"/>
  <c r="N257" i="38" s="1"/>
  <c r="AT244" i="38"/>
  <c r="C271" i="38" s="1"/>
  <c r="O223" i="38"/>
  <c r="O227" i="38"/>
  <c r="O225" i="38"/>
  <c r="O214" i="38"/>
  <c r="O215" i="38"/>
  <c r="O216" i="38"/>
  <c r="O217" i="38"/>
  <c r="O211" i="38"/>
  <c r="O203" i="38"/>
  <c r="O210" i="38"/>
  <c r="O221" i="38"/>
  <c r="O224" i="38"/>
  <c r="O209" i="38"/>
  <c r="O213" i="38"/>
  <c r="O219" i="38"/>
  <c r="O226" i="38"/>
  <c r="O208" i="38"/>
  <c r="O220" i="38"/>
  <c r="O212" i="38"/>
  <c r="O218" i="38"/>
  <c r="O222" i="38"/>
  <c r="O204" i="38"/>
  <c r="AH77" i="38"/>
  <c r="AH134" i="38" s="1"/>
  <c r="AI134" i="38" s="1"/>
  <c r="AJ134" i="38" s="1"/>
  <c r="AF78" i="38"/>
  <c r="AG135" i="38"/>
  <c r="W247" i="38"/>
  <c r="X247" i="38" s="1"/>
  <c r="Y247" i="38" s="1"/>
  <c r="Z247" i="38" s="1"/>
  <c r="W135" i="38"/>
  <c r="X135" i="38" s="1"/>
  <c r="Y135" i="38" s="1"/>
  <c r="Z135" i="38" s="1"/>
  <c r="W78" i="38"/>
  <c r="R134" i="38"/>
  <c r="S134" i="38"/>
  <c r="Q134" i="38"/>
  <c r="L78" i="38"/>
  <c r="M78" i="38" s="1"/>
  <c r="G175" i="40" s="1"/>
  <c r="H175" i="40" s="1"/>
  <c r="I175" i="40" s="1"/>
  <c r="O77" i="38"/>
  <c r="P77" i="38" s="1"/>
  <c r="Q77" i="38" s="1"/>
  <c r="M248" i="38"/>
  <c r="N248" i="38" s="1"/>
  <c r="O248" i="38" s="1"/>
  <c r="P248" i="38" s="1"/>
  <c r="R160" i="36"/>
  <c r="R159" i="36"/>
  <c r="X159" i="36" s="1"/>
  <c r="E299" i="36" s="1"/>
  <c r="R161" i="36"/>
  <c r="R162" i="36"/>
  <c r="AS133" i="36"/>
  <c r="R164" i="36"/>
  <c r="AR133" i="36"/>
  <c r="Q94" i="37"/>
  <c r="Q93" i="37"/>
  <c r="Q100" i="37"/>
  <c r="Q111" i="37"/>
  <c r="Q110" i="37"/>
  <c r="Q92" i="37"/>
  <c r="Q88" i="37"/>
  <c r="R85" i="37" s="1"/>
  <c r="Q109" i="37"/>
  <c r="Q103" i="37"/>
  <c r="Q98" i="37"/>
  <c r="Q96" i="37"/>
  <c r="Q102" i="37"/>
  <c r="Q106" i="37"/>
  <c r="Q101" i="37"/>
  <c r="Q107" i="37"/>
  <c r="Q99" i="37"/>
  <c r="Q104" i="37"/>
  <c r="Q105" i="37"/>
  <c r="Q108" i="37"/>
  <c r="Q97" i="37"/>
  <c r="Q87" i="37"/>
  <c r="E324" i="37"/>
  <c r="AQ133" i="36"/>
  <c r="R86" i="38"/>
  <c r="R88" i="38" s="1"/>
  <c r="C300" i="36"/>
  <c r="U78" i="12"/>
  <c r="V78" i="12" s="1"/>
  <c r="L25" i="40" s="1"/>
  <c r="M25" i="40" s="1"/>
  <c r="N25" i="40" s="1"/>
  <c r="X77" i="12"/>
  <c r="Y77" i="12" s="1"/>
  <c r="Z77" i="12" s="1"/>
  <c r="AH77" i="37"/>
  <c r="AH134" i="37" s="1"/>
  <c r="AI134" i="37" s="1"/>
  <c r="AJ134" i="37" s="1"/>
  <c r="AF78" i="37"/>
  <c r="AG135" i="37"/>
  <c r="AH77" i="36"/>
  <c r="AH134" i="36" s="1"/>
  <c r="AI134" i="36" s="1"/>
  <c r="AJ134" i="36" s="1"/>
  <c r="AG135" i="36"/>
  <c r="AF78" i="36"/>
  <c r="AD78" i="12"/>
  <c r="AE78" i="12" s="1"/>
  <c r="Q25" i="40" s="1"/>
  <c r="R25" i="40" s="1"/>
  <c r="S25" i="40" s="1"/>
  <c r="AG77" i="12"/>
  <c r="AH77" i="12" s="1"/>
  <c r="AH134" i="12" s="1"/>
  <c r="AI134" i="12" s="1"/>
  <c r="AJ134" i="12" s="1"/>
  <c r="AL134" i="12" s="1"/>
  <c r="V78" i="36"/>
  <c r="L75" i="40" s="1"/>
  <c r="M75" i="40" s="1"/>
  <c r="N75" i="40" s="1"/>
  <c r="X77" i="36"/>
  <c r="Y77" i="36" s="1"/>
  <c r="Z77" i="36" s="1"/>
  <c r="O78" i="37"/>
  <c r="P78" i="37" s="1"/>
  <c r="Q78" i="37" s="1"/>
  <c r="M79" i="37"/>
  <c r="G126" i="40" s="1"/>
  <c r="H126" i="40" s="1"/>
  <c r="I126" i="40" s="1"/>
  <c r="X193" i="37"/>
  <c r="Y193" i="37" s="1"/>
  <c r="Z193" i="37" s="1"/>
  <c r="R135" i="37"/>
  <c r="Q135" i="37"/>
  <c r="S135" i="37"/>
  <c r="AC134" i="36"/>
  <c r="AA134" i="36"/>
  <c r="AB134" i="36"/>
  <c r="M78" i="36"/>
  <c r="G75" i="40" s="1"/>
  <c r="H75" i="40" s="1"/>
  <c r="I75" i="40" s="1"/>
  <c r="O77" i="36"/>
  <c r="P77" i="36" s="1"/>
  <c r="Q77" i="36" s="1"/>
  <c r="R134" i="36"/>
  <c r="Q134" i="36"/>
  <c r="S134" i="36"/>
  <c r="U192" i="12"/>
  <c r="V192" i="12" s="1"/>
  <c r="X191" i="12"/>
  <c r="Y191" i="12" s="1"/>
  <c r="Z191" i="12" s="1"/>
  <c r="X78" i="37"/>
  <c r="Y78" i="37" s="1"/>
  <c r="Z78" i="37" s="1"/>
  <c r="V79" i="37"/>
  <c r="L126" i="40" s="1"/>
  <c r="M126" i="40" s="1"/>
  <c r="N126" i="40" s="1"/>
  <c r="AA135" i="37"/>
  <c r="AC135" i="37"/>
  <c r="AB135" i="37"/>
  <c r="R279" i="37"/>
  <c r="R275" i="37"/>
  <c r="R276" i="37"/>
  <c r="R274" i="37"/>
  <c r="X274" i="37" s="1"/>
  <c r="H299" i="37" s="1"/>
  <c r="R277" i="37"/>
  <c r="AR248" i="37"/>
  <c r="AS248" i="37"/>
  <c r="AQ248" i="37"/>
  <c r="X249" i="37"/>
  <c r="Y249" i="37" s="1"/>
  <c r="Z249" i="37" s="1"/>
  <c r="L148" i="40"/>
  <c r="M148" i="40" s="1"/>
  <c r="N148" i="40" s="1"/>
  <c r="AC134" i="12"/>
  <c r="AB134" i="12"/>
  <c r="AA134" i="12"/>
  <c r="P213" i="12"/>
  <c r="P204" i="12"/>
  <c r="Q201" i="12" s="1"/>
  <c r="P209" i="12"/>
  <c r="P214" i="12"/>
  <c r="P227" i="12"/>
  <c r="P218" i="12"/>
  <c r="P215" i="12"/>
  <c r="P223" i="12"/>
  <c r="P220" i="12"/>
  <c r="P212" i="12"/>
  <c r="P219" i="12"/>
  <c r="P222" i="12"/>
  <c r="P210" i="12"/>
  <c r="P216" i="12"/>
  <c r="P217" i="12"/>
  <c r="P224" i="12"/>
  <c r="P226" i="12"/>
  <c r="P221" i="12"/>
  <c r="P208" i="12"/>
  <c r="P225" i="12"/>
  <c r="P211" i="12"/>
  <c r="Q210" i="36"/>
  <c r="Q220" i="36"/>
  <c r="Q218" i="36"/>
  <c r="Q219" i="36"/>
  <c r="Q204" i="36"/>
  <c r="R201" i="36" s="1"/>
  <c r="Q227" i="36"/>
  <c r="Q224" i="36"/>
  <c r="Q225" i="36"/>
  <c r="Q223" i="36"/>
  <c r="Q217" i="36"/>
  <c r="Q203" i="36"/>
  <c r="Q221" i="36"/>
  <c r="Q215" i="36"/>
  <c r="Q213" i="36"/>
  <c r="Q211" i="36"/>
  <c r="Q208" i="36"/>
  <c r="Q222" i="36"/>
  <c r="Q212" i="36"/>
  <c r="Q226" i="36"/>
  <c r="Q209" i="36"/>
  <c r="Q214" i="36"/>
  <c r="D409" i="36"/>
  <c r="F409" i="36" s="1"/>
  <c r="D432" i="36"/>
  <c r="F432" i="36" s="1"/>
  <c r="Q89" i="38"/>
  <c r="D409" i="38"/>
  <c r="F409" i="38" s="1"/>
  <c r="D432" i="38"/>
  <c r="F432" i="38" s="1"/>
  <c r="AO192" i="36"/>
  <c r="AO76" i="37"/>
  <c r="M299" i="37"/>
  <c r="G133" i="37"/>
  <c r="AQ133" i="37" s="1"/>
  <c r="H133" i="37"/>
  <c r="AR133" i="37" s="1"/>
  <c r="I133" i="37"/>
  <c r="AS133" i="37" s="1"/>
  <c r="D77" i="37"/>
  <c r="B124" i="40" s="1"/>
  <c r="C124" i="40" s="1"/>
  <c r="D124" i="40" s="1"/>
  <c r="AS76" i="37"/>
  <c r="F76" i="37"/>
  <c r="G76" i="37" s="1"/>
  <c r="H76" i="37" s="1"/>
  <c r="C300" i="37" s="1"/>
  <c r="R160" i="37"/>
  <c r="R159" i="37"/>
  <c r="X159" i="37" s="1"/>
  <c r="R161" i="37"/>
  <c r="R163" i="37"/>
  <c r="R162" i="37"/>
  <c r="R164" i="37"/>
  <c r="E77" i="38"/>
  <c r="C78" i="38" s="1"/>
  <c r="AM77" i="38"/>
  <c r="AN77" i="38" s="1"/>
  <c r="C134" i="38"/>
  <c r="D134" i="38" s="1"/>
  <c r="E134" i="38" s="1"/>
  <c r="F134" i="38" s="1"/>
  <c r="O78" i="12"/>
  <c r="P78" i="12" s="1"/>
  <c r="Q78" i="12" s="1"/>
  <c r="N135" i="12"/>
  <c r="O135" i="12" s="1"/>
  <c r="P135" i="12" s="1"/>
  <c r="M79" i="12"/>
  <c r="F195" i="38"/>
  <c r="G195" i="38" s="1"/>
  <c r="H195" i="38" s="1"/>
  <c r="B200" i="40"/>
  <c r="C200" i="40" s="1"/>
  <c r="D200" i="40" s="1"/>
  <c r="G251" i="38"/>
  <c r="H251" i="38"/>
  <c r="I251" i="38"/>
  <c r="R216" i="37"/>
  <c r="R227" i="37"/>
  <c r="R223" i="37"/>
  <c r="R218" i="37"/>
  <c r="R213" i="37"/>
  <c r="R219" i="37"/>
  <c r="R220" i="37"/>
  <c r="R224" i="37"/>
  <c r="R208" i="37"/>
  <c r="R226" i="37"/>
  <c r="R212" i="37"/>
  <c r="C249" i="37"/>
  <c r="D249" i="37" s="1"/>
  <c r="E249" i="37" s="1"/>
  <c r="F249" i="37" s="1"/>
  <c r="E193" i="37"/>
  <c r="C194" i="37" s="1"/>
  <c r="D194" i="37" s="1"/>
  <c r="C325" i="36"/>
  <c r="B384" i="36"/>
  <c r="G45" i="31" s="1"/>
  <c r="E77" i="36"/>
  <c r="AM77" i="36"/>
  <c r="AN77" i="36" s="1"/>
  <c r="C134" i="36"/>
  <c r="D134" i="36" s="1"/>
  <c r="E134" i="36" s="1"/>
  <c r="F134" i="36" s="1"/>
  <c r="H248" i="36"/>
  <c r="AR248" i="36" s="1"/>
  <c r="G248" i="36"/>
  <c r="AQ248" i="36" s="1"/>
  <c r="I248" i="36"/>
  <c r="AS248" i="36" s="1"/>
  <c r="R88" i="36"/>
  <c r="S85" i="36" s="1"/>
  <c r="R95" i="36"/>
  <c r="R96" i="36"/>
  <c r="R101" i="36"/>
  <c r="R110" i="36"/>
  <c r="R97" i="36"/>
  <c r="R99" i="36"/>
  <c r="R98" i="36"/>
  <c r="R105" i="36"/>
  <c r="R87" i="36"/>
  <c r="R108" i="36"/>
  <c r="R109" i="36"/>
  <c r="R94" i="36"/>
  <c r="R111" i="36"/>
  <c r="R103" i="36"/>
  <c r="R104" i="36"/>
  <c r="R102" i="36"/>
  <c r="R93" i="36"/>
  <c r="R100" i="36"/>
  <c r="R106" i="36"/>
  <c r="R92" i="36"/>
  <c r="R107" i="36"/>
  <c r="R278" i="36"/>
  <c r="R275" i="36"/>
  <c r="R279" i="36"/>
  <c r="R274" i="36"/>
  <c r="X274" i="36" s="1"/>
  <c r="H299" i="36" s="1"/>
  <c r="R276" i="36"/>
  <c r="R277" i="36"/>
  <c r="B97" i="40"/>
  <c r="C97" i="40" s="1"/>
  <c r="D97" i="40" s="1"/>
  <c r="F192" i="36"/>
  <c r="G192" i="36" s="1"/>
  <c r="H192" i="36" s="1"/>
  <c r="F300" i="36" s="1"/>
  <c r="AS192" i="36"/>
  <c r="R250" i="12"/>
  <c r="Q250" i="12"/>
  <c r="S250" i="12"/>
  <c r="AH250" i="12"/>
  <c r="AI250" i="12" s="1"/>
  <c r="AJ250" i="12" s="1"/>
  <c r="AG195" i="12"/>
  <c r="AI194" i="12"/>
  <c r="O195" i="12"/>
  <c r="P195" i="12" s="1"/>
  <c r="Q195" i="12" s="1"/>
  <c r="G246" i="12"/>
  <c r="AQ246" i="12" s="1"/>
  <c r="H246" i="12"/>
  <c r="AR246" i="12" s="1"/>
  <c r="I246" i="12"/>
  <c r="AS246" i="12" s="1"/>
  <c r="P274" i="12"/>
  <c r="P275" i="12"/>
  <c r="P272" i="12"/>
  <c r="X272" i="12" s="1"/>
  <c r="H297" i="12" s="1"/>
  <c r="P273" i="12"/>
  <c r="P277" i="12"/>
  <c r="P278" i="12"/>
  <c r="P279" i="12"/>
  <c r="P276" i="12"/>
  <c r="R744" i="4"/>
  <c r="P745" i="4" s="1"/>
  <c r="S745" i="4" s="1"/>
  <c r="R203" i="37" l="1"/>
  <c r="R221" i="37"/>
  <c r="R222" i="37"/>
  <c r="R214" i="37"/>
  <c r="R225" i="37"/>
  <c r="R209" i="37"/>
  <c r="R204" i="37"/>
  <c r="R205" i="37" s="1"/>
  <c r="R211" i="37"/>
  <c r="R215" i="37"/>
  <c r="R210" i="37"/>
  <c r="E409" i="37"/>
  <c r="G409" i="37" s="1"/>
  <c r="R202" i="36"/>
  <c r="R220" i="36" s="1"/>
  <c r="AS191" i="12"/>
  <c r="E408" i="12" s="1"/>
  <c r="G408" i="12" s="1"/>
  <c r="F299" i="12"/>
  <c r="AM193" i="37"/>
  <c r="AN193" i="37" s="1"/>
  <c r="AO193" i="37" s="1"/>
  <c r="C192" i="12"/>
  <c r="D192" i="12" s="1"/>
  <c r="B46" i="40" s="1"/>
  <c r="C46" i="40" s="1"/>
  <c r="D46" i="40" s="1"/>
  <c r="M249" i="37"/>
  <c r="N249" i="37" s="1"/>
  <c r="O249" i="37" s="1"/>
  <c r="P249" i="37" s="1"/>
  <c r="Q249" i="37" s="1"/>
  <c r="N193" i="37"/>
  <c r="O193" i="37" s="1"/>
  <c r="P193" i="37" s="1"/>
  <c r="Q193" i="37" s="1"/>
  <c r="Q202" i="12"/>
  <c r="Q212" i="12" s="1"/>
  <c r="E406" i="38"/>
  <c r="G406" i="38" s="1"/>
  <c r="O192" i="38"/>
  <c r="P192" i="38" s="1"/>
  <c r="Q192" i="38" s="1"/>
  <c r="X191" i="38"/>
  <c r="Y191" i="38" s="1"/>
  <c r="Z191" i="38" s="1"/>
  <c r="M136" i="12"/>
  <c r="G26" i="40"/>
  <c r="H26" i="40" s="1"/>
  <c r="I26" i="40" s="1"/>
  <c r="M252" i="12"/>
  <c r="G50" i="40"/>
  <c r="H50" i="40" s="1"/>
  <c r="I50" i="40" s="1"/>
  <c r="AG252" i="12"/>
  <c r="Q50" i="40"/>
  <c r="R50" i="40" s="1"/>
  <c r="S50" i="40" s="1"/>
  <c r="AF190" i="38"/>
  <c r="AS190" i="38" s="1"/>
  <c r="Q194" i="40"/>
  <c r="R194" i="40" s="1"/>
  <c r="S194" i="40" s="1"/>
  <c r="AM18" i="40" s="1"/>
  <c r="AU133" i="38"/>
  <c r="R142" i="38" s="1"/>
  <c r="S163" i="38" s="1"/>
  <c r="AT133" i="38"/>
  <c r="C160" i="38" s="1"/>
  <c r="AI77" i="38"/>
  <c r="AG246" i="38"/>
  <c r="AM190" i="38"/>
  <c r="AN190" i="38" s="1"/>
  <c r="AO190" i="38" s="1"/>
  <c r="AL134" i="38"/>
  <c r="AK134" i="38"/>
  <c r="AM134" i="38"/>
  <c r="AI189" i="38"/>
  <c r="F297" i="38" s="1"/>
  <c r="M297" i="38" s="1"/>
  <c r="AM245" i="38"/>
  <c r="AS245" i="38" s="1"/>
  <c r="AL245" i="38"/>
  <c r="AR245" i="38" s="1"/>
  <c r="AK245" i="38"/>
  <c r="AQ245" i="38" s="1"/>
  <c r="P201" i="38"/>
  <c r="P202" i="38" s="1"/>
  <c r="O205" i="38"/>
  <c r="O278" i="38"/>
  <c r="O276" i="38"/>
  <c r="O273" i="38"/>
  <c r="O275" i="38"/>
  <c r="O279" i="38"/>
  <c r="O274" i="38"/>
  <c r="O271" i="38"/>
  <c r="X271" i="38" s="1"/>
  <c r="H296" i="38" s="1"/>
  <c r="N296" i="38" s="1"/>
  <c r="O272" i="38"/>
  <c r="O277" i="38"/>
  <c r="AD79" i="38"/>
  <c r="AE79" i="38" s="1"/>
  <c r="Q176" i="40" s="1"/>
  <c r="R176" i="40" s="1"/>
  <c r="S176" i="40" s="1"/>
  <c r="AG78" i="38"/>
  <c r="U79" i="38"/>
  <c r="V79" i="38" s="1"/>
  <c r="L176" i="40" s="1"/>
  <c r="M176" i="40" s="1"/>
  <c r="N176" i="40" s="1"/>
  <c r="X78" i="38"/>
  <c r="Y78" i="38" s="1"/>
  <c r="Z78" i="38" s="1"/>
  <c r="AC135" i="38"/>
  <c r="AA135" i="38"/>
  <c r="AB135" i="38"/>
  <c r="AC247" i="38"/>
  <c r="AB247" i="38"/>
  <c r="AA247" i="38"/>
  <c r="Q248" i="38"/>
  <c r="S248" i="38"/>
  <c r="R248" i="38"/>
  <c r="N78" i="38"/>
  <c r="M135" i="38"/>
  <c r="N135" i="38" s="1"/>
  <c r="O135" i="38" s="1"/>
  <c r="P135" i="38" s="1"/>
  <c r="N299" i="36"/>
  <c r="AU133" i="36"/>
  <c r="R142" i="36" s="1"/>
  <c r="S160" i="36" s="1"/>
  <c r="AT133" i="36"/>
  <c r="C160" i="36" s="1"/>
  <c r="M300" i="36"/>
  <c r="Q89" i="37"/>
  <c r="AI77" i="12"/>
  <c r="AM134" i="12"/>
  <c r="AK134" i="12"/>
  <c r="R86" i="37"/>
  <c r="R88" i="37" s="1"/>
  <c r="S85" i="37" s="1"/>
  <c r="AK134" i="36"/>
  <c r="AL134" i="36"/>
  <c r="AM134" i="36"/>
  <c r="AI77" i="36"/>
  <c r="AM134" i="37"/>
  <c r="AK134" i="37"/>
  <c r="AL134" i="37"/>
  <c r="W135" i="12"/>
  <c r="X135" i="12" s="1"/>
  <c r="Y135" i="12" s="1"/>
  <c r="Z135" i="12" s="1"/>
  <c r="W78" i="12"/>
  <c r="AI77" i="37"/>
  <c r="AD79" i="37"/>
  <c r="AE79" i="37" s="1"/>
  <c r="Q126" i="40" s="1"/>
  <c r="R126" i="40" s="1"/>
  <c r="S126" i="40" s="1"/>
  <c r="AG78" i="37"/>
  <c r="AD79" i="36"/>
  <c r="AE79" i="36" s="1"/>
  <c r="Q76" i="40" s="1"/>
  <c r="R76" i="40" s="1"/>
  <c r="S76" i="40" s="1"/>
  <c r="AG78" i="36"/>
  <c r="C78" i="36"/>
  <c r="D78" i="36" s="1"/>
  <c r="B75" i="40" s="1"/>
  <c r="C75" i="40" s="1"/>
  <c r="D75" i="40" s="1"/>
  <c r="AG135" i="12"/>
  <c r="AF78" i="12"/>
  <c r="M135" i="36"/>
  <c r="N135" i="36" s="1"/>
  <c r="O135" i="36" s="1"/>
  <c r="P135" i="36" s="1"/>
  <c r="N78" i="36"/>
  <c r="L79" i="36" s="1"/>
  <c r="M136" i="37"/>
  <c r="N136" i="37" s="1"/>
  <c r="O136" i="37" s="1"/>
  <c r="P136" i="37" s="1"/>
  <c r="N79" i="37"/>
  <c r="L80" i="37" s="1"/>
  <c r="W194" i="37"/>
  <c r="U195" i="37" s="1"/>
  <c r="V195" i="37" s="1"/>
  <c r="W250" i="37"/>
  <c r="W135" i="36"/>
  <c r="X135" i="36" s="1"/>
  <c r="Y135" i="36" s="1"/>
  <c r="Z135" i="36" s="1"/>
  <c r="W78" i="36"/>
  <c r="U79" i="36" s="1"/>
  <c r="W136" i="37"/>
  <c r="X136" i="37" s="1"/>
  <c r="Y136" i="37" s="1"/>
  <c r="Z136" i="37" s="1"/>
  <c r="W79" i="37"/>
  <c r="U80" i="37" s="1"/>
  <c r="AU248" i="37"/>
  <c r="R257" i="37" s="1"/>
  <c r="S275" i="37" s="1"/>
  <c r="AT248" i="37"/>
  <c r="C275" i="37" s="1"/>
  <c r="AC249" i="37"/>
  <c r="AA249" i="37"/>
  <c r="AB249" i="37"/>
  <c r="P205" i="12"/>
  <c r="Q205" i="36"/>
  <c r="Q135" i="12"/>
  <c r="S135" i="12"/>
  <c r="R135" i="12"/>
  <c r="E409" i="36"/>
  <c r="G409" i="36" s="1"/>
  <c r="E432" i="36"/>
  <c r="G432" i="36" s="1"/>
  <c r="D409" i="37"/>
  <c r="F409" i="37" s="1"/>
  <c r="D432" i="37"/>
  <c r="F432" i="37" s="1"/>
  <c r="S85" i="38"/>
  <c r="R94" i="38"/>
  <c r="R87" i="38"/>
  <c r="R89" i="38" s="1"/>
  <c r="R106" i="38"/>
  <c r="R102" i="38"/>
  <c r="R111" i="38"/>
  <c r="R98" i="38"/>
  <c r="R104" i="38"/>
  <c r="R93" i="38"/>
  <c r="R103" i="38"/>
  <c r="R101" i="38"/>
  <c r="R107" i="38"/>
  <c r="R92" i="38"/>
  <c r="R110" i="38"/>
  <c r="R97" i="38"/>
  <c r="R109" i="38"/>
  <c r="R105" i="38"/>
  <c r="R95" i="38"/>
  <c r="R108" i="38"/>
  <c r="R96" i="38"/>
  <c r="R100" i="38"/>
  <c r="R99" i="38"/>
  <c r="AO77" i="36"/>
  <c r="M300" i="37"/>
  <c r="B385" i="37" s="1"/>
  <c r="G73" i="31" s="1"/>
  <c r="AO77" i="38"/>
  <c r="B384" i="37"/>
  <c r="G72" i="31" s="1"/>
  <c r="C325" i="37"/>
  <c r="E299" i="37"/>
  <c r="N299" i="37" s="1"/>
  <c r="E325" i="37" s="1"/>
  <c r="C134" i="37"/>
  <c r="D134" i="37" s="1"/>
  <c r="E134" i="37" s="1"/>
  <c r="F134" i="37" s="1"/>
  <c r="AM77" i="37"/>
  <c r="AN77" i="37" s="1"/>
  <c r="E77" i="37"/>
  <c r="C78" i="37" s="1"/>
  <c r="G134" i="38"/>
  <c r="I134" i="38"/>
  <c r="H134" i="38"/>
  <c r="AS77" i="38"/>
  <c r="D78" i="38"/>
  <c r="B175" i="40" s="1"/>
  <c r="C175" i="40" s="1"/>
  <c r="D175" i="40" s="1"/>
  <c r="F77" i="38"/>
  <c r="G77" i="38" s="1"/>
  <c r="H77" i="38" s="1"/>
  <c r="AU133" i="37"/>
  <c r="R142" i="37" s="1"/>
  <c r="AT133" i="37"/>
  <c r="C160" i="37" s="1"/>
  <c r="N79" i="12"/>
  <c r="L80" i="12" s="1"/>
  <c r="C252" i="38"/>
  <c r="D252" i="38" s="1"/>
  <c r="E252" i="38" s="1"/>
  <c r="F252" i="38" s="1"/>
  <c r="E196" i="38"/>
  <c r="F193" i="37"/>
  <c r="G193" i="37" s="1"/>
  <c r="H193" i="37" s="1"/>
  <c r="B148" i="40"/>
  <c r="C148" i="40" s="1"/>
  <c r="D148" i="40" s="1"/>
  <c r="I249" i="37"/>
  <c r="G249" i="37"/>
  <c r="H249" i="37"/>
  <c r="E324" i="36"/>
  <c r="C383" i="36"/>
  <c r="R89" i="36"/>
  <c r="I134" i="36"/>
  <c r="H134" i="36"/>
  <c r="G134" i="36"/>
  <c r="F77" i="36"/>
  <c r="G77" i="36" s="1"/>
  <c r="H77" i="36" s="1"/>
  <c r="AS77" i="36"/>
  <c r="E193" i="36"/>
  <c r="C194" i="36" s="1"/>
  <c r="D194" i="36" s="1"/>
  <c r="AU248" i="36"/>
  <c r="R257" i="36" s="1"/>
  <c r="AT248" i="36"/>
  <c r="C275" i="36" s="1"/>
  <c r="AF196" i="12"/>
  <c r="AG196" i="12" s="1"/>
  <c r="AH196" i="12" s="1"/>
  <c r="AL250" i="12"/>
  <c r="AK250" i="12"/>
  <c r="AM250" i="12"/>
  <c r="N251" i="12"/>
  <c r="O251" i="12" s="1"/>
  <c r="P251" i="12" s="1"/>
  <c r="AH195" i="12"/>
  <c r="N196" i="12"/>
  <c r="F247" i="12"/>
  <c r="AT246" i="12"/>
  <c r="C273" i="12" s="1"/>
  <c r="AU246" i="12"/>
  <c r="P257" i="12" s="1"/>
  <c r="R745" i="4"/>
  <c r="P746" i="4" s="1"/>
  <c r="S746" i="4" s="1"/>
  <c r="E431" i="12" l="1"/>
  <c r="G431" i="12" s="1"/>
  <c r="S201" i="37"/>
  <c r="R249" i="37"/>
  <c r="S202" i="37"/>
  <c r="S220" i="37" s="1"/>
  <c r="S249" i="37"/>
  <c r="AS249" i="37" s="1"/>
  <c r="AS193" i="37"/>
  <c r="E433" i="37" s="1"/>
  <c r="G433" i="37" s="1"/>
  <c r="L194" i="37"/>
  <c r="M194" i="37" s="1"/>
  <c r="G148" i="40" s="1"/>
  <c r="H148" i="40" s="1"/>
  <c r="I148" i="40" s="1"/>
  <c r="E192" i="12"/>
  <c r="F192" i="12" s="1"/>
  <c r="G192" i="12" s="1"/>
  <c r="H192" i="12" s="1"/>
  <c r="C248" i="12"/>
  <c r="D248" i="12" s="1"/>
  <c r="E248" i="12" s="1"/>
  <c r="AG190" i="38"/>
  <c r="AH190" i="38" s="1"/>
  <c r="AH246" i="38" s="1"/>
  <c r="AI246" i="38" s="1"/>
  <c r="AJ246" i="38" s="1"/>
  <c r="AD191" i="38"/>
  <c r="AE191" i="38" s="1"/>
  <c r="W248" i="12"/>
  <c r="X248" i="12" s="1"/>
  <c r="Y248" i="12" s="1"/>
  <c r="Z248" i="12" s="1"/>
  <c r="AB248" i="12" s="1"/>
  <c r="L46" i="40"/>
  <c r="M46" i="40" s="1"/>
  <c r="N46" i="40" s="1"/>
  <c r="N193" i="38"/>
  <c r="L194" i="38" s="1"/>
  <c r="M194" i="38" s="1"/>
  <c r="G197" i="40"/>
  <c r="H197" i="40" s="1"/>
  <c r="I197" i="40" s="1"/>
  <c r="W192" i="38"/>
  <c r="U193" i="38" s="1"/>
  <c r="V193" i="38" s="1"/>
  <c r="L196" i="40"/>
  <c r="M196" i="40" s="1"/>
  <c r="N196" i="40" s="1"/>
  <c r="S162" i="38"/>
  <c r="S160" i="38"/>
  <c r="X160" i="38" s="1"/>
  <c r="E300" i="38" s="1"/>
  <c r="S161" i="38"/>
  <c r="S164" i="38"/>
  <c r="C301" i="38"/>
  <c r="AR134" i="38"/>
  <c r="AS134" i="38"/>
  <c r="AG136" i="38"/>
  <c r="AF79" i="38"/>
  <c r="C381" i="38"/>
  <c r="E322" i="38"/>
  <c r="P204" i="38"/>
  <c r="AU245" i="38"/>
  <c r="O257" i="38" s="1"/>
  <c r="AT245" i="38"/>
  <c r="C272" i="38" s="1"/>
  <c r="E430" i="38"/>
  <c r="G430" i="38" s="1"/>
  <c r="E407" i="38"/>
  <c r="G407" i="38" s="1"/>
  <c r="AQ134" i="38"/>
  <c r="AH78" i="38"/>
  <c r="AH135" i="38" s="1"/>
  <c r="AI135" i="38" s="1"/>
  <c r="AJ135" i="38" s="1"/>
  <c r="C323" i="38"/>
  <c r="B382" i="38"/>
  <c r="G97" i="31" s="1"/>
  <c r="W248" i="38"/>
  <c r="X248" i="38" s="1"/>
  <c r="Y248" i="38" s="1"/>
  <c r="Z248" i="38" s="1"/>
  <c r="W136" i="38"/>
  <c r="X136" i="38" s="1"/>
  <c r="Y136" i="38" s="1"/>
  <c r="Z136" i="38" s="1"/>
  <c r="W79" i="38"/>
  <c r="S161" i="36"/>
  <c r="M249" i="38"/>
  <c r="N249" i="38" s="1"/>
  <c r="O249" i="38" s="1"/>
  <c r="P249" i="38" s="1"/>
  <c r="S163" i="36"/>
  <c r="S162" i="36"/>
  <c r="S135" i="38"/>
  <c r="Q135" i="38"/>
  <c r="R135" i="38"/>
  <c r="L79" i="38"/>
  <c r="M79" i="38" s="1"/>
  <c r="G176" i="40" s="1"/>
  <c r="H176" i="40" s="1"/>
  <c r="I176" i="40" s="1"/>
  <c r="O78" i="38"/>
  <c r="P78" i="38" s="1"/>
  <c r="Q78" i="38" s="1"/>
  <c r="S164" i="36"/>
  <c r="X160" i="36"/>
  <c r="E300" i="36" s="1"/>
  <c r="R97" i="37"/>
  <c r="AS134" i="36"/>
  <c r="R102" i="37"/>
  <c r="R96" i="37"/>
  <c r="R103" i="37"/>
  <c r="R94" i="37"/>
  <c r="R92" i="37"/>
  <c r="R99" i="37"/>
  <c r="R109" i="37"/>
  <c r="R107" i="37"/>
  <c r="R111" i="37"/>
  <c r="R104" i="37"/>
  <c r="R108" i="37"/>
  <c r="R87" i="37"/>
  <c r="R89" i="37" s="1"/>
  <c r="R100" i="37"/>
  <c r="R93" i="37"/>
  <c r="R98" i="37"/>
  <c r="R105" i="37"/>
  <c r="R95" i="37"/>
  <c r="R110" i="37"/>
  <c r="R106" i="37"/>
  <c r="R101" i="37"/>
  <c r="F301" i="37"/>
  <c r="AQ134" i="36"/>
  <c r="S86" i="38"/>
  <c r="S88" i="38" s="1"/>
  <c r="S86" i="36"/>
  <c r="S88" i="36" s="1"/>
  <c r="T85" i="36" s="1"/>
  <c r="AR134" i="36"/>
  <c r="C301" i="36"/>
  <c r="U79" i="12"/>
  <c r="V79" i="12" s="1"/>
  <c r="L26" i="40" s="1"/>
  <c r="M26" i="40" s="1"/>
  <c r="N26" i="40" s="1"/>
  <c r="X78" i="12"/>
  <c r="Y78" i="12" s="1"/>
  <c r="Z78" i="12" s="1"/>
  <c r="X194" i="37"/>
  <c r="Y194" i="37" s="1"/>
  <c r="Z194" i="37" s="1"/>
  <c r="W192" i="12"/>
  <c r="U193" i="12" s="1"/>
  <c r="V193" i="12" s="1"/>
  <c r="AG136" i="37"/>
  <c r="AF79" i="37"/>
  <c r="AH78" i="37"/>
  <c r="AH135" i="37" s="1"/>
  <c r="AI135" i="37" s="1"/>
  <c r="AJ135" i="37" s="1"/>
  <c r="AH78" i="36"/>
  <c r="AH135" i="36" s="1"/>
  <c r="AI135" i="36" s="1"/>
  <c r="AJ135" i="36" s="1"/>
  <c r="AG136" i="36"/>
  <c r="AF79" i="36"/>
  <c r="AD79" i="12"/>
  <c r="AE79" i="12" s="1"/>
  <c r="Q26" i="40" s="1"/>
  <c r="R26" i="40" s="1"/>
  <c r="S26" i="40" s="1"/>
  <c r="AG78" i="12"/>
  <c r="AH78" i="12" s="1"/>
  <c r="AH135" i="12" s="1"/>
  <c r="AI135" i="12" s="1"/>
  <c r="AJ135" i="12" s="1"/>
  <c r="AK135" i="12" s="1"/>
  <c r="AM192" i="12"/>
  <c r="S136" i="37"/>
  <c r="Q136" i="37"/>
  <c r="R136" i="37"/>
  <c r="V79" i="36"/>
  <c r="L76" i="40" s="1"/>
  <c r="M76" i="40" s="1"/>
  <c r="N76" i="40" s="1"/>
  <c r="X78" i="36"/>
  <c r="Y78" i="36" s="1"/>
  <c r="Z78" i="36" s="1"/>
  <c r="M79" i="36"/>
  <c r="G76" i="40" s="1"/>
  <c r="H76" i="40" s="1"/>
  <c r="I76" i="40" s="1"/>
  <c r="O78" i="36"/>
  <c r="P78" i="36" s="1"/>
  <c r="Q78" i="36" s="1"/>
  <c r="AA135" i="36"/>
  <c r="AC135" i="36"/>
  <c r="AB135" i="36"/>
  <c r="M80" i="37"/>
  <c r="G127" i="40" s="1"/>
  <c r="H127" i="40" s="1"/>
  <c r="I127" i="40" s="1"/>
  <c r="O79" i="37"/>
  <c r="P79" i="37" s="1"/>
  <c r="Q79" i="37" s="1"/>
  <c r="S135" i="36"/>
  <c r="Q135" i="36"/>
  <c r="R135" i="36"/>
  <c r="V80" i="37"/>
  <c r="L127" i="40" s="1"/>
  <c r="M127" i="40" s="1"/>
  <c r="N127" i="40" s="1"/>
  <c r="X79" i="37"/>
  <c r="Y79" i="37" s="1"/>
  <c r="Z79" i="37" s="1"/>
  <c r="AB136" i="37"/>
  <c r="AA136" i="37"/>
  <c r="AC136" i="37"/>
  <c r="S278" i="37"/>
  <c r="S279" i="37"/>
  <c r="S276" i="37"/>
  <c r="S277" i="37"/>
  <c r="X275" i="37"/>
  <c r="H300" i="37" s="1"/>
  <c r="AQ249" i="37"/>
  <c r="AR249" i="37"/>
  <c r="L149" i="40"/>
  <c r="M149" i="40" s="1"/>
  <c r="N149" i="40" s="1"/>
  <c r="X250" i="37"/>
  <c r="Y250" i="37" s="1"/>
  <c r="Z250" i="37" s="1"/>
  <c r="AA135" i="12"/>
  <c r="AB135" i="12"/>
  <c r="AC135" i="12"/>
  <c r="Q223" i="12"/>
  <c r="Q211" i="12"/>
  <c r="Q221" i="12"/>
  <c r="Q218" i="12"/>
  <c r="Q203" i="12"/>
  <c r="Q216" i="12"/>
  <c r="Q210" i="12"/>
  <c r="Q204" i="12"/>
  <c r="R201" i="12" s="1"/>
  <c r="Q215" i="12"/>
  <c r="Q226" i="12"/>
  <c r="Q225" i="12"/>
  <c r="Q217" i="12"/>
  <c r="Q227" i="12"/>
  <c r="Q224" i="12"/>
  <c r="Q208" i="12"/>
  <c r="Q214" i="12"/>
  <c r="Q213" i="12"/>
  <c r="Q209" i="12"/>
  <c r="Q220" i="12"/>
  <c r="Q219" i="12"/>
  <c r="Q222" i="12"/>
  <c r="R208" i="36"/>
  <c r="R223" i="36"/>
  <c r="R225" i="36"/>
  <c r="R224" i="36"/>
  <c r="R216" i="36"/>
  <c r="R203" i="36"/>
  <c r="R226" i="36"/>
  <c r="R218" i="36"/>
  <c r="R214" i="36"/>
  <c r="R211" i="36"/>
  <c r="R212" i="36"/>
  <c r="R219" i="36"/>
  <c r="R204" i="36"/>
  <c r="S201" i="36" s="1"/>
  <c r="R221" i="36"/>
  <c r="R215" i="36"/>
  <c r="R217" i="36"/>
  <c r="R210" i="36"/>
  <c r="R209" i="36"/>
  <c r="R227" i="36"/>
  <c r="R213" i="36"/>
  <c r="R222" i="36"/>
  <c r="D410" i="38"/>
  <c r="F410" i="38" s="1"/>
  <c r="D433" i="38"/>
  <c r="F433" i="38" s="1"/>
  <c r="D410" i="36"/>
  <c r="F410" i="36" s="1"/>
  <c r="D433" i="36"/>
  <c r="F433" i="36" s="1"/>
  <c r="C326" i="37"/>
  <c r="C384" i="37"/>
  <c r="AO77" i="37"/>
  <c r="S161" i="37"/>
  <c r="S162" i="37"/>
  <c r="S164" i="37"/>
  <c r="S163" i="37"/>
  <c r="S160" i="37"/>
  <c r="X160" i="37" s="1"/>
  <c r="H134" i="37"/>
  <c r="AR134" i="37" s="1"/>
  <c r="G134" i="37"/>
  <c r="AQ134" i="37" s="1"/>
  <c r="I134" i="37"/>
  <c r="AS134" i="37" s="1"/>
  <c r="AM78" i="38"/>
  <c r="AN78" i="38" s="1"/>
  <c r="E78" i="38"/>
  <c r="C79" i="38" s="1"/>
  <c r="C135" i="38"/>
  <c r="D135" i="38" s="1"/>
  <c r="E135" i="38" s="1"/>
  <c r="F135" i="38" s="1"/>
  <c r="F77" i="37"/>
  <c r="G77" i="37" s="1"/>
  <c r="H77" i="37" s="1"/>
  <c r="D78" i="37"/>
  <c r="B125" i="40" s="1"/>
  <c r="C125" i="40" s="1"/>
  <c r="D125" i="40" s="1"/>
  <c r="AS77" i="37"/>
  <c r="M80" i="12"/>
  <c r="N136" i="12"/>
  <c r="O136" i="12" s="1"/>
  <c r="P136" i="12" s="1"/>
  <c r="O79" i="12"/>
  <c r="P79" i="12" s="1"/>
  <c r="Q79" i="12" s="1"/>
  <c r="F196" i="38"/>
  <c r="G196" i="38" s="1"/>
  <c r="H196" i="38" s="1"/>
  <c r="I252" i="38"/>
  <c r="G252" i="38"/>
  <c r="H252" i="38"/>
  <c r="E194" i="37"/>
  <c r="C195" i="37" s="1"/>
  <c r="D195" i="37" s="1"/>
  <c r="C250" i="37"/>
  <c r="D250" i="37" s="1"/>
  <c r="E250" i="37" s="1"/>
  <c r="F250" i="37" s="1"/>
  <c r="E325" i="36"/>
  <c r="C384" i="36"/>
  <c r="C326" i="36"/>
  <c r="B385" i="36"/>
  <c r="G46" i="31" s="1"/>
  <c r="AS193" i="36"/>
  <c r="F193" i="36"/>
  <c r="G193" i="36" s="1"/>
  <c r="H193" i="36" s="1"/>
  <c r="F301" i="36" s="1"/>
  <c r="B98" i="40"/>
  <c r="C98" i="40" s="1"/>
  <c r="D98" i="40" s="1"/>
  <c r="C249" i="36"/>
  <c r="D249" i="36" s="1"/>
  <c r="E249" i="36" s="1"/>
  <c r="F249" i="36" s="1"/>
  <c r="AM193" i="36"/>
  <c r="AN193" i="36" s="1"/>
  <c r="E78" i="36"/>
  <c r="AM78" i="36"/>
  <c r="AN78" i="36" s="1"/>
  <c r="C135" i="36"/>
  <c r="D135" i="36" s="1"/>
  <c r="E135" i="36" s="1"/>
  <c r="F135" i="36" s="1"/>
  <c r="S275" i="36"/>
  <c r="X275" i="36" s="1"/>
  <c r="H300" i="36" s="1"/>
  <c r="S277" i="36"/>
  <c r="S279" i="36"/>
  <c r="S278" i="36"/>
  <c r="S276" i="36"/>
  <c r="R251" i="12"/>
  <c r="Q251" i="12"/>
  <c r="S251" i="12"/>
  <c r="AH251" i="12"/>
  <c r="AI251" i="12" s="1"/>
  <c r="AJ251" i="12" s="1"/>
  <c r="AI196" i="12"/>
  <c r="AH252" i="12"/>
  <c r="AI252" i="12" s="1"/>
  <c r="AJ252" i="12" s="1"/>
  <c r="AM252" i="12" s="1"/>
  <c r="O196" i="12"/>
  <c r="P196" i="12" s="1"/>
  <c r="Q196" i="12" s="1"/>
  <c r="AI195" i="12"/>
  <c r="Q278" i="12"/>
  <c r="Q279" i="12"/>
  <c r="Q277" i="12"/>
  <c r="Q276" i="12"/>
  <c r="Q273" i="12"/>
  <c r="X273" i="12" s="1"/>
  <c r="H298" i="12" s="1"/>
  <c r="Q274" i="12"/>
  <c r="Q275" i="12"/>
  <c r="I247" i="12"/>
  <c r="AS247" i="12" s="1"/>
  <c r="G247" i="12"/>
  <c r="AQ247" i="12" s="1"/>
  <c r="H247" i="12"/>
  <c r="AR247" i="12" s="1"/>
  <c r="R746" i="4"/>
  <c r="P747" i="4" s="1"/>
  <c r="S747" i="4" s="1"/>
  <c r="E410" i="37" l="1"/>
  <c r="G410" i="37" s="1"/>
  <c r="C193" i="12"/>
  <c r="D193" i="12" s="1"/>
  <c r="B47" i="40" s="1"/>
  <c r="C47" i="40" s="1"/>
  <c r="D47" i="40" s="1"/>
  <c r="M250" i="37"/>
  <c r="N250" i="37" s="1"/>
  <c r="O250" i="37" s="1"/>
  <c r="P250" i="37" s="1"/>
  <c r="AM194" i="37"/>
  <c r="AN194" i="37" s="1"/>
  <c r="AO194" i="37" s="1"/>
  <c r="N194" i="37"/>
  <c r="L195" i="37" s="1"/>
  <c r="AA248" i="12"/>
  <c r="AC248" i="12"/>
  <c r="O193" i="38"/>
  <c r="P193" i="38" s="1"/>
  <c r="Q193" i="38" s="1"/>
  <c r="X192" i="38"/>
  <c r="Y192" i="38" s="1"/>
  <c r="Z192" i="38" s="1"/>
  <c r="M137" i="12"/>
  <c r="G27" i="40"/>
  <c r="H27" i="40" s="1"/>
  <c r="I27" i="40" s="1"/>
  <c r="AF191" i="38"/>
  <c r="AS191" i="38" s="1"/>
  <c r="Q195" i="40"/>
  <c r="R195" i="40" s="1"/>
  <c r="S195" i="40" s="1"/>
  <c r="AM19" i="40" s="1"/>
  <c r="AT134" i="38"/>
  <c r="C161" i="38" s="1"/>
  <c r="AU134" i="38"/>
  <c r="S142" i="38" s="1"/>
  <c r="T161" i="38" s="1"/>
  <c r="N300" i="36"/>
  <c r="AI78" i="38"/>
  <c r="AI190" i="38"/>
  <c r="F298" i="38" s="1"/>
  <c r="M298" i="38" s="1"/>
  <c r="P211" i="38"/>
  <c r="P203" i="38"/>
  <c r="P205" i="38" s="1"/>
  <c r="P208" i="38"/>
  <c r="P216" i="38"/>
  <c r="P224" i="38"/>
  <c r="P219" i="38"/>
  <c r="P220" i="38"/>
  <c r="P212" i="38"/>
  <c r="P226" i="38"/>
  <c r="P214" i="38"/>
  <c r="P215" i="38"/>
  <c r="P209" i="38"/>
  <c r="P218" i="38"/>
  <c r="P217" i="38"/>
  <c r="P210" i="38"/>
  <c r="P213" i="38"/>
  <c r="P227" i="38"/>
  <c r="P223" i="38"/>
  <c r="P225" i="38"/>
  <c r="P222" i="38"/>
  <c r="P221" i="38"/>
  <c r="AL246" i="38"/>
  <c r="AR246" i="38" s="1"/>
  <c r="AK246" i="38"/>
  <c r="AQ246" i="38" s="1"/>
  <c r="AM246" i="38"/>
  <c r="AS246" i="38" s="1"/>
  <c r="Q201" i="38"/>
  <c r="AG247" i="38"/>
  <c r="AM191" i="38"/>
  <c r="AN191" i="38" s="1"/>
  <c r="AO191" i="38" s="1"/>
  <c r="P274" i="38"/>
  <c r="P276" i="38"/>
  <c r="P279" i="38"/>
  <c r="P277" i="38"/>
  <c r="P273" i="38"/>
  <c r="P278" i="38"/>
  <c r="P275" i="38"/>
  <c r="P272" i="38"/>
  <c r="X272" i="38" s="1"/>
  <c r="H297" i="38" s="1"/>
  <c r="N297" i="38" s="1"/>
  <c r="AD80" i="38"/>
  <c r="AE80" i="38" s="1"/>
  <c r="Q177" i="40" s="1"/>
  <c r="R177" i="40" s="1"/>
  <c r="S177" i="40" s="1"/>
  <c r="AG79" i="38"/>
  <c r="AM135" i="38"/>
  <c r="AL135" i="38"/>
  <c r="AK135" i="38"/>
  <c r="AC248" i="38"/>
  <c r="AB248" i="38"/>
  <c r="AA248" i="38"/>
  <c r="U80" i="38"/>
  <c r="V80" i="38" s="1"/>
  <c r="L177" i="40" s="1"/>
  <c r="M177" i="40" s="1"/>
  <c r="N177" i="40" s="1"/>
  <c r="X79" i="38"/>
  <c r="Y79" i="38" s="1"/>
  <c r="Z79" i="38" s="1"/>
  <c r="AC136" i="38"/>
  <c r="AB136" i="38"/>
  <c r="AA136" i="38"/>
  <c r="M136" i="38"/>
  <c r="N136" i="38" s="1"/>
  <c r="O136" i="38" s="1"/>
  <c r="P136" i="38" s="1"/>
  <c r="N79" i="38"/>
  <c r="R249" i="38"/>
  <c r="Q249" i="38"/>
  <c r="S249" i="38"/>
  <c r="S104" i="36"/>
  <c r="S94" i="36"/>
  <c r="S106" i="36"/>
  <c r="S99" i="36"/>
  <c r="AU134" i="36"/>
  <c r="S142" i="36" s="1"/>
  <c r="T162" i="36" s="1"/>
  <c r="S96" i="36"/>
  <c r="S101" i="36"/>
  <c r="S109" i="36"/>
  <c r="S98" i="36"/>
  <c r="S92" i="36"/>
  <c r="S110" i="36"/>
  <c r="S105" i="36"/>
  <c r="S102" i="36"/>
  <c r="S100" i="36"/>
  <c r="S107" i="36"/>
  <c r="S97" i="36"/>
  <c r="S87" i="36"/>
  <c r="S89" i="36" s="1"/>
  <c r="S93" i="36"/>
  <c r="S95" i="36"/>
  <c r="AT134" i="36"/>
  <c r="C161" i="36" s="1"/>
  <c r="M301" i="36"/>
  <c r="S108" i="36"/>
  <c r="S111" i="36"/>
  <c r="S103" i="36"/>
  <c r="S86" i="37"/>
  <c r="S88" i="37" s="1"/>
  <c r="T85" i="37" s="1"/>
  <c r="AK135" i="36"/>
  <c r="AL135" i="36"/>
  <c r="AM135" i="36"/>
  <c r="AM135" i="12"/>
  <c r="AL135" i="12"/>
  <c r="AN192" i="12"/>
  <c r="AO192" i="12" s="1"/>
  <c r="R202" i="12" s="1"/>
  <c r="AS192" i="12"/>
  <c r="E409" i="12" s="1"/>
  <c r="G409" i="12" s="1"/>
  <c r="X192" i="12"/>
  <c r="Y192" i="12" s="1"/>
  <c r="Z192" i="12" s="1"/>
  <c r="F300" i="12" s="1"/>
  <c r="AK135" i="37"/>
  <c r="AL135" i="37"/>
  <c r="AM135" i="37"/>
  <c r="AI78" i="37"/>
  <c r="W136" i="12"/>
  <c r="X136" i="12" s="1"/>
  <c r="Y136" i="12" s="1"/>
  <c r="Z136" i="12" s="1"/>
  <c r="W79" i="12"/>
  <c r="AI78" i="36"/>
  <c r="AI78" i="12"/>
  <c r="AD80" i="37"/>
  <c r="AE80" i="37" s="1"/>
  <c r="Q127" i="40" s="1"/>
  <c r="R127" i="40" s="1"/>
  <c r="S127" i="40" s="1"/>
  <c r="AG79" i="37"/>
  <c r="AD80" i="36"/>
  <c r="AE80" i="36" s="1"/>
  <c r="Q77" i="40" s="1"/>
  <c r="R77" i="40" s="1"/>
  <c r="S77" i="40" s="1"/>
  <c r="AG79" i="36"/>
  <c r="C79" i="36"/>
  <c r="D79" i="36" s="1"/>
  <c r="B76" i="40" s="1"/>
  <c r="C76" i="40" s="1"/>
  <c r="D76" i="40" s="1"/>
  <c r="AG136" i="12"/>
  <c r="AF79" i="12"/>
  <c r="W195" i="37"/>
  <c r="U196" i="37" s="1"/>
  <c r="V196" i="37" s="1"/>
  <c r="W251" i="37"/>
  <c r="M136" i="36"/>
  <c r="N136" i="36" s="1"/>
  <c r="O136" i="36" s="1"/>
  <c r="P136" i="36" s="1"/>
  <c r="N79" i="36"/>
  <c r="L80" i="36" s="1"/>
  <c r="W136" i="36"/>
  <c r="X136" i="36" s="1"/>
  <c r="Y136" i="36" s="1"/>
  <c r="Z136" i="36" s="1"/>
  <c r="W79" i="36"/>
  <c r="U80" i="36" s="1"/>
  <c r="Q250" i="37"/>
  <c r="S250" i="37"/>
  <c r="R250" i="37"/>
  <c r="M137" i="37"/>
  <c r="N137" i="37" s="1"/>
  <c r="O137" i="37" s="1"/>
  <c r="P137" i="37" s="1"/>
  <c r="N80" i="37"/>
  <c r="O80" i="37" s="1"/>
  <c r="P80" i="37" s="1"/>
  <c r="Q80" i="37" s="1"/>
  <c r="W137" i="37"/>
  <c r="X137" i="37" s="1"/>
  <c r="Y137" i="37" s="1"/>
  <c r="Z137" i="37" s="1"/>
  <c r="W80" i="37"/>
  <c r="X80" i="37" s="1"/>
  <c r="Y80" i="37" s="1"/>
  <c r="Z80" i="37" s="1"/>
  <c r="AT249" i="37"/>
  <c r="C276" i="37" s="1"/>
  <c r="AU249" i="37"/>
  <c r="S257" i="37" s="1"/>
  <c r="T278" i="37" s="1"/>
  <c r="AB250" i="37"/>
  <c r="AA250" i="37"/>
  <c r="AC250" i="37"/>
  <c r="Q205" i="12"/>
  <c r="R205" i="36"/>
  <c r="S136" i="12"/>
  <c r="R136" i="12"/>
  <c r="Q136" i="12"/>
  <c r="E410" i="36"/>
  <c r="G410" i="36" s="1"/>
  <c r="E433" i="36"/>
  <c r="G433" i="36" s="1"/>
  <c r="D410" i="37"/>
  <c r="F410" i="37" s="1"/>
  <c r="D433" i="37"/>
  <c r="F433" i="37" s="1"/>
  <c r="T85" i="38"/>
  <c r="S92" i="38"/>
  <c r="S98" i="38"/>
  <c r="S93" i="38"/>
  <c r="S105" i="38"/>
  <c r="S102" i="38"/>
  <c r="S106" i="38"/>
  <c r="S94" i="38"/>
  <c r="S108" i="38"/>
  <c r="S97" i="38"/>
  <c r="S109" i="38"/>
  <c r="S99" i="38"/>
  <c r="S107" i="38"/>
  <c r="S110" i="38"/>
  <c r="S95" i="38"/>
  <c r="S103" i="38"/>
  <c r="S100" i="38"/>
  <c r="S87" i="38"/>
  <c r="S89" i="38" s="1"/>
  <c r="S101" i="38"/>
  <c r="S104" i="38"/>
  <c r="S111" i="38"/>
  <c r="S96" i="38"/>
  <c r="S222" i="37"/>
  <c r="S203" i="37"/>
  <c r="S224" i="37"/>
  <c r="S212" i="37"/>
  <c r="AO193" i="36"/>
  <c r="S202" i="36" s="1"/>
  <c r="S227" i="37"/>
  <c r="AO78" i="36"/>
  <c r="T86" i="36" s="1"/>
  <c r="S214" i="37"/>
  <c r="S221" i="37"/>
  <c r="S215" i="37"/>
  <c r="S213" i="37"/>
  <c r="S209" i="37"/>
  <c r="S226" i="37"/>
  <c r="S225" i="37"/>
  <c r="S219" i="37"/>
  <c r="S218" i="37"/>
  <c r="S223" i="37"/>
  <c r="S208" i="37"/>
  <c r="S204" i="37"/>
  <c r="T201" i="37" s="1"/>
  <c r="T202" i="37" s="1"/>
  <c r="S217" i="37"/>
  <c r="S210" i="37"/>
  <c r="AO78" i="38"/>
  <c r="S211" i="37"/>
  <c r="S216" i="37"/>
  <c r="C301" i="37"/>
  <c r="E300" i="37"/>
  <c r="N300" i="37" s="1"/>
  <c r="C385" i="37" s="1"/>
  <c r="G135" i="38"/>
  <c r="H135" i="38"/>
  <c r="I135" i="38"/>
  <c r="AM78" i="37"/>
  <c r="AN78" i="37" s="1"/>
  <c r="E78" i="37"/>
  <c r="C79" i="37" s="1"/>
  <c r="C135" i="37"/>
  <c r="D135" i="37" s="1"/>
  <c r="E135" i="37" s="1"/>
  <c r="F135" i="37" s="1"/>
  <c r="AS78" i="38"/>
  <c r="D79" i="38"/>
  <c r="B176" i="40" s="1"/>
  <c r="C176" i="40" s="1"/>
  <c r="D176" i="40" s="1"/>
  <c r="F78" i="38"/>
  <c r="G78" i="38" s="1"/>
  <c r="H78" i="38" s="1"/>
  <c r="AT134" i="37"/>
  <c r="C161" i="37" s="1"/>
  <c r="AU134" i="37"/>
  <c r="S142" i="37" s="1"/>
  <c r="N80" i="12"/>
  <c r="G250" i="37"/>
  <c r="H250" i="37"/>
  <c r="I250" i="37"/>
  <c r="F194" i="37"/>
  <c r="G194" i="37" s="1"/>
  <c r="H194" i="37" s="1"/>
  <c r="B149" i="40"/>
  <c r="C149" i="40" s="1"/>
  <c r="D149" i="40" s="1"/>
  <c r="G135" i="36"/>
  <c r="H135" i="36"/>
  <c r="I135" i="36"/>
  <c r="AS78" i="36"/>
  <c r="F78" i="36"/>
  <c r="G78" i="36" s="1"/>
  <c r="H78" i="36" s="1"/>
  <c r="I249" i="36"/>
  <c r="AS249" i="36" s="1"/>
  <c r="H249" i="36"/>
  <c r="AR249" i="36" s="1"/>
  <c r="G249" i="36"/>
  <c r="AQ249" i="36" s="1"/>
  <c r="E194" i="36"/>
  <c r="C195" i="36" s="1"/>
  <c r="D195" i="36" s="1"/>
  <c r="C250" i="36"/>
  <c r="D250" i="36" s="1"/>
  <c r="E250" i="36" s="1"/>
  <c r="F250" i="36" s="1"/>
  <c r="AM194" i="36"/>
  <c r="AN194" i="36" s="1"/>
  <c r="AM251" i="12"/>
  <c r="AK251" i="12"/>
  <c r="AL251" i="12"/>
  <c r="AL252" i="12"/>
  <c r="AK252" i="12"/>
  <c r="N252" i="12"/>
  <c r="O252" i="12" s="1"/>
  <c r="P252" i="12" s="1"/>
  <c r="H88" i="31"/>
  <c r="H95" i="31"/>
  <c r="H94" i="31"/>
  <c r="H90" i="31"/>
  <c r="H87" i="31"/>
  <c r="H91" i="31"/>
  <c r="H92" i="31"/>
  <c r="H86" i="31"/>
  <c r="H93" i="31"/>
  <c r="H89" i="31"/>
  <c r="H96" i="31"/>
  <c r="AU247" i="12"/>
  <c r="Q257" i="12" s="1"/>
  <c r="AT247" i="12"/>
  <c r="C274" i="12" s="1"/>
  <c r="F248" i="12"/>
  <c r="R747" i="4"/>
  <c r="P748" i="4" s="1"/>
  <c r="S748" i="4" s="1"/>
  <c r="Q202" i="38" l="1"/>
  <c r="AS194" i="37"/>
  <c r="E434" i="37" s="1"/>
  <c r="G434" i="37" s="1"/>
  <c r="O194" i="37"/>
  <c r="P194" i="37" s="1"/>
  <c r="Q194" i="37" s="1"/>
  <c r="F302" i="37" s="1"/>
  <c r="C249" i="12"/>
  <c r="D249" i="12" s="1"/>
  <c r="E249" i="12" s="1"/>
  <c r="E193" i="12"/>
  <c r="F193" i="12" s="1"/>
  <c r="G193" i="12" s="1"/>
  <c r="H193" i="12" s="1"/>
  <c r="M195" i="37"/>
  <c r="G149" i="40" s="1"/>
  <c r="H149" i="40" s="1"/>
  <c r="I149" i="40" s="1"/>
  <c r="AD192" i="38"/>
  <c r="AE192" i="38" s="1"/>
  <c r="AG191" i="38"/>
  <c r="AH191" i="38" s="1"/>
  <c r="AH247" i="38" s="1"/>
  <c r="AI247" i="38" s="1"/>
  <c r="AJ247" i="38" s="1"/>
  <c r="W193" i="38"/>
  <c r="U194" i="38" s="1"/>
  <c r="V194" i="38" s="1"/>
  <c r="L197" i="40"/>
  <c r="M197" i="40" s="1"/>
  <c r="N197" i="40" s="1"/>
  <c r="W249" i="12"/>
  <c r="X249" i="12" s="1"/>
  <c r="Y249" i="12" s="1"/>
  <c r="Z249" i="12" s="1"/>
  <c r="AA249" i="12" s="1"/>
  <c r="L47" i="40"/>
  <c r="M47" i="40" s="1"/>
  <c r="N47" i="40" s="1"/>
  <c r="N194" i="38"/>
  <c r="O194" i="38" s="1"/>
  <c r="P194" i="38" s="1"/>
  <c r="Q194" i="38" s="1"/>
  <c r="G198" i="40"/>
  <c r="H198" i="40" s="1"/>
  <c r="I198" i="40" s="1"/>
  <c r="T216" i="37"/>
  <c r="R225" i="12"/>
  <c r="T162" i="38"/>
  <c r="T163" i="38"/>
  <c r="X161" i="38"/>
  <c r="E301" i="38" s="1"/>
  <c r="T164" i="38"/>
  <c r="C302" i="38"/>
  <c r="AS135" i="38"/>
  <c r="AQ135" i="38"/>
  <c r="E408" i="38"/>
  <c r="G408" i="38" s="1"/>
  <c r="E431" i="38"/>
  <c r="G431" i="38" s="1"/>
  <c r="AH79" i="38"/>
  <c r="AH136" i="38" s="1"/>
  <c r="AI136" i="38" s="1"/>
  <c r="AJ136" i="38" s="1"/>
  <c r="AR135" i="38"/>
  <c r="AF80" i="38"/>
  <c r="AG80" i="38" s="1"/>
  <c r="AH80" i="38" s="1"/>
  <c r="AI80" i="38" s="1"/>
  <c r="AG137" i="38"/>
  <c r="AH137" i="38" s="1"/>
  <c r="AI137" i="38" s="1"/>
  <c r="AJ137" i="38" s="1"/>
  <c r="B383" i="38"/>
  <c r="G98" i="31" s="1"/>
  <c r="C324" i="38"/>
  <c r="E323" i="38"/>
  <c r="C382" i="38"/>
  <c r="H97" i="31" s="1"/>
  <c r="AU246" i="38"/>
  <c r="P257" i="38" s="1"/>
  <c r="AT246" i="38"/>
  <c r="C273" i="38" s="1"/>
  <c r="W249" i="38"/>
  <c r="X249" i="38" s="1"/>
  <c r="Y249" i="38" s="1"/>
  <c r="Z249" i="38" s="1"/>
  <c r="W137" i="38"/>
  <c r="X137" i="38" s="1"/>
  <c r="Y137" i="38" s="1"/>
  <c r="Z137" i="38" s="1"/>
  <c r="W80" i="38"/>
  <c r="X80" i="38" s="1"/>
  <c r="Y80" i="38" s="1"/>
  <c r="Z80" i="38" s="1"/>
  <c r="S111" i="37"/>
  <c r="S104" i="37"/>
  <c r="M250" i="38"/>
  <c r="N250" i="38" s="1"/>
  <c r="O250" i="38" s="1"/>
  <c r="P250" i="38" s="1"/>
  <c r="L80" i="38"/>
  <c r="M80" i="38" s="1"/>
  <c r="G177" i="40" s="1"/>
  <c r="H177" i="40" s="1"/>
  <c r="I177" i="40" s="1"/>
  <c r="O79" i="38"/>
  <c r="P79" i="38" s="1"/>
  <c r="Q79" i="38" s="1"/>
  <c r="Q136" i="38"/>
  <c r="S136" i="38"/>
  <c r="R136" i="38"/>
  <c r="S102" i="37"/>
  <c r="S94" i="37"/>
  <c r="S98" i="37"/>
  <c r="S97" i="37"/>
  <c r="S87" i="37"/>
  <c r="S89" i="37" s="1"/>
  <c r="T161" i="36"/>
  <c r="X161" i="36" s="1"/>
  <c r="E301" i="36" s="1"/>
  <c r="T163" i="36"/>
  <c r="T164" i="36"/>
  <c r="S93" i="37"/>
  <c r="S105" i="37"/>
  <c r="S110" i="37"/>
  <c r="S109" i="37"/>
  <c r="S106" i="37"/>
  <c r="S92" i="37"/>
  <c r="S100" i="37"/>
  <c r="S95" i="37"/>
  <c r="S96" i="37"/>
  <c r="S101" i="37"/>
  <c r="S108" i="37"/>
  <c r="S103" i="37"/>
  <c r="AQ135" i="36"/>
  <c r="S99" i="37"/>
  <c r="S107" i="37"/>
  <c r="T86" i="38"/>
  <c r="AR135" i="36"/>
  <c r="T88" i="36"/>
  <c r="U85" i="36" s="1"/>
  <c r="AS135" i="36"/>
  <c r="E432" i="12"/>
  <c r="G432" i="12" s="1"/>
  <c r="C302" i="36"/>
  <c r="U80" i="12"/>
  <c r="V80" i="12" s="1"/>
  <c r="L27" i="40" s="1"/>
  <c r="M27" i="40" s="1"/>
  <c r="N27" i="40" s="1"/>
  <c r="X79" i="12"/>
  <c r="Y79" i="12" s="1"/>
  <c r="Z79" i="12" s="1"/>
  <c r="X195" i="37"/>
  <c r="Y195" i="37" s="1"/>
  <c r="Z195" i="37" s="1"/>
  <c r="AH79" i="37"/>
  <c r="AH136" i="37" s="1"/>
  <c r="AI136" i="37" s="1"/>
  <c r="AJ136" i="37" s="1"/>
  <c r="AG137" i="37"/>
  <c r="AH137" i="37" s="1"/>
  <c r="AI137" i="37" s="1"/>
  <c r="AJ137" i="37" s="1"/>
  <c r="AF80" i="37"/>
  <c r="AG80" i="37" s="1"/>
  <c r="AH79" i="36"/>
  <c r="AH136" i="36" s="1"/>
  <c r="AI136" i="36" s="1"/>
  <c r="AJ136" i="36" s="1"/>
  <c r="AG137" i="36"/>
  <c r="AF80" i="36"/>
  <c r="AG80" i="36" s="1"/>
  <c r="AD80" i="12"/>
  <c r="AE80" i="12" s="1"/>
  <c r="Q27" i="40" s="1"/>
  <c r="R27" i="40" s="1"/>
  <c r="S27" i="40" s="1"/>
  <c r="AG79" i="12"/>
  <c r="AH79" i="12" s="1"/>
  <c r="AH136" i="12" s="1"/>
  <c r="AI136" i="12" s="1"/>
  <c r="AJ136" i="12" s="1"/>
  <c r="AM136" i="12" s="1"/>
  <c r="AM193" i="12"/>
  <c r="AQ250" i="37"/>
  <c r="V80" i="36"/>
  <c r="L77" i="40" s="1"/>
  <c r="M77" i="40" s="1"/>
  <c r="N77" i="40" s="1"/>
  <c r="X79" i="36"/>
  <c r="Y79" i="36" s="1"/>
  <c r="Z79" i="36" s="1"/>
  <c r="AA136" i="36"/>
  <c r="AC136" i="36"/>
  <c r="AB136" i="36"/>
  <c r="W193" i="12"/>
  <c r="Q137" i="37"/>
  <c r="R137" i="37"/>
  <c r="S137" i="37"/>
  <c r="M80" i="36"/>
  <c r="G77" i="40" s="1"/>
  <c r="H77" i="40" s="1"/>
  <c r="I77" i="40" s="1"/>
  <c r="O79" i="36"/>
  <c r="P79" i="36" s="1"/>
  <c r="Q79" i="36" s="1"/>
  <c r="S136" i="36"/>
  <c r="Q136" i="36"/>
  <c r="R136" i="36"/>
  <c r="AC137" i="37"/>
  <c r="AB137" i="37"/>
  <c r="AA137" i="37"/>
  <c r="T276" i="37"/>
  <c r="X276" i="37" s="1"/>
  <c r="H301" i="37" s="1"/>
  <c r="T279" i="37"/>
  <c r="T277" i="37"/>
  <c r="AS250" i="37"/>
  <c r="AR250" i="37"/>
  <c r="X251" i="37"/>
  <c r="Y251" i="37" s="1"/>
  <c r="Z251" i="37" s="1"/>
  <c r="L150" i="40"/>
  <c r="M150" i="40" s="1"/>
  <c r="N150" i="40" s="1"/>
  <c r="AB136" i="12"/>
  <c r="AC136" i="12"/>
  <c r="AA136" i="12"/>
  <c r="R223" i="12"/>
  <c r="E326" i="37"/>
  <c r="D411" i="36"/>
  <c r="F411" i="36" s="1"/>
  <c r="D434" i="36"/>
  <c r="F434" i="36" s="1"/>
  <c r="D411" i="38"/>
  <c r="F411" i="38" s="1"/>
  <c r="D434" i="38"/>
  <c r="F434" i="38" s="1"/>
  <c r="S205" i="37"/>
  <c r="AO194" i="36"/>
  <c r="M301" i="37"/>
  <c r="AO78" i="37"/>
  <c r="T86" i="37" s="1"/>
  <c r="T164" i="37"/>
  <c r="T162" i="37"/>
  <c r="T161" i="37"/>
  <c r="X161" i="37" s="1"/>
  <c r="E301" i="37" s="1"/>
  <c r="T163" i="37"/>
  <c r="AM79" i="38"/>
  <c r="AN79" i="38" s="1"/>
  <c r="C136" i="38"/>
  <c r="D136" i="38" s="1"/>
  <c r="E136" i="38" s="1"/>
  <c r="F136" i="38" s="1"/>
  <c r="E79" i="38"/>
  <c r="C80" i="38" s="1"/>
  <c r="G135" i="37"/>
  <c r="AQ135" i="37" s="1"/>
  <c r="I135" i="37"/>
  <c r="AS135" i="37" s="1"/>
  <c r="H135" i="37"/>
  <c r="AR135" i="37" s="1"/>
  <c r="AS78" i="37"/>
  <c r="D79" i="37"/>
  <c r="B126" i="40" s="1"/>
  <c r="C126" i="40" s="1"/>
  <c r="D126" i="40" s="1"/>
  <c r="F78" i="37"/>
  <c r="G78" i="37" s="1"/>
  <c r="H78" i="37" s="1"/>
  <c r="O80" i="12"/>
  <c r="P80" i="12" s="1"/>
  <c r="Q80" i="12" s="1"/>
  <c r="N137" i="12"/>
  <c r="O137" i="12" s="1"/>
  <c r="P137" i="12" s="1"/>
  <c r="E195" i="37"/>
  <c r="C196" i="37" s="1"/>
  <c r="D196" i="37" s="1"/>
  <c r="C327" i="36"/>
  <c r="B386" i="36"/>
  <c r="G47" i="31" s="1"/>
  <c r="E326" i="36"/>
  <c r="C385" i="36"/>
  <c r="T106" i="36"/>
  <c r="T111" i="36"/>
  <c r="T99" i="36"/>
  <c r="T102" i="36"/>
  <c r="T101" i="36"/>
  <c r="T110" i="36"/>
  <c r="T109" i="36"/>
  <c r="T105" i="36"/>
  <c r="T96" i="36"/>
  <c r="T94" i="36"/>
  <c r="T100" i="36"/>
  <c r="T104" i="36"/>
  <c r="T97" i="36"/>
  <c r="T95" i="36"/>
  <c r="T93" i="36"/>
  <c r="T98" i="36"/>
  <c r="T92" i="36"/>
  <c r="T87" i="36"/>
  <c r="T107" i="36"/>
  <c r="T103" i="36"/>
  <c r="T108" i="36"/>
  <c r="AM79" i="36"/>
  <c r="AN79" i="36" s="1"/>
  <c r="E79" i="36"/>
  <c r="C136" i="36"/>
  <c r="D136" i="36" s="1"/>
  <c r="E136" i="36" s="1"/>
  <c r="F136" i="36" s="1"/>
  <c r="I250" i="36"/>
  <c r="AS250" i="36" s="1"/>
  <c r="G250" i="36"/>
  <c r="AQ250" i="36" s="1"/>
  <c r="H250" i="36"/>
  <c r="AR250" i="36" s="1"/>
  <c r="B99" i="40"/>
  <c r="C99" i="40" s="1"/>
  <c r="D99" i="40" s="1"/>
  <c r="AS194" i="36"/>
  <c r="F194" i="36"/>
  <c r="G194" i="36" s="1"/>
  <c r="H194" i="36" s="1"/>
  <c r="F302" i="36" s="1"/>
  <c r="S204" i="36"/>
  <c r="T201" i="36" s="1"/>
  <c r="S225" i="36"/>
  <c r="S218" i="36"/>
  <c r="S214" i="36"/>
  <c r="S209" i="36"/>
  <c r="S215" i="36"/>
  <c r="S212" i="36"/>
  <c r="S219" i="36"/>
  <c r="S226" i="36"/>
  <c r="S221" i="36"/>
  <c r="S208" i="36"/>
  <c r="S223" i="36"/>
  <c r="S220" i="36"/>
  <c r="S213" i="36"/>
  <c r="S227" i="36"/>
  <c r="S224" i="36"/>
  <c r="S217" i="36"/>
  <c r="S211" i="36"/>
  <c r="S210" i="36"/>
  <c r="S203" i="36"/>
  <c r="S216" i="36"/>
  <c r="S222" i="36"/>
  <c r="AU249" i="36"/>
  <c r="S257" i="36" s="1"/>
  <c r="AT249" i="36"/>
  <c r="C276" i="36" s="1"/>
  <c r="Q252" i="12"/>
  <c r="R252" i="12"/>
  <c r="S252" i="12"/>
  <c r="I248" i="12"/>
  <c r="AS248" i="12" s="1"/>
  <c r="H248" i="12"/>
  <c r="AR248" i="12" s="1"/>
  <c r="G248" i="12"/>
  <c r="AQ248" i="12" s="1"/>
  <c r="R274" i="12"/>
  <c r="X274" i="12" s="1"/>
  <c r="H299" i="12" s="1"/>
  <c r="R275" i="12"/>
  <c r="R277" i="12"/>
  <c r="R278" i="12"/>
  <c r="R279" i="12"/>
  <c r="R276" i="12"/>
  <c r="R748" i="4"/>
  <c r="P749" i="4" s="1"/>
  <c r="S749" i="4" s="1"/>
  <c r="E411" i="37" l="1"/>
  <c r="G411" i="37" s="1"/>
  <c r="T202" i="36"/>
  <c r="T221" i="36" s="1"/>
  <c r="C194" i="12"/>
  <c r="D194" i="12" s="1"/>
  <c r="B48" i="40" s="1"/>
  <c r="C48" i="40" s="1"/>
  <c r="D48" i="40" s="1"/>
  <c r="M251" i="37"/>
  <c r="N251" i="37" s="1"/>
  <c r="O251" i="37" s="1"/>
  <c r="P251" i="37" s="1"/>
  <c r="N195" i="37"/>
  <c r="L196" i="37" s="1"/>
  <c r="X193" i="38"/>
  <c r="Y193" i="38" s="1"/>
  <c r="Z193" i="38" s="1"/>
  <c r="L195" i="38"/>
  <c r="M195" i="38" s="1"/>
  <c r="AB249" i="12"/>
  <c r="R222" i="12"/>
  <c r="R214" i="12"/>
  <c r="R209" i="12"/>
  <c r="AC249" i="12"/>
  <c r="R208" i="12"/>
  <c r="AF192" i="38"/>
  <c r="AD193" i="38" s="1"/>
  <c r="AE193" i="38" s="1"/>
  <c r="Q196" i="40"/>
  <c r="R196" i="40" s="1"/>
  <c r="S196" i="40" s="1"/>
  <c r="AM20" i="40" s="1"/>
  <c r="R204" i="12"/>
  <c r="S201" i="12" s="1"/>
  <c r="R221" i="12"/>
  <c r="R217" i="12"/>
  <c r="R213" i="12"/>
  <c r="R226" i="12"/>
  <c r="R227" i="12"/>
  <c r="R218" i="12"/>
  <c r="R216" i="12"/>
  <c r="R211" i="12"/>
  <c r="R203" i="12"/>
  <c r="R220" i="12"/>
  <c r="R210" i="12"/>
  <c r="R212" i="12"/>
  <c r="R224" i="12"/>
  <c r="R219" i="12"/>
  <c r="R215" i="12"/>
  <c r="AU135" i="38"/>
  <c r="T142" i="38" s="1"/>
  <c r="U162" i="38" s="1"/>
  <c r="AT135" i="38"/>
  <c r="C162" i="38" s="1"/>
  <c r="AL137" i="38"/>
  <c r="AM137" i="38"/>
  <c r="AK137" i="38"/>
  <c r="AG248" i="38"/>
  <c r="AM192" i="38"/>
  <c r="AN192" i="38" s="1"/>
  <c r="AO192" i="38" s="1"/>
  <c r="Q279" i="38"/>
  <c r="Q274" i="38"/>
  <c r="Q276" i="38"/>
  <c r="Q273" i="38"/>
  <c r="X273" i="38" s="1"/>
  <c r="H298" i="38" s="1"/>
  <c r="N298" i="38" s="1"/>
  <c r="Q278" i="38"/>
  <c r="Q277" i="38"/>
  <c r="Q275" i="38"/>
  <c r="Q204" i="38"/>
  <c r="R201" i="38" s="1"/>
  <c r="Q227" i="38"/>
  <c r="Q222" i="38"/>
  <c r="Q218" i="38"/>
  <c r="Q215" i="38"/>
  <c r="Q224" i="38"/>
  <c r="Q214" i="38"/>
  <c r="Q213" i="38"/>
  <c r="Q209" i="38"/>
  <c r="Q216" i="38"/>
  <c r="Q223" i="38"/>
  <c r="Q221" i="38"/>
  <c r="Q217" i="38"/>
  <c r="Q210" i="38"/>
  <c r="Q226" i="38"/>
  <c r="Q225" i="38"/>
  <c r="Q211" i="38"/>
  <c r="Q220" i="38"/>
  <c r="Q212" i="38"/>
  <c r="Q208" i="38"/>
  <c r="Q203" i="38"/>
  <c r="Q219" i="38"/>
  <c r="AI191" i="38"/>
  <c r="F299" i="38" s="1"/>
  <c r="M299" i="38" s="1"/>
  <c r="AI79" i="38"/>
  <c r="AM247" i="38"/>
  <c r="AS247" i="38" s="1"/>
  <c r="AK247" i="38"/>
  <c r="AQ247" i="38" s="1"/>
  <c r="AL247" i="38"/>
  <c r="AR247" i="38" s="1"/>
  <c r="AM136" i="38"/>
  <c r="AK136" i="38"/>
  <c r="AL136" i="38"/>
  <c r="AB137" i="38"/>
  <c r="AA137" i="38"/>
  <c r="AC137" i="38"/>
  <c r="AB249" i="38"/>
  <c r="AC249" i="38"/>
  <c r="AA249" i="38"/>
  <c r="R250" i="38"/>
  <c r="Q250" i="38"/>
  <c r="S250" i="38"/>
  <c r="M137" i="38"/>
  <c r="N137" i="38" s="1"/>
  <c r="O137" i="38" s="1"/>
  <c r="P137" i="38" s="1"/>
  <c r="N80" i="38"/>
  <c r="O80" i="38" s="1"/>
  <c r="P80" i="38" s="1"/>
  <c r="Q80" i="38" s="1"/>
  <c r="AU135" i="36"/>
  <c r="T142" i="36" s="1"/>
  <c r="U163" i="36" s="1"/>
  <c r="AT135" i="36"/>
  <c r="C162" i="36" s="1"/>
  <c r="T89" i="36"/>
  <c r="AI79" i="12"/>
  <c r="AM136" i="36"/>
  <c r="AK136" i="36"/>
  <c r="AL136" i="36"/>
  <c r="AN193" i="12"/>
  <c r="AO193" i="12" s="1"/>
  <c r="AI79" i="37"/>
  <c r="AL137" i="37"/>
  <c r="AM137" i="37"/>
  <c r="AK137" i="37"/>
  <c r="AM136" i="37"/>
  <c r="AL136" i="37"/>
  <c r="AK136" i="37"/>
  <c r="AI79" i="36"/>
  <c r="W137" i="12"/>
  <c r="X137" i="12" s="1"/>
  <c r="Y137" i="12" s="1"/>
  <c r="Z137" i="12" s="1"/>
  <c r="AB137" i="12" s="1"/>
  <c r="W80" i="12"/>
  <c r="X80" i="12" s="1"/>
  <c r="Y80" i="12" s="1"/>
  <c r="Z80" i="12" s="1"/>
  <c r="AH80" i="37"/>
  <c r="AI80" i="37" s="1"/>
  <c r="AH80" i="36"/>
  <c r="AH137" i="36" s="1"/>
  <c r="AI137" i="36" s="1"/>
  <c r="AJ137" i="36" s="1"/>
  <c r="C80" i="36"/>
  <c r="D80" i="36" s="1"/>
  <c r="B77" i="40" s="1"/>
  <c r="C77" i="40" s="1"/>
  <c r="D77" i="40" s="1"/>
  <c r="AL136" i="12"/>
  <c r="AK136" i="12"/>
  <c r="AG137" i="12"/>
  <c r="AF80" i="12"/>
  <c r="AG80" i="12" s="1"/>
  <c r="AH80" i="12" s="1"/>
  <c r="X193" i="12"/>
  <c r="Y193" i="12" s="1"/>
  <c r="Z193" i="12" s="1"/>
  <c r="F301" i="12" s="1"/>
  <c r="U194" i="12"/>
  <c r="V194" i="12" s="1"/>
  <c r="W196" i="37"/>
  <c r="X196" i="37" s="1"/>
  <c r="Y196" i="37" s="1"/>
  <c r="Z196" i="37" s="1"/>
  <c r="W252" i="37"/>
  <c r="X252" i="37" s="1"/>
  <c r="Y252" i="37" s="1"/>
  <c r="Z252" i="37" s="1"/>
  <c r="M137" i="36"/>
  <c r="N137" i="36" s="1"/>
  <c r="O137" i="36" s="1"/>
  <c r="P137" i="36" s="1"/>
  <c r="N80" i="36"/>
  <c r="O80" i="36" s="1"/>
  <c r="P80" i="36" s="1"/>
  <c r="Q80" i="36" s="1"/>
  <c r="S251" i="37"/>
  <c r="R251" i="37"/>
  <c r="Q251" i="37"/>
  <c r="N301" i="37"/>
  <c r="C386" i="37" s="1"/>
  <c r="AS193" i="12"/>
  <c r="E433" i="12" s="1"/>
  <c r="G433" i="12" s="1"/>
  <c r="W137" i="36"/>
  <c r="X137" i="36" s="1"/>
  <c r="Y137" i="36" s="1"/>
  <c r="Z137" i="36" s="1"/>
  <c r="W80" i="36"/>
  <c r="X80" i="36" s="1"/>
  <c r="Y80" i="36" s="1"/>
  <c r="Z80" i="36" s="1"/>
  <c r="AU250" i="37"/>
  <c r="T257" i="37" s="1"/>
  <c r="U277" i="37" s="1"/>
  <c r="AT250" i="37"/>
  <c r="C277" i="37" s="1"/>
  <c r="AB251" i="37"/>
  <c r="AC251" i="37"/>
  <c r="AA251" i="37"/>
  <c r="T225" i="37"/>
  <c r="T224" i="37"/>
  <c r="S137" i="12"/>
  <c r="Q137" i="12"/>
  <c r="R137" i="12"/>
  <c r="T227" i="37"/>
  <c r="T211" i="37"/>
  <c r="T223" i="37"/>
  <c r="T208" i="37"/>
  <c r="T204" i="37"/>
  <c r="U201" i="37" s="1"/>
  <c r="T212" i="37"/>
  <c r="T217" i="37"/>
  <c r="T203" i="37"/>
  <c r="T210" i="37"/>
  <c r="T218" i="37"/>
  <c r="T220" i="37"/>
  <c r="T215" i="37"/>
  <c r="T219" i="37"/>
  <c r="T209" i="37"/>
  <c r="T214" i="37"/>
  <c r="T222" i="37"/>
  <c r="T221" i="37"/>
  <c r="T226" i="37"/>
  <c r="D411" i="37"/>
  <c r="F411" i="37" s="1"/>
  <c r="D434" i="37"/>
  <c r="F434" i="37" s="1"/>
  <c r="E411" i="36"/>
  <c r="G411" i="36" s="1"/>
  <c r="E434" i="36"/>
  <c r="G434" i="36" s="1"/>
  <c r="T213" i="37"/>
  <c r="T88" i="38"/>
  <c r="U85" i="38" s="1"/>
  <c r="T103" i="38"/>
  <c r="T87" i="38"/>
  <c r="T108" i="38"/>
  <c r="T94" i="38"/>
  <c r="T95" i="38"/>
  <c r="T98" i="38"/>
  <c r="T96" i="38"/>
  <c r="T102" i="38"/>
  <c r="T107" i="38"/>
  <c r="T111" i="38"/>
  <c r="T99" i="38"/>
  <c r="T110" i="38"/>
  <c r="T101" i="38"/>
  <c r="T105" i="38"/>
  <c r="T100" i="38"/>
  <c r="T93" i="38"/>
  <c r="T106" i="38"/>
  <c r="T104" i="38"/>
  <c r="T97" i="38"/>
  <c r="T92" i="38"/>
  <c r="T109" i="38"/>
  <c r="AO79" i="36"/>
  <c r="U86" i="36" s="1"/>
  <c r="M302" i="36"/>
  <c r="B386" i="37"/>
  <c r="G74" i="31" s="1"/>
  <c r="C327" i="37"/>
  <c r="T92" i="37"/>
  <c r="T104" i="37"/>
  <c r="T99" i="37"/>
  <c r="T111" i="37"/>
  <c r="T93" i="37"/>
  <c r="T96" i="37"/>
  <c r="T107" i="37"/>
  <c r="T100" i="37"/>
  <c r="T109" i="37"/>
  <c r="T106" i="37"/>
  <c r="T88" i="37"/>
  <c r="U85" i="37" s="1"/>
  <c r="T87" i="37"/>
  <c r="T94" i="37"/>
  <c r="T105" i="37"/>
  <c r="T110" i="37"/>
  <c r="T108" i="37"/>
  <c r="T98" i="37"/>
  <c r="T95" i="37"/>
  <c r="T97" i="37"/>
  <c r="T102" i="37"/>
  <c r="T103" i="37"/>
  <c r="T101" i="37"/>
  <c r="C302" i="37"/>
  <c r="AO79" i="38"/>
  <c r="H136" i="38"/>
  <c r="I136" i="38"/>
  <c r="G136" i="38"/>
  <c r="AU135" i="37"/>
  <c r="T142" i="37" s="1"/>
  <c r="AT135" i="37"/>
  <c r="C162" i="37" s="1"/>
  <c r="C136" i="37"/>
  <c r="D136" i="37" s="1"/>
  <c r="E136" i="37" s="1"/>
  <c r="F136" i="37" s="1"/>
  <c r="AM79" i="37"/>
  <c r="AN79" i="37" s="1"/>
  <c r="E79" i="37"/>
  <c r="C80" i="37" s="1"/>
  <c r="D80" i="38"/>
  <c r="B177" i="40" s="1"/>
  <c r="C177" i="40" s="1"/>
  <c r="D177" i="40" s="1"/>
  <c r="AS79" i="38"/>
  <c r="F79" i="38"/>
  <c r="G79" i="38" s="1"/>
  <c r="H79" i="38" s="1"/>
  <c r="B150" i="40"/>
  <c r="C150" i="40" s="1"/>
  <c r="D150" i="40" s="1"/>
  <c r="F195" i="37"/>
  <c r="G195" i="37" s="1"/>
  <c r="H195" i="37" s="1"/>
  <c r="AM195" i="37"/>
  <c r="AN195" i="37" s="1"/>
  <c r="C251" i="37"/>
  <c r="D251" i="37" s="1"/>
  <c r="E251" i="37" s="1"/>
  <c r="F251" i="37" s="1"/>
  <c r="T278" i="36"/>
  <c r="T277" i="36"/>
  <c r="T276" i="36"/>
  <c r="X276" i="36" s="1"/>
  <c r="H301" i="36" s="1"/>
  <c r="T279" i="36"/>
  <c r="AS79" i="36"/>
  <c r="F79" i="36"/>
  <c r="G79" i="36" s="1"/>
  <c r="H79" i="36" s="1"/>
  <c r="S205" i="36"/>
  <c r="AU250" i="36"/>
  <c r="T257" i="36" s="1"/>
  <c r="AT250" i="36"/>
  <c r="C277" i="36" s="1"/>
  <c r="H136" i="36"/>
  <c r="I136" i="36"/>
  <c r="G136" i="36"/>
  <c r="F249" i="12"/>
  <c r="AU248" i="12"/>
  <c r="R257" i="12" s="1"/>
  <c r="AT248" i="12"/>
  <c r="C275" i="12" s="1"/>
  <c r="R749" i="4"/>
  <c r="P750" i="4" s="1"/>
  <c r="S750" i="4" s="1"/>
  <c r="R202" i="38" l="1"/>
  <c r="C250" i="12"/>
  <c r="AS195" i="37"/>
  <c r="E435" i="37" s="1"/>
  <c r="G435" i="37" s="1"/>
  <c r="E194" i="12"/>
  <c r="F194" i="12" s="1"/>
  <c r="G194" i="12" s="1"/>
  <c r="H194" i="12" s="1"/>
  <c r="O195" i="37"/>
  <c r="P195" i="37" s="1"/>
  <c r="Q195" i="37" s="1"/>
  <c r="F303" i="37" s="1"/>
  <c r="M196" i="37"/>
  <c r="G150" i="40" s="1"/>
  <c r="H150" i="40" s="1"/>
  <c r="I150" i="40" s="1"/>
  <c r="S202" i="12"/>
  <c r="S213" i="12" s="1"/>
  <c r="R205" i="12"/>
  <c r="AS192" i="38"/>
  <c r="E432" i="38" s="1"/>
  <c r="G432" i="38" s="1"/>
  <c r="AM194" i="12"/>
  <c r="AN194" i="12" s="1"/>
  <c r="AO194" i="12" s="1"/>
  <c r="L48" i="40"/>
  <c r="M48" i="40" s="1"/>
  <c r="N48" i="40" s="1"/>
  <c r="W194" i="38"/>
  <c r="X194" i="38" s="1"/>
  <c r="Y194" i="38" s="1"/>
  <c r="Z194" i="38" s="1"/>
  <c r="L198" i="40"/>
  <c r="M198" i="40" s="1"/>
  <c r="N198" i="40" s="1"/>
  <c r="AG192" i="38"/>
  <c r="AH192" i="38" s="1"/>
  <c r="AH248" i="38" s="1"/>
  <c r="AI248" i="38" s="1"/>
  <c r="AJ248" i="38" s="1"/>
  <c r="N195" i="38"/>
  <c r="L196" i="38" s="1"/>
  <c r="M196" i="38" s="1"/>
  <c r="G199" i="40"/>
  <c r="H199" i="40" s="1"/>
  <c r="I199" i="40" s="1"/>
  <c r="U163" i="38"/>
  <c r="U164" i="38"/>
  <c r="C303" i="38"/>
  <c r="Q205" i="38"/>
  <c r="AQ136" i="38"/>
  <c r="AS136" i="38"/>
  <c r="X162" i="38"/>
  <c r="E302" i="38" s="1"/>
  <c r="AR136" i="38"/>
  <c r="C325" i="38"/>
  <c r="B384" i="38"/>
  <c r="G99" i="31" s="1"/>
  <c r="C383" i="38"/>
  <c r="H98" i="31" s="1"/>
  <c r="E324" i="38"/>
  <c r="AU247" i="38"/>
  <c r="Q257" i="38" s="1"/>
  <c r="AT247" i="38"/>
  <c r="C274" i="38" s="1"/>
  <c r="Q197" i="40"/>
  <c r="R197" i="40" s="1"/>
  <c r="S197" i="40" s="1"/>
  <c r="AM21" i="40" s="1"/>
  <c r="U162" i="36"/>
  <c r="X162" i="36" s="1"/>
  <c r="E302" i="36" s="1"/>
  <c r="U164" i="36"/>
  <c r="W250" i="38"/>
  <c r="X250" i="38" s="1"/>
  <c r="Y250" i="38" s="1"/>
  <c r="Z250" i="38" s="1"/>
  <c r="R137" i="38"/>
  <c r="S137" i="38"/>
  <c r="Q137" i="38"/>
  <c r="M251" i="38"/>
  <c r="N251" i="38" s="1"/>
  <c r="O251" i="38" s="1"/>
  <c r="P251" i="38" s="1"/>
  <c r="U86" i="38"/>
  <c r="AS136" i="36"/>
  <c r="AR136" i="36"/>
  <c r="AQ136" i="36"/>
  <c r="AK137" i="36"/>
  <c r="AM137" i="36"/>
  <c r="AL137" i="36"/>
  <c r="AA137" i="12"/>
  <c r="U278" i="37"/>
  <c r="AC137" i="12"/>
  <c r="AI80" i="36"/>
  <c r="C303" i="36"/>
  <c r="AH137" i="12"/>
  <c r="AI137" i="12" s="1"/>
  <c r="AJ137" i="12" s="1"/>
  <c r="AL137" i="12" s="1"/>
  <c r="AI80" i="12"/>
  <c r="E327" i="37"/>
  <c r="E410" i="12"/>
  <c r="G410" i="12" s="1"/>
  <c r="AC137" i="36"/>
  <c r="AA137" i="36"/>
  <c r="AB137" i="36"/>
  <c r="Q137" i="36"/>
  <c r="S137" i="36"/>
  <c r="R137" i="36"/>
  <c r="W194" i="12"/>
  <c r="W250" i="12"/>
  <c r="X250" i="12" s="1"/>
  <c r="Y250" i="12" s="1"/>
  <c r="Z250" i="12" s="1"/>
  <c r="X277" i="37"/>
  <c r="H302" i="37" s="1"/>
  <c r="U279" i="37"/>
  <c r="AA252" i="37"/>
  <c r="AB252" i="37"/>
  <c r="AC252" i="37"/>
  <c r="T205" i="37"/>
  <c r="T220" i="36"/>
  <c r="T203" i="36"/>
  <c r="T227" i="36"/>
  <c r="T224" i="36"/>
  <c r="T214" i="36"/>
  <c r="T210" i="36"/>
  <c r="T216" i="36"/>
  <c r="T215" i="36"/>
  <c r="T222" i="36"/>
  <c r="T211" i="36"/>
  <c r="T208" i="36"/>
  <c r="E412" i="37"/>
  <c r="G412" i="37" s="1"/>
  <c r="T204" i="36"/>
  <c r="U201" i="36" s="1"/>
  <c r="D412" i="36"/>
  <c r="F412" i="36" s="1"/>
  <c r="D435" i="36"/>
  <c r="F435" i="36" s="1"/>
  <c r="T213" i="36"/>
  <c r="T223" i="36"/>
  <c r="T225" i="36"/>
  <c r="T209" i="36"/>
  <c r="T226" i="36"/>
  <c r="T212" i="36"/>
  <c r="T218" i="36"/>
  <c r="T217" i="36"/>
  <c r="D412" i="38"/>
  <c r="F412" i="38" s="1"/>
  <c r="D435" i="38"/>
  <c r="F435" i="38" s="1"/>
  <c r="T219" i="36"/>
  <c r="T89" i="38"/>
  <c r="T89" i="37"/>
  <c r="N301" i="36"/>
  <c r="M302" i="37"/>
  <c r="AO79" i="37"/>
  <c r="U86" i="37" s="1"/>
  <c r="AM80" i="38"/>
  <c r="C137" i="38"/>
  <c r="D137" i="38" s="1"/>
  <c r="E137" i="38" s="1"/>
  <c r="F137" i="38" s="1"/>
  <c r="E80" i="38"/>
  <c r="D80" i="37"/>
  <c r="B127" i="40" s="1"/>
  <c r="C127" i="40" s="1"/>
  <c r="D127" i="40" s="1"/>
  <c r="AS79" i="37"/>
  <c r="F79" i="37"/>
  <c r="G79" i="37" s="1"/>
  <c r="H79" i="37" s="1"/>
  <c r="U162" i="37"/>
  <c r="X162" i="37" s="1"/>
  <c r="E302" i="37" s="1"/>
  <c r="U163" i="37"/>
  <c r="U164" i="37"/>
  <c r="H136" i="37"/>
  <c r="AR136" i="37" s="1"/>
  <c r="I136" i="37"/>
  <c r="AS136" i="37" s="1"/>
  <c r="G136" i="37"/>
  <c r="AQ136" i="37" s="1"/>
  <c r="H251" i="37"/>
  <c r="AR251" i="37" s="1"/>
  <c r="G251" i="37"/>
  <c r="AQ251" i="37" s="1"/>
  <c r="I251" i="37"/>
  <c r="AS251" i="37" s="1"/>
  <c r="AO195" i="37"/>
  <c r="U202" i="37" s="1"/>
  <c r="C252" i="37"/>
  <c r="D252" i="37" s="1"/>
  <c r="E252" i="37" s="1"/>
  <c r="F252" i="37" s="1"/>
  <c r="E196" i="37"/>
  <c r="C328" i="36"/>
  <c r="B387" i="36"/>
  <c r="G48" i="31" s="1"/>
  <c r="U279" i="36"/>
  <c r="U277" i="36"/>
  <c r="X277" i="36" s="1"/>
  <c r="H302" i="36" s="1"/>
  <c r="U278" i="36"/>
  <c r="C251" i="36"/>
  <c r="D251" i="36" s="1"/>
  <c r="E251" i="36" s="1"/>
  <c r="F251" i="36" s="1"/>
  <c r="AM195" i="36"/>
  <c r="AN195" i="36" s="1"/>
  <c r="C137" i="36"/>
  <c r="D137" i="36" s="1"/>
  <c r="E137" i="36" s="1"/>
  <c r="F137" i="36" s="1"/>
  <c r="AM80" i="36"/>
  <c r="E80" i="36"/>
  <c r="U88" i="36"/>
  <c r="V85" i="36" s="1"/>
  <c r="U97" i="36"/>
  <c r="U102" i="36"/>
  <c r="U106" i="36"/>
  <c r="U101" i="36"/>
  <c r="U94" i="36"/>
  <c r="U99" i="36"/>
  <c r="U98" i="36"/>
  <c r="U109" i="36"/>
  <c r="U111" i="36"/>
  <c r="U92" i="36"/>
  <c r="U110" i="36"/>
  <c r="U104" i="36"/>
  <c r="U100" i="36"/>
  <c r="U96" i="36"/>
  <c r="U87" i="36"/>
  <c r="U105" i="36"/>
  <c r="U95" i="36"/>
  <c r="U103" i="36"/>
  <c r="U107" i="36"/>
  <c r="U93" i="36"/>
  <c r="U108" i="36"/>
  <c r="E195" i="36"/>
  <c r="C196" i="36" s="1"/>
  <c r="D196" i="36" s="1"/>
  <c r="H59" i="31"/>
  <c r="H64" i="31"/>
  <c r="H67" i="31"/>
  <c r="H72" i="31"/>
  <c r="H73" i="31"/>
  <c r="H68" i="31"/>
  <c r="H65" i="31"/>
  <c r="H69" i="31"/>
  <c r="H63" i="31"/>
  <c r="H74" i="31"/>
  <c r="H61" i="31"/>
  <c r="H66" i="31"/>
  <c r="H60" i="31"/>
  <c r="H62" i="31"/>
  <c r="H71" i="31"/>
  <c r="H70" i="31"/>
  <c r="I249" i="12"/>
  <c r="AS249" i="12" s="1"/>
  <c r="H249" i="12"/>
  <c r="AR249" i="12" s="1"/>
  <c r="G249" i="12"/>
  <c r="AQ249" i="12" s="1"/>
  <c r="D250" i="12"/>
  <c r="E250" i="12" s="1"/>
  <c r="S278" i="12"/>
  <c r="S279" i="12"/>
  <c r="S275" i="12"/>
  <c r="X275" i="12" s="1"/>
  <c r="H300" i="12" s="1"/>
  <c r="S276" i="12"/>
  <c r="S277" i="12"/>
  <c r="R750" i="4"/>
  <c r="P751" i="4" s="1"/>
  <c r="S751" i="4" s="1"/>
  <c r="AN80" i="38" l="1"/>
  <c r="AO80" i="38" s="1"/>
  <c r="C7" i="20"/>
  <c r="AN80" i="36"/>
  <c r="AO80" i="36" s="1"/>
  <c r="V86" i="36" s="1"/>
  <c r="X34" i="40" s="1" a="1"/>
  <c r="C5" i="20"/>
  <c r="AS194" i="12"/>
  <c r="E411" i="12" s="1"/>
  <c r="G411" i="12" s="1"/>
  <c r="C195" i="12"/>
  <c r="D195" i="12" s="1"/>
  <c r="M252" i="37"/>
  <c r="N252" i="37" s="1"/>
  <c r="O252" i="37" s="1"/>
  <c r="P252" i="37" s="1"/>
  <c r="S252" i="37" s="1"/>
  <c r="N196" i="37"/>
  <c r="O196" i="37" s="1"/>
  <c r="P196" i="37" s="1"/>
  <c r="Q196" i="37" s="1"/>
  <c r="AM196" i="37"/>
  <c r="D6" i="20" s="1"/>
  <c r="S210" i="12"/>
  <c r="S214" i="12"/>
  <c r="E409" i="38"/>
  <c r="G409" i="38" s="1"/>
  <c r="S224" i="12"/>
  <c r="S203" i="12"/>
  <c r="U195" i="38"/>
  <c r="V195" i="38" s="1"/>
  <c r="S211" i="12"/>
  <c r="S217" i="12"/>
  <c r="O195" i="38"/>
  <c r="P195" i="38" s="1"/>
  <c r="Q195" i="38" s="1"/>
  <c r="S204" i="12"/>
  <c r="T201" i="12" s="1"/>
  <c r="S221" i="12"/>
  <c r="S223" i="12"/>
  <c r="S218" i="12"/>
  <c r="S227" i="12"/>
  <c r="S212" i="12"/>
  <c r="S215" i="12"/>
  <c r="S220" i="12"/>
  <c r="S216" i="12"/>
  <c r="S219" i="12"/>
  <c r="S222" i="12"/>
  <c r="S226" i="12"/>
  <c r="S209" i="12"/>
  <c r="S208" i="12"/>
  <c r="S225" i="12"/>
  <c r="AU136" i="38"/>
  <c r="U142" i="38" s="1"/>
  <c r="V164" i="38" s="1"/>
  <c r="AT136" i="38"/>
  <c r="C163" i="38" s="1"/>
  <c r="AI192" i="38"/>
  <c r="F300" i="38" s="1"/>
  <c r="M300" i="38" s="1"/>
  <c r="C326" i="38" s="1"/>
  <c r="AG249" i="38"/>
  <c r="AM193" i="38"/>
  <c r="AN193" i="38" s="1"/>
  <c r="AO193" i="38" s="1"/>
  <c r="R275" i="38"/>
  <c r="R278" i="38"/>
  <c r="R274" i="38"/>
  <c r="X274" i="38" s="1"/>
  <c r="H299" i="38" s="1"/>
  <c r="N299" i="38" s="1"/>
  <c r="R279" i="38"/>
  <c r="R277" i="38"/>
  <c r="R276" i="38"/>
  <c r="AL248" i="38"/>
  <c r="AR248" i="38" s="1"/>
  <c r="AK248" i="38"/>
  <c r="AQ248" i="38" s="1"/>
  <c r="AM248" i="38"/>
  <c r="AS248" i="38" s="1"/>
  <c r="R215" i="38"/>
  <c r="R209" i="38"/>
  <c r="R218" i="38"/>
  <c r="R227" i="38"/>
  <c r="R213" i="38"/>
  <c r="R224" i="38"/>
  <c r="R217" i="38"/>
  <c r="R221" i="38"/>
  <c r="R219" i="38"/>
  <c r="R203" i="38"/>
  <c r="R222" i="38"/>
  <c r="R223" i="38"/>
  <c r="R220" i="38"/>
  <c r="R225" i="38"/>
  <c r="R216" i="38"/>
  <c r="R214" i="38"/>
  <c r="R210" i="38"/>
  <c r="R208" i="38"/>
  <c r="R211" i="38"/>
  <c r="R226" i="38"/>
  <c r="R212" i="38"/>
  <c r="AF193" i="38"/>
  <c r="R204" i="38"/>
  <c r="N302" i="36"/>
  <c r="AB250" i="38"/>
  <c r="AC250" i="38"/>
  <c r="AA250" i="38"/>
  <c r="R251" i="38"/>
  <c r="S251" i="38"/>
  <c r="Q251" i="38"/>
  <c r="AT136" i="36"/>
  <c r="C163" i="36" s="1"/>
  <c r="AU136" i="36"/>
  <c r="U142" i="36" s="1"/>
  <c r="V164" i="36" s="1"/>
  <c r="AN196" i="37"/>
  <c r="AO196" i="37" s="1"/>
  <c r="AK137" i="12"/>
  <c r="AM137" i="12"/>
  <c r="N302" i="37"/>
  <c r="E328" i="37" s="1"/>
  <c r="AC250" i="12"/>
  <c r="AA250" i="12"/>
  <c r="AB250" i="12"/>
  <c r="U195" i="12"/>
  <c r="V195" i="12" s="1"/>
  <c r="X194" i="12"/>
  <c r="Y194" i="12" s="1"/>
  <c r="Z194" i="12" s="1"/>
  <c r="F302" i="12" s="1"/>
  <c r="D412" i="37"/>
  <c r="F412" i="37" s="1"/>
  <c r="D435" i="37"/>
  <c r="F435" i="37" s="1"/>
  <c r="T205" i="36"/>
  <c r="U88" i="38"/>
  <c r="V85" i="38" s="1"/>
  <c r="U102" i="38"/>
  <c r="U98" i="38"/>
  <c r="U96" i="38"/>
  <c r="U97" i="38"/>
  <c r="U101" i="38"/>
  <c r="U95" i="38"/>
  <c r="U94" i="38"/>
  <c r="U105" i="38"/>
  <c r="U111" i="38"/>
  <c r="U103" i="38"/>
  <c r="U109" i="38"/>
  <c r="U93" i="38"/>
  <c r="U99" i="38"/>
  <c r="U100" i="38"/>
  <c r="U107" i="38"/>
  <c r="U87" i="38"/>
  <c r="U106" i="38"/>
  <c r="U92" i="38"/>
  <c r="U104" i="38"/>
  <c r="U108" i="38"/>
  <c r="U110" i="38"/>
  <c r="U111" i="37"/>
  <c r="U109" i="37"/>
  <c r="U101" i="37"/>
  <c r="U93" i="37"/>
  <c r="U95" i="37"/>
  <c r="U100" i="37"/>
  <c r="U102" i="37"/>
  <c r="U97" i="37"/>
  <c r="U103" i="37"/>
  <c r="U96" i="37"/>
  <c r="U98" i="37"/>
  <c r="U106" i="37"/>
  <c r="U87" i="37"/>
  <c r="U107" i="37"/>
  <c r="U104" i="37"/>
  <c r="U92" i="37"/>
  <c r="U88" i="37"/>
  <c r="V85" i="37" s="1"/>
  <c r="U105" i="37"/>
  <c r="U108" i="37"/>
  <c r="U94" i="37"/>
  <c r="U110" i="37"/>
  <c r="U99" i="37"/>
  <c r="C303" i="37"/>
  <c r="B387" i="37"/>
  <c r="G75" i="31" s="1"/>
  <c r="C328" i="37"/>
  <c r="F80" i="38"/>
  <c r="G80" i="38" s="1"/>
  <c r="H80" i="38" s="1"/>
  <c r="C304" i="38" s="1"/>
  <c r="AS80" i="38"/>
  <c r="I137" i="38"/>
  <c r="AS137" i="38" s="1"/>
  <c r="H137" i="38"/>
  <c r="AR137" i="38" s="1"/>
  <c r="G137" i="38"/>
  <c r="AQ137" i="38" s="1"/>
  <c r="AT136" i="37"/>
  <c r="C163" i="37" s="1"/>
  <c r="AU136" i="37"/>
  <c r="U142" i="37" s="1"/>
  <c r="C137" i="37"/>
  <c r="D137" i="37" s="1"/>
  <c r="E137" i="37" s="1"/>
  <c r="F137" i="37" s="1"/>
  <c r="AM80" i="37"/>
  <c r="E80" i="37"/>
  <c r="F196" i="37"/>
  <c r="G196" i="37" s="1"/>
  <c r="H196" i="37" s="1"/>
  <c r="I252" i="37"/>
  <c r="G252" i="37"/>
  <c r="H252" i="37"/>
  <c r="AT251" i="37"/>
  <c r="C278" i="37" s="1"/>
  <c r="AU251" i="37"/>
  <c r="U257" i="37" s="1"/>
  <c r="U204" i="37"/>
  <c r="V201" i="37" s="1"/>
  <c r="U220" i="37"/>
  <c r="U222" i="37"/>
  <c r="U203" i="37"/>
  <c r="U221" i="37"/>
  <c r="U208" i="37"/>
  <c r="U219" i="37"/>
  <c r="U223" i="37"/>
  <c r="U211" i="37"/>
  <c r="U210" i="37"/>
  <c r="U216" i="37"/>
  <c r="U217" i="37"/>
  <c r="U215" i="37"/>
  <c r="U227" i="37"/>
  <c r="U213" i="37"/>
  <c r="U225" i="37"/>
  <c r="U218" i="37"/>
  <c r="U214" i="37"/>
  <c r="U226" i="37"/>
  <c r="U212" i="37"/>
  <c r="U224" i="37"/>
  <c r="U209" i="37"/>
  <c r="E327" i="36"/>
  <c r="C386" i="36"/>
  <c r="U89" i="36"/>
  <c r="F80" i="36"/>
  <c r="G80" i="36" s="1"/>
  <c r="H80" i="36" s="1"/>
  <c r="C304" i="36" s="1"/>
  <c r="AS80" i="36"/>
  <c r="AO195" i="36"/>
  <c r="U202" i="36" s="1"/>
  <c r="H251" i="36"/>
  <c r="AR251" i="36" s="1"/>
  <c r="G251" i="36"/>
  <c r="AQ251" i="36" s="1"/>
  <c r="I251" i="36"/>
  <c r="AS251" i="36" s="1"/>
  <c r="I137" i="36"/>
  <c r="AS137" i="36" s="1"/>
  <c r="H137" i="36"/>
  <c r="AR137" i="36" s="1"/>
  <c r="G137" i="36"/>
  <c r="AQ137" i="36" s="1"/>
  <c r="AS195" i="36"/>
  <c r="F195" i="36"/>
  <c r="G195" i="36" s="1"/>
  <c r="H195" i="36" s="1"/>
  <c r="F303" i="36" s="1"/>
  <c r="B100" i="40"/>
  <c r="C100" i="40" s="1"/>
  <c r="D100" i="40" s="1"/>
  <c r="F250" i="12"/>
  <c r="AU249" i="12"/>
  <c r="S257" i="12" s="1"/>
  <c r="AT249" i="12"/>
  <c r="C276" i="12" s="1"/>
  <c r="R751" i="4"/>
  <c r="P752" i="4" s="1"/>
  <c r="S752" i="4" s="1"/>
  <c r="V202" i="37" l="1"/>
  <c r="Q252" i="37"/>
  <c r="AQ252" i="37" s="1"/>
  <c r="R252" i="37"/>
  <c r="AN80" i="37"/>
  <c r="AO80" i="37" s="1"/>
  <c r="V86" i="37" s="1"/>
  <c r="X60" i="40" s="1" a="1"/>
  <c r="C6" i="20"/>
  <c r="E6" i="20" s="1"/>
  <c r="E434" i="12"/>
  <c r="G434" i="12" s="1"/>
  <c r="AS196" i="37"/>
  <c r="E436" i="37" s="1"/>
  <c r="G436" i="37" s="1"/>
  <c r="G438" i="37" s="1"/>
  <c r="B49" i="40"/>
  <c r="C49" i="40" s="1"/>
  <c r="D49" i="40" s="1"/>
  <c r="C251" i="12"/>
  <c r="D251" i="12" s="1"/>
  <c r="E251" i="12" s="1"/>
  <c r="F304" i="37"/>
  <c r="E195" i="12"/>
  <c r="F195" i="12" s="1"/>
  <c r="G195" i="12" s="1"/>
  <c r="H195" i="12" s="1"/>
  <c r="T202" i="12"/>
  <c r="T216" i="12" s="1"/>
  <c r="S205" i="12"/>
  <c r="X34" i="40"/>
  <c r="Y34" i="40" s="1"/>
  <c r="Y48" i="40"/>
  <c r="Y46" i="40"/>
  <c r="Y44" i="40"/>
  <c r="Y38" i="40"/>
  <c r="Y40" i="40"/>
  <c r="Y53" i="40"/>
  <c r="Y52" i="40"/>
  <c r="Y49" i="40"/>
  <c r="Y36" i="40"/>
  <c r="Y35" i="40"/>
  <c r="Y42" i="40"/>
  <c r="Y45" i="40"/>
  <c r="Y39" i="40"/>
  <c r="Y41" i="40"/>
  <c r="Y47" i="40"/>
  <c r="Y51" i="40"/>
  <c r="Y37" i="40"/>
  <c r="Y43" i="40"/>
  <c r="Y50" i="40"/>
  <c r="N196" i="38"/>
  <c r="O196" i="38" s="1"/>
  <c r="P196" i="38" s="1"/>
  <c r="Q196" i="38" s="1"/>
  <c r="G200" i="40"/>
  <c r="H200" i="40" s="1"/>
  <c r="I200" i="40" s="1"/>
  <c r="W195" i="38"/>
  <c r="U196" i="38" s="1"/>
  <c r="V196" i="38" s="1"/>
  <c r="L199" i="40"/>
  <c r="M199" i="40" s="1"/>
  <c r="N199" i="40" s="1"/>
  <c r="AB60" i="40" a="1"/>
  <c r="V163" i="38"/>
  <c r="X163" i="38" s="1"/>
  <c r="E303" i="38" s="1"/>
  <c r="B385" i="38"/>
  <c r="G100" i="31" s="1"/>
  <c r="V163" i="36"/>
  <c r="X163" i="36" s="1"/>
  <c r="E303" i="36" s="1"/>
  <c r="S201" i="38"/>
  <c r="S202" i="38" s="1"/>
  <c r="R205" i="38"/>
  <c r="AT248" i="38"/>
  <c r="C275" i="38" s="1"/>
  <c r="AU248" i="38"/>
  <c r="R257" i="38" s="1"/>
  <c r="E325" i="38"/>
  <c r="C384" i="38"/>
  <c r="H99" i="31" s="1"/>
  <c r="AD194" i="38"/>
  <c r="AE194" i="38" s="1"/>
  <c r="AG193" i="38"/>
  <c r="AS193" i="38"/>
  <c r="W251" i="38"/>
  <c r="X251" i="38" s="1"/>
  <c r="Y251" i="38" s="1"/>
  <c r="Z251" i="38" s="1"/>
  <c r="M252" i="38"/>
  <c r="N252" i="38" s="1"/>
  <c r="O252" i="38" s="1"/>
  <c r="P252" i="38" s="1"/>
  <c r="V86" i="38"/>
  <c r="C387" i="37"/>
  <c r="H75" i="31" s="1"/>
  <c r="AS252" i="37"/>
  <c r="AR252" i="37"/>
  <c r="U89" i="38"/>
  <c r="D413" i="38"/>
  <c r="F413" i="38" s="1"/>
  <c r="D436" i="38"/>
  <c r="F436" i="38" s="1"/>
  <c r="F438" i="38" s="1"/>
  <c r="E412" i="36"/>
  <c r="G412" i="36" s="1"/>
  <c r="E435" i="36"/>
  <c r="G435" i="36" s="1"/>
  <c r="D413" i="36"/>
  <c r="F413" i="36" s="1"/>
  <c r="D436" i="36"/>
  <c r="F436" i="36" s="1"/>
  <c r="F438" i="36" s="1"/>
  <c r="U89" i="37"/>
  <c r="M303" i="36"/>
  <c r="M303" i="37"/>
  <c r="V88" i="36"/>
  <c r="AS80" i="37"/>
  <c r="F80" i="37"/>
  <c r="G80" i="37" s="1"/>
  <c r="H80" i="37" s="1"/>
  <c r="C304" i="37" s="1"/>
  <c r="I137" i="37"/>
  <c r="AS137" i="37" s="1"/>
  <c r="H137" i="37"/>
  <c r="AR137" i="37" s="1"/>
  <c r="G137" i="37"/>
  <c r="AQ137" i="37" s="1"/>
  <c r="V163" i="37"/>
  <c r="X163" i="37" s="1"/>
  <c r="E303" i="37" s="1"/>
  <c r="V164" i="37"/>
  <c r="AU137" i="38"/>
  <c r="V142" i="38" s="1"/>
  <c r="W164" i="38" s="1"/>
  <c r="AT137" i="38"/>
  <c r="C164" i="38" s="1"/>
  <c r="U205" i="37"/>
  <c r="V278" i="37"/>
  <c r="X278" i="37" s="1"/>
  <c r="H303" i="37" s="1"/>
  <c r="V279" i="37"/>
  <c r="E328" i="36"/>
  <c r="C387" i="36"/>
  <c r="U208" i="36"/>
  <c r="U211" i="36"/>
  <c r="U210" i="36"/>
  <c r="U217" i="36"/>
  <c r="U221" i="36"/>
  <c r="U219" i="36"/>
  <c r="U223" i="36"/>
  <c r="U224" i="36"/>
  <c r="U213" i="36"/>
  <c r="U209" i="36"/>
  <c r="U214" i="36"/>
  <c r="U215" i="36"/>
  <c r="U212" i="36"/>
  <c r="U203" i="36"/>
  <c r="U216" i="36"/>
  <c r="U218" i="36"/>
  <c r="U226" i="36"/>
  <c r="U227" i="36"/>
  <c r="U220" i="36"/>
  <c r="U225" i="36"/>
  <c r="U222" i="36"/>
  <c r="AT251" i="36"/>
  <c r="C278" i="36" s="1"/>
  <c r="AU251" i="36"/>
  <c r="U257" i="36" s="1"/>
  <c r="AU137" i="36"/>
  <c r="V142" i="36" s="1"/>
  <c r="W164" i="36" s="1"/>
  <c r="AT137" i="36"/>
  <c r="C164" i="36" s="1"/>
  <c r="AM196" i="36"/>
  <c r="C252" i="36"/>
  <c r="D252" i="36" s="1"/>
  <c r="E252" i="36" s="1"/>
  <c r="F252" i="36" s="1"/>
  <c r="E196" i="36"/>
  <c r="U204" i="36"/>
  <c r="T279" i="12"/>
  <c r="T278" i="12"/>
  <c r="T276" i="12"/>
  <c r="X276" i="12" s="1"/>
  <c r="H301" i="12" s="1"/>
  <c r="T277" i="12"/>
  <c r="I250" i="12"/>
  <c r="AS250" i="12" s="1"/>
  <c r="H250" i="12"/>
  <c r="AR250" i="12" s="1"/>
  <c r="G250" i="12"/>
  <c r="AQ250" i="12" s="1"/>
  <c r="R752" i="4"/>
  <c r="S753" i="4" s="1"/>
  <c r="E413" i="37" l="1"/>
  <c r="G413" i="37" s="1"/>
  <c r="V96" i="38"/>
  <c r="X86" i="40" a="1"/>
  <c r="C196" i="12"/>
  <c r="D196" i="12" s="1"/>
  <c r="B50" i="40" s="1"/>
  <c r="C50" i="40" s="1"/>
  <c r="D50" i="40" s="1"/>
  <c r="AN196" i="36"/>
  <c r="AO196" i="36" s="1"/>
  <c r="D5" i="20"/>
  <c r="E5" i="20" s="1"/>
  <c r="T223" i="12"/>
  <c r="T212" i="12"/>
  <c r="T210" i="12"/>
  <c r="T226" i="12"/>
  <c r="T208" i="12"/>
  <c r="T222" i="12"/>
  <c r="T225" i="12"/>
  <c r="T217" i="12"/>
  <c r="T203" i="12"/>
  <c r="T211" i="12"/>
  <c r="T214" i="12"/>
  <c r="T220" i="12"/>
  <c r="T221" i="12"/>
  <c r="T227" i="12"/>
  <c r="T209" i="12"/>
  <c r="T213" i="12"/>
  <c r="T219" i="12"/>
  <c r="T224" i="12"/>
  <c r="T204" i="12"/>
  <c r="U201" i="12" s="1"/>
  <c r="T218" i="12"/>
  <c r="T215" i="12"/>
  <c r="V222" i="37"/>
  <c r="W222" i="37" s="1"/>
  <c r="X222" i="37" s="1"/>
  <c r="Y222" i="37" s="1"/>
  <c r="G299" i="37" s="1"/>
  <c r="C361" i="37" s="1"/>
  <c r="X195" i="38"/>
  <c r="Y195" i="38" s="1"/>
  <c r="Z195" i="38" s="1"/>
  <c r="X60" i="40"/>
  <c r="Y60" i="40" s="1"/>
  <c r="Y66" i="40"/>
  <c r="Y68" i="40"/>
  <c r="Y74" i="40"/>
  <c r="Y77" i="40"/>
  <c r="Y64" i="40"/>
  <c r="Y71" i="40"/>
  <c r="Y72" i="40"/>
  <c r="Y70" i="40"/>
  <c r="Y73" i="40"/>
  <c r="Y79" i="40"/>
  <c r="Y62" i="40"/>
  <c r="Y69" i="40"/>
  <c r="Y75" i="40"/>
  <c r="Y65" i="40"/>
  <c r="Y61" i="40"/>
  <c r="Y67" i="40"/>
  <c r="Y76" i="40"/>
  <c r="Y63" i="40"/>
  <c r="Y78" i="40"/>
  <c r="W195" i="12"/>
  <c r="U196" i="12" s="1"/>
  <c r="V196" i="12" s="1"/>
  <c r="L49" i="40"/>
  <c r="M49" i="40" s="1"/>
  <c r="N49" i="40" s="1"/>
  <c r="AB60" i="40"/>
  <c r="AC60" i="40" s="1"/>
  <c r="AC63" i="40"/>
  <c r="AC78" i="40"/>
  <c r="AC73" i="40"/>
  <c r="AC74" i="40"/>
  <c r="AC61" i="40"/>
  <c r="AC70" i="40"/>
  <c r="AC79" i="40"/>
  <c r="AC72" i="40"/>
  <c r="AC62" i="40"/>
  <c r="AC75" i="40"/>
  <c r="AC68" i="40"/>
  <c r="AC77" i="40"/>
  <c r="AC67" i="40"/>
  <c r="AC76" i="40"/>
  <c r="AC64" i="40"/>
  <c r="AC69" i="40"/>
  <c r="AC65" i="40"/>
  <c r="AC71" i="40"/>
  <c r="AC66" i="40"/>
  <c r="S204" i="38"/>
  <c r="T201" i="38" s="1"/>
  <c r="S214" i="38"/>
  <c r="S227" i="38"/>
  <c r="S226" i="38"/>
  <c r="S221" i="38"/>
  <c r="S219" i="38"/>
  <c r="S216" i="38"/>
  <c r="S210" i="38"/>
  <c r="S215" i="38"/>
  <c r="S222" i="38"/>
  <c r="S220" i="38"/>
  <c r="S218" i="38"/>
  <c r="S213" i="38"/>
  <c r="S208" i="38"/>
  <c r="S209" i="38"/>
  <c r="S217" i="38"/>
  <c r="S223" i="38"/>
  <c r="S212" i="38"/>
  <c r="S211" i="38"/>
  <c r="S225" i="38"/>
  <c r="S224" i="38"/>
  <c r="S203" i="38"/>
  <c r="S277" i="38"/>
  <c r="S275" i="38"/>
  <c r="X275" i="38" s="1"/>
  <c r="H300" i="38" s="1"/>
  <c r="N300" i="38" s="1"/>
  <c r="S279" i="38"/>
  <c r="S276" i="38"/>
  <c r="S278" i="38"/>
  <c r="E433" i="38"/>
  <c r="G433" i="38" s="1"/>
  <c r="E410" i="38"/>
  <c r="G410" i="38" s="1"/>
  <c r="AH193" i="38"/>
  <c r="AH249" i="38" s="1"/>
  <c r="AI249" i="38" s="1"/>
  <c r="AJ249" i="38" s="1"/>
  <c r="AA251" i="38"/>
  <c r="AB251" i="38"/>
  <c r="AC251" i="38"/>
  <c r="Q252" i="38"/>
  <c r="R252" i="38"/>
  <c r="S252" i="38"/>
  <c r="AT252" i="37"/>
  <c r="C279" i="37" s="1"/>
  <c r="AU252" i="37"/>
  <c r="V257" i="37" s="1"/>
  <c r="W279" i="37" s="1"/>
  <c r="W251" i="12"/>
  <c r="X251" i="12" s="1"/>
  <c r="Y251" i="12" s="1"/>
  <c r="Z251" i="12" s="1"/>
  <c r="AM195" i="12"/>
  <c r="V88" i="38"/>
  <c r="V107" i="38"/>
  <c r="Z107" i="38" s="1"/>
  <c r="V109" i="38"/>
  <c r="W109" i="38" s="1"/>
  <c r="X109" i="38" s="1"/>
  <c r="Y109" i="38" s="1"/>
  <c r="D302" i="38" s="1"/>
  <c r="B364" i="38" s="1"/>
  <c r="V92" i="38"/>
  <c r="Z92" i="38" s="1"/>
  <c r="V99" i="38"/>
  <c r="W99" i="38" s="1"/>
  <c r="X99" i="38" s="1"/>
  <c r="Y99" i="38" s="1"/>
  <c r="D292" i="38" s="1"/>
  <c r="B354" i="38" s="1"/>
  <c r="V87" i="38"/>
  <c r="V104" i="38"/>
  <c r="W104" i="38" s="1"/>
  <c r="X104" i="38" s="1"/>
  <c r="Y104" i="38" s="1"/>
  <c r="D297" i="38" s="1"/>
  <c r="B359" i="38" s="1"/>
  <c r="V108" i="38"/>
  <c r="Z108" i="38" s="1"/>
  <c r="V102" i="38"/>
  <c r="Z102" i="38" s="1"/>
  <c r="V103" i="38"/>
  <c r="W103" i="38" s="1"/>
  <c r="X103" i="38" s="1"/>
  <c r="Y103" i="38" s="1"/>
  <c r="D296" i="38" s="1"/>
  <c r="B358" i="38" s="1"/>
  <c r="V110" i="38"/>
  <c r="Z110" i="38" s="1"/>
  <c r="V94" i="38"/>
  <c r="Z94" i="38" s="1"/>
  <c r="V98" i="38"/>
  <c r="W98" i="38" s="1"/>
  <c r="X98" i="38" s="1"/>
  <c r="Y98" i="38" s="1"/>
  <c r="D291" i="38" s="1"/>
  <c r="B353" i="38" s="1"/>
  <c r="V105" i="38"/>
  <c r="W105" i="38" s="1"/>
  <c r="X105" i="38" s="1"/>
  <c r="Y105" i="38" s="1"/>
  <c r="D298" i="38" s="1"/>
  <c r="B360" i="38" s="1"/>
  <c r="V101" i="38"/>
  <c r="W101" i="38" s="1"/>
  <c r="X101" i="38" s="1"/>
  <c r="Y101" i="38" s="1"/>
  <c r="D294" i="38" s="1"/>
  <c r="B356" i="38" s="1"/>
  <c r="V95" i="38"/>
  <c r="Z95" i="38" s="1"/>
  <c r="D413" i="37"/>
  <c r="F413" i="37" s="1"/>
  <c r="D436" i="37"/>
  <c r="F436" i="37" s="1"/>
  <c r="F438" i="37" s="1"/>
  <c r="G439" i="37" s="1"/>
  <c r="V93" i="38"/>
  <c r="W93" i="38" s="1"/>
  <c r="X93" i="38" s="1"/>
  <c r="Y93" i="38" s="1"/>
  <c r="D286" i="38" s="1"/>
  <c r="B348" i="38" s="1"/>
  <c r="V100" i="38"/>
  <c r="W100" i="38" s="1"/>
  <c r="X100" i="38" s="1"/>
  <c r="Y100" i="38" s="1"/>
  <c r="D293" i="38" s="1"/>
  <c r="B355" i="38" s="1"/>
  <c r="V111" i="38"/>
  <c r="W111" i="38" s="1"/>
  <c r="X111" i="38" s="1"/>
  <c r="Y111" i="38" s="1"/>
  <c r="D304" i="38" s="1"/>
  <c r="V106" i="38"/>
  <c r="Z106" i="38" s="1"/>
  <c r="V97" i="38"/>
  <c r="Z97" i="38" s="1"/>
  <c r="V217" i="37"/>
  <c r="Z217" i="37" s="1"/>
  <c r="V227" i="37"/>
  <c r="Z227" i="37" s="1"/>
  <c r="V225" i="37"/>
  <c r="W225" i="37" s="1"/>
  <c r="X225" i="37" s="1"/>
  <c r="Y225" i="37" s="1"/>
  <c r="G302" i="37" s="1"/>
  <c r="C364" i="37" s="1"/>
  <c r="V94" i="36"/>
  <c r="W94" i="36" s="1"/>
  <c r="X94" i="36" s="1"/>
  <c r="Y94" i="36" s="1"/>
  <c r="V204" i="37"/>
  <c r="V96" i="36"/>
  <c r="W96" i="36" s="1"/>
  <c r="X96" i="36" s="1"/>
  <c r="Y96" i="36" s="1"/>
  <c r="V219" i="37"/>
  <c r="W219" i="37" s="1"/>
  <c r="X219" i="37" s="1"/>
  <c r="Y219" i="37" s="1"/>
  <c r="G296" i="37" s="1"/>
  <c r="C358" i="37" s="1"/>
  <c r="V109" i="36"/>
  <c r="Z109" i="36" s="1"/>
  <c r="V101" i="36"/>
  <c r="W101" i="36" s="1"/>
  <c r="X101" i="36" s="1"/>
  <c r="Y101" i="36" s="1"/>
  <c r="V93" i="36"/>
  <c r="W93" i="36" s="1"/>
  <c r="X93" i="36" s="1"/>
  <c r="Y93" i="36" s="1"/>
  <c r="V226" i="37"/>
  <c r="Z226" i="37" s="1"/>
  <c r="V224" i="37"/>
  <c r="W224" i="37" s="1"/>
  <c r="X224" i="37" s="1"/>
  <c r="Y224" i="37" s="1"/>
  <c r="G301" i="37" s="1"/>
  <c r="C363" i="37" s="1"/>
  <c r="V215" i="37"/>
  <c r="Z215" i="37" s="1"/>
  <c r="V203" i="37"/>
  <c r="V208" i="37"/>
  <c r="Z208" i="37" s="1"/>
  <c r="V216" i="37"/>
  <c r="Z216" i="37" s="1"/>
  <c r="V211" i="37"/>
  <c r="W211" i="37" s="1"/>
  <c r="X211" i="37" s="1"/>
  <c r="Y211" i="37" s="1"/>
  <c r="G288" i="37" s="1"/>
  <c r="C350" i="37" s="1"/>
  <c r="V221" i="37"/>
  <c r="Z221" i="37" s="1"/>
  <c r="V220" i="37"/>
  <c r="Z220" i="37" s="1"/>
  <c r="V218" i="37"/>
  <c r="Z218" i="37" s="1"/>
  <c r="V214" i="37"/>
  <c r="W214" i="37" s="1"/>
  <c r="X214" i="37" s="1"/>
  <c r="Y214" i="37" s="1"/>
  <c r="G291" i="37" s="1"/>
  <c r="C353" i="37" s="1"/>
  <c r="V209" i="37"/>
  <c r="Z209" i="37" s="1"/>
  <c r="V223" i="37"/>
  <c r="Z223" i="37" s="1"/>
  <c r="V213" i="37"/>
  <c r="Z213" i="37" s="1"/>
  <c r="N303" i="37"/>
  <c r="C388" i="37" s="1"/>
  <c r="H76" i="31" s="1"/>
  <c r="V212" i="37"/>
  <c r="Z212" i="37" s="1"/>
  <c r="V210" i="37"/>
  <c r="Z210" i="37" s="1"/>
  <c r="M304" i="37"/>
  <c r="B389" i="37" s="1"/>
  <c r="G77" i="31" s="1"/>
  <c r="B388" i="37"/>
  <c r="G76" i="31" s="1"/>
  <c r="C329" i="37"/>
  <c r="V108" i="36"/>
  <c r="Z108" i="36" s="1"/>
  <c r="V87" i="36"/>
  <c r="V89" i="36" s="1"/>
  <c r="V102" i="36"/>
  <c r="Z102" i="36" s="1"/>
  <c r="V98" i="36"/>
  <c r="Z98" i="36" s="1"/>
  <c r="V107" i="36"/>
  <c r="Z107" i="36" s="1"/>
  <c r="V105" i="36"/>
  <c r="W105" i="36" s="1"/>
  <c r="X105" i="36" s="1"/>
  <c r="Y105" i="36" s="1"/>
  <c r="V103" i="36"/>
  <c r="W103" i="36" s="1"/>
  <c r="X103" i="36" s="1"/>
  <c r="Y103" i="36" s="1"/>
  <c r="V95" i="36"/>
  <c r="Z95" i="36" s="1"/>
  <c r="V106" i="36"/>
  <c r="Z106" i="36" s="1"/>
  <c r="V97" i="36"/>
  <c r="Z97" i="36" s="1"/>
  <c r="V104" i="36"/>
  <c r="Z104" i="36" s="1"/>
  <c r="V92" i="36"/>
  <c r="Z92" i="36" s="1"/>
  <c r="V110" i="36"/>
  <c r="Z110" i="36" s="1"/>
  <c r="V100" i="36"/>
  <c r="W100" i="36" s="1"/>
  <c r="X100" i="36" s="1"/>
  <c r="Y100" i="36" s="1"/>
  <c r="V99" i="36"/>
  <c r="Z99" i="36" s="1"/>
  <c r="V111" i="36"/>
  <c r="Z111" i="36" s="1"/>
  <c r="W96" i="38"/>
  <c r="X96" i="38" s="1"/>
  <c r="Y96" i="38" s="1"/>
  <c r="D289" i="38" s="1"/>
  <c r="B351" i="38" s="1"/>
  <c r="Z96" i="38"/>
  <c r="X164" i="38"/>
  <c r="V88" i="37"/>
  <c r="V111" i="37"/>
  <c r="V94" i="37"/>
  <c r="V92" i="37"/>
  <c r="V96" i="37"/>
  <c r="V105" i="37"/>
  <c r="V98" i="37"/>
  <c r="V106" i="37"/>
  <c r="V100" i="37"/>
  <c r="V109" i="37"/>
  <c r="V99" i="37"/>
  <c r="V102" i="37"/>
  <c r="V104" i="37"/>
  <c r="V110" i="37"/>
  <c r="V107" i="37"/>
  <c r="V95" i="37"/>
  <c r="V93" i="37"/>
  <c r="V103" i="37"/>
  <c r="V87" i="37"/>
  <c r="V108" i="37"/>
  <c r="V101" i="37"/>
  <c r="V97" i="37"/>
  <c r="AT137" i="37"/>
  <c r="C164" i="37" s="1"/>
  <c r="AU137" i="37"/>
  <c r="V142" i="37" s="1"/>
  <c r="W164" i="37" s="1"/>
  <c r="C329" i="36"/>
  <c r="B388" i="36"/>
  <c r="G49" i="31" s="1"/>
  <c r="X164" i="36"/>
  <c r="E304" i="36" s="1"/>
  <c r="F196" i="36"/>
  <c r="G196" i="36" s="1"/>
  <c r="H196" i="36" s="1"/>
  <c r="F304" i="36" s="1"/>
  <c r="AS196" i="36"/>
  <c r="V201" i="36"/>
  <c r="U205" i="36"/>
  <c r="I252" i="36"/>
  <c r="AS252" i="36" s="1"/>
  <c r="G252" i="36"/>
  <c r="AQ252" i="36" s="1"/>
  <c r="H252" i="36"/>
  <c r="AR252" i="36" s="1"/>
  <c r="V278" i="36"/>
  <c r="X278" i="36" s="1"/>
  <c r="H303" i="36" s="1"/>
  <c r="N303" i="36" s="1"/>
  <c r="V279" i="36"/>
  <c r="AU250" i="12"/>
  <c r="T257" i="12" s="1"/>
  <c r="AT250" i="12"/>
  <c r="C277" i="12" s="1"/>
  <c r="F251" i="12"/>
  <c r="X86" i="40" l="1"/>
  <c r="Y86" i="40" s="1"/>
  <c r="Y104" i="40"/>
  <c r="Y94" i="40"/>
  <c r="Y92" i="40"/>
  <c r="Y99" i="40"/>
  <c r="Y95" i="40"/>
  <c r="Y91" i="40"/>
  <c r="Y89" i="40"/>
  <c r="Y88" i="40"/>
  <c r="Y90" i="40"/>
  <c r="Y102" i="40"/>
  <c r="Y103" i="40"/>
  <c r="Y105" i="40"/>
  <c r="Y101" i="40"/>
  <c r="Y97" i="40"/>
  <c r="Y93" i="40"/>
  <c r="Y98" i="40"/>
  <c r="Y96" i="40"/>
  <c r="Y100" i="40"/>
  <c r="Y87" i="40"/>
  <c r="V202" i="36"/>
  <c r="AB34" i="40" s="1" a="1"/>
  <c r="T205" i="12"/>
  <c r="E196" i="12"/>
  <c r="F196" i="12" s="1"/>
  <c r="G196" i="12" s="1"/>
  <c r="H196" i="12" s="1"/>
  <c r="C252" i="12"/>
  <c r="D252" i="12" s="1"/>
  <c r="E252" i="12" s="1"/>
  <c r="Z222" i="37"/>
  <c r="AS195" i="12"/>
  <c r="E435" i="12" s="1"/>
  <c r="G435" i="12" s="1"/>
  <c r="X195" i="12"/>
  <c r="Y195" i="12" s="1"/>
  <c r="Z195" i="12" s="1"/>
  <c r="F303" i="12" s="1"/>
  <c r="AF194" i="38"/>
  <c r="AG194" i="38" s="1"/>
  <c r="Q198" i="40"/>
  <c r="R198" i="40" s="1"/>
  <c r="S198" i="40" s="1"/>
  <c r="AM22" i="40" s="1"/>
  <c r="W196" i="38"/>
  <c r="X196" i="38" s="1"/>
  <c r="Y196" i="38" s="1"/>
  <c r="Z196" i="38" s="1"/>
  <c r="L200" i="40"/>
  <c r="M200" i="40" s="1"/>
  <c r="N200" i="40" s="1"/>
  <c r="S205" i="38"/>
  <c r="AI193" i="38"/>
  <c r="F301" i="38" s="1"/>
  <c r="M301" i="38" s="1"/>
  <c r="AM249" i="38"/>
  <c r="AS249" i="38" s="1"/>
  <c r="AL249" i="38"/>
  <c r="AR249" i="38" s="1"/>
  <c r="AK249" i="38"/>
  <c r="AQ249" i="38" s="1"/>
  <c r="AG250" i="38"/>
  <c r="AM194" i="38"/>
  <c r="AN194" i="38" s="1"/>
  <c r="AO194" i="38" s="1"/>
  <c r="E326" i="38"/>
  <c r="C385" i="38"/>
  <c r="H100" i="31" s="1"/>
  <c r="W252" i="38"/>
  <c r="X252" i="38" s="1"/>
  <c r="Y252" i="38" s="1"/>
  <c r="Z252" i="38" s="1"/>
  <c r="X279" i="37"/>
  <c r="H304" i="37" s="1"/>
  <c r="AN195" i="12"/>
  <c r="AO195" i="12" s="1"/>
  <c r="U202" i="12" s="1"/>
  <c r="AA251" i="12"/>
  <c r="AC251" i="12"/>
  <c r="AB251" i="12"/>
  <c r="W92" i="38"/>
  <c r="X92" i="38" s="1"/>
  <c r="Y92" i="38" s="1"/>
  <c r="D285" i="38" s="1"/>
  <c r="B347" i="38" s="1"/>
  <c r="W107" i="38"/>
  <c r="X107" i="38" s="1"/>
  <c r="Y107" i="38" s="1"/>
  <c r="D300" i="38" s="1"/>
  <c r="B362" i="38" s="1"/>
  <c r="V89" i="38"/>
  <c r="W227" i="37"/>
  <c r="X227" i="37" s="1"/>
  <c r="Y227" i="37" s="1"/>
  <c r="G304" i="37" s="1"/>
  <c r="Z109" i="38"/>
  <c r="Z111" i="38"/>
  <c r="Z99" i="38"/>
  <c r="Z104" i="38"/>
  <c r="W102" i="38"/>
  <c r="X102" i="38" s="1"/>
  <c r="Y102" i="38" s="1"/>
  <c r="D295" i="38" s="1"/>
  <c r="B357" i="38" s="1"/>
  <c r="W110" i="38"/>
  <c r="X110" i="38" s="1"/>
  <c r="Y110" i="38" s="1"/>
  <c r="D303" i="38" s="1"/>
  <c r="B365" i="38" s="1"/>
  <c r="W108" i="38"/>
  <c r="X108" i="38" s="1"/>
  <c r="Y108" i="38" s="1"/>
  <c r="D301" i="38" s="1"/>
  <c r="B363" i="38" s="1"/>
  <c r="W217" i="37"/>
  <c r="X217" i="37" s="1"/>
  <c r="Y217" i="37" s="1"/>
  <c r="G294" i="37" s="1"/>
  <c r="C356" i="37" s="1"/>
  <c r="W95" i="38"/>
  <c r="X95" i="38" s="1"/>
  <c r="Y95" i="38" s="1"/>
  <c r="D288" i="38" s="1"/>
  <c r="B350" i="38" s="1"/>
  <c r="Z103" i="38"/>
  <c r="Z98" i="38"/>
  <c r="W94" i="38"/>
  <c r="X94" i="38" s="1"/>
  <c r="Y94" i="38" s="1"/>
  <c r="D287" i="38" s="1"/>
  <c r="B349" i="38" s="1"/>
  <c r="W97" i="38"/>
  <c r="X97" i="38" s="1"/>
  <c r="Y97" i="38" s="1"/>
  <c r="D290" i="38" s="1"/>
  <c r="B352" i="38" s="1"/>
  <c r="Z101" i="38"/>
  <c r="W106" i="38"/>
  <c r="X106" i="38" s="1"/>
  <c r="Y106" i="38" s="1"/>
  <c r="D299" i="38" s="1"/>
  <c r="B361" i="38" s="1"/>
  <c r="Z105" i="38"/>
  <c r="E413" i="36"/>
  <c r="G413" i="36" s="1"/>
  <c r="E436" i="36"/>
  <c r="G436" i="36" s="1"/>
  <c r="G438" i="36" s="1"/>
  <c r="G439" i="36" s="1"/>
  <c r="Z100" i="38"/>
  <c r="Z93" i="38"/>
  <c r="C330" i="37"/>
  <c r="C332" i="37" s="1"/>
  <c r="W220" i="37"/>
  <c r="X220" i="37" s="1"/>
  <c r="Y220" i="37" s="1"/>
  <c r="G297" i="37" s="1"/>
  <c r="C359" i="37" s="1"/>
  <c r="W102" i="36"/>
  <c r="X102" i="36" s="1"/>
  <c r="Y102" i="36" s="1"/>
  <c r="D295" i="36" s="1"/>
  <c r="B357" i="36" s="1"/>
  <c r="Z225" i="37"/>
  <c r="W92" i="36"/>
  <c r="X92" i="36" s="1"/>
  <c r="Y92" i="36" s="1"/>
  <c r="D285" i="36" s="1"/>
  <c r="B347" i="36" s="1"/>
  <c r="B31" i="31" s="1"/>
  <c r="Z94" i="36"/>
  <c r="W215" i="37"/>
  <c r="X215" i="37" s="1"/>
  <c r="Y215" i="37" s="1"/>
  <c r="G292" i="37" s="1"/>
  <c r="C354" i="37" s="1"/>
  <c r="Z224" i="37"/>
  <c r="V205" i="37"/>
  <c r="W98" i="36"/>
  <c r="X98" i="36" s="1"/>
  <c r="Y98" i="36" s="1"/>
  <c r="D291" i="36" s="1"/>
  <c r="B353" i="36" s="1"/>
  <c r="B37" i="31" s="1"/>
  <c r="Z96" i="36"/>
  <c r="Z93" i="36"/>
  <c r="W109" i="36"/>
  <c r="X109" i="36" s="1"/>
  <c r="Y109" i="36" s="1"/>
  <c r="D302" i="36" s="1"/>
  <c r="B364" i="36" s="1"/>
  <c r="B48" i="31" s="1"/>
  <c r="W106" i="36"/>
  <c r="X106" i="36" s="1"/>
  <c r="Y106" i="36" s="1"/>
  <c r="D299" i="36" s="1"/>
  <c r="B361" i="36" s="1"/>
  <c r="W108" i="36"/>
  <c r="X108" i="36" s="1"/>
  <c r="Y108" i="36" s="1"/>
  <c r="D301" i="36" s="1"/>
  <c r="B363" i="36" s="1"/>
  <c r="Z101" i="36"/>
  <c r="Z219" i="37"/>
  <c r="Z105" i="36"/>
  <c r="W221" i="37"/>
  <c r="X221" i="37" s="1"/>
  <c r="Y221" i="37" s="1"/>
  <c r="G298" i="37" s="1"/>
  <c r="C360" i="37" s="1"/>
  <c r="W212" i="37"/>
  <c r="X212" i="37" s="1"/>
  <c r="Y212" i="37" s="1"/>
  <c r="G289" i="37" s="1"/>
  <c r="C351" i="37" s="1"/>
  <c r="W210" i="37"/>
  <c r="X210" i="37" s="1"/>
  <c r="Y210" i="37" s="1"/>
  <c r="G287" i="37" s="1"/>
  <c r="C349" i="37" s="1"/>
  <c r="W226" i="37"/>
  <c r="X226" i="37" s="1"/>
  <c r="Y226" i="37" s="1"/>
  <c r="G303" i="37" s="1"/>
  <c r="C365" i="37" s="1"/>
  <c r="W213" i="37"/>
  <c r="X213" i="37" s="1"/>
  <c r="Y213" i="37" s="1"/>
  <c r="G290" i="37" s="1"/>
  <c r="C352" i="37" s="1"/>
  <c r="Z100" i="36"/>
  <c r="D296" i="36"/>
  <c r="B358" i="36" s="1"/>
  <c r="D293" i="36"/>
  <c r="B355" i="36" s="1"/>
  <c r="D298" i="36"/>
  <c r="B360" i="36" s="1"/>
  <c r="D287" i="36"/>
  <c r="B349" i="36" s="1"/>
  <c r="M304" i="36"/>
  <c r="D286" i="36"/>
  <c r="B348" i="36" s="1"/>
  <c r="Z211" i="37"/>
  <c r="W216" i="37"/>
  <c r="X216" i="37" s="1"/>
  <c r="Y216" i="37" s="1"/>
  <c r="G293" i="37" s="1"/>
  <c r="C355" i="37" s="1"/>
  <c r="D294" i="36"/>
  <c r="B356" i="36" s="1"/>
  <c r="D289" i="36"/>
  <c r="B351" i="36" s="1"/>
  <c r="W208" i="37"/>
  <c r="X208" i="37" s="1"/>
  <c r="Y208" i="37" s="1"/>
  <c r="G285" i="37" s="1"/>
  <c r="C347" i="37" s="1"/>
  <c r="W223" i="37"/>
  <c r="X223" i="37" s="1"/>
  <c r="Y223" i="37" s="1"/>
  <c r="G300" i="37" s="1"/>
  <c r="Z214" i="37"/>
  <c r="W218" i="37"/>
  <c r="X218" i="37" s="1"/>
  <c r="Y218" i="37" s="1"/>
  <c r="G295" i="37" s="1"/>
  <c r="W209" i="37"/>
  <c r="X209" i="37" s="1"/>
  <c r="Y209" i="37" s="1"/>
  <c r="G286" i="37" s="1"/>
  <c r="C348" i="37" s="1"/>
  <c r="E304" i="38"/>
  <c r="C64" i="31"/>
  <c r="W107" i="36"/>
  <c r="X107" i="36" s="1"/>
  <c r="Y107" i="36" s="1"/>
  <c r="W104" i="36"/>
  <c r="X104" i="36" s="1"/>
  <c r="Y104" i="36" s="1"/>
  <c r="W95" i="36"/>
  <c r="X95" i="36" s="1"/>
  <c r="Y95" i="36" s="1"/>
  <c r="Z103" i="36"/>
  <c r="W97" i="36"/>
  <c r="X97" i="36" s="1"/>
  <c r="Y97" i="36" s="1"/>
  <c r="W110" i="36"/>
  <c r="X110" i="36" s="1"/>
  <c r="Y110" i="36" s="1"/>
  <c r="W99" i="36"/>
  <c r="X99" i="36" s="1"/>
  <c r="Y99" i="36" s="1"/>
  <c r="W111" i="36"/>
  <c r="X111" i="36" s="1"/>
  <c r="Y111" i="36" s="1"/>
  <c r="V89" i="37"/>
  <c r="E329" i="37"/>
  <c r="Z97" i="37"/>
  <c r="W97" i="37"/>
  <c r="X97" i="37" s="1"/>
  <c r="Y97" i="37" s="1"/>
  <c r="Z110" i="37"/>
  <c r="W110" i="37"/>
  <c r="X110" i="37" s="1"/>
  <c r="Y110" i="37" s="1"/>
  <c r="W105" i="37"/>
  <c r="X105" i="37" s="1"/>
  <c r="Y105" i="37" s="1"/>
  <c r="Z105" i="37"/>
  <c r="W101" i="37"/>
  <c r="X101" i="37" s="1"/>
  <c r="Y101" i="37" s="1"/>
  <c r="Z101" i="37"/>
  <c r="Z104" i="37"/>
  <c r="W104" i="37"/>
  <c r="X104" i="37" s="1"/>
  <c r="Y104" i="37" s="1"/>
  <c r="W96" i="37"/>
  <c r="X96" i="37" s="1"/>
  <c r="Y96" i="37" s="1"/>
  <c r="Z96" i="37"/>
  <c r="Z108" i="37"/>
  <c r="W108" i="37"/>
  <c r="X108" i="37" s="1"/>
  <c r="Y108" i="37" s="1"/>
  <c r="D301" i="37" s="1"/>
  <c r="O301" i="37" s="1"/>
  <c r="W102" i="37"/>
  <c r="X102" i="37" s="1"/>
  <c r="Y102" i="37" s="1"/>
  <c r="Z102" i="37"/>
  <c r="Z92" i="37"/>
  <c r="W92" i="37"/>
  <c r="X92" i="37" s="1"/>
  <c r="Y92" i="37" s="1"/>
  <c r="Z99" i="37"/>
  <c r="W99" i="37"/>
  <c r="X99" i="37" s="1"/>
  <c r="Y99" i="37" s="1"/>
  <c r="W94" i="37"/>
  <c r="X94" i="37" s="1"/>
  <c r="Y94" i="37" s="1"/>
  <c r="Z94" i="37"/>
  <c r="Z103" i="37"/>
  <c r="W103" i="37"/>
  <c r="X103" i="37" s="1"/>
  <c r="Y103" i="37" s="1"/>
  <c r="D296" i="37" s="1"/>
  <c r="Z111" i="37"/>
  <c r="W111" i="37"/>
  <c r="X111" i="37" s="1"/>
  <c r="Y111" i="37" s="1"/>
  <c r="D304" i="37" s="1"/>
  <c r="Z93" i="37"/>
  <c r="W93" i="37"/>
  <c r="X93" i="37" s="1"/>
  <c r="Y93" i="37" s="1"/>
  <c r="Z100" i="37"/>
  <c r="W100" i="37"/>
  <c r="X100" i="37" s="1"/>
  <c r="Y100" i="37" s="1"/>
  <c r="Z109" i="37"/>
  <c r="W109" i="37"/>
  <c r="X109" i="37" s="1"/>
  <c r="Y109" i="37" s="1"/>
  <c r="D302" i="37" s="1"/>
  <c r="W95" i="37"/>
  <c r="X95" i="37" s="1"/>
  <c r="Y95" i="37" s="1"/>
  <c r="D288" i="37" s="1"/>
  <c r="Z95" i="37"/>
  <c r="W106" i="37"/>
  <c r="X106" i="37" s="1"/>
  <c r="Y106" i="37" s="1"/>
  <c r="D299" i="37" s="1"/>
  <c r="Z106" i="37"/>
  <c r="W107" i="37"/>
  <c r="X107" i="37" s="1"/>
  <c r="Y107" i="37" s="1"/>
  <c r="Z107" i="37"/>
  <c r="Z98" i="37"/>
  <c r="W98" i="37"/>
  <c r="X98" i="37" s="1"/>
  <c r="Y98" i="37" s="1"/>
  <c r="D291" i="37" s="1"/>
  <c r="X164" i="37"/>
  <c r="C61" i="31"/>
  <c r="C74" i="31"/>
  <c r="C69" i="31"/>
  <c r="C75" i="31"/>
  <c r="C72" i="31"/>
  <c r="AU252" i="36"/>
  <c r="V257" i="36" s="1"/>
  <c r="W279" i="36" s="1"/>
  <c r="AT252" i="36"/>
  <c r="C279" i="36" s="1"/>
  <c r="H251" i="12"/>
  <c r="G251" i="12"/>
  <c r="I251" i="12"/>
  <c r="U278" i="12"/>
  <c r="U279" i="12"/>
  <c r="U277" i="12"/>
  <c r="X277" i="12" s="1"/>
  <c r="H302" i="12" s="1"/>
  <c r="T202" i="38" l="1"/>
  <c r="T204" i="38" s="1"/>
  <c r="U201" i="38" s="1"/>
  <c r="E412" i="12"/>
  <c r="G412" i="12" s="1"/>
  <c r="V213" i="36"/>
  <c r="Z213" i="36" s="1"/>
  <c r="AD195" i="38"/>
  <c r="AS194" i="38"/>
  <c r="E434" i="38" s="1"/>
  <c r="G434" i="38" s="1"/>
  <c r="AB34" i="40"/>
  <c r="AC34" i="40" s="1"/>
  <c r="AC53" i="40"/>
  <c r="AC40" i="40"/>
  <c r="AC49" i="40"/>
  <c r="AC36" i="40"/>
  <c r="AC42" i="40"/>
  <c r="AC45" i="40"/>
  <c r="AC47" i="40"/>
  <c r="AC51" i="40"/>
  <c r="AC37" i="40"/>
  <c r="AC35" i="40"/>
  <c r="AC52" i="40"/>
  <c r="AC43" i="40"/>
  <c r="AC48" i="40"/>
  <c r="AC46" i="40"/>
  <c r="AC44" i="40"/>
  <c r="AC39" i="40"/>
  <c r="AC50" i="40"/>
  <c r="AC41" i="40"/>
  <c r="AC38" i="40"/>
  <c r="W196" i="12"/>
  <c r="X196" i="12" s="1"/>
  <c r="Y196" i="12" s="1"/>
  <c r="Z196" i="12" s="1"/>
  <c r="F304" i="12" s="1"/>
  <c r="L50" i="40"/>
  <c r="M50" i="40" s="1"/>
  <c r="N50" i="40" s="1"/>
  <c r="AT249" i="38"/>
  <c r="C276" i="38" s="1"/>
  <c r="AU249" i="38"/>
  <c r="S257" i="38" s="1"/>
  <c r="T221" i="38"/>
  <c r="T213" i="38"/>
  <c r="T224" i="38"/>
  <c r="T227" i="38"/>
  <c r="T209" i="38"/>
  <c r="T208" i="38"/>
  <c r="T215" i="38"/>
  <c r="T214" i="38"/>
  <c r="T220" i="38"/>
  <c r="T203" i="38"/>
  <c r="T212" i="38"/>
  <c r="T223" i="38"/>
  <c r="T225" i="38"/>
  <c r="B386" i="38"/>
  <c r="G101" i="31" s="1"/>
  <c r="C327" i="38"/>
  <c r="AH194" i="38"/>
  <c r="AH250" i="38" s="1"/>
  <c r="AI250" i="38" s="1"/>
  <c r="AJ250" i="38" s="1"/>
  <c r="AA252" i="38"/>
  <c r="AC252" i="38"/>
  <c r="AB252" i="38"/>
  <c r="C366" i="37"/>
  <c r="C77" i="31" s="1"/>
  <c r="U223" i="12"/>
  <c r="U219" i="12"/>
  <c r="U212" i="12"/>
  <c r="U216" i="12"/>
  <c r="U215" i="12"/>
  <c r="U220" i="12"/>
  <c r="U204" i="12"/>
  <c r="V201" i="12" s="1"/>
  <c r="U211" i="12"/>
  <c r="U222" i="12"/>
  <c r="U203" i="12"/>
  <c r="U227" i="12"/>
  <c r="U217" i="12"/>
  <c r="U208" i="12"/>
  <c r="U226" i="12"/>
  <c r="U224" i="12"/>
  <c r="U214" i="12"/>
  <c r="U209" i="12"/>
  <c r="U213" i="12"/>
  <c r="U221" i="12"/>
  <c r="U225" i="12"/>
  <c r="U218" i="12"/>
  <c r="U210" i="12"/>
  <c r="AR251" i="12"/>
  <c r="AQ251" i="12"/>
  <c r="AS251" i="12"/>
  <c r="W252" i="12"/>
  <c r="X252" i="12" s="1"/>
  <c r="Y252" i="12" s="1"/>
  <c r="Z252" i="12" s="1"/>
  <c r="AM196" i="12"/>
  <c r="D300" i="36"/>
  <c r="B362" i="36" s="1"/>
  <c r="B46" i="31" s="1"/>
  <c r="D292" i="36"/>
  <c r="B354" i="36" s="1"/>
  <c r="B38" i="31" s="1"/>
  <c r="D303" i="36"/>
  <c r="B365" i="36" s="1"/>
  <c r="B49" i="31" s="1"/>
  <c r="D290" i="36"/>
  <c r="B352" i="36" s="1"/>
  <c r="B36" i="31" s="1"/>
  <c r="D304" i="36"/>
  <c r="B366" i="36" s="1"/>
  <c r="B50" i="31" s="1"/>
  <c r="D288" i="36"/>
  <c r="B350" i="36" s="1"/>
  <c r="B34" i="31" s="1"/>
  <c r="D297" i="36"/>
  <c r="B359" i="36" s="1"/>
  <c r="B43" i="31" s="1"/>
  <c r="B366" i="38"/>
  <c r="C357" i="37"/>
  <c r="C68" i="31" s="1"/>
  <c r="I288" i="37"/>
  <c r="B350" i="37"/>
  <c r="D350" i="37" s="1"/>
  <c r="O304" i="37"/>
  <c r="D389" i="37" s="1"/>
  <c r="I77" i="31" s="1"/>
  <c r="O302" i="37"/>
  <c r="B364" i="37"/>
  <c r="D364" i="37" s="1"/>
  <c r="C362" i="37"/>
  <c r="C73" i="31" s="1"/>
  <c r="I291" i="37"/>
  <c r="B353" i="37"/>
  <c r="D353" i="37" s="1"/>
  <c r="I296" i="37"/>
  <c r="B358" i="37"/>
  <c r="D358" i="37" s="1"/>
  <c r="O291" i="37"/>
  <c r="D376" i="37" s="1"/>
  <c r="I64" i="31" s="1"/>
  <c r="O296" i="37"/>
  <c r="D381" i="37" s="1"/>
  <c r="I69" i="31" s="1"/>
  <c r="I301" i="37"/>
  <c r="B363" i="37"/>
  <c r="D363" i="37" s="1"/>
  <c r="I299" i="37"/>
  <c r="B361" i="37"/>
  <c r="D361" i="37" s="1"/>
  <c r="D287" i="37"/>
  <c r="B349" i="37" s="1"/>
  <c r="D349" i="37" s="1"/>
  <c r="D286" i="37"/>
  <c r="B348" i="37" s="1"/>
  <c r="D348" i="37" s="1"/>
  <c r="D285" i="37"/>
  <c r="O288" i="37"/>
  <c r="D373" i="37" s="1"/>
  <c r="I61" i="31" s="1"/>
  <c r="E304" i="37"/>
  <c r="N304" i="37" s="1"/>
  <c r="E330" i="37" s="1"/>
  <c r="E332" i="37" s="1"/>
  <c r="D297" i="37"/>
  <c r="B359" i="37" s="1"/>
  <c r="D359" i="37" s="1"/>
  <c r="D292" i="37"/>
  <c r="B354" i="37" s="1"/>
  <c r="D354" i="37" s="1"/>
  <c r="D294" i="37"/>
  <c r="O299" i="37"/>
  <c r="D384" i="37" s="1"/>
  <c r="I72" i="31" s="1"/>
  <c r="D298" i="37"/>
  <c r="D289" i="37"/>
  <c r="B351" i="37" s="1"/>
  <c r="D351" i="37" s="1"/>
  <c r="D295" i="37"/>
  <c r="B357" i="37" s="1"/>
  <c r="D303" i="37"/>
  <c r="B365" i="37" s="1"/>
  <c r="D365" i="37" s="1"/>
  <c r="D293" i="37"/>
  <c r="B355" i="37" s="1"/>
  <c r="D355" i="37" s="1"/>
  <c r="D290" i="37"/>
  <c r="B352" i="37" s="1"/>
  <c r="B63" i="31" s="1"/>
  <c r="C70" i="31"/>
  <c r="I302" i="37"/>
  <c r="D300" i="37"/>
  <c r="B362" i="37" s="1"/>
  <c r="C67" i="31"/>
  <c r="B99" i="31"/>
  <c r="B98" i="31"/>
  <c r="B103" i="31"/>
  <c r="B91" i="31"/>
  <c r="B94" i="31"/>
  <c r="B102" i="31"/>
  <c r="B93" i="31"/>
  <c r="B97" i="31"/>
  <c r="B90" i="31"/>
  <c r="B89" i="31"/>
  <c r="B85" i="31"/>
  <c r="B88" i="31"/>
  <c r="B100" i="31"/>
  <c r="B86" i="31"/>
  <c r="B87" i="31"/>
  <c r="B96" i="31"/>
  <c r="B101" i="31"/>
  <c r="B95" i="31"/>
  <c r="B92" i="31"/>
  <c r="C66" i="31"/>
  <c r="C62" i="31"/>
  <c r="C76" i="31"/>
  <c r="C71" i="31"/>
  <c r="C63" i="31"/>
  <c r="C59" i="31"/>
  <c r="C65" i="31"/>
  <c r="C60" i="31"/>
  <c r="E329" i="36"/>
  <c r="C388" i="36"/>
  <c r="C330" i="36"/>
  <c r="C332" i="36" s="1"/>
  <c r="B389" i="36"/>
  <c r="G50" i="31" s="1"/>
  <c r="V219" i="36"/>
  <c r="W219" i="36" s="1"/>
  <c r="X219" i="36" s="1"/>
  <c r="Y219" i="36" s="1"/>
  <c r="G296" i="36" s="1"/>
  <c r="V215" i="36"/>
  <c r="W215" i="36" s="1"/>
  <c r="X215" i="36" s="1"/>
  <c r="Y215" i="36" s="1"/>
  <c r="G292" i="36" s="1"/>
  <c r="V203" i="36"/>
  <c r="V220" i="36"/>
  <c r="W220" i="36" s="1"/>
  <c r="X220" i="36" s="1"/>
  <c r="Y220" i="36" s="1"/>
  <c r="G297" i="36" s="1"/>
  <c r="V209" i="36"/>
  <c r="Z209" i="36" s="1"/>
  <c r="V210" i="36"/>
  <c r="Z210" i="36" s="1"/>
  <c r="V208" i="36"/>
  <c r="W208" i="36" s="1"/>
  <c r="X208" i="36" s="1"/>
  <c r="Y208" i="36" s="1"/>
  <c r="G285" i="36" s="1"/>
  <c r="V216" i="36"/>
  <c r="Z216" i="36" s="1"/>
  <c r="V226" i="36"/>
  <c r="W226" i="36" s="1"/>
  <c r="X226" i="36" s="1"/>
  <c r="Y226" i="36" s="1"/>
  <c r="G303" i="36" s="1"/>
  <c r="V204" i="36"/>
  <c r="V224" i="36"/>
  <c r="Z224" i="36" s="1"/>
  <c r="V212" i="36"/>
  <c r="Z212" i="36" s="1"/>
  <c r="V218" i="36"/>
  <c r="Z218" i="36" s="1"/>
  <c r="V211" i="36"/>
  <c r="Z211" i="36" s="1"/>
  <c r="V221" i="36"/>
  <c r="W221" i="36" s="1"/>
  <c r="X221" i="36" s="1"/>
  <c r="Y221" i="36" s="1"/>
  <c r="G298" i="36" s="1"/>
  <c r="V227" i="36"/>
  <c r="W227" i="36" s="1"/>
  <c r="X227" i="36" s="1"/>
  <c r="Y227" i="36" s="1"/>
  <c r="G304" i="36" s="1"/>
  <c r="V217" i="36"/>
  <c r="Z217" i="36" s="1"/>
  <c r="V214" i="36"/>
  <c r="Z214" i="36" s="1"/>
  <c r="V223" i="36"/>
  <c r="Z223" i="36" s="1"/>
  <c r="V222" i="36"/>
  <c r="W222" i="36" s="1"/>
  <c r="X222" i="36" s="1"/>
  <c r="Y222" i="36" s="1"/>
  <c r="G299" i="36" s="1"/>
  <c r="V225" i="36"/>
  <c r="W225" i="36" s="1"/>
  <c r="X225" i="36" s="1"/>
  <c r="Y225" i="36" s="1"/>
  <c r="G302" i="36" s="1"/>
  <c r="B42" i="31"/>
  <c r="B40" i="31"/>
  <c r="B45" i="31"/>
  <c r="B33" i="31"/>
  <c r="B44" i="31"/>
  <c r="B32" i="31"/>
  <c r="B35" i="31"/>
  <c r="B47" i="31"/>
  <c r="B39" i="31"/>
  <c r="B41" i="31"/>
  <c r="X279" i="36"/>
  <c r="H304" i="36" s="1"/>
  <c r="N304" i="36" s="1"/>
  <c r="F252" i="12"/>
  <c r="T210" i="38" l="1"/>
  <c r="T211" i="38"/>
  <c r="T218" i="38"/>
  <c r="T216" i="38"/>
  <c r="T217" i="38"/>
  <c r="T205" i="38"/>
  <c r="T226" i="38"/>
  <c r="T222" i="38"/>
  <c r="T219" i="38"/>
  <c r="AE195" i="38"/>
  <c r="Q199" i="40" s="1"/>
  <c r="R199" i="40" s="1"/>
  <c r="S199" i="40" s="1"/>
  <c r="AM23" i="40" s="1"/>
  <c r="AN196" i="12"/>
  <c r="AO196" i="12" s="1"/>
  <c r="D4" i="20"/>
  <c r="E411" i="38"/>
  <c r="G411" i="38" s="1"/>
  <c r="W213" i="36"/>
  <c r="X213" i="36" s="1"/>
  <c r="Y213" i="36" s="1"/>
  <c r="G290" i="36" s="1"/>
  <c r="C352" i="36" s="1"/>
  <c r="D352" i="36" s="1"/>
  <c r="AS196" i="12"/>
  <c r="E413" i="12" s="1"/>
  <c r="G413" i="12" s="1"/>
  <c r="AI194" i="38"/>
  <c r="F302" i="38" s="1"/>
  <c r="M302" i="38" s="1"/>
  <c r="AM250" i="38"/>
  <c r="AS250" i="38" s="1"/>
  <c r="AK250" i="38"/>
  <c r="AQ250" i="38" s="1"/>
  <c r="AL250" i="38"/>
  <c r="AR250" i="38" s="1"/>
  <c r="T276" i="38"/>
  <c r="X276" i="38" s="1"/>
  <c r="H301" i="38" s="1"/>
  <c r="N301" i="38" s="1"/>
  <c r="T278" i="38"/>
  <c r="T277" i="38"/>
  <c r="T279" i="38"/>
  <c r="AT251" i="12"/>
  <c r="C278" i="12" s="1"/>
  <c r="U205" i="12"/>
  <c r="AU251" i="12"/>
  <c r="U257" i="12" s="1"/>
  <c r="V278" i="12" s="1"/>
  <c r="AA252" i="12"/>
  <c r="AB252" i="12"/>
  <c r="AC252" i="12"/>
  <c r="C389" i="37"/>
  <c r="H77" i="31" s="1"/>
  <c r="B104" i="31"/>
  <c r="D357" i="37"/>
  <c r="D68" i="31" s="1"/>
  <c r="O295" i="37"/>
  <c r="D380" i="37" s="1"/>
  <c r="I68" i="31" s="1"/>
  <c r="I287" i="37"/>
  <c r="I290" i="37"/>
  <c r="O290" i="37"/>
  <c r="D317" i="37" s="1"/>
  <c r="F317" i="37" s="1"/>
  <c r="D352" i="37"/>
  <c r="D63" i="31" s="1"/>
  <c r="I304" i="37"/>
  <c r="B366" i="37"/>
  <c r="D366" i="37" s="1"/>
  <c r="D77" i="31" s="1"/>
  <c r="N57" i="31" s="1"/>
  <c r="O298" i="36"/>
  <c r="D383" i="36" s="1"/>
  <c r="I44" i="31" s="1"/>
  <c r="I298" i="36"/>
  <c r="O285" i="36"/>
  <c r="I285" i="36"/>
  <c r="O297" i="36"/>
  <c r="D382" i="36" s="1"/>
  <c r="I43" i="31" s="1"/>
  <c r="I297" i="36"/>
  <c r="O287" i="37"/>
  <c r="D372" i="37" s="1"/>
  <c r="I60" i="31" s="1"/>
  <c r="I292" i="36"/>
  <c r="O292" i="36"/>
  <c r="D377" i="36" s="1"/>
  <c r="I38" i="31" s="1"/>
  <c r="O299" i="36"/>
  <c r="D384" i="36" s="1"/>
  <c r="I45" i="31" s="1"/>
  <c r="I299" i="36"/>
  <c r="O296" i="36"/>
  <c r="D381" i="36" s="1"/>
  <c r="I42" i="31" s="1"/>
  <c r="I296" i="36"/>
  <c r="O302" i="36"/>
  <c r="D387" i="36" s="1"/>
  <c r="I48" i="31" s="1"/>
  <c r="I302" i="36"/>
  <c r="O303" i="36"/>
  <c r="D388" i="36" s="1"/>
  <c r="I49" i="31" s="1"/>
  <c r="I303" i="36"/>
  <c r="O304" i="36"/>
  <c r="D389" i="36" s="1"/>
  <c r="I304" i="36"/>
  <c r="I297" i="37"/>
  <c r="I292" i="37"/>
  <c r="O294" i="37"/>
  <c r="D379" i="37" s="1"/>
  <c r="I67" i="31" s="1"/>
  <c r="B356" i="37"/>
  <c r="D356" i="37" s="1"/>
  <c r="I285" i="37"/>
  <c r="B347" i="37"/>
  <c r="D347" i="37" s="1"/>
  <c r="O292" i="37"/>
  <c r="D377" i="37" s="1"/>
  <c r="I65" i="31" s="1"/>
  <c r="I286" i="37"/>
  <c r="O286" i="37"/>
  <c r="D371" i="37" s="1"/>
  <c r="I59" i="31" s="1"/>
  <c r="I298" i="37"/>
  <c r="B360" i="37"/>
  <c r="D360" i="37" s="1"/>
  <c r="B68" i="31"/>
  <c r="D362" i="37"/>
  <c r="D73" i="31" s="1"/>
  <c r="I295" i="37"/>
  <c r="O297" i="37"/>
  <c r="D382" i="37" s="1"/>
  <c r="I70" i="31" s="1"/>
  <c r="B73" i="31"/>
  <c r="B59" i="31"/>
  <c r="D59" i="31"/>
  <c r="B65" i="31"/>
  <c r="D65" i="31"/>
  <c r="B70" i="31"/>
  <c r="D70" i="31"/>
  <c r="B76" i="31"/>
  <c r="D76" i="31"/>
  <c r="B60" i="31"/>
  <c r="D60" i="31"/>
  <c r="O293" i="37"/>
  <c r="D378" i="37" s="1"/>
  <c r="I66" i="31" s="1"/>
  <c r="I293" i="37"/>
  <c r="I289" i="37"/>
  <c r="O289" i="37"/>
  <c r="D374" i="37" s="1"/>
  <c r="I62" i="31" s="1"/>
  <c r="O298" i="37"/>
  <c r="D383" i="37" s="1"/>
  <c r="I71" i="31" s="1"/>
  <c r="O285" i="37"/>
  <c r="D370" i="37" s="1"/>
  <c r="I58" i="31" s="1"/>
  <c r="O300" i="37"/>
  <c r="D326" i="37" s="1"/>
  <c r="F326" i="37" s="1"/>
  <c r="I300" i="37"/>
  <c r="I294" i="37"/>
  <c r="I303" i="37"/>
  <c r="O303" i="37"/>
  <c r="D388" i="37" s="1"/>
  <c r="I76" i="31" s="1"/>
  <c r="C58" i="31"/>
  <c r="B72" i="31"/>
  <c r="D72" i="31"/>
  <c r="B74" i="31"/>
  <c r="D74" i="31"/>
  <c r="B64" i="31"/>
  <c r="D64" i="31"/>
  <c r="B75" i="31"/>
  <c r="D75" i="31"/>
  <c r="D387" i="37"/>
  <c r="I75" i="31" s="1"/>
  <c r="D328" i="37"/>
  <c r="F328" i="37" s="1"/>
  <c r="B69" i="31"/>
  <c r="D69" i="31"/>
  <c r="B61" i="31"/>
  <c r="D61" i="31"/>
  <c r="D386" i="37"/>
  <c r="I74" i="31" s="1"/>
  <c r="C361" i="36"/>
  <c r="D361" i="36" s="1"/>
  <c r="C359" i="36"/>
  <c r="D359" i="36" s="1"/>
  <c r="C354" i="36"/>
  <c r="D354" i="36" s="1"/>
  <c r="C365" i="36"/>
  <c r="D365" i="36" s="1"/>
  <c r="C347" i="36"/>
  <c r="D347" i="36" s="1"/>
  <c r="D31" i="31" s="1"/>
  <c r="C366" i="36"/>
  <c r="D366" i="36" s="1"/>
  <c r="C358" i="36"/>
  <c r="D358" i="36" s="1"/>
  <c r="C360" i="36"/>
  <c r="D360" i="36" s="1"/>
  <c r="C364" i="36"/>
  <c r="D364" i="36" s="1"/>
  <c r="Z215" i="36"/>
  <c r="Z219" i="36"/>
  <c r="W224" i="36"/>
  <c r="X224" i="36" s="1"/>
  <c r="Y224" i="36" s="1"/>
  <c r="G301" i="36" s="1"/>
  <c r="W209" i="36"/>
  <c r="X209" i="36" s="1"/>
  <c r="Y209" i="36" s="1"/>
  <c r="G286" i="36" s="1"/>
  <c r="Z220" i="36"/>
  <c r="V205" i="36"/>
  <c r="W210" i="36"/>
  <c r="X210" i="36" s="1"/>
  <c r="Y210" i="36" s="1"/>
  <c r="G287" i="36" s="1"/>
  <c r="W218" i="36"/>
  <c r="X218" i="36" s="1"/>
  <c r="Y218" i="36" s="1"/>
  <c r="G295" i="36" s="1"/>
  <c r="Z227" i="36"/>
  <c r="Z208" i="36"/>
  <c r="Z226" i="36"/>
  <c r="Z221" i="36"/>
  <c r="W216" i="36"/>
  <c r="X216" i="36" s="1"/>
  <c r="Y216" i="36" s="1"/>
  <c r="G293" i="36" s="1"/>
  <c r="W212" i="36"/>
  <c r="X212" i="36" s="1"/>
  <c r="Y212" i="36" s="1"/>
  <c r="G289" i="36" s="1"/>
  <c r="W214" i="36"/>
  <c r="X214" i="36" s="1"/>
  <c r="Y214" i="36" s="1"/>
  <c r="G291" i="36" s="1"/>
  <c r="W217" i="36"/>
  <c r="X217" i="36" s="1"/>
  <c r="Y217" i="36" s="1"/>
  <c r="G294" i="36" s="1"/>
  <c r="W223" i="36"/>
  <c r="X223" i="36" s="1"/>
  <c r="Y223" i="36" s="1"/>
  <c r="G300" i="36" s="1"/>
  <c r="W211" i="36"/>
  <c r="X211" i="36" s="1"/>
  <c r="Y211" i="36" s="1"/>
  <c r="G288" i="36" s="1"/>
  <c r="Z225" i="36"/>
  <c r="Z222" i="36"/>
  <c r="G252" i="12"/>
  <c r="H252" i="12"/>
  <c r="I252" i="12"/>
  <c r="AG251" i="38" l="1"/>
  <c r="AF195" i="38"/>
  <c r="AD196" i="38" s="1"/>
  <c r="AE196" i="38" s="1"/>
  <c r="AM195" i="38"/>
  <c r="AN195" i="38" s="1"/>
  <c r="AO195" i="38" s="1"/>
  <c r="U202" i="38" s="1"/>
  <c r="V202" i="12"/>
  <c r="AB8" i="40" s="1" a="1"/>
  <c r="E436" i="12"/>
  <c r="G436" i="12" s="1"/>
  <c r="G438" i="12" s="1"/>
  <c r="I290" i="36"/>
  <c r="O290" i="36"/>
  <c r="D375" i="36" s="1"/>
  <c r="I36" i="31" s="1"/>
  <c r="M62" i="31"/>
  <c r="K62" i="31"/>
  <c r="T60" i="31"/>
  <c r="W60" i="31" s="1"/>
  <c r="T61" i="31"/>
  <c r="W61" i="31" s="1"/>
  <c r="T59" i="31"/>
  <c r="W59" i="31" s="1"/>
  <c r="T62" i="31"/>
  <c r="W62" i="31" s="1"/>
  <c r="AU250" i="38"/>
  <c r="T257" i="38" s="1"/>
  <c r="AT250" i="38"/>
  <c r="C277" i="38" s="1"/>
  <c r="B387" i="38"/>
  <c r="G102" i="31" s="1"/>
  <c r="C328" i="38"/>
  <c r="C386" i="38"/>
  <c r="H101" i="31" s="1"/>
  <c r="E327" i="38"/>
  <c r="V279" i="12"/>
  <c r="X278" i="12"/>
  <c r="H303" i="12" s="1"/>
  <c r="AS252" i="12"/>
  <c r="AR252" i="12"/>
  <c r="AQ252" i="12"/>
  <c r="D322" i="37"/>
  <c r="F322" i="37" s="1"/>
  <c r="D321" i="37"/>
  <c r="F321" i="37" s="1"/>
  <c r="B77" i="31"/>
  <c r="D375" i="37"/>
  <c r="I63" i="31" s="1"/>
  <c r="O293" i="36"/>
  <c r="I293" i="36"/>
  <c r="D313" i="37"/>
  <c r="F313" i="37" s="1"/>
  <c r="O289" i="36"/>
  <c r="I289" i="36"/>
  <c r="D312" i="37"/>
  <c r="F312" i="37" s="1"/>
  <c r="O286" i="36"/>
  <c r="D371" i="36" s="1"/>
  <c r="I32" i="31" s="1"/>
  <c r="I286" i="36"/>
  <c r="O301" i="36"/>
  <c r="D386" i="36" s="1"/>
  <c r="I47" i="31" s="1"/>
  <c r="I301" i="36"/>
  <c r="O288" i="36"/>
  <c r="I288" i="36"/>
  <c r="I300" i="36"/>
  <c r="O300" i="36"/>
  <c r="D385" i="36" s="1"/>
  <c r="I46" i="31" s="1"/>
  <c r="D324" i="37"/>
  <c r="F324" i="37" s="1"/>
  <c r="O294" i="36"/>
  <c r="D379" i="36" s="1"/>
  <c r="I40" i="31" s="1"/>
  <c r="I294" i="36"/>
  <c r="O295" i="36"/>
  <c r="D380" i="36" s="1"/>
  <c r="I41" i="31" s="1"/>
  <c r="I295" i="36"/>
  <c r="O291" i="36"/>
  <c r="D376" i="36" s="1"/>
  <c r="I37" i="31" s="1"/>
  <c r="I291" i="36"/>
  <c r="O287" i="36"/>
  <c r="D372" i="36" s="1"/>
  <c r="I33" i="31" s="1"/>
  <c r="I287" i="36"/>
  <c r="D314" i="37"/>
  <c r="F314" i="37" s="1"/>
  <c r="D316" i="37"/>
  <c r="F316" i="37" s="1"/>
  <c r="D318" i="37"/>
  <c r="F318" i="37" s="1"/>
  <c r="D315" i="37"/>
  <c r="F315" i="37" s="1"/>
  <c r="D323" i="37"/>
  <c r="F323" i="37" s="1"/>
  <c r="D325" i="37"/>
  <c r="F325" i="37" s="1"/>
  <c r="B58" i="31"/>
  <c r="B62" i="31"/>
  <c r="D62" i="31"/>
  <c r="D327" i="37"/>
  <c r="F327" i="37" s="1"/>
  <c r="D385" i="37"/>
  <c r="I73" i="31" s="1"/>
  <c r="D320" i="37"/>
  <c r="F320" i="37" s="1"/>
  <c r="B71" i="31"/>
  <c r="D71" i="31"/>
  <c r="D58" i="31"/>
  <c r="D319" i="37"/>
  <c r="F319" i="37" s="1"/>
  <c r="D330" i="37"/>
  <c r="F330" i="37" s="1"/>
  <c r="B66" i="31"/>
  <c r="D66" i="31"/>
  <c r="D329" i="37"/>
  <c r="F329" i="37" s="1"/>
  <c r="D311" i="37"/>
  <c r="F311" i="37" s="1"/>
  <c r="B67" i="31"/>
  <c r="D67" i="31"/>
  <c r="C31" i="31"/>
  <c r="C355" i="36"/>
  <c r="D355" i="36" s="1"/>
  <c r="C348" i="36"/>
  <c r="D348" i="36" s="1"/>
  <c r="C350" i="36"/>
  <c r="D350" i="36" s="1"/>
  <c r="C363" i="36"/>
  <c r="D363" i="36" s="1"/>
  <c r="C356" i="36"/>
  <c r="D356" i="36" s="1"/>
  <c r="C362" i="36"/>
  <c r="D362" i="36" s="1"/>
  <c r="C353" i="36"/>
  <c r="D353" i="36" s="1"/>
  <c r="C357" i="36"/>
  <c r="D357" i="36" s="1"/>
  <c r="C351" i="36"/>
  <c r="D351" i="36" s="1"/>
  <c r="C349" i="36"/>
  <c r="D349" i="36" s="1"/>
  <c r="D311" i="36"/>
  <c r="F311" i="36" s="1"/>
  <c r="D370" i="36"/>
  <c r="I31" i="31" s="1"/>
  <c r="E330" i="36"/>
  <c r="E332" i="36" s="1"/>
  <c r="C389" i="36"/>
  <c r="H50" i="31" s="1"/>
  <c r="D330" i="36"/>
  <c r="H35" i="31"/>
  <c r="H39" i="31"/>
  <c r="I50" i="31"/>
  <c r="H48" i="31"/>
  <c r="H44" i="31"/>
  <c r="H34" i="31"/>
  <c r="H37" i="31"/>
  <c r="H43" i="31"/>
  <c r="D325" i="36"/>
  <c r="F325" i="36" s="1"/>
  <c r="D329" i="36"/>
  <c r="F329" i="36" s="1"/>
  <c r="H36" i="31"/>
  <c r="H45" i="31"/>
  <c r="H49" i="31"/>
  <c r="H33" i="31"/>
  <c r="D323" i="36"/>
  <c r="F323" i="36" s="1"/>
  <c r="H46" i="31"/>
  <c r="D324" i="36"/>
  <c r="F324" i="36" s="1"/>
  <c r="H32" i="31"/>
  <c r="H42" i="31"/>
  <c r="H47" i="31"/>
  <c r="V204" i="12" l="1"/>
  <c r="V213" i="12"/>
  <c r="W213" i="12" s="1"/>
  <c r="X213" i="12" s="1"/>
  <c r="Y213" i="12" s="1"/>
  <c r="V209" i="12"/>
  <c r="Z209" i="12" s="1"/>
  <c r="AS195" i="38"/>
  <c r="E435" i="38" s="1"/>
  <c r="G435" i="38" s="1"/>
  <c r="AG195" i="38"/>
  <c r="AH195" i="38" s="1"/>
  <c r="AH251" i="38" s="1"/>
  <c r="AI251" i="38" s="1"/>
  <c r="AJ251" i="38" s="1"/>
  <c r="V227" i="12"/>
  <c r="Z227" i="12" s="1"/>
  <c r="V216" i="12"/>
  <c r="W216" i="12" s="1"/>
  <c r="X216" i="12" s="1"/>
  <c r="Y216" i="12" s="1"/>
  <c r="V223" i="12"/>
  <c r="Z223" i="12" s="1"/>
  <c r="V215" i="12"/>
  <c r="W215" i="12" s="1"/>
  <c r="X215" i="12" s="1"/>
  <c r="Y215" i="12" s="1"/>
  <c r="V221" i="12"/>
  <c r="W221" i="12" s="1"/>
  <c r="X221" i="12" s="1"/>
  <c r="Y221" i="12" s="1"/>
  <c r="V224" i="12"/>
  <c r="Z224" i="12" s="1"/>
  <c r="V208" i="12"/>
  <c r="W208" i="12" s="1"/>
  <c r="X208" i="12" s="1"/>
  <c r="Y208" i="12" s="1"/>
  <c r="V220" i="12"/>
  <c r="W220" i="12" s="1"/>
  <c r="X220" i="12" s="1"/>
  <c r="Y220" i="12" s="1"/>
  <c r="V222" i="12"/>
  <c r="Z222" i="12" s="1"/>
  <c r="V226" i="12"/>
  <c r="Z226" i="12" s="1"/>
  <c r="V210" i="12"/>
  <c r="W210" i="12" s="1"/>
  <c r="X210" i="12" s="1"/>
  <c r="Y210" i="12" s="1"/>
  <c r="V217" i="12"/>
  <c r="Z217" i="12" s="1"/>
  <c r="V211" i="12"/>
  <c r="Z211" i="12" s="1"/>
  <c r="V214" i="12"/>
  <c r="W214" i="12" s="1"/>
  <c r="X214" i="12" s="1"/>
  <c r="Y214" i="12" s="1"/>
  <c r="V219" i="12"/>
  <c r="Z219" i="12" s="1"/>
  <c r="V203" i="12"/>
  <c r="AC21" i="40"/>
  <c r="AC27" i="40"/>
  <c r="AC18" i="40"/>
  <c r="AC11" i="40"/>
  <c r="AC24" i="40"/>
  <c r="AC13" i="40"/>
  <c r="AC26" i="40"/>
  <c r="AC23" i="40"/>
  <c r="AC15" i="40"/>
  <c r="AC17" i="40"/>
  <c r="AC19" i="40"/>
  <c r="AB8" i="40"/>
  <c r="AC8" i="40" s="1"/>
  <c r="AC12" i="40"/>
  <c r="AC9" i="40"/>
  <c r="AC22" i="40"/>
  <c r="AC10" i="40"/>
  <c r="AC16" i="40"/>
  <c r="AC14" i="40"/>
  <c r="AC20" i="40"/>
  <c r="AC25" i="40"/>
  <c r="V212" i="12"/>
  <c r="Z212" i="12" s="1"/>
  <c r="V225" i="12"/>
  <c r="W225" i="12" s="1"/>
  <c r="X225" i="12" s="1"/>
  <c r="Y225" i="12" s="1"/>
  <c r="V218" i="12"/>
  <c r="W218" i="12" s="1"/>
  <c r="X218" i="12" s="1"/>
  <c r="Y218" i="12" s="1"/>
  <c r="X62" i="31"/>
  <c r="W69" i="31"/>
  <c r="X59" i="31"/>
  <c r="W66" i="31"/>
  <c r="X61" i="31"/>
  <c r="W68" i="31"/>
  <c r="X60" i="31"/>
  <c r="T69" i="31"/>
  <c r="X69" i="31" s="1"/>
  <c r="T66" i="31"/>
  <c r="T68" i="31"/>
  <c r="T67" i="31"/>
  <c r="Y62" i="31"/>
  <c r="Z62" i="31"/>
  <c r="Y61" i="31"/>
  <c r="Z61" i="31"/>
  <c r="Y60" i="31"/>
  <c r="Z60" i="31"/>
  <c r="O63" i="31"/>
  <c r="P63" i="31" s="1"/>
  <c r="O62" i="31"/>
  <c r="P62" i="31" s="1"/>
  <c r="O65" i="31"/>
  <c r="P65" i="31" s="1"/>
  <c r="O64" i="31"/>
  <c r="P64" i="31" s="1"/>
  <c r="Z59" i="31"/>
  <c r="Y59" i="31"/>
  <c r="U59" i="31"/>
  <c r="V59" i="31" s="1"/>
  <c r="U61" i="31"/>
  <c r="V61" i="31" s="1"/>
  <c r="U62" i="31"/>
  <c r="V62" i="31" s="1"/>
  <c r="U60" i="31"/>
  <c r="V60" i="31" s="1"/>
  <c r="U203" i="38"/>
  <c r="U226" i="38"/>
  <c r="U208" i="38"/>
  <c r="U209" i="38"/>
  <c r="U225" i="38"/>
  <c r="U222" i="38"/>
  <c r="U221" i="38"/>
  <c r="U218" i="38"/>
  <c r="U223" i="38"/>
  <c r="U210" i="38"/>
  <c r="U219" i="38"/>
  <c r="U224" i="38"/>
  <c r="U227" i="38"/>
  <c r="U215" i="38"/>
  <c r="U220" i="38"/>
  <c r="U213" i="38"/>
  <c r="U214" i="38"/>
  <c r="U216" i="38"/>
  <c r="U217" i="38"/>
  <c r="U212" i="38"/>
  <c r="U211" i="38"/>
  <c r="U204" i="38"/>
  <c r="U277" i="38"/>
  <c r="X277" i="38" s="1"/>
  <c r="H302" i="38" s="1"/>
  <c r="N302" i="38" s="1"/>
  <c r="U279" i="38"/>
  <c r="U278" i="38"/>
  <c r="AU252" i="12"/>
  <c r="V257" i="12" s="1"/>
  <c r="W279" i="12" s="1"/>
  <c r="AT252" i="12"/>
  <c r="C279" i="12" s="1"/>
  <c r="Z213" i="12"/>
  <c r="F332" i="37"/>
  <c r="D332" i="37"/>
  <c r="D37" i="20" s="1"/>
  <c r="D328" i="36"/>
  <c r="F328" i="36" s="1"/>
  <c r="D314" i="36"/>
  <c r="F314" i="36" s="1"/>
  <c r="F330" i="36"/>
  <c r="D318" i="36"/>
  <c r="F318" i="36" s="1"/>
  <c r="D326" i="36"/>
  <c r="F326" i="36" s="1"/>
  <c r="D321" i="36"/>
  <c r="F321" i="36" s="1"/>
  <c r="D316" i="36"/>
  <c r="F316" i="36" s="1"/>
  <c r="D374" i="36"/>
  <c r="I35" i="31" s="1"/>
  <c r="D327" i="36"/>
  <c r="F327" i="36" s="1"/>
  <c r="D322" i="36"/>
  <c r="F322" i="36" s="1"/>
  <c r="D313" i="36"/>
  <c r="F313" i="36" s="1"/>
  <c r="D319" i="36"/>
  <c r="F319" i="36" s="1"/>
  <c r="D378" i="36"/>
  <c r="I39" i="31" s="1"/>
  <c r="D315" i="36"/>
  <c r="F315" i="36" s="1"/>
  <c r="D373" i="36"/>
  <c r="I34" i="31" s="1"/>
  <c r="D312" i="36"/>
  <c r="F312" i="36" s="1"/>
  <c r="D317" i="36"/>
  <c r="F317" i="36" s="1"/>
  <c r="H38" i="31"/>
  <c r="H40" i="31"/>
  <c r="C40" i="31"/>
  <c r="H41" i="31"/>
  <c r="C41" i="31"/>
  <c r="D37" i="31"/>
  <c r="D320" i="36"/>
  <c r="F320" i="36" s="1"/>
  <c r="D35" i="31"/>
  <c r="C49" i="31"/>
  <c r="D49" i="31"/>
  <c r="C36" i="31"/>
  <c r="D36" i="31"/>
  <c r="D40" i="31"/>
  <c r="C38" i="31"/>
  <c r="D38" i="31"/>
  <c r="C44" i="31"/>
  <c r="D44" i="31"/>
  <c r="D42" i="31"/>
  <c r="C42" i="31"/>
  <c r="C33" i="31"/>
  <c r="D33" i="31"/>
  <c r="D43" i="31"/>
  <c r="C43" i="31"/>
  <c r="C34" i="31"/>
  <c r="D34" i="31"/>
  <c r="C39" i="31"/>
  <c r="D39" i="31"/>
  <c r="D46" i="31"/>
  <c r="C46" i="31"/>
  <c r="C47" i="31"/>
  <c r="D47" i="31"/>
  <c r="C50" i="31"/>
  <c r="D50" i="31"/>
  <c r="N30" i="31" s="1"/>
  <c r="C32" i="31"/>
  <c r="D32" i="31"/>
  <c r="C45" i="31"/>
  <c r="D45" i="31"/>
  <c r="C48" i="31"/>
  <c r="D48" i="31"/>
  <c r="W209" i="12" l="1"/>
  <c r="X209" i="12" s="1"/>
  <c r="Y209" i="12" s="1"/>
  <c r="W227" i="12"/>
  <c r="X227" i="12" s="1"/>
  <c r="Y227" i="12" s="1"/>
  <c r="W223" i="12"/>
  <c r="X223" i="12" s="1"/>
  <c r="Y223" i="12" s="1"/>
  <c r="V205" i="12"/>
  <c r="E412" i="38"/>
  <c r="G412" i="38" s="1"/>
  <c r="Z216" i="12"/>
  <c r="Z208" i="12"/>
  <c r="Z215" i="12"/>
  <c r="W224" i="12"/>
  <c r="X224" i="12" s="1"/>
  <c r="Y224" i="12" s="1"/>
  <c r="Z221" i="12"/>
  <c r="W222" i="12"/>
  <c r="X222" i="12" s="1"/>
  <c r="Y222" i="12" s="1"/>
  <c r="Z220" i="12"/>
  <c r="Z210" i="12"/>
  <c r="W226" i="12"/>
  <c r="X226" i="12" s="1"/>
  <c r="Y226" i="12" s="1"/>
  <c r="Z214" i="12"/>
  <c r="W217" i="12"/>
  <c r="X217" i="12" s="1"/>
  <c r="Y217" i="12" s="1"/>
  <c r="W211" i="12"/>
  <c r="X211" i="12" s="1"/>
  <c r="Y211" i="12" s="1"/>
  <c r="W219" i="12"/>
  <c r="X219" i="12" s="1"/>
  <c r="Y219" i="12" s="1"/>
  <c r="Z218" i="12"/>
  <c r="W212" i="12"/>
  <c r="X212" i="12" s="1"/>
  <c r="Y212" i="12" s="1"/>
  <c r="Z225" i="12"/>
  <c r="AF196" i="38"/>
  <c r="AG196" i="38" s="1"/>
  <c r="Q200" i="40"/>
  <c r="R200" i="40" s="1"/>
  <c r="S200" i="40" s="1"/>
  <c r="AM24" i="40" s="1"/>
  <c r="X67" i="31"/>
  <c r="X66" i="31"/>
  <c r="X68" i="31"/>
  <c r="U69" i="31"/>
  <c r="Z69" i="31"/>
  <c r="V69" i="31"/>
  <c r="V66" i="31"/>
  <c r="V67" i="31"/>
  <c r="V68" i="31"/>
  <c r="Y66" i="31"/>
  <c r="Y68" i="31"/>
  <c r="Y69" i="31"/>
  <c r="Z66" i="31"/>
  <c r="Z68" i="31"/>
  <c r="U68" i="31"/>
  <c r="Z67" i="31"/>
  <c r="U67" i="31"/>
  <c r="Y67" i="31"/>
  <c r="U66" i="31"/>
  <c r="W67" i="31"/>
  <c r="M35" i="31"/>
  <c r="K35" i="31"/>
  <c r="T35" i="31"/>
  <c r="W35" i="31" s="1"/>
  <c r="T34" i="31"/>
  <c r="W34" i="31" s="1"/>
  <c r="T32" i="31"/>
  <c r="W32" i="31" s="1"/>
  <c r="T33" i="31"/>
  <c r="W33" i="31" s="1"/>
  <c r="AI195" i="38"/>
  <c r="F303" i="38" s="1"/>
  <c r="M303" i="38" s="1"/>
  <c r="C329" i="38" s="1"/>
  <c r="E328" i="38"/>
  <c r="C387" i="38"/>
  <c r="H102" i="31" s="1"/>
  <c r="AG252" i="38"/>
  <c r="AH252" i="38" s="1"/>
  <c r="AI252" i="38" s="1"/>
  <c r="AJ252" i="38" s="1"/>
  <c r="AM196" i="38"/>
  <c r="D7" i="20" s="1"/>
  <c r="AK251" i="38"/>
  <c r="AQ251" i="38" s="1"/>
  <c r="AL251" i="38"/>
  <c r="AR251" i="38" s="1"/>
  <c r="AM251" i="38"/>
  <c r="AS251" i="38" s="1"/>
  <c r="V201" i="38"/>
  <c r="U205" i="38"/>
  <c r="X279" i="12"/>
  <c r="H304" i="12" s="1"/>
  <c r="F332" i="36"/>
  <c r="C37" i="31"/>
  <c r="D332" i="36"/>
  <c r="D36" i="20" s="1"/>
  <c r="D41" i="31"/>
  <c r="C35" i="31"/>
  <c r="O35" i="31" l="1"/>
  <c r="AS196" i="38"/>
  <c r="E413" i="38" s="1"/>
  <c r="G413" i="38" s="1"/>
  <c r="X32" i="31"/>
  <c r="W39" i="31"/>
  <c r="X35" i="31"/>
  <c r="W42" i="31"/>
  <c r="X34" i="31"/>
  <c r="W41" i="31"/>
  <c r="X33" i="31"/>
  <c r="T40" i="31"/>
  <c r="T41" i="31"/>
  <c r="T39" i="31"/>
  <c r="T42" i="31"/>
  <c r="X42" i="31" s="1"/>
  <c r="Z35" i="31"/>
  <c r="Y35" i="31"/>
  <c r="O36" i="31"/>
  <c r="P36" i="31" s="1"/>
  <c r="O37" i="31"/>
  <c r="P37" i="31" s="1"/>
  <c r="O38" i="31"/>
  <c r="P38" i="31" s="1"/>
  <c r="P35" i="31"/>
  <c r="Y33" i="31"/>
  <c r="U33" i="31"/>
  <c r="V33" i="31" s="1"/>
  <c r="Z33" i="31"/>
  <c r="Y32" i="31"/>
  <c r="Z32" i="31"/>
  <c r="U32" i="31"/>
  <c r="V32" i="31" s="1"/>
  <c r="Y34" i="31"/>
  <c r="Z34" i="31"/>
  <c r="U34" i="31"/>
  <c r="V34" i="31" s="1"/>
  <c r="U35" i="31"/>
  <c r="V35" i="31" s="1"/>
  <c r="B388" i="38"/>
  <c r="G103" i="31" s="1"/>
  <c r="AN196" i="38"/>
  <c r="AO196" i="38" s="1"/>
  <c r="V202" i="38" s="1"/>
  <c r="AB86" i="40" s="1" a="1"/>
  <c r="E7" i="20"/>
  <c r="AM252" i="38"/>
  <c r="AS252" i="38" s="1"/>
  <c r="AK252" i="38"/>
  <c r="AQ252" i="38" s="1"/>
  <c r="AL252" i="38"/>
  <c r="AR252" i="38" s="1"/>
  <c r="AT251" i="38"/>
  <c r="C278" i="38" s="1"/>
  <c r="AU251" i="38"/>
  <c r="U257" i="38" s="1"/>
  <c r="AH196" i="38"/>
  <c r="AI196" i="38" s="1"/>
  <c r="F304" i="38" s="1"/>
  <c r="AB86" i="40" l="1"/>
  <c r="AC86" i="40" s="1"/>
  <c r="AN5" i="40" s="1"/>
  <c r="AO5" i="40" s="1"/>
  <c r="AC105" i="40"/>
  <c r="AN24" i="40" s="1"/>
  <c r="AO24" i="40" s="1"/>
  <c r="AC102" i="40"/>
  <c r="AN21" i="40" s="1"/>
  <c r="AO21" i="40" s="1"/>
  <c r="AC88" i="40"/>
  <c r="AN7" i="40" s="1"/>
  <c r="AO7" i="40" s="1"/>
  <c r="AC98" i="40"/>
  <c r="AN17" i="40" s="1"/>
  <c r="AO17" i="40" s="1"/>
  <c r="AC91" i="40"/>
  <c r="AN10" i="40" s="1"/>
  <c r="AO10" i="40" s="1"/>
  <c r="AC94" i="40"/>
  <c r="AN13" i="40" s="1"/>
  <c r="AO13" i="40" s="1"/>
  <c r="AC103" i="40"/>
  <c r="AN22" i="40" s="1"/>
  <c r="AO22" i="40" s="1"/>
  <c r="AC93" i="40"/>
  <c r="AN12" i="40" s="1"/>
  <c r="AO12" i="40" s="1"/>
  <c r="AC90" i="40"/>
  <c r="AN9" i="40" s="1"/>
  <c r="AO9" i="40" s="1"/>
  <c r="AC89" i="40"/>
  <c r="AN8" i="40" s="1"/>
  <c r="AO8" i="40" s="1"/>
  <c r="AC104" i="40"/>
  <c r="AN23" i="40" s="1"/>
  <c r="AO23" i="40" s="1"/>
  <c r="AC100" i="40"/>
  <c r="AN19" i="40" s="1"/>
  <c r="AO19" i="40" s="1"/>
  <c r="AC95" i="40"/>
  <c r="AN14" i="40" s="1"/>
  <c r="AO14" i="40" s="1"/>
  <c r="AC87" i="40"/>
  <c r="AN6" i="40" s="1"/>
  <c r="AO6" i="40" s="1"/>
  <c r="AC101" i="40"/>
  <c r="AN20" i="40" s="1"/>
  <c r="AO20" i="40" s="1"/>
  <c r="AC99" i="40"/>
  <c r="AN18" i="40" s="1"/>
  <c r="AO18" i="40" s="1"/>
  <c r="AC96" i="40"/>
  <c r="AN15" i="40" s="1"/>
  <c r="AO15" i="40" s="1"/>
  <c r="AC92" i="40"/>
  <c r="AN11" i="40" s="1"/>
  <c r="AO11" i="40" s="1"/>
  <c r="AC97" i="40"/>
  <c r="AN16" i="40" s="1"/>
  <c r="AO16" i="40" s="1"/>
  <c r="V204" i="38"/>
  <c r="E436" i="38"/>
  <c r="G436" i="38" s="1"/>
  <c r="G438" i="38" s="1"/>
  <c r="G439" i="38" s="1"/>
  <c r="Y40" i="31"/>
  <c r="X39" i="31"/>
  <c r="X41" i="31"/>
  <c r="X40" i="31"/>
  <c r="V40" i="31"/>
  <c r="U40" i="31"/>
  <c r="Y42" i="31"/>
  <c r="Z40" i="31"/>
  <c r="V42" i="31"/>
  <c r="Y39" i="31"/>
  <c r="Z39" i="31"/>
  <c r="V41" i="31"/>
  <c r="Z41" i="31"/>
  <c r="Z42" i="31"/>
  <c r="V39" i="31"/>
  <c r="Y41" i="31"/>
  <c r="U42" i="31"/>
  <c r="U41" i="31"/>
  <c r="U39" i="31"/>
  <c r="W40" i="31"/>
  <c r="M304" i="38"/>
  <c r="V279" i="38"/>
  <c r="V278" i="38"/>
  <c r="X278" i="38" s="1"/>
  <c r="H303" i="38" s="1"/>
  <c r="N303" i="38" s="1"/>
  <c r="D8" i="20"/>
  <c r="AT252" i="38"/>
  <c r="C279" i="38" s="1"/>
  <c r="AU252" i="38"/>
  <c r="V257" i="38" s="1"/>
  <c r="W279" i="38" s="1"/>
  <c r="V220" i="38"/>
  <c r="V226" i="38"/>
  <c r="V216" i="38"/>
  <c r="V225" i="38"/>
  <c r="V210" i="38"/>
  <c r="V208" i="38"/>
  <c r="V221" i="38"/>
  <c r="V213" i="38"/>
  <c r="V223" i="38"/>
  <c r="V227" i="38"/>
  <c r="V211" i="38"/>
  <c r="V217" i="38"/>
  <c r="V219" i="38"/>
  <c r="V203" i="38"/>
  <c r="V214" i="38"/>
  <c r="V224" i="38"/>
  <c r="V215" i="38"/>
  <c r="V212" i="38"/>
  <c r="V218" i="38"/>
  <c r="V209" i="38"/>
  <c r="V222" i="38"/>
  <c r="G303" i="12"/>
  <c r="C365" i="12" s="1"/>
  <c r="G301" i="12"/>
  <c r="C363" i="12" s="1"/>
  <c r="G294" i="12"/>
  <c r="C356" i="12" s="1"/>
  <c r="G295" i="12"/>
  <c r="C357" i="12" s="1"/>
  <c r="G304" i="12"/>
  <c r="C366" i="12" s="1"/>
  <c r="G290" i="12"/>
  <c r="C352" i="12" s="1"/>
  <c r="G286" i="12"/>
  <c r="C348" i="12" s="1"/>
  <c r="G293" i="12"/>
  <c r="C355" i="12" s="1"/>
  <c r="G285" i="12"/>
  <c r="C347" i="12" s="1"/>
  <c r="G299" i="12"/>
  <c r="C361" i="12" s="1"/>
  <c r="G297" i="12"/>
  <c r="C359" i="12" s="1"/>
  <c r="G292" i="12"/>
  <c r="C354" i="12" s="1"/>
  <c r="G287" i="12"/>
  <c r="C349" i="12" s="1"/>
  <c r="G289" i="12"/>
  <c r="C351" i="12" s="1"/>
  <c r="V205" i="38" l="1"/>
  <c r="AK33" i="40"/>
  <c r="X279" i="38"/>
  <c r="H304" i="38" s="1"/>
  <c r="N304" i="38" s="1"/>
  <c r="C389" i="38" s="1"/>
  <c r="H104" i="31" s="1"/>
  <c r="W208" i="38"/>
  <c r="X208" i="38" s="1"/>
  <c r="Y208" i="38" s="1"/>
  <c r="G285" i="38" s="1"/>
  <c r="Z208" i="38"/>
  <c r="W214" i="38"/>
  <c r="X214" i="38" s="1"/>
  <c r="Y214" i="38" s="1"/>
  <c r="G291" i="38" s="1"/>
  <c r="Z214" i="38"/>
  <c r="Z221" i="38"/>
  <c r="W221" i="38"/>
  <c r="X221" i="38" s="1"/>
  <c r="Y221" i="38" s="1"/>
  <c r="G298" i="38" s="1"/>
  <c r="Z210" i="38"/>
  <c r="W210" i="38"/>
  <c r="X210" i="38" s="1"/>
  <c r="Y210" i="38" s="1"/>
  <c r="G287" i="38" s="1"/>
  <c r="W218" i="38"/>
  <c r="X218" i="38" s="1"/>
  <c r="Y218" i="38" s="1"/>
  <c r="G295" i="38" s="1"/>
  <c r="Z218" i="38"/>
  <c r="Z211" i="38"/>
  <c r="W211" i="38"/>
  <c r="X211" i="38" s="1"/>
  <c r="Y211" i="38" s="1"/>
  <c r="G288" i="38" s="1"/>
  <c r="Z216" i="38"/>
  <c r="W216" i="38"/>
  <c r="X216" i="38" s="1"/>
  <c r="Y216" i="38" s="1"/>
  <c r="G293" i="38" s="1"/>
  <c r="E329" i="38"/>
  <c r="C388" i="38"/>
  <c r="H103" i="31" s="1"/>
  <c r="W212" i="38"/>
  <c r="X212" i="38" s="1"/>
  <c r="Y212" i="38" s="1"/>
  <c r="G289" i="38" s="1"/>
  <c r="Z212" i="38"/>
  <c r="Z226" i="38"/>
  <c r="W226" i="38"/>
  <c r="X226" i="38" s="1"/>
  <c r="Y226" i="38" s="1"/>
  <c r="G303" i="38" s="1"/>
  <c r="Z209" i="38"/>
  <c r="W209" i="38"/>
  <c r="X209" i="38" s="1"/>
  <c r="Y209" i="38" s="1"/>
  <c r="G286" i="38" s="1"/>
  <c r="Z217" i="38"/>
  <c r="W217" i="38"/>
  <c r="X217" i="38" s="1"/>
  <c r="Y217" i="38" s="1"/>
  <c r="G294" i="38" s="1"/>
  <c r="W225" i="38"/>
  <c r="X225" i="38" s="1"/>
  <c r="Y225" i="38" s="1"/>
  <c r="G302" i="38" s="1"/>
  <c r="Z225" i="38"/>
  <c r="W227" i="38"/>
  <c r="X227" i="38" s="1"/>
  <c r="Y227" i="38" s="1"/>
  <c r="G304" i="38" s="1"/>
  <c r="Z227" i="38"/>
  <c r="W215" i="38"/>
  <c r="X215" i="38" s="1"/>
  <c r="Y215" i="38" s="1"/>
  <c r="G292" i="38" s="1"/>
  <c r="Z215" i="38"/>
  <c r="W223" i="38"/>
  <c r="X223" i="38" s="1"/>
  <c r="Y223" i="38" s="1"/>
  <c r="G300" i="38" s="1"/>
  <c r="Z223" i="38"/>
  <c r="W220" i="38"/>
  <c r="X220" i="38" s="1"/>
  <c r="Y220" i="38" s="1"/>
  <c r="G297" i="38" s="1"/>
  <c r="Z220" i="38"/>
  <c r="C330" i="38"/>
  <c r="C332" i="38" s="1"/>
  <c r="B389" i="38"/>
  <c r="G104" i="31" s="1"/>
  <c r="Z222" i="38"/>
  <c r="W222" i="38"/>
  <c r="X222" i="38" s="1"/>
  <c r="Y222" i="38" s="1"/>
  <c r="G299" i="38" s="1"/>
  <c r="W219" i="38"/>
  <c r="X219" i="38" s="1"/>
  <c r="Y219" i="38" s="1"/>
  <c r="G296" i="38" s="1"/>
  <c r="Z219" i="38"/>
  <c r="Z224" i="38"/>
  <c r="W224" i="38"/>
  <c r="X224" i="38" s="1"/>
  <c r="Y224" i="38" s="1"/>
  <c r="G301" i="38" s="1"/>
  <c r="Z213" i="38"/>
  <c r="W213" i="38"/>
  <c r="X213" i="38" s="1"/>
  <c r="Y213" i="38" s="1"/>
  <c r="G290" i="38" s="1"/>
  <c r="C4" i="31"/>
  <c r="G296" i="12"/>
  <c r="C358" i="12" s="1"/>
  <c r="G298" i="12"/>
  <c r="C360" i="12" s="1"/>
  <c r="G288" i="12"/>
  <c r="C350" i="12" s="1"/>
  <c r="G302" i="12"/>
  <c r="C364" i="12" s="1"/>
  <c r="G291" i="12"/>
  <c r="C353" i="12" s="1"/>
  <c r="G300" i="12"/>
  <c r="C362" i="12" s="1"/>
  <c r="E330" i="38" l="1"/>
  <c r="E332" i="38" s="1"/>
  <c r="C362" i="38"/>
  <c r="I300" i="38"/>
  <c r="O300" i="38"/>
  <c r="C356" i="38"/>
  <c r="I294" i="38"/>
  <c r="O294" i="38"/>
  <c r="C349" i="38"/>
  <c r="I287" i="38"/>
  <c r="O287" i="38"/>
  <c r="C355" i="38"/>
  <c r="I293" i="38"/>
  <c r="O293" i="38"/>
  <c r="O298" i="38"/>
  <c r="I298" i="38"/>
  <c r="C360" i="38"/>
  <c r="C361" i="38"/>
  <c r="O299" i="38"/>
  <c r="I299" i="38"/>
  <c r="O290" i="38"/>
  <c r="C352" i="38"/>
  <c r="I290" i="38"/>
  <c r="O292" i="38"/>
  <c r="C354" i="38"/>
  <c r="I292" i="38"/>
  <c r="C365" i="38"/>
  <c r="I303" i="38"/>
  <c r="O303" i="38"/>
  <c r="C350" i="38"/>
  <c r="O288" i="38"/>
  <c r="I288" i="38"/>
  <c r="O291" i="38"/>
  <c r="C353" i="38"/>
  <c r="I291" i="38"/>
  <c r="C348" i="38"/>
  <c r="O286" i="38"/>
  <c r="I286" i="38"/>
  <c r="O301" i="38"/>
  <c r="I301" i="38"/>
  <c r="C363" i="38"/>
  <c r="O304" i="38"/>
  <c r="C366" i="38"/>
  <c r="I304" i="38"/>
  <c r="I296" i="38"/>
  <c r="C358" i="38"/>
  <c r="O296" i="38"/>
  <c r="O297" i="38"/>
  <c r="C359" i="38"/>
  <c r="I297" i="38"/>
  <c r="O302" i="38"/>
  <c r="C364" i="38"/>
  <c r="I302" i="38"/>
  <c r="I289" i="38"/>
  <c r="O289" i="38"/>
  <c r="C351" i="38"/>
  <c r="C357" i="38"/>
  <c r="O295" i="38"/>
  <c r="I295" i="38"/>
  <c r="C347" i="38"/>
  <c r="I285" i="38"/>
  <c r="O285" i="38"/>
  <c r="C21" i="31"/>
  <c r="C9" i="31"/>
  <c r="C23" i="31"/>
  <c r="C7" i="31"/>
  <c r="C12" i="31"/>
  <c r="C14" i="31"/>
  <c r="C6" i="31"/>
  <c r="C17" i="31"/>
  <c r="C19" i="31"/>
  <c r="C15" i="31"/>
  <c r="C10" i="31"/>
  <c r="C13" i="31"/>
  <c r="C5" i="31"/>
  <c r="C95" i="31" l="1"/>
  <c r="D357" i="38"/>
  <c r="D95" i="31" s="1"/>
  <c r="C101" i="31"/>
  <c r="D363" i="38"/>
  <c r="D101" i="31" s="1"/>
  <c r="C92" i="31"/>
  <c r="D354" i="38"/>
  <c r="D92" i="31" s="1"/>
  <c r="D360" i="38"/>
  <c r="D98" i="31" s="1"/>
  <c r="C98" i="31"/>
  <c r="D349" i="38"/>
  <c r="D87" i="31" s="1"/>
  <c r="C87" i="31"/>
  <c r="C97" i="31"/>
  <c r="D359" i="38"/>
  <c r="D97" i="31" s="1"/>
  <c r="D376" i="38"/>
  <c r="I91" i="31" s="1"/>
  <c r="D317" i="38"/>
  <c r="F317" i="38" s="1"/>
  <c r="D315" i="38"/>
  <c r="F315" i="38" s="1"/>
  <c r="D374" i="38"/>
  <c r="I89" i="31" s="1"/>
  <c r="D314" i="38"/>
  <c r="F314" i="38" s="1"/>
  <c r="D373" i="38"/>
  <c r="I88" i="31" s="1"/>
  <c r="D383" i="38"/>
  <c r="I98" i="31" s="1"/>
  <c r="D324" i="38"/>
  <c r="F324" i="38" s="1"/>
  <c r="D379" i="38"/>
  <c r="I94" i="31" s="1"/>
  <c r="D320" i="38"/>
  <c r="F320" i="38" s="1"/>
  <c r="C89" i="31"/>
  <c r="D351" i="38"/>
  <c r="D89" i="31" s="1"/>
  <c r="D327" i="38"/>
  <c r="F327" i="38" s="1"/>
  <c r="D386" i="38"/>
  <c r="I101" i="31" s="1"/>
  <c r="D370" i="38"/>
  <c r="I85" i="31" s="1"/>
  <c r="D311" i="38"/>
  <c r="C96" i="31"/>
  <c r="D358" i="38"/>
  <c r="D96" i="31" s="1"/>
  <c r="C88" i="31"/>
  <c r="D350" i="38"/>
  <c r="D88" i="31" s="1"/>
  <c r="D352" i="38"/>
  <c r="D90" i="31" s="1"/>
  <c r="C90" i="31"/>
  <c r="D319" i="38"/>
  <c r="F319" i="38" s="1"/>
  <c r="D378" i="38"/>
  <c r="I93" i="31" s="1"/>
  <c r="D382" i="38"/>
  <c r="I97" i="31" s="1"/>
  <c r="D323" i="38"/>
  <c r="F323" i="38" s="1"/>
  <c r="D318" i="38"/>
  <c r="F318" i="38" s="1"/>
  <c r="D377" i="38"/>
  <c r="I92" i="31" s="1"/>
  <c r="D312" i="38"/>
  <c r="F312" i="38" s="1"/>
  <c r="D371" i="38"/>
  <c r="I86" i="31" s="1"/>
  <c r="D329" i="38"/>
  <c r="F329" i="38" s="1"/>
  <c r="D388" i="38"/>
  <c r="I103" i="31" s="1"/>
  <c r="D375" i="38"/>
  <c r="I90" i="31" s="1"/>
  <c r="D316" i="38"/>
  <c r="F316" i="38" s="1"/>
  <c r="D356" i="38"/>
  <c r="D94" i="31" s="1"/>
  <c r="C94" i="31"/>
  <c r="D381" i="38"/>
  <c r="I96" i="31" s="1"/>
  <c r="D322" i="38"/>
  <c r="F322" i="38" s="1"/>
  <c r="C85" i="31"/>
  <c r="D347" i="38"/>
  <c r="D85" i="31" s="1"/>
  <c r="C102" i="31"/>
  <c r="D364" i="38"/>
  <c r="D102" i="31" s="1"/>
  <c r="D348" i="38"/>
  <c r="D86" i="31" s="1"/>
  <c r="C86" i="31"/>
  <c r="C93" i="31"/>
  <c r="D355" i="38"/>
  <c r="D93" i="31" s="1"/>
  <c r="D385" i="38"/>
  <c r="I100" i="31" s="1"/>
  <c r="D326" i="38"/>
  <c r="F326" i="38" s="1"/>
  <c r="D328" i="38"/>
  <c r="F328" i="38" s="1"/>
  <c r="D387" i="38"/>
  <c r="I102" i="31" s="1"/>
  <c r="C104" i="31"/>
  <c r="D366" i="38"/>
  <c r="D104" i="31" s="1"/>
  <c r="N84" i="31" s="1"/>
  <c r="C103" i="31"/>
  <c r="D365" i="38"/>
  <c r="D103" i="31" s="1"/>
  <c r="D325" i="38"/>
  <c r="F325" i="38" s="1"/>
  <c r="D384" i="38"/>
  <c r="I99" i="31" s="1"/>
  <c r="D380" i="38"/>
  <c r="I95" i="31" s="1"/>
  <c r="D321" i="38"/>
  <c r="F321" i="38" s="1"/>
  <c r="D389" i="38"/>
  <c r="I104" i="31" s="1"/>
  <c r="D330" i="38"/>
  <c r="F330" i="38" s="1"/>
  <c r="C91" i="31"/>
  <c r="D353" i="38"/>
  <c r="D91" i="31" s="1"/>
  <c r="D361" i="38"/>
  <c r="D99" i="31" s="1"/>
  <c r="C99" i="31"/>
  <c r="D313" i="38"/>
  <c r="F313" i="38" s="1"/>
  <c r="D372" i="38"/>
  <c r="I87" i="31" s="1"/>
  <c r="D362" i="38"/>
  <c r="D100" i="31" s="1"/>
  <c r="C100" i="31"/>
  <c r="C18" i="31"/>
  <c r="C22" i="31"/>
  <c r="C16" i="31"/>
  <c r="C20" i="31"/>
  <c r="C11" i="31"/>
  <c r="C8" i="31"/>
  <c r="K89" i="31" l="1"/>
  <c r="M89" i="31"/>
  <c r="T89" i="31"/>
  <c r="W89" i="31" s="1"/>
  <c r="T86" i="31"/>
  <c r="W86" i="31" s="1"/>
  <c r="T88" i="31"/>
  <c r="W88" i="31" s="1"/>
  <c r="T87" i="31"/>
  <c r="W87" i="31" s="1"/>
  <c r="D332" i="38"/>
  <c r="D38" i="20" s="1"/>
  <c r="F311" i="38"/>
  <c r="F332" i="38" s="1"/>
  <c r="L40" i="4"/>
  <c r="M41" i="4" s="1"/>
  <c r="J16" i="4"/>
  <c r="M16" i="4" s="1"/>
  <c r="L16" i="4"/>
  <c r="L27" i="4"/>
  <c r="M28" i="4" s="1"/>
  <c r="L38" i="4"/>
  <c r="M39" i="4" s="1"/>
  <c r="L35" i="4"/>
  <c r="M36" i="4" s="1"/>
  <c r="L24" i="4"/>
  <c r="M25" i="4" s="1"/>
  <c r="L29" i="4"/>
  <c r="M30" i="4" s="1"/>
  <c r="L32" i="4"/>
  <c r="M33" i="4" s="1"/>
  <c r="M32" i="4"/>
  <c r="L25" i="4"/>
  <c r="M26" i="4" s="1"/>
  <c r="L39" i="4"/>
  <c r="M40" i="4" s="1"/>
  <c r="L36" i="4"/>
  <c r="M37" i="4" s="1"/>
  <c r="L41" i="4"/>
  <c r="M42" i="4" s="1"/>
  <c r="L34" i="4"/>
  <c r="M35" i="4" s="1"/>
  <c r="M23" i="4"/>
  <c r="L23" i="4"/>
  <c r="M24" i="4" s="1"/>
  <c r="L28" i="4"/>
  <c r="M29" i="4" s="1"/>
  <c r="L26" i="4"/>
  <c r="M27" i="4" s="1"/>
  <c r="L37" i="4"/>
  <c r="M38" i="4" s="1"/>
  <c r="L30" i="4"/>
  <c r="M31" i="4" s="1"/>
  <c r="L33" i="4"/>
  <c r="M34" i="4" s="1"/>
  <c r="X87" i="31" l="1"/>
  <c r="X86" i="31"/>
  <c r="W93" i="31"/>
  <c r="X88" i="31"/>
  <c r="W95" i="31"/>
  <c r="X89" i="31"/>
  <c r="W96" i="31"/>
  <c r="T94" i="31"/>
  <c r="X94" i="31" s="1"/>
  <c r="T93" i="31"/>
  <c r="T95" i="31"/>
  <c r="X95" i="31" s="1"/>
  <c r="T96" i="31"/>
  <c r="X96" i="31" s="1"/>
  <c r="Z88" i="31"/>
  <c r="Y88" i="31"/>
  <c r="Y89" i="31"/>
  <c r="Z89" i="31"/>
  <c r="Y87" i="31"/>
  <c r="Z87" i="31"/>
  <c r="O90" i="31"/>
  <c r="P90" i="31" s="1"/>
  <c r="O91" i="31"/>
  <c r="P91" i="31" s="1"/>
  <c r="O89" i="31"/>
  <c r="P89" i="31" s="1"/>
  <c r="O92" i="31"/>
  <c r="P92" i="31" s="1"/>
  <c r="U88" i="31"/>
  <c r="V88" i="31" s="1"/>
  <c r="Z86" i="31"/>
  <c r="Y86" i="31"/>
  <c r="U86" i="31"/>
  <c r="V86" i="31" s="1"/>
  <c r="U87" i="31"/>
  <c r="V87" i="31" s="1"/>
  <c r="U89" i="31"/>
  <c r="V89" i="31" s="1"/>
  <c r="J17" i="4"/>
  <c r="J18" i="4" s="1"/>
  <c r="J19" i="4" s="1"/>
  <c r="J20" i="4" s="1"/>
  <c r="J21" i="4" s="1"/>
  <c r="L17" i="4"/>
  <c r="M18" i="4" s="1"/>
  <c r="L21" i="4"/>
  <c r="M22" i="4" s="1"/>
  <c r="F70" i="4"/>
  <c r="G71" i="4" s="1"/>
  <c r="F67" i="4"/>
  <c r="G68" i="4" s="1"/>
  <c r="G67" i="4"/>
  <c r="G62" i="4"/>
  <c r="F68" i="4"/>
  <c r="G69" i="4"/>
  <c r="F69" i="4"/>
  <c r="G70" i="4" s="1"/>
  <c r="X93" i="31" l="1"/>
  <c r="L19" i="4"/>
  <c r="M20" i="4" s="1"/>
  <c r="Y94" i="31"/>
  <c r="Z94" i="31"/>
  <c r="V93" i="31"/>
  <c r="U95" i="31"/>
  <c r="Y95" i="31"/>
  <c r="V94" i="31"/>
  <c r="U94" i="31"/>
  <c r="Y93" i="31"/>
  <c r="Z95" i="31"/>
  <c r="V95" i="31"/>
  <c r="U96" i="31"/>
  <c r="Z96" i="31"/>
  <c r="V96" i="31"/>
  <c r="Z93" i="31"/>
  <c r="Y96" i="31"/>
  <c r="U93" i="31"/>
  <c r="W94" i="31"/>
  <c r="L20" i="4"/>
  <c r="M21" i="4" s="1"/>
  <c r="M17" i="4"/>
  <c r="L18" i="4"/>
  <c r="M19" i="4" s="1"/>
  <c r="F62" i="4"/>
  <c r="G63" i="4" l="1"/>
  <c r="F63" i="4"/>
  <c r="F64" i="4" l="1"/>
  <c r="G64" i="4"/>
  <c r="G65" i="4" l="1"/>
  <c r="F65" i="4"/>
  <c r="G66" i="4" s="1"/>
  <c r="J705" i="4"/>
  <c r="L705" i="4" s="1"/>
  <c r="J706" i="4" s="1"/>
  <c r="M706" i="4" s="1"/>
  <c r="L706" i="4" l="1"/>
  <c r="J707" i="4" s="1"/>
  <c r="L707" i="4" l="1"/>
  <c r="J708" i="4" s="1"/>
  <c r="M707" i="4"/>
  <c r="L708" i="4" l="1"/>
  <c r="J709" i="4" s="1"/>
  <c r="M708" i="4"/>
  <c r="M709" i="4" l="1"/>
  <c r="L709" i="4"/>
  <c r="J710" i="4" s="1"/>
  <c r="M710" i="4" l="1"/>
  <c r="L710" i="4"/>
  <c r="J711" i="4" s="1"/>
  <c r="M711" i="4" l="1"/>
  <c r="L711" i="4"/>
  <c r="J712" i="4" s="1"/>
  <c r="L712" i="4" l="1"/>
  <c r="J713" i="4" s="1"/>
  <c r="M712" i="4"/>
  <c r="L713" i="4" l="1"/>
  <c r="J714" i="4" s="1"/>
  <c r="M713" i="4"/>
  <c r="M714" i="4" l="1"/>
  <c r="L714" i="4"/>
  <c r="J715" i="4" s="1"/>
  <c r="L715" i="4" l="1"/>
  <c r="J716" i="4" s="1"/>
  <c r="M715" i="4"/>
  <c r="M716" i="4" l="1"/>
  <c r="L716" i="4"/>
  <c r="J717" i="4" s="1"/>
  <c r="L717" i="4" l="1"/>
  <c r="J718" i="4" s="1"/>
  <c r="M717" i="4"/>
  <c r="M718" i="4" l="1"/>
  <c r="L718" i="4"/>
  <c r="J719" i="4" s="1"/>
  <c r="L719" i="4" l="1"/>
  <c r="J720" i="4" s="1"/>
  <c r="M719" i="4"/>
  <c r="M720" i="4" l="1"/>
  <c r="L720" i="4"/>
  <c r="J721" i="4" s="1"/>
  <c r="M721" i="4" l="1"/>
  <c r="L721" i="4"/>
  <c r="J722" i="4" s="1"/>
  <c r="M722" i="4" l="1"/>
  <c r="L722" i="4"/>
  <c r="J723" i="4" s="1"/>
  <c r="L723" i="4" l="1"/>
  <c r="J724" i="4" s="1"/>
  <c r="M723" i="4"/>
  <c r="M724" i="4" l="1"/>
  <c r="L724" i="4"/>
  <c r="J725" i="4" s="1"/>
  <c r="L725" i="4" l="1"/>
  <c r="J726" i="4" s="1"/>
  <c r="M725" i="4"/>
  <c r="M726" i="4" l="1"/>
  <c r="L726" i="4"/>
  <c r="J727" i="4" s="1"/>
  <c r="M727" i="4" l="1"/>
  <c r="L727" i="4"/>
  <c r="J728" i="4" s="1"/>
  <c r="M728" i="4" l="1"/>
  <c r="L728" i="4"/>
  <c r="J729" i="4" s="1"/>
  <c r="M729" i="4" l="1"/>
  <c r="L729" i="4"/>
  <c r="J730" i="4" s="1"/>
  <c r="M730" i="4" l="1"/>
  <c r="L730" i="4"/>
  <c r="J731" i="4" s="1"/>
  <c r="L731" i="4" l="1"/>
  <c r="J732" i="4" s="1"/>
  <c r="M731" i="4"/>
  <c r="L732" i="4" l="1"/>
  <c r="J733" i="4" s="1"/>
  <c r="M732" i="4"/>
  <c r="L733" i="4" l="1"/>
  <c r="J734" i="4" s="1"/>
  <c r="M733" i="4"/>
  <c r="M734" i="4" l="1"/>
  <c r="L734" i="4"/>
  <c r="J735" i="4" s="1"/>
  <c r="L735" i="4" l="1"/>
  <c r="J736" i="4" s="1"/>
  <c r="M735" i="4"/>
  <c r="M736" i="4" l="1"/>
  <c r="L736" i="4"/>
  <c r="J737" i="4" s="1"/>
  <c r="M737" i="4" l="1"/>
  <c r="L737" i="4"/>
  <c r="J738" i="4" s="1"/>
  <c r="M738" i="4" l="1"/>
  <c r="L738" i="4"/>
  <c r="J739" i="4" s="1"/>
  <c r="M739" i="4" l="1"/>
  <c r="L739" i="4"/>
  <c r="J740" i="4" s="1"/>
  <c r="M740" i="4" l="1"/>
  <c r="L740" i="4"/>
  <c r="M741" i="4" s="1"/>
  <c r="J20" i="12" l="1" a="1"/>
  <c r="J20" i="12" s="1"/>
  <c r="N20" i="12" s="1"/>
  <c r="J21" i="12" a="1"/>
  <c r="J21" i="12" s="1"/>
  <c r="N21" i="12" s="1"/>
  <c r="J23" i="12" a="1"/>
  <c r="J23" i="12" s="1"/>
  <c r="N23" i="12" s="1"/>
  <c r="J24" i="12" l="1" a="1"/>
  <c r="J24" i="12" s="1"/>
  <c r="N24" i="12" s="1"/>
  <c r="J25" i="12" a="1"/>
  <c r="J25" i="12" s="1"/>
  <c r="N25" i="12" s="1"/>
  <c r="J26" i="12" a="1"/>
  <c r="J26" i="12" s="1"/>
  <c r="N26" i="12" s="1"/>
  <c r="J22" i="12" l="1" a="1"/>
  <c r="J22" i="12" s="1"/>
  <c r="N22" i="12" s="1"/>
  <c r="J27" i="12" a="1"/>
  <c r="J27" i="12" s="1"/>
  <c r="N27" i="12" s="1"/>
  <c r="J28" i="12" l="1" a="1"/>
  <c r="J28" i="12" s="1"/>
  <c r="N28" i="12" s="1"/>
  <c r="J29" i="12" a="1"/>
  <c r="J29" i="12" s="1"/>
  <c r="N29" i="12" s="1"/>
  <c r="J30" i="12" l="1" a="1"/>
  <c r="J30" i="12" s="1"/>
  <c r="N30" i="12" s="1"/>
  <c r="J31" i="12" a="1"/>
  <c r="J31" i="12" s="1"/>
  <c r="N31" i="12" s="1"/>
  <c r="J32" i="12" l="1" a="1"/>
  <c r="J32" i="12" s="1"/>
  <c r="N32" i="12" s="1"/>
  <c r="J33" i="12" l="1" a="1"/>
  <c r="J33" i="12" s="1"/>
  <c r="N33" i="12" s="1"/>
  <c r="J34" i="12" l="1" a="1"/>
  <c r="J34" i="12" s="1"/>
  <c r="N34" i="12" s="1"/>
  <c r="J35" i="12" l="1" a="1"/>
  <c r="J35" i="12" s="1"/>
  <c r="N35" i="12" s="1"/>
  <c r="J36" i="12" l="1" a="1"/>
  <c r="J36" i="12" s="1"/>
  <c r="N36" i="12" s="1"/>
  <c r="J37" i="12" l="1" a="1"/>
  <c r="J37" i="12" s="1"/>
  <c r="N37" i="12" s="1"/>
  <c r="J38" i="12" l="1" a="1"/>
  <c r="J38" i="12" s="1"/>
  <c r="N38" i="12" s="1"/>
  <c r="D16" i="12"/>
  <c r="E61" i="12"/>
  <c r="AM61" i="12"/>
  <c r="AN61" i="12" l="1"/>
  <c r="F61" i="12"/>
  <c r="G61" i="12" s="1"/>
  <c r="H61" i="12" s="1"/>
  <c r="C62" i="12"/>
  <c r="D62" i="12" s="1"/>
  <c r="B9" i="40" s="1"/>
  <c r="C9" i="40" s="1"/>
  <c r="D9" i="40" s="1"/>
  <c r="AJ6" i="40" s="1"/>
  <c r="C424" i="12"/>
  <c r="C432" i="12"/>
  <c r="C417" i="12"/>
  <c r="C433" i="12"/>
  <c r="C419" i="12"/>
  <c r="C436" i="12"/>
  <c r="C418" i="12"/>
  <c r="C426" i="12"/>
  <c r="C434" i="12"/>
  <c r="C428" i="12"/>
  <c r="C429" i="12"/>
  <c r="C435" i="12"/>
  <c r="C423" i="12"/>
  <c r="C431" i="12"/>
  <c r="C425" i="12"/>
  <c r="C427" i="12"/>
  <c r="C420" i="12"/>
  <c r="C421" i="12"/>
  <c r="C430" i="12"/>
  <c r="C422" i="12"/>
  <c r="C401" i="12"/>
  <c r="C404" i="12"/>
  <c r="C397" i="12"/>
  <c r="C408" i="12"/>
  <c r="C396" i="12"/>
  <c r="C399" i="12"/>
  <c r="C410" i="12"/>
  <c r="C409" i="12"/>
  <c r="C405" i="12"/>
  <c r="C407" i="12"/>
  <c r="C398" i="12"/>
  <c r="C395" i="12"/>
  <c r="C412" i="12"/>
  <c r="C403" i="12"/>
  <c r="C400" i="12"/>
  <c r="C394" i="12"/>
  <c r="C406" i="12"/>
  <c r="C411" i="12"/>
  <c r="C413" i="12"/>
  <c r="C402" i="12"/>
  <c r="AO61" i="12"/>
  <c r="E118" i="12"/>
  <c r="F118" i="12" s="1"/>
  <c r="G118" i="12" s="1"/>
  <c r="C86" i="12" l="1"/>
  <c r="C285" i="12"/>
  <c r="H118" i="12"/>
  <c r="AR118" i="12" s="1"/>
  <c r="AQ118" i="12"/>
  <c r="I118" i="12"/>
  <c r="AS118" i="12" s="1"/>
  <c r="C119" i="12"/>
  <c r="D119" i="12" s="1"/>
  <c r="AM62" i="12"/>
  <c r="E62" i="12"/>
  <c r="C63" i="12" s="1"/>
  <c r="C111" i="12" l="1"/>
  <c r="C88" i="12"/>
  <c r="D85" i="12" s="1"/>
  <c r="C92" i="12"/>
  <c r="C94" i="12"/>
  <c r="C99" i="12"/>
  <c r="C103" i="12"/>
  <c r="C87" i="12"/>
  <c r="C95" i="12"/>
  <c r="C104" i="12"/>
  <c r="C98" i="12"/>
  <c r="AN62" i="12"/>
  <c r="AO62" i="12" s="1"/>
  <c r="C110" i="12"/>
  <c r="C106" i="12"/>
  <c r="C108" i="12"/>
  <c r="C96" i="12"/>
  <c r="C93" i="12"/>
  <c r="C107" i="12"/>
  <c r="C105" i="12"/>
  <c r="C102" i="12"/>
  <c r="C97" i="12"/>
  <c r="C109" i="12"/>
  <c r="C101" i="12"/>
  <c r="C100" i="12"/>
  <c r="M285" i="12"/>
  <c r="B370" i="12" s="1"/>
  <c r="G4" i="31" s="1"/>
  <c r="AT118" i="12"/>
  <c r="C145" i="12" s="1"/>
  <c r="AS62" i="12"/>
  <c r="D63" i="12"/>
  <c r="B10" i="40" s="1"/>
  <c r="C10" i="40" s="1"/>
  <c r="D10" i="40" s="1"/>
  <c r="AJ7" i="40" s="1"/>
  <c r="F62" i="12"/>
  <c r="G62" i="12" s="1"/>
  <c r="H62" i="12" s="1"/>
  <c r="C286" i="12" s="1"/>
  <c r="M286" i="12" s="1"/>
  <c r="E119" i="12"/>
  <c r="F119" i="12" s="1"/>
  <c r="AU118" i="12"/>
  <c r="C142" i="12" s="1"/>
  <c r="C89" i="12" l="1"/>
  <c r="D86" i="12"/>
  <c r="C311" i="12"/>
  <c r="B371" i="12"/>
  <c r="G5" i="31" s="1"/>
  <c r="C312" i="12"/>
  <c r="D395" i="12"/>
  <c r="F395" i="12" s="1"/>
  <c r="D418" i="12"/>
  <c r="F418" i="12" s="1"/>
  <c r="I119" i="12"/>
  <c r="AS119" i="12" s="1"/>
  <c r="G119" i="12"/>
  <c r="AQ119" i="12" s="1"/>
  <c r="H119" i="12"/>
  <c r="AR119" i="12" s="1"/>
  <c r="D163" i="12"/>
  <c r="D149" i="12"/>
  <c r="D147" i="12"/>
  <c r="D164" i="12"/>
  <c r="D145" i="12"/>
  <c r="X145" i="12" s="1"/>
  <c r="E285" i="12" s="1"/>
  <c r="N285" i="12" s="1"/>
  <c r="D156" i="12"/>
  <c r="D146" i="12"/>
  <c r="D155" i="12"/>
  <c r="D151" i="12"/>
  <c r="D152" i="12"/>
  <c r="D157" i="12"/>
  <c r="D150" i="12"/>
  <c r="D159" i="12"/>
  <c r="D154" i="12"/>
  <c r="D153" i="12"/>
  <c r="D148" i="12"/>
  <c r="D161" i="12"/>
  <c r="D160" i="12"/>
  <c r="D158" i="12"/>
  <c r="D162" i="12"/>
  <c r="AM63" i="12"/>
  <c r="C120" i="12"/>
  <c r="D120" i="12" s="1"/>
  <c r="E120" i="12" s="1"/>
  <c r="E63" i="12"/>
  <c r="C64" i="12" s="1"/>
  <c r="D111" i="12" l="1"/>
  <c r="D105" i="12"/>
  <c r="D88" i="12"/>
  <c r="E85" i="12" s="1"/>
  <c r="D110" i="12"/>
  <c r="D96" i="12"/>
  <c r="D87" i="12"/>
  <c r="D99" i="12"/>
  <c r="D92" i="12"/>
  <c r="D101" i="12"/>
  <c r="D95" i="12"/>
  <c r="D106" i="12"/>
  <c r="D94" i="12"/>
  <c r="D103" i="12"/>
  <c r="D104" i="12"/>
  <c r="D108" i="12"/>
  <c r="D102" i="12"/>
  <c r="D98" i="12"/>
  <c r="D107" i="12"/>
  <c r="D100" i="12"/>
  <c r="D97" i="12"/>
  <c r="D109" i="12"/>
  <c r="D93" i="12"/>
  <c r="AN63" i="12"/>
  <c r="AO63" i="12" s="1"/>
  <c r="F120" i="12"/>
  <c r="H120" i="12" s="1"/>
  <c r="AR120" i="12" s="1"/>
  <c r="E311" i="12"/>
  <c r="C370" i="12"/>
  <c r="H4" i="31" s="1"/>
  <c r="D64" i="12"/>
  <c r="B11" i="40" s="1"/>
  <c r="C11" i="40" s="1"/>
  <c r="D11" i="40" s="1"/>
  <c r="AJ8" i="40" s="1"/>
  <c r="F63" i="12"/>
  <c r="G63" i="12" s="1"/>
  <c r="H63" i="12" s="1"/>
  <c r="C287" i="12" s="1"/>
  <c r="M287" i="12" s="1"/>
  <c r="B372" i="12" s="1"/>
  <c r="AS63" i="12"/>
  <c r="AU119" i="12"/>
  <c r="D142" i="12" s="1"/>
  <c r="AT119" i="12"/>
  <c r="C146" i="12" s="1"/>
  <c r="D89" i="12" l="1"/>
  <c r="E86" i="12"/>
  <c r="I120" i="12"/>
  <c r="AS120" i="12" s="1"/>
  <c r="D396" i="12"/>
  <c r="F396" i="12" s="1"/>
  <c r="D419" i="12"/>
  <c r="F419" i="12" s="1"/>
  <c r="E64" i="12"/>
  <c r="C65" i="12" s="1"/>
  <c r="G120" i="12"/>
  <c r="AQ120" i="12" s="1"/>
  <c r="E162" i="12"/>
  <c r="E159" i="12"/>
  <c r="E158" i="12"/>
  <c r="E161" i="12"/>
  <c r="E151" i="12"/>
  <c r="E146" i="12"/>
  <c r="X146" i="12" s="1"/>
  <c r="E286" i="12" s="1"/>
  <c r="N286" i="12" s="1"/>
  <c r="C371" i="12" s="1"/>
  <c r="E160" i="12"/>
  <c r="E155" i="12"/>
  <c r="E163" i="12"/>
  <c r="E148" i="12"/>
  <c r="E147" i="12"/>
  <c r="E154" i="12"/>
  <c r="E149" i="12"/>
  <c r="E150" i="12"/>
  <c r="E156" i="12"/>
  <c r="E152" i="12"/>
  <c r="E164" i="12"/>
  <c r="E153" i="12"/>
  <c r="E157" i="12"/>
  <c r="C313" i="12"/>
  <c r="G6" i="31"/>
  <c r="E96" i="12" l="1"/>
  <c r="AU120" i="12"/>
  <c r="E142" i="12" s="1"/>
  <c r="F162" i="12" s="1"/>
  <c r="F64" i="12"/>
  <c r="G64" i="12" s="1"/>
  <c r="H64" i="12" s="1"/>
  <c r="C288" i="12" s="1"/>
  <c r="M288" i="12" s="1"/>
  <c r="B373" i="12" s="1"/>
  <c r="AS64" i="12"/>
  <c r="D65" i="12"/>
  <c r="B12" i="40" s="1"/>
  <c r="C12" i="40" s="1"/>
  <c r="D12" i="40" s="1"/>
  <c r="AJ9" i="40" s="1"/>
  <c r="C121" i="12"/>
  <c r="D121" i="12" s="1"/>
  <c r="E121" i="12" s="1"/>
  <c r="AM64" i="12"/>
  <c r="E105" i="12"/>
  <c r="E109" i="12"/>
  <c r="E104" i="12"/>
  <c r="E98" i="12"/>
  <c r="E97" i="12"/>
  <c r="E92" i="12"/>
  <c r="E102" i="12"/>
  <c r="E93" i="12"/>
  <c r="E94" i="12"/>
  <c r="E111" i="12"/>
  <c r="E101" i="12"/>
  <c r="E110" i="12"/>
  <c r="E108" i="12"/>
  <c r="E106" i="12"/>
  <c r="E103" i="12"/>
  <c r="E95" i="12"/>
  <c r="E100" i="12"/>
  <c r="E107" i="12"/>
  <c r="E99" i="12"/>
  <c r="E87" i="12"/>
  <c r="E88" i="12"/>
  <c r="F85" i="12" s="1"/>
  <c r="AT120" i="12"/>
  <c r="C147" i="12" s="1"/>
  <c r="E312" i="12"/>
  <c r="AN64" i="12" l="1"/>
  <c r="AO64" i="12" s="1"/>
  <c r="F86" i="12" s="1"/>
  <c r="F159" i="12"/>
  <c r="F148" i="12"/>
  <c r="F161" i="12"/>
  <c r="F158" i="12"/>
  <c r="F151" i="12"/>
  <c r="F154" i="12"/>
  <c r="F160" i="12"/>
  <c r="F150" i="12"/>
  <c r="F156" i="12"/>
  <c r="F152" i="12"/>
  <c r="F153" i="12"/>
  <c r="F149" i="12"/>
  <c r="F164" i="12"/>
  <c r="F163" i="12"/>
  <c r="F155" i="12"/>
  <c r="F147" i="12"/>
  <c r="X147" i="12" s="1"/>
  <c r="E287" i="12" s="1"/>
  <c r="N287" i="12" s="1"/>
  <c r="C372" i="12" s="1"/>
  <c r="F157" i="12"/>
  <c r="D397" i="12"/>
  <c r="F397" i="12" s="1"/>
  <c r="D420" i="12"/>
  <c r="F420" i="12" s="1"/>
  <c r="F121" i="12"/>
  <c r="H121" i="12" s="1"/>
  <c r="AR121" i="12" s="1"/>
  <c r="E89" i="12"/>
  <c r="C314" i="12"/>
  <c r="G7" i="31"/>
  <c r="F103" i="12" l="1"/>
  <c r="G121" i="12"/>
  <c r="AQ121" i="12" s="1"/>
  <c r="I121" i="12"/>
  <c r="AS121" i="12" s="1"/>
  <c r="F100" i="12"/>
  <c r="F99" i="12"/>
  <c r="F110" i="12"/>
  <c r="F97" i="12"/>
  <c r="F98" i="12"/>
  <c r="F108" i="12"/>
  <c r="F102" i="12"/>
  <c r="F109" i="12"/>
  <c r="F111" i="12"/>
  <c r="F88" i="12"/>
  <c r="G85" i="12" s="1"/>
  <c r="E65" i="12"/>
  <c r="C66" i="12" s="1"/>
  <c r="C122" i="12"/>
  <c r="D122" i="12" s="1"/>
  <c r="E122" i="12" s="1"/>
  <c r="F122" i="12" s="1"/>
  <c r="F94" i="12"/>
  <c r="F101" i="12"/>
  <c r="F95" i="12"/>
  <c r="F87" i="12"/>
  <c r="F92" i="12"/>
  <c r="F106" i="12"/>
  <c r="F96" i="12"/>
  <c r="F105" i="12"/>
  <c r="F104" i="12"/>
  <c r="F93" i="12"/>
  <c r="F107" i="12"/>
  <c r="AM65" i="12"/>
  <c r="E313" i="12"/>
  <c r="AN65" i="12" l="1"/>
  <c r="AO65" i="12" s="1"/>
  <c r="G86" i="12" s="1"/>
  <c r="G98" i="12" s="1"/>
  <c r="AT121" i="12"/>
  <c r="C148" i="12" s="1"/>
  <c r="AU121" i="12"/>
  <c r="F142" i="12" s="1"/>
  <c r="G155" i="12" s="1"/>
  <c r="AS65" i="12"/>
  <c r="D66" i="12"/>
  <c r="B13" i="40" s="1"/>
  <c r="C13" i="40" s="1"/>
  <c r="D13" i="40" s="1"/>
  <c r="AJ10" i="40" s="1"/>
  <c r="F65" i="12"/>
  <c r="G65" i="12" s="1"/>
  <c r="H65" i="12" s="1"/>
  <c r="C289" i="12" s="1"/>
  <c r="M289" i="12" s="1"/>
  <c r="B374" i="12" s="1"/>
  <c r="G8" i="31" s="1"/>
  <c r="H122" i="12"/>
  <c r="AR122" i="12" s="1"/>
  <c r="I122" i="12"/>
  <c r="AS122" i="12" s="1"/>
  <c r="G122" i="12"/>
  <c r="AQ122" i="12" s="1"/>
  <c r="F89" i="12"/>
  <c r="G152" i="12" l="1"/>
  <c r="G160" i="12"/>
  <c r="G153" i="12"/>
  <c r="G159" i="12"/>
  <c r="G156" i="12"/>
  <c r="G161" i="12"/>
  <c r="G151" i="12"/>
  <c r="G150" i="12"/>
  <c r="G154" i="12"/>
  <c r="G164" i="12"/>
  <c r="G157" i="12"/>
  <c r="G163" i="12"/>
  <c r="G158" i="12"/>
  <c r="G148" i="12"/>
  <c r="X148" i="12" s="1"/>
  <c r="E288" i="12" s="1"/>
  <c r="N288" i="12" s="1"/>
  <c r="C373" i="12" s="1"/>
  <c r="G162" i="12"/>
  <c r="G149" i="12"/>
  <c r="D398" i="12"/>
  <c r="F398" i="12" s="1"/>
  <c r="D421" i="12"/>
  <c r="F421" i="12" s="1"/>
  <c r="G101" i="12"/>
  <c r="G111" i="12"/>
  <c r="G107" i="12"/>
  <c r="G102" i="12"/>
  <c r="G94" i="12"/>
  <c r="G96" i="12"/>
  <c r="G92" i="12"/>
  <c r="G109" i="12"/>
  <c r="C315" i="12"/>
  <c r="G104" i="12"/>
  <c r="G95" i="12"/>
  <c r="G97" i="12"/>
  <c r="G110" i="12"/>
  <c r="G93" i="12"/>
  <c r="G106" i="12"/>
  <c r="G88" i="12"/>
  <c r="G100" i="12"/>
  <c r="G105" i="12"/>
  <c r="G99" i="12"/>
  <c r="G108" i="12"/>
  <c r="G103" i="12"/>
  <c r="G87" i="12"/>
  <c r="AM66" i="12"/>
  <c r="AU122" i="12"/>
  <c r="G142" i="12" s="1"/>
  <c r="AT122" i="12"/>
  <c r="C149" i="12" s="1"/>
  <c r="AN66" i="12" l="1"/>
  <c r="AO66" i="12" s="1"/>
  <c r="H85" i="12"/>
  <c r="G89" i="12"/>
  <c r="E66" i="12"/>
  <c r="C67" i="12" s="1"/>
  <c r="C123" i="12"/>
  <c r="D123" i="12" s="1"/>
  <c r="E123" i="12" s="1"/>
  <c r="F123" i="12" s="1"/>
  <c r="H151" i="12"/>
  <c r="H156" i="12"/>
  <c r="H159" i="12"/>
  <c r="H162" i="12"/>
  <c r="H152" i="12"/>
  <c r="H150" i="12"/>
  <c r="H155" i="12"/>
  <c r="H163" i="12"/>
  <c r="H158" i="12"/>
  <c r="H164" i="12"/>
  <c r="H157" i="12"/>
  <c r="H160" i="12"/>
  <c r="H153" i="12"/>
  <c r="H161" i="12"/>
  <c r="H149" i="12"/>
  <c r="X149" i="12" s="1"/>
  <c r="E289" i="12" s="1"/>
  <c r="N289" i="12" s="1"/>
  <c r="H154" i="12"/>
  <c r="E314" i="12"/>
  <c r="H86" i="12" l="1"/>
  <c r="H93" i="12" s="1"/>
  <c r="F66" i="12"/>
  <c r="G66" i="12" s="1"/>
  <c r="H66" i="12" s="1"/>
  <c r="C290" i="12" s="1"/>
  <c r="M290" i="12" s="1"/>
  <c r="B375" i="12" s="1"/>
  <c r="G9" i="31" s="1"/>
  <c r="AS66" i="12"/>
  <c r="D67" i="12"/>
  <c r="I123" i="12"/>
  <c r="AS123" i="12" s="1"/>
  <c r="G123" i="12"/>
  <c r="AQ123" i="12" s="1"/>
  <c r="H123" i="12"/>
  <c r="AR123" i="12" s="1"/>
  <c r="C374" i="12"/>
  <c r="E315" i="12"/>
  <c r="E67" i="12" l="1"/>
  <c r="C68" i="12" s="1"/>
  <c r="B14" i="40"/>
  <c r="C14" i="40" s="1"/>
  <c r="D14" i="40" s="1"/>
  <c r="AJ11" i="40" s="1"/>
  <c r="H92" i="12"/>
  <c r="H104" i="12"/>
  <c r="H107" i="12"/>
  <c r="H106" i="12"/>
  <c r="H111" i="12"/>
  <c r="H103" i="12"/>
  <c r="H102" i="12"/>
  <c r="H108" i="12"/>
  <c r="H98" i="12"/>
  <c r="H109" i="12"/>
  <c r="H94" i="12"/>
  <c r="H105" i="12"/>
  <c r="H95" i="12"/>
  <c r="C316" i="12"/>
  <c r="H87" i="12"/>
  <c r="H96" i="12"/>
  <c r="H100" i="12"/>
  <c r="H99" i="12"/>
  <c r="H88" i="12"/>
  <c r="I85" i="12" s="1"/>
  <c r="H110" i="12"/>
  <c r="H101" i="12"/>
  <c r="H97" i="12"/>
  <c r="D399" i="12"/>
  <c r="F399" i="12" s="1"/>
  <c r="D422" i="12"/>
  <c r="F422" i="12" s="1"/>
  <c r="C124" i="12"/>
  <c r="D124" i="12" s="1"/>
  <c r="E124" i="12" s="1"/>
  <c r="F124" i="12" s="1"/>
  <c r="H124" i="12" s="1"/>
  <c r="AR124" i="12" s="1"/>
  <c r="AM67" i="12"/>
  <c r="AU123" i="12"/>
  <c r="H142" i="12" s="1"/>
  <c r="I154" i="12" s="1"/>
  <c r="AT123" i="12"/>
  <c r="C150" i="12" s="1"/>
  <c r="D68" i="12"/>
  <c r="B15" i="40" s="1"/>
  <c r="C15" i="40" s="1"/>
  <c r="D15" i="40" s="1"/>
  <c r="AJ12" i="40" s="1"/>
  <c r="AS67" i="12" l="1"/>
  <c r="D400" i="12" s="1"/>
  <c r="F400" i="12" s="1"/>
  <c r="F67" i="12"/>
  <c r="G67" i="12" s="1"/>
  <c r="H67" i="12" s="1"/>
  <c r="C291" i="12" s="1"/>
  <c r="M291" i="12" s="1"/>
  <c r="B376" i="12" s="1"/>
  <c r="G10" i="31" s="1"/>
  <c r="H89" i="12"/>
  <c r="AN67" i="12"/>
  <c r="AO67" i="12" s="1"/>
  <c r="I124" i="12"/>
  <c r="AS124" i="12" s="1"/>
  <c r="G124" i="12"/>
  <c r="AQ124" i="12" s="1"/>
  <c r="I163" i="12"/>
  <c r="I155" i="12"/>
  <c r="I161" i="12"/>
  <c r="I158" i="12"/>
  <c r="I153" i="12"/>
  <c r="I164" i="12"/>
  <c r="I156" i="12"/>
  <c r="I160" i="12"/>
  <c r="I159" i="12"/>
  <c r="I151" i="12"/>
  <c r="I150" i="12"/>
  <c r="X150" i="12" s="1"/>
  <c r="E290" i="12" s="1"/>
  <c r="N290" i="12" s="1"/>
  <c r="I157" i="12"/>
  <c r="I152" i="12"/>
  <c r="I162" i="12"/>
  <c r="C125" i="12"/>
  <c r="D125" i="12" s="1"/>
  <c r="E125" i="12" s="1"/>
  <c r="F125" i="12" s="1"/>
  <c r="G125" i="12" s="1"/>
  <c r="AQ125" i="12" s="1"/>
  <c r="E68" i="12"/>
  <c r="C69" i="12" s="1"/>
  <c r="AM68" i="12"/>
  <c r="D423" i="12" l="1"/>
  <c r="F423" i="12" s="1"/>
  <c r="C317" i="12"/>
  <c r="I86" i="12"/>
  <c r="AN68" i="12"/>
  <c r="AO68" i="12" s="1"/>
  <c r="AU124" i="12"/>
  <c r="I142" i="12" s="1"/>
  <c r="J151" i="12" s="1"/>
  <c r="AT124" i="12"/>
  <c r="C151" i="12" s="1"/>
  <c r="C375" i="12"/>
  <c r="E316" i="12"/>
  <c r="H125" i="12"/>
  <c r="AR125" i="12" s="1"/>
  <c r="I125" i="12"/>
  <c r="AS125" i="12" s="1"/>
  <c r="D69" i="12"/>
  <c r="B16" i="40" s="1"/>
  <c r="C16" i="40" s="1"/>
  <c r="D16" i="40" s="1"/>
  <c r="AJ13" i="40" s="1"/>
  <c r="F68" i="12"/>
  <c r="G68" i="12" s="1"/>
  <c r="H68" i="12" s="1"/>
  <c r="C292" i="12" s="1"/>
  <c r="M292" i="12" s="1"/>
  <c r="B377" i="12" s="1"/>
  <c r="G11" i="31" s="1"/>
  <c r="AS68" i="12"/>
  <c r="I111" i="12" l="1"/>
  <c r="I106" i="12"/>
  <c r="I108" i="12"/>
  <c r="I104" i="12"/>
  <c r="I105" i="12"/>
  <c r="I93" i="12"/>
  <c r="I102" i="12"/>
  <c r="I87" i="12"/>
  <c r="I97" i="12"/>
  <c r="I103" i="12"/>
  <c r="I94" i="12"/>
  <c r="I109" i="12"/>
  <c r="I96" i="12"/>
  <c r="I95" i="12"/>
  <c r="I101" i="12"/>
  <c r="I98" i="12"/>
  <c r="I107" i="12"/>
  <c r="I92" i="12"/>
  <c r="I99" i="12"/>
  <c r="I100" i="12"/>
  <c r="I110" i="12"/>
  <c r="I88" i="12"/>
  <c r="J85" i="12" s="1"/>
  <c r="J86" i="12" s="1"/>
  <c r="J93" i="12" s="1"/>
  <c r="D401" i="12"/>
  <c r="F401" i="12" s="1"/>
  <c r="D424" i="12"/>
  <c r="F424" i="12" s="1"/>
  <c r="J157" i="12"/>
  <c r="J154" i="12"/>
  <c r="J160" i="12"/>
  <c r="J155" i="12"/>
  <c r="J153" i="12"/>
  <c r="J161" i="12"/>
  <c r="J162" i="12"/>
  <c r="J158" i="12"/>
  <c r="J156" i="12"/>
  <c r="J164" i="12"/>
  <c r="J163" i="12"/>
  <c r="J159" i="12"/>
  <c r="X151" i="12"/>
  <c r="E291" i="12" s="1"/>
  <c r="N291" i="12" s="1"/>
  <c r="C376" i="12" s="1"/>
  <c r="J152" i="12"/>
  <c r="AU125" i="12"/>
  <c r="J142" i="12" s="1"/>
  <c r="K164" i="12" s="1"/>
  <c r="C318" i="12"/>
  <c r="E69" i="12"/>
  <c r="C70" i="12" s="1"/>
  <c r="C126" i="12"/>
  <c r="D126" i="12" s="1"/>
  <c r="E126" i="12" s="1"/>
  <c r="F126" i="12" s="1"/>
  <c r="H126" i="12" s="1"/>
  <c r="AR126" i="12" s="1"/>
  <c r="AM69" i="12"/>
  <c r="AT125" i="12"/>
  <c r="C152" i="12" s="1"/>
  <c r="J101" i="12" l="1"/>
  <c r="J106" i="12"/>
  <c r="J87" i="12"/>
  <c r="J98" i="12"/>
  <c r="J97" i="12"/>
  <c r="J96" i="12"/>
  <c r="J95" i="12"/>
  <c r="J94" i="12"/>
  <c r="I89" i="12"/>
  <c r="J111" i="12"/>
  <c r="J103" i="12"/>
  <c r="J92" i="12"/>
  <c r="J107" i="12"/>
  <c r="J108" i="12"/>
  <c r="J105" i="12"/>
  <c r="J104" i="12"/>
  <c r="AN69" i="12"/>
  <c r="AO69" i="12" s="1"/>
  <c r="J110" i="12"/>
  <c r="J88" i="12"/>
  <c r="J99" i="12"/>
  <c r="J102" i="12"/>
  <c r="J100" i="12"/>
  <c r="J109" i="12"/>
  <c r="E317" i="12"/>
  <c r="K157" i="12"/>
  <c r="K159" i="12"/>
  <c r="K161" i="12"/>
  <c r="K158" i="12"/>
  <c r="K162" i="12"/>
  <c r="K163" i="12"/>
  <c r="K152" i="12"/>
  <c r="X152" i="12" s="1"/>
  <c r="E292" i="12" s="1"/>
  <c r="N292" i="12" s="1"/>
  <c r="C377" i="12" s="1"/>
  <c r="K155" i="12"/>
  <c r="K153" i="12"/>
  <c r="K154" i="12"/>
  <c r="K160" i="12"/>
  <c r="K156" i="12"/>
  <c r="I126" i="12"/>
  <c r="AS126" i="12" s="1"/>
  <c r="G126" i="12"/>
  <c r="AQ126" i="12" s="1"/>
  <c r="D70" i="12"/>
  <c r="B17" i="40" s="1"/>
  <c r="C17" i="40" s="1"/>
  <c r="D17" i="40" s="1"/>
  <c r="AJ14" i="40" s="1"/>
  <c r="AS69" i="12"/>
  <c r="F69" i="12"/>
  <c r="G69" i="12" s="1"/>
  <c r="H69" i="12" s="1"/>
  <c r="C293" i="12" s="1"/>
  <c r="M293" i="12" s="1"/>
  <c r="B378" i="12" s="1"/>
  <c r="G12" i="31" s="1"/>
  <c r="J89" i="12" l="1"/>
  <c r="K85" i="12"/>
  <c r="K86" i="12" s="1"/>
  <c r="K103" i="12" s="1"/>
  <c r="D402" i="12"/>
  <c r="F402" i="12" s="1"/>
  <c r="D425" i="12"/>
  <c r="F425" i="12" s="1"/>
  <c r="AT126" i="12"/>
  <c r="C153" i="12" s="1"/>
  <c r="C319" i="12"/>
  <c r="AU126" i="12"/>
  <c r="K142" i="12" s="1"/>
  <c r="L163" i="12" s="1"/>
  <c r="E318" i="12"/>
  <c r="K106" i="12" l="1"/>
  <c r="K100" i="12"/>
  <c r="K92" i="12"/>
  <c r="K107" i="12"/>
  <c r="K88" i="12"/>
  <c r="L85" i="12" s="1"/>
  <c r="K108" i="12"/>
  <c r="K96" i="12"/>
  <c r="K101" i="12"/>
  <c r="K104" i="12"/>
  <c r="K93" i="12"/>
  <c r="K109" i="12"/>
  <c r="K95" i="12"/>
  <c r="K102" i="12"/>
  <c r="K94" i="12"/>
  <c r="K99" i="12"/>
  <c r="K111" i="12"/>
  <c r="K110" i="12"/>
  <c r="K105" i="12"/>
  <c r="K87" i="12"/>
  <c r="K97" i="12"/>
  <c r="K98" i="12"/>
  <c r="L153" i="12"/>
  <c r="X153" i="12" s="1"/>
  <c r="E293" i="12" s="1"/>
  <c r="N293" i="12" s="1"/>
  <c r="C378" i="12" s="1"/>
  <c r="L159" i="12"/>
  <c r="L162" i="12"/>
  <c r="L161" i="12"/>
  <c r="L156" i="12"/>
  <c r="L160" i="12"/>
  <c r="L155" i="12"/>
  <c r="L158" i="12"/>
  <c r="L164" i="12"/>
  <c r="L154" i="12"/>
  <c r="L157" i="12"/>
  <c r="E70" i="12"/>
  <c r="C71" i="12" s="1"/>
  <c r="C127" i="12"/>
  <c r="D127" i="12" s="1"/>
  <c r="E127" i="12" s="1"/>
  <c r="F127" i="12" s="1"/>
  <c r="AM70" i="12"/>
  <c r="K89" i="12" l="1"/>
  <c r="AN70" i="12"/>
  <c r="AO70" i="12" s="1"/>
  <c r="L86" i="12" s="1"/>
  <c r="L88" i="12" s="1"/>
  <c r="G127" i="12"/>
  <c r="AQ127" i="12" s="1"/>
  <c r="H127" i="12"/>
  <c r="AR127" i="12" s="1"/>
  <c r="I127" i="12"/>
  <c r="AS127" i="12" s="1"/>
  <c r="AS70" i="12"/>
  <c r="F70" i="12"/>
  <c r="G70" i="12" s="1"/>
  <c r="H70" i="12" s="1"/>
  <c r="C294" i="12" s="1"/>
  <c r="M294" i="12" s="1"/>
  <c r="D71" i="12"/>
  <c r="B18" i="40" s="1"/>
  <c r="C18" i="40" s="1"/>
  <c r="D18" i="40" s="1"/>
  <c r="AJ15" i="40" s="1"/>
  <c r="E319" i="12"/>
  <c r="D403" i="12" l="1"/>
  <c r="F403" i="12" s="1"/>
  <c r="D426" i="12"/>
  <c r="F426" i="12" s="1"/>
  <c r="M85" i="12"/>
  <c r="E71" i="12"/>
  <c r="C72" i="12" s="1"/>
  <c r="AM71" i="12"/>
  <c r="C128" i="12"/>
  <c r="D128" i="12" s="1"/>
  <c r="E128" i="12" s="1"/>
  <c r="F128" i="12" s="1"/>
  <c r="B379" i="12"/>
  <c r="G13" i="31" s="1"/>
  <c r="C320" i="12"/>
  <c r="AU127" i="12"/>
  <c r="L142" i="12" s="1"/>
  <c r="AT127" i="12"/>
  <c r="C154" i="12" s="1"/>
  <c r="L94" i="12"/>
  <c r="L104" i="12"/>
  <c r="L106" i="12"/>
  <c r="L93" i="12"/>
  <c r="L98" i="12"/>
  <c r="L87" i="12"/>
  <c r="L89" i="12" s="1"/>
  <c r="L111" i="12"/>
  <c r="L92" i="12"/>
  <c r="L105" i="12"/>
  <c r="L108" i="12"/>
  <c r="L107" i="12"/>
  <c r="L102" i="12"/>
  <c r="L103" i="12"/>
  <c r="L110" i="12"/>
  <c r="L95" i="12"/>
  <c r="L100" i="12"/>
  <c r="L109" i="12"/>
  <c r="L99" i="12"/>
  <c r="L97" i="12"/>
  <c r="L101" i="12"/>
  <c r="L96" i="12"/>
  <c r="AN71" i="12" l="1"/>
  <c r="AO71" i="12" s="1"/>
  <c r="M86" i="12" s="1"/>
  <c r="M94" i="12" s="1"/>
  <c r="M154" i="12"/>
  <c r="X154" i="12" s="1"/>
  <c r="E294" i="12" s="1"/>
  <c r="N294" i="12" s="1"/>
  <c r="C379" i="12" s="1"/>
  <c r="M155" i="12"/>
  <c r="M158" i="12"/>
  <c r="M157" i="12"/>
  <c r="M164" i="12"/>
  <c r="M159" i="12"/>
  <c r="M162" i="12"/>
  <c r="M160" i="12"/>
  <c r="M161" i="12"/>
  <c r="M156" i="12"/>
  <c r="M163" i="12"/>
  <c r="F71" i="12"/>
  <c r="G71" i="12" s="1"/>
  <c r="H71" i="12" s="1"/>
  <c r="C295" i="12" s="1"/>
  <c r="M295" i="12" s="1"/>
  <c r="AS71" i="12"/>
  <c r="D72" i="12"/>
  <c r="B19" i="40" s="1"/>
  <c r="C19" i="40" s="1"/>
  <c r="D19" i="40" s="1"/>
  <c r="AJ16" i="40" s="1"/>
  <c r="H128" i="12"/>
  <c r="AR128" i="12" s="1"/>
  <c r="G128" i="12"/>
  <c r="AQ128" i="12" s="1"/>
  <c r="I128" i="12"/>
  <c r="AS128" i="12" s="1"/>
  <c r="D404" i="12" l="1"/>
  <c r="F404" i="12" s="1"/>
  <c r="D427" i="12"/>
  <c r="F427" i="12" s="1"/>
  <c r="M109" i="12"/>
  <c r="M105" i="12"/>
  <c r="M87" i="12"/>
  <c r="M100" i="12"/>
  <c r="M110" i="12"/>
  <c r="M102" i="12"/>
  <c r="M96" i="12"/>
  <c r="M101" i="12"/>
  <c r="M111" i="12"/>
  <c r="M103" i="12"/>
  <c r="M92" i="12"/>
  <c r="M88" i="12"/>
  <c r="N85" i="12" s="1"/>
  <c r="M98" i="12"/>
  <c r="M107" i="12"/>
  <c r="M97" i="12"/>
  <c r="M93" i="12"/>
  <c r="M106" i="12"/>
  <c r="M99" i="12"/>
  <c r="M95" i="12"/>
  <c r="M108" i="12"/>
  <c r="M104" i="12"/>
  <c r="E320" i="12"/>
  <c r="AT128" i="12"/>
  <c r="C155" i="12" s="1"/>
  <c r="AU128" i="12"/>
  <c r="M142" i="12" s="1"/>
  <c r="AM72" i="12"/>
  <c r="E72" i="12"/>
  <c r="C73" i="12" s="1"/>
  <c r="C129" i="12"/>
  <c r="D129" i="12" s="1"/>
  <c r="E129" i="12" s="1"/>
  <c r="F129" i="12" s="1"/>
  <c r="B380" i="12"/>
  <c r="G14" i="31" s="1"/>
  <c r="C321" i="12"/>
  <c r="AN72" i="12" l="1"/>
  <c r="AO72" i="12" s="1"/>
  <c r="N86" i="12" s="1"/>
  <c r="N88" i="12" s="1"/>
  <c r="M89" i="12"/>
  <c r="H129" i="12"/>
  <c r="AR129" i="12" s="1"/>
  <c r="I129" i="12"/>
  <c r="AS129" i="12" s="1"/>
  <c r="G129" i="12"/>
  <c r="AQ129" i="12" s="1"/>
  <c r="F72" i="12"/>
  <c r="G72" i="12" s="1"/>
  <c r="H72" i="12" s="1"/>
  <c r="C296" i="12" s="1"/>
  <c r="M296" i="12" s="1"/>
  <c r="D73" i="12"/>
  <c r="B20" i="40" s="1"/>
  <c r="C20" i="40" s="1"/>
  <c r="D20" i="40" s="1"/>
  <c r="AJ17" i="40" s="1"/>
  <c r="AS72" i="12"/>
  <c r="N164" i="12"/>
  <c r="N159" i="12"/>
  <c r="N157" i="12"/>
  <c r="N160" i="12"/>
  <c r="N161" i="12"/>
  <c r="N163" i="12"/>
  <c r="N162" i="12"/>
  <c r="N156" i="12"/>
  <c r="N155" i="12"/>
  <c r="X155" i="12" s="1"/>
  <c r="E295" i="12" s="1"/>
  <c r="N295" i="12" s="1"/>
  <c r="C380" i="12" s="1"/>
  <c r="N158" i="12"/>
  <c r="D405" i="12" l="1"/>
  <c r="F405" i="12" s="1"/>
  <c r="D428" i="12"/>
  <c r="F428" i="12" s="1"/>
  <c r="E321" i="12"/>
  <c r="O85" i="12"/>
  <c r="N111" i="12"/>
  <c r="N106" i="12"/>
  <c r="N110" i="12"/>
  <c r="N95" i="12"/>
  <c r="N99" i="12"/>
  <c r="N87" i="12"/>
  <c r="N89" i="12" s="1"/>
  <c r="N101" i="12"/>
  <c r="N92" i="12"/>
  <c r="N104" i="12"/>
  <c r="N107" i="12"/>
  <c r="N97" i="12"/>
  <c r="N103" i="12"/>
  <c r="N98" i="12"/>
  <c r="N102" i="12"/>
  <c r="N93" i="12"/>
  <c r="N96" i="12"/>
  <c r="N108" i="12"/>
  <c r="N105" i="12"/>
  <c r="N109" i="12"/>
  <c r="N100" i="12"/>
  <c r="N94" i="12"/>
  <c r="AT129" i="12"/>
  <c r="C156" i="12" s="1"/>
  <c r="AU129" i="12"/>
  <c r="N142" i="12" s="1"/>
  <c r="C130" i="12"/>
  <c r="D130" i="12" s="1"/>
  <c r="E130" i="12" s="1"/>
  <c r="F130" i="12" s="1"/>
  <c r="AM73" i="12"/>
  <c r="E73" i="12"/>
  <c r="C74" i="12" s="1"/>
  <c r="B381" i="12"/>
  <c r="G15" i="31" s="1"/>
  <c r="C322" i="12"/>
  <c r="AN73" i="12" l="1"/>
  <c r="AO73" i="12" s="1"/>
  <c r="O86" i="12" s="1"/>
  <c r="D74" i="12"/>
  <c r="B21" i="40" s="1"/>
  <c r="C21" i="40" s="1"/>
  <c r="D21" i="40" s="1"/>
  <c r="AJ18" i="40" s="1"/>
  <c r="F73" i="12"/>
  <c r="G73" i="12" s="1"/>
  <c r="H73" i="12" s="1"/>
  <c r="C297" i="12" s="1"/>
  <c r="M297" i="12" s="1"/>
  <c r="AS73" i="12"/>
  <c r="I130" i="12"/>
  <c r="AS130" i="12" s="1"/>
  <c r="G130" i="12"/>
  <c r="AQ130" i="12" s="1"/>
  <c r="H130" i="12"/>
  <c r="AR130" i="12" s="1"/>
  <c r="O163" i="12"/>
  <c r="O161" i="12"/>
  <c r="O164" i="12"/>
  <c r="O159" i="12"/>
  <c r="O160" i="12"/>
  <c r="O162" i="12"/>
  <c r="O156" i="12"/>
  <c r="X156" i="12" s="1"/>
  <c r="E296" i="12" s="1"/>
  <c r="N296" i="12" s="1"/>
  <c r="C381" i="12" s="1"/>
  <c r="O158" i="12"/>
  <c r="O157" i="12"/>
  <c r="D406" i="12" l="1"/>
  <c r="F406" i="12" s="1"/>
  <c r="D429" i="12"/>
  <c r="F429" i="12" s="1"/>
  <c r="E322" i="12"/>
  <c r="O88" i="12"/>
  <c r="P85" i="12" s="1"/>
  <c r="O111" i="12"/>
  <c r="O93" i="12"/>
  <c r="O105" i="12"/>
  <c r="O107" i="12"/>
  <c r="O102" i="12"/>
  <c r="O110" i="12"/>
  <c r="O94" i="12"/>
  <c r="O103" i="12"/>
  <c r="O100" i="12"/>
  <c r="O95" i="12"/>
  <c r="O106" i="12"/>
  <c r="O96" i="12"/>
  <c r="O108" i="12"/>
  <c r="O99" i="12"/>
  <c r="O87" i="12"/>
  <c r="O109" i="12"/>
  <c r="O104" i="12"/>
  <c r="O92" i="12"/>
  <c r="O98" i="12"/>
  <c r="O97" i="12"/>
  <c r="O101" i="12"/>
  <c r="AU130" i="12"/>
  <c r="O142" i="12" s="1"/>
  <c r="AT130" i="12"/>
  <c r="C157" i="12" s="1"/>
  <c r="B382" i="12"/>
  <c r="G16" i="31" s="1"/>
  <c r="C323" i="12"/>
  <c r="AM74" i="12"/>
  <c r="C131" i="12"/>
  <c r="D131" i="12" s="1"/>
  <c r="E131" i="12" s="1"/>
  <c r="F131" i="12" s="1"/>
  <c r="E74" i="12"/>
  <c r="C75" i="12" s="1"/>
  <c r="AN74" i="12" l="1"/>
  <c r="AO74" i="12" s="1"/>
  <c r="P86" i="12" s="1"/>
  <c r="P88" i="12" s="1"/>
  <c r="O89" i="12"/>
  <c r="P160" i="12"/>
  <c r="P164" i="12"/>
  <c r="P163" i="12"/>
  <c r="P161" i="12"/>
  <c r="P159" i="12"/>
  <c r="P158" i="12"/>
  <c r="P162" i="12"/>
  <c r="P157" i="12"/>
  <c r="X157" i="12" s="1"/>
  <c r="E297" i="12" s="1"/>
  <c r="N297" i="12" s="1"/>
  <c r="C382" i="12" s="1"/>
  <c r="H131" i="12"/>
  <c r="AR131" i="12" s="1"/>
  <c r="G131" i="12"/>
  <c r="AQ131" i="12" s="1"/>
  <c r="I131" i="12"/>
  <c r="AS131" i="12" s="1"/>
  <c r="AS74" i="12"/>
  <c r="D75" i="12"/>
  <c r="B22" i="40" s="1"/>
  <c r="C22" i="40" s="1"/>
  <c r="D22" i="40" s="1"/>
  <c r="AJ19" i="40" s="1"/>
  <c r="F74" i="12"/>
  <c r="G74" i="12" s="1"/>
  <c r="H74" i="12" s="1"/>
  <c r="C298" i="12" s="1"/>
  <c r="M298" i="12" s="1"/>
  <c r="D407" i="12" l="1"/>
  <c r="F407" i="12" s="1"/>
  <c r="D430" i="12"/>
  <c r="F430" i="12" s="1"/>
  <c r="E323" i="12"/>
  <c r="Q85" i="12"/>
  <c r="E75" i="12"/>
  <c r="C76" i="12" s="1"/>
  <c r="AM75" i="12"/>
  <c r="C132" i="12"/>
  <c r="D132" i="12" s="1"/>
  <c r="E132" i="12" s="1"/>
  <c r="F132" i="12" s="1"/>
  <c r="P95" i="12"/>
  <c r="P109" i="12"/>
  <c r="P110" i="12"/>
  <c r="P94" i="12"/>
  <c r="P111" i="12"/>
  <c r="P105" i="12"/>
  <c r="P96" i="12"/>
  <c r="P98" i="12"/>
  <c r="P87" i="12"/>
  <c r="P89" i="12" s="1"/>
  <c r="P93" i="12"/>
  <c r="P101" i="12"/>
  <c r="P102" i="12"/>
  <c r="P92" i="12"/>
  <c r="P100" i="12"/>
  <c r="P99" i="12"/>
  <c r="P106" i="12"/>
  <c r="P108" i="12"/>
  <c r="P107" i="12"/>
  <c r="P103" i="12"/>
  <c r="P104" i="12"/>
  <c r="P97" i="12"/>
  <c r="AU131" i="12"/>
  <c r="P142" i="12" s="1"/>
  <c r="AT131" i="12"/>
  <c r="C158" i="12" s="1"/>
  <c r="B383" i="12"/>
  <c r="G17" i="31" s="1"/>
  <c r="C324" i="12"/>
  <c r="AN75" i="12" l="1"/>
  <c r="AO75" i="12" s="1"/>
  <c r="Q86" i="12" s="1"/>
  <c r="G132" i="12"/>
  <c r="AQ132" i="12" s="1"/>
  <c r="I132" i="12"/>
  <c r="AS132" i="12" s="1"/>
  <c r="H132" i="12"/>
  <c r="AR132" i="12" s="1"/>
  <c r="Q159" i="12"/>
  <c r="Q163" i="12"/>
  <c r="Q164" i="12"/>
  <c r="Q158" i="12"/>
  <c r="X158" i="12" s="1"/>
  <c r="E298" i="12" s="1"/>
  <c r="N298" i="12" s="1"/>
  <c r="C383" i="12" s="1"/>
  <c r="Q160" i="12"/>
  <c r="Q162" i="12"/>
  <c r="Q161" i="12"/>
  <c r="AS75" i="12"/>
  <c r="F75" i="12"/>
  <c r="G75" i="12" s="1"/>
  <c r="H75" i="12" s="1"/>
  <c r="C299" i="12" s="1"/>
  <c r="M299" i="12" s="1"/>
  <c r="D76" i="12"/>
  <c r="B23" i="40" s="1"/>
  <c r="C23" i="40" s="1"/>
  <c r="D23" i="40" s="1"/>
  <c r="AJ20" i="40" s="1"/>
  <c r="D408" i="12" l="1"/>
  <c r="F408" i="12" s="1"/>
  <c r="D431" i="12"/>
  <c r="F431" i="12" s="1"/>
  <c r="B384" i="12"/>
  <c r="G18" i="31" s="1"/>
  <c r="C325" i="12"/>
  <c r="Q88" i="12"/>
  <c r="R85" i="12" s="1"/>
  <c r="Q110" i="12"/>
  <c r="Q105" i="12"/>
  <c r="Q92" i="12"/>
  <c r="Q106" i="12"/>
  <c r="Q100" i="12"/>
  <c r="Q108" i="12"/>
  <c r="Q109" i="12"/>
  <c r="Q96" i="12"/>
  <c r="Q94" i="12"/>
  <c r="Q111" i="12"/>
  <c r="Q97" i="12"/>
  <c r="Q95" i="12"/>
  <c r="Q98" i="12"/>
  <c r="Q101" i="12"/>
  <c r="Q107" i="12"/>
  <c r="Q93" i="12"/>
  <c r="Q103" i="12"/>
  <c r="Q104" i="12"/>
  <c r="Q99" i="12"/>
  <c r="Q102" i="12"/>
  <c r="Q87" i="12"/>
  <c r="E324" i="12"/>
  <c r="E76" i="12"/>
  <c r="C77" i="12" s="1"/>
  <c r="AM76" i="12"/>
  <c r="C133" i="12"/>
  <c r="D133" i="12" s="1"/>
  <c r="E133" i="12" s="1"/>
  <c r="F133" i="12" s="1"/>
  <c r="AT132" i="12"/>
  <c r="C159" i="12" s="1"/>
  <c r="AU132" i="12"/>
  <c r="Q142" i="12" s="1"/>
  <c r="AN76" i="12" l="1"/>
  <c r="AO76" i="12" s="1"/>
  <c r="R86" i="12" s="1"/>
  <c r="R88" i="12" s="1"/>
  <c r="Q89" i="12"/>
  <c r="G133" i="12"/>
  <c r="AQ133" i="12" s="1"/>
  <c r="I133" i="12"/>
  <c r="AS133" i="12" s="1"/>
  <c r="H133" i="12"/>
  <c r="AR133" i="12" s="1"/>
  <c r="R163" i="12"/>
  <c r="R160" i="12"/>
  <c r="R164" i="12"/>
  <c r="R161" i="12"/>
  <c r="R162" i="12"/>
  <c r="R159" i="12"/>
  <c r="X159" i="12" s="1"/>
  <c r="E299" i="12" s="1"/>
  <c r="N299" i="12" s="1"/>
  <c r="C384" i="12" s="1"/>
  <c r="D77" i="12"/>
  <c r="B24" i="40" s="1"/>
  <c r="C24" i="40" s="1"/>
  <c r="D24" i="40" s="1"/>
  <c r="AJ21" i="40" s="1"/>
  <c r="AS76" i="12"/>
  <c r="F76" i="12"/>
  <c r="G76" i="12" s="1"/>
  <c r="H76" i="12" s="1"/>
  <c r="C300" i="12" s="1"/>
  <c r="M300" i="12" s="1"/>
  <c r="D409" i="12" l="1"/>
  <c r="F409" i="12" s="1"/>
  <c r="D432" i="12"/>
  <c r="F432" i="12" s="1"/>
  <c r="E325" i="12"/>
  <c r="C134" i="12"/>
  <c r="D134" i="12" s="1"/>
  <c r="E134" i="12" s="1"/>
  <c r="F134" i="12" s="1"/>
  <c r="E77" i="12"/>
  <c r="C78" i="12" s="1"/>
  <c r="AM77" i="12"/>
  <c r="S85" i="12"/>
  <c r="B385" i="12"/>
  <c r="G19" i="31" s="1"/>
  <c r="C326" i="12"/>
  <c r="R94" i="12"/>
  <c r="R92" i="12"/>
  <c r="R108" i="12"/>
  <c r="R102" i="12"/>
  <c r="R106" i="12"/>
  <c r="R97" i="12"/>
  <c r="R101" i="12"/>
  <c r="R95" i="12"/>
  <c r="R109" i="12"/>
  <c r="R99" i="12"/>
  <c r="R110" i="12"/>
  <c r="R87" i="12"/>
  <c r="R89" i="12" s="1"/>
  <c r="R107" i="12"/>
  <c r="R100" i="12"/>
  <c r="R105" i="12"/>
  <c r="R111" i="12"/>
  <c r="R104" i="12"/>
  <c r="R93" i="12"/>
  <c r="R98" i="12"/>
  <c r="R103" i="12"/>
  <c r="R96" i="12"/>
  <c r="AT133" i="12"/>
  <c r="C160" i="12" s="1"/>
  <c r="AU133" i="12"/>
  <c r="R142" i="12" s="1"/>
  <c r="AN77" i="12" l="1"/>
  <c r="AO77" i="12" s="1"/>
  <c r="S86" i="12" s="1"/>
  <c r="S88" i="12" s="1"/>
  <c r="S160" i="12"/>
  <c r="X160" i="12" s="1"/>
  <c r="E300" i="12" s="1"/>
  <c r="N300" i="12" s="1"/>
  <c r="C385" i="12" s="1"/>
  <c r="S161" i="12"/>
  <c r="S162" i="12"/>
  <c r="S163" i="12"/>
  <c r="S164" i="12"/>
  <c r="AS77" i="12"/>
  <c r="D78" i="12"/>
  <c r="B25" i="40" s="1"/>
  <c r="C25" i="40" s="1"/>
  <c r="D25" i="40" s="1"/>
  <c r="AJ22" i="40" s="1"/>
  <c r="F77" i="12"/>
  <c r="G77" i="12" s="1"/>
  <c r="H77" i="12" s="1"/>
  <c r="C301" i="12" s="1"/>
  <c r="M301" i="12" s="1"/>
  <c r="I134" i="12"/>
  <c r="AS134" i="12" s="1"/>
  <c r="G134" i="12"/>
  <c r="AQ134" i="12" s="1"/>
  <c r="H134" i="12"/>
  <c r="AR134" i="12" s="1"/>
  <c r="D410" i="12" l="1"/>
  <c r="F410" i="12" s="1"/>
  <c r="D433" i="12"/>
  <c r="F433" i="12" s="1"/>
  <c r="E326" i="12"/>
  <c r="T85" i="12"/>
  <c r="S93" i="12"/>
  <c r="S103" i="12"/>
  <c r="S94" i="12"/>
  <c r="S107" i="12"/>
  <c r="S100" i="12"/>
  <c r="S99" i="12"/>
  <c r="S96" i="12"/>
  <c r="S92" i="12"/>
  <c r="S105" i="12"/>
  <c r="S95" i="12"/>
  <c r="S111" i="12"/>
  <c r="S106" i="12"/>
  <c r="S87" i="12"/>
  <c r="S89" i="12" s="1"/>
  <c r="S109" i="12"/>
  <c r="S102" i="12"/>
  <c r="S101" i="12"/>
  <c r="S108" i="12"/>
  <c r="S104" i="12"/>
  <c r="S97" i="12"/>
  <c r="S110" i="12"/>
  <c r="S98" i="12"/>
  <c r="B386" i="12"/>
  <c r="G20" i="31" s="1"/>
  <c r="C327" i="12"/>
  <c r="AT134" i="12"/>
  <c r="C161" i="12" s="1"/>
  <c r="AU134" i="12"/>
  <c r="S142" i="12" s="1"/>
  <c r="C135" i="12"/>
  <c r="D135" i="12" s="1"/>
  <c r="E135" i="12" s="1"/>
  <c r="F135" i="12" s="1"/>
  <c r="E78" i="12"/>
  <c r="C79" i="12" s="1"/>
  <c r="AM78" i="12"/>
  <c r="AN78" i="12" l="1"/>
  <c r="AO78" i="12" s="1"/>
  <c r="T86" i="12" s="1"/>
  <c r="T161" i="12"/>
  <c r="X161" i="12" s="1"/>
  <c r="E301" i="12" s="1"/>
  <c r="N301" i="12" s="1"/>
  <c r="C386" i="12" s="1"/>
  <c r="T164" i="12"/>
  <c r="T162" i="12"/>
  <c r="T163" i="12"/>
  <c r="AS78" i="12"/>
  <c r="F78" i="12"/>
  <c r="G78" i="12" s="1"/>
  <c r="H78" i="12" s="1"/>
  <c r="C302" i="12" s="1"/>
  <c r="M302" i="12" s="1"/>
  <c r="D79" i="12"/>
  <c r="B26" i="40" s="1"/>
  <c r="C26" i="40" s="1"/>
  <c r="D26" i="40" s="1"/>
  <c r="AJ23" i="40" s="1"/>
  <c r="I135" i="12"/>
  <c r="AS135" i="12" s="1"/>
  <c r="G135" i="12"/>
  <c r="AQ135" i="12" s="1"/>
  <c r="H135" i="12"/>
  <c r="AR135" i="12" s="1"/>
  <c r="D411" i="12" l="1"/>
  <c r="F411" i="12" s="1"/>
  <c r="D434" i="12"/>
  <c r="F434" i="12" s="1"/>
  <c r="E327" i="12"/>
  <c r="T97" i="12"/>
  <c r="T92" i="12"/>
  <c r="T95" i="12"/>
  <c r="T100" i="12"/>
  <c r="T87" i="12"/>
  <c r="T104" i="12"/>
  <c r="T93" i="12"/>
  <c r="T110" i="12"/>
  <c r="T106" i="12"/>
  <c r="T103" i="12"/>
  <c r="T111" i="12"/>
  <c r="T109" i="12"/>
  <c r="T107" i="12"/>
  <c r="T101" i="12"/>
  <c r="T108" i="12"/>
  <c r="T94" i="12"/>
  <c r="T98" i="12"/>
  <c r="T99" i="12"/>
  <c r="T105" i="12"/>
  <c r="T102" i="12"/>
  <c r="T96" i="12"/>
  <c r="B387" i="12"/>
  <c r="G21" i="31" s="1"/>
  <c r="C328" i="12"/>
  <c r="C136" i="12"/>
  <c r="D136" i="12" s="1"/>
  <c r="E136" i="12" s="1"/>
  <c r="F136" i="12" s="1"/>
  <c r="E79" i="12"/>
  <c r="C80" i="12" s="1"/>
  <c r="AM79" i="12"/>
  <c r="AT135" i="12"/>
  <c r="C162" i="12" s="1"/>
  <c r="AU135" i="12"/>
  <c r="T142" i="12" s="1"/>
  <c r="T88" i="12"/>
  <c r="AN79" i="12" l="1"/>
  <c r="AO79" i="12" s="1"/>
  <c r="H136" i="12"/>
  <c r="AR136" i="12" s="1"/>
  <c r="I136" i="12"/>
  <c r="AS136" i="12" s="1"/>
  <c r="G136" i="12"/>
  <c r="AQ136" i="12" s="1"/>
  <c r="U163" i="12"/>
  <c r="U164" i="12"/>
  <c r="U162" i="12"/>
  <c r="X162" i="12" s="1"/>
  <c r="E302" i="12" s="1"/>
  <c r="N302" i="12" s="1"/>
  <c r="C387" i="12" s="1"/>
  <c r="U85" i="12"/>
  <c r="T89" i="12"/>
  <c r="D80" i="12"/>
  <c r="B27" i="40" s="1"/>
  <c r="C27" i="40" s="1"/>
  <c r="D27" i="40" s="1"/>
  <c r="AJ24" i="40" s="1"/>
  <c r="AS79" i="12"/>
  <c r="F79" i="12"/>
  <c r="G79" i="12" s="1"/>
  <c r="H79" i="12" s="1"/>
  <c r="C303" i="12" s="1"/>
  <c r="M303" i="12" s="1"/>
  <c r="U86" i="12" l="1"/>
  <c r="D412" i="12"/>
  <c r="F412" i="12" s="1"/>
  <c r="D435" i="12"/>
  <c r="F435" i="12" s="1"/>
  <c r="C137" i="12"/>
  <c r="D137" i="12" s="1"/>
  <c r="E137" i="12" s="1"/>
  <c r="F137" i="12" s="1"/>
  <c r="E80" i="12"/>
  <c r="AM80" i="12"/>
  <c r="E328" i="12"/>
  <c r="AU136" i="12"/>
  <c r="U142" i="12" s="1"/>
  <c r="AT136" i="12"/>
  <c r="C163" i="12" s="1"/>
  <c r="B388" i="12"/>
  <c r="G22" i="31" s="1"/>
  <c r="C329" i="12"/>
  <c r="AN80" i="12" l="1"/>
  <c r="C4" i="20"/>
  <c r="V163" i="12"/>
  <c r="X163" i="12" s="1"/>
  <c r="E303" i="12" s="1"/>
  <c r="N303" i="12" s="1"/>
  <c r="C388" i="12" s="1"/>
  <c r="V164" i="12"/>
  <c r="U92" i="12"/>
  <c r="U94" i="12"/>
  <c r="U93" i="12"/>
  <c r="U102" i="12"/>
  <c r="U110" i="12"/>
  <c r="U98" i="12"/>
  <c r="U100" i="12"/>
  <c r="U87" i="12"/>
  <c r="U107" i="12"/>
  <c r="U101" i="12"/>
  <c r="U97" i="12"/>
  <c r="U111" i="12"/>
  <c r="U95" i="12"/>
  <c r="U99" i="12"/>
  <c r="U103" i="12"/>
  <c r="U108" i="12"/>
  <c r="U104" i="12"/>
  <c r="U109" i="12"/>
  <c r="U106" i="12"/>
  <c r="U96" i="12"/>
  <c r="U105" i="12"/>
  <c r="AO80" i="12"/>
  <c r="U88" i="12"/>
  <c r="F80" i="12"/>
  <c r="G80" i="12" s="1"/>
  <c r="H80" i="12" s="1"/>
  <c r="C304" i="12" s="1"/>
  <c r="M304" i="12" s="1"/>
  <c r="AS80" i="12"/>
  <c r="G137" i="12"/>
  <c r="AQ137" i="12" s="1"/>
  <c r="I137" i="12"/>
  <c r="AS137" i="12" s="1"/>
  <c r="H137" i="12"/>
  <c r="AR137" i="12" s="1"/>
  <c r="H15" i="31"/>
  <c r="H9" i="31"/>
  <c r="D413" i="12" l="1"/>
  <c r="F413" i="12" s="1"/>
  <c r="D436" i="12"/>
  <c r="F436" i="12" s="1"/>
  <c r="F438" i="12" s="1"/>
  <c r="G439" i="12" s="1"/>
  <c r="E329" i="12"/>
  <c r="E4" i="20"/>
  <c r="C8" i="20"/>
  <c r="E8" i="20" s="1"/>
  <c r="C10" i="20" s="1"/>
  <c r="C12" i="20" s="1"/>
  <c r="AU137" i="12"/>
  <c r="V142" i="12" s="1"/>
  <c r="W164" i="12" s="1"/>
  <c r="AT137" i="12"/>
  <c r="C164" i="12" s="1"/>
  <c r="B389" i="12"/>
  <c r="G23" i="31" s="1"/>
  <c r="C330" i="12"/>
  <c r="C332" i="12" s="1"/>
  <c r="U89" i="12"/>
  <c r="V85" i="12"/>
  <c r="V86" i="12" s="1"/>
  <c r="X8" i="40" s="1" a="1"/>
  <c r="H17" i="31"/>
  <c r="H22" i="31"/>
  <c r="H20" i="31"/>
  <c r="H11" i="31"/>
  <c r="H19" i="31"/>
  <c r="H21" i="31"/>
  <c r="H14" i="31"/>
  <c r="H5" i="31"/>
  <c r="H6" i="31"/>
  <c r="Y13" i="40" l="1"/>
  <c r="AK10" i="40" s="1"/>
  <c r="AL10" i="40" s="1"/>
  <c r="Y10" i="40"/>
  <c r="AK7" i="40" s="1"/>
  <c r="AL7" i="40" s="1"/>
  <c r="Y21" i="40"/>
  <c r="AK18" i="40" s="1"/>
  <c r="AL18" i="40" s="1"/>
  <c r="Y18" i="40"/>
  <c r="AK15" i="40" s="1"/>
  <c r="AL15" i="40" s="1"/>
  <c r="X8" i="40"/>
  <c r="Y8" i="40" s="1"/>
  <c r="AK5" i="40" s="1"/>
  <c r="AL5" i="40" s="1"/>
  <c r="Y14" i="40"/>
  <c r="AK11" i="40" s="1"/>
  <c r="AL11" i="40" s="1"/>
  <c r="Y26" i="40"/>
  <c r="AK23" i="40" s="1"/>
  <c r="AL23" i="40" s="1"/>
  <c r="Y23" i="40"/>
  <c r="AK20" i="40" s="1"/>
  <c r="AL20" i="40" s="1"/>
  <c r="Y24" i="40"/>
  <c r="AK21" i="40" s="1"/>
  <c r="AL21" i="40" s="1"/>
  <c r="Y20" i="40"/>
  <c r="AK17" i="40" s="1"/>
  <c r="AL17" i="40" s="1"/>
  <c r="Y11" i="40"/>
  <c r="AK8" i="40" s="1"/>
  <c r="AL8" i="40" s="1"/>
  <c r="Y9" i="40"/>
  <c r="AK6" i="40" s="1"/>
  <c r="AL6" i="40" s="1"/>
  <c r="Y12" i="40"/>
  <c r="AK9" i="40" s="1"/>
  <c r="AL9" i="40" s="1"/>
  <c r="Y19" i="40"/>
  <c r="AK16" i="40" s="1"/>
  <c r="AL16" i="40" s="1"/>
  <c r="Y17" i="40"/>
  <c r="AK14" i="40" s="1"/>
  <c r="AL14" i="40" s="1"/>
  <c r="Y27" i="40"/>
  <c r="AK24" i="40" s="1"/>
  <c r="AL24" i="40" s="1"/>
  <c r="Y25" i="40"/>
  <c r="AK22" i="40" s="1"/>
  <c r="AL22" i="40" s="1"/>
  <c r="Y15" i="40"/>
  <c r="AK12" i="40" s="1"/>
  <c r="AL12" i="40" s="1"/>
  <c r="Y16" i="40"/>
  <c r="AK13" i="40" s="1"/>
  <c r="AL13" i="40" s="1"/>
  <c r="Y22" i="40"/>
  <c r="AK19" i="40" s="1"/>
  <c r="AL19" i="40" s="1"/>
  <c r="X164" i="12"/>
  <c r="E304" i="12" s="1"/>
  <c r="N304" i="12" s="1"/>
  <c r="C389" i="12" s="1"/>
  <c r="H23" i="31" s="1"/>
  <c r="C306" i="12"/>
  <c r="C306" i="36"/>
  <c r="C306" i="38"/>
  <c r="C306" i="37"/>
  <c r="V88" i="12"/>
  <c r="H8" i="31"/>
  <c r="H16" i="31"/>
  <c r="H10" i="31"/>
  <c r="H7" i="31"/>
  <c r="H12" i="31"/>
  <c r="H18" i="31"/>
  <c r="H13" i="31"/>
  <c r="AK32" i="40" l="1"/>
  <c r="AK34" i="40" s="1"/>
  <c r="AK35" i="40" s="1"/>
  <c r="E330" i="12"/>
  <c r="E332" i="12" s="1"/>
  <c r="G317" i="38"/>
  <c r="G329" i="38"/>
  <c r="G319" i="38"/>
  <c r="H319" i="38" s="1"/>
  <c r="I319" i="38" s="1"/>
  <c r="J319" i="38" s="1"/>
  <c r="G316" i="38"/>
  <c r="G322" i="38"/>
  <c r="H322" i="38" s="1"/>
  <c r="I322" i="38" s="1"/>
  <c r="J322" i="38" s="1"/>
  <c r="G330" i="38"/>
  <c r="H330" i="38" s="1"/>
  <c r="I330" i="38" s="1"/>
  <c r="J330" i="38" s="1"/>
  <c r="G323" i="38"/>
  <c r="G315" i="38"/>
  <c r="H315" i="38" s="1"/>
  <c r="I315" i="38" s="1"/>
  <c r="J315" i="38" s="1"/>
  <c r="G311" i="38"/>
  <c r="G326" i="38"/>
  <c r="H326" i="38" s="1"/>
  <c r="I326" i="38" s="1"/>
  <c r="J326" i="38" s="1"/>
  <c r="G321" i="38"/>
  <c r="G318" i="38"/>
  <c r="G320" i="38"/>
  <c r="H320" i="38" s="1"/>
  <c r="I320" i="38" s="1"/>
  <c r="J320" i="38" s="1"/>
  <c r="G313" i="38"/>
  <c r="H313" i="38" s="1"/>
  <c r="I313" i="38" s="1"/>
  <c r="J313" i="38" s="1"/>
  <c r="G328" i="38"/>
  <c r="H328" i="38" s="1"/>
  <c r="I328" i="38" s="1"/>
  <c r="J328" i="38" s="1"/>
  <c r="G312" i="38"/>
  <c r="H312" i="38" s="1"/>
  <c r="I312" i="38" s="1"/>
  <c r="J312" i="38" s="1"/>
  <c r="G324" i="38"/>
  <c r="H324" i="38" s="1"/>
  <c r="I324" i="38" s="1"/>
  <c r="J324" i="38" s="1"/>
  <c r="G325" i="38"/>
  <c r="G327" i="38"/>
  <c r="H327" i="38" s="1"/>
  <c r="I327" i="38" s="1"/>
  <c r="J327" i="38" s="1"/>
  <c r="G314" i="38"/>
  <c r="V101" i="12"/>
  <c r="V110" i="12"/>
  <c r="V104" i="12"/>
  <c r="V95" i="12"/>
  <c r="V94" i="12"/>
  <c r="V100" i="12"/>
  <c r="V96" i="12"/>
  <c r="V93" i="12"/>
  <c r="V103" i="12"/>
  <c r="V109" i="12"/>
  <c r="V102" i="12"/>
  <c r="V92" i="12"/>
  <c r="W92" i="12" s="1"/>
  <c r="V99" i="12"/>
  <c r="V111" i="12"/>
  <c r="V105" i="12"/>
  <c r="V98" i="12"/>
  <c r="V108" i="12"/>
  <c r="V87" i="12"/>
  <c r="V89" i="12" s="1"/>
  <c r="V97" i="12"/>
  <c r="V107" i="12"/>
  <c r="V106" i="12"/>
  <c r="G317" i="37"/>
  <c r="H317" i="37" s="1"/>
  <c r="I317" i="37" s="1"/>
  <c r="J317" i="37" s="1"/>
  <c r="G318" i="37"/>
  <c r="G329" i="37"/>
  <c r="G319" i="37"/>
  <c r="G313" i="37"/>
  <c r="G325" i="37"/>
  <c r="H325" i="37" s="1"/>
  <c r="I325" i="37" s="1"/>
  <c r="J325" i="37" s="1"/>
  <c r="G314" i="37"/>
  <c r="G320" i="37"/>
  <c r="G311" i="37"/>
  <c r="G328" i="37"/>
  <c r="H328" i="37" s="1"/>
  <c r="I328" i="37" s="1"/>
  <c r="J328" i="37" s="1"/>
  <c r="G323" i="37"/>
  <c r="H323" i="37" s="1"/>
  <c r="I323" i="37" s="1"/>
  <c r="J323" i="37" s="1"/>
  <c r="G324" i="37"/>
  <c r="H324" i="37" s="1"/>
  <c r="I324" i="37" s="1"/>
  <c r="J324" i="37" s="1"/>
  <c r="G315" i="37"/>
  <c r="H315" i="37" s="1"/>
  <c r="I315" i="37" s="1"/>
  <c r="J315" i="37" s="1"/>
  <c r="G330" i="37"/>
  <c r="G326" i="37"/>
  <c r="G312" i="37"/>
  <c r="G321" i="37"/>
  <c r="H321" i="37" s="1"/>
  <c r="I321" i="37" s="1"/>
  <c r="J321" i="37" s="1"/>
  <c r="G316" i="37"/>
  <c r="H316" i="37" s="1"/>
  <c r="I316" i="37" s="1"/>
  <c r="J316" i="37" s="1"/>
  <c r="G327" i="37"/>
  <c r="H327" i="37" s="1"/>
  <c r="I327" i="37" s="1"/>
  <c r="J327" i="37" s="1"/>
  <c r="G322" i="37"/>
  <c r="G323" i="36"/>
  <c r="G328" i="36"/>
  <c r="G318" i="36"/>
  <c r="H318" i="36" s="1"/>
  <c r="I318" i="36" s="1"/>
  <c r="J318" i="36" s="1"/>
  <c r="G330" i="36"/>
  <c r="G316" i="36"/>
  <c r="H316" i="36" s="1"/>
  <c r="I316" i="36" s="1"/>
  <c r="J316" i="36" s="1"/>
  <c r="G319" i="36"/>
  <c r="H319" i="36" s="1"/>
  <c r="I319" i="36" s="1"/>
  <c r="J319" i="36" s="1"/>
  <c r="G311" i="36"/>
  <c r="G313" i="36"/>
  <c r="H313" i="36" s="1"/>
  <c r="I313" i="36" s="1"/>
  <c r="J313" i="36" s="1"/>
  <c r="G315" i="36"/>
  <c r="H315" i="36" s="1"/>
  <c r="I315" i="36" s="1"/>
  <c r="J315" i="36" s="1"/>
  <c r="G327" i="36"/>
  <c r="H327" i="36" s="1"/>
  <c r="I327" i="36" s="1"/>
  <c r="J327" i="36" s="1"/>
  <c r="G314" i="36"/>
  <c r="G324" i="36"/>
  <c r="G320" i="36"/>
  <c r="H320" i="36" s="1"/>
  <c r="I320" i="36" s="1"/>
  <c r="J320" i="36" s="1"/>
  <c r="G322" i="36"/>
  <c r="H322" i="36" s="1"/>
  <c r="I322" i="36" s="1"/>
  <c r="J322" i="36" s="1"/>
  <c r="G329" i="36"/>
  <c r="H329" i="36" s="1"/>
  <c r="I329" i="36" s="1"/>
  <c r="J329" i="36" s="1"/>
  <c r="G326" i="36"/>
  <c r="H326" i="36" s="1"/>
  <c r="I326" i="36" s="1"/>
  <c r="J326" i="36" s="1"/>
  <c r="G325" i="36"/>
  <c r="G321" i="36"/>
  <c r="G312" i="36"/>
  <c r="G317" i="36"/>
  <c r="H311" i="36" l="1"/>
  <c r="I311" i="36" s="1"/>
  <c r="G332" i="36"/>
  <c r="E36" i="20" s="1"/>
  <c r="Z98" i="12"/>
  <c r="W98" i="12"/>
  <c r="X98" i="12" s="1"/>
  <c r="Y98" i="12" s="1"/>
  <c r="D291" i="12" s="1"/>
  <c r="W93" i="12"/>
  <c r="X93" i="12" s="1"/>
  <c r="Y93" i="12" s="1"/>
  <c r="D286" i="12" s="1"/>
  <c r="Z93" i="12"/>
  <c r="H314" i="38"/>
  <c r="I314" i="38" s="1"/>
  <c r="H318" i="38"/>
  <c r="I318" i="38" s="1"/>
  <c r="H316" i="38"/>
  <c r="I316" i="38" s="1"/>
  <c r="W104" i="12"/>
  <c r="X104" i="12" s="1"/>
  <c r="Y104" i="12" s="1"/>
  <c r="D297" i="12" s="1"/>
  <c r="Z104" i="12"/>
  <c r="H323" i="36"/>
  <c r="I323" i="36" s="1"/>
  <c r="H313" i="37"/>
  <c r="I313" i="37" s="1"/>
  <c r="W109" i="12"/>
  <c r="X109" i="12" s="1"/>
  <c r="Y109" i="12" s="1"/>
  <c r="D302" i="12" s="1"/>
  <c r="Z109" i="12"/>
  <c r="H322" i="37"/>
  <c r="I322" i="37" s="1"/>
  <c r="H319" i="37"/>
  <c r="I319" i="37" s="1"/>
  <c r="Z103" i="12"/>
  <c r="W103" i="12"/>
  <c r="X103" i="12" s="1"/>
  <c r="Y103" i="12" s="1"/>
  <c r="D296" i="12" s="1"/>
  <c r="W101" i="12"/>
  <c r="X101" i="12" s="1"/>
  <c r="Y101" i="12" s="1"/>
  <c r="D294" i="12" s="1"/>
  <c r="Z101" i="12"/>
  <c r="H318" i="37"/>
  <c r="I318" i="37" s="1"/>
  <c r="J318" i="37" s="1"/>
  <c r="Z105" i="12"/>
  <c r="W105" i="12"/>
  <c r="X105" i="12" s="1"/>
  <c r="Y105" i="12" s="1"/>
  <c r="D298" i="12" s="1"/>
  <c r="W96" i="12"/>
  <c r="X96" i="12" s="1"/>
  <c r="Y96" i="12" s="1"/>
  <c r="D289" i="12" s="1"/>
  <c r="Z96" i="12"/>
  <c r="H321" i="38"/>
  <c r="I321" i="38" s="1"/>
  <c r="W97" i="12"/>
  <c r="X97" i="12" s="1"/>
  <c r="Y97" i="12" s="1"/>
  <c r="D290" i="12" s="1"/>
  <c r="Z97" i="12"/>
  <c r="W110" i="12"/>
  <c r="X110" i="12" s="1"/>
  <c r="Y110" i="12" s="1"/>
  <c r="D303" i="12" s="1"/>
  <c r="Z110" i="12"/>
  <c r="W108" i="12"/>
  <c r="X108" i="12" s="1"/>
  <c r="Y108" i="12" s="1"/>
  <c r="D301" i="12" s="1"/>
  <c r="Z108" i="12"/>
  <c r="H311" i="37"/>
  <c r="I311" i="37" s="1"/>
  <c r="G332" i="37"/>
  <c r="E37" i="20" s="1"/>
  <c r="Z111" i="12"/>
  <c r="W111" i="12"/>
  <c r="X111" i="12" s="1"/>
  <c r="Y111" i="12" s="1"/>
  <c r="D304" i="12" s="1"/>
  <c r="Z100" i="12"/>
  <c r="W100" i="12"/>
  <c r="X100" i="12" s="1"/>
  <c r="Y100" i="12" s="1"/>
  <c r="D293" i="12" s="1"/>
  <c r="H325" i="38"/>
  <c r="I325" i="38" s="1"/>
  <c r="H329" i="38"/>
  <c r="I329" i="38" s="1"/>
  <c r="H321" i="36"/>
  <c r="I321" i="36" s="1"/>
  <c r="J321" i="36" s="1"/>
  <c r="H330" i="37"/>
  <c r="I330" i="37" s="1"/>
  <c r="H329" i="37"/>
  <c r="I329" i="37" s="1"/>
  <c r="H317" i="36"/>
  <c r="I317" i="36" s="1"/>
  <c r="J317" i="36" s="1"/>
  <c r="H324" i="36"/>
  <c r="I324" i="36" s="1"/>
  <c r="J324" i="36" s="1"/>
  <c r="H330" i="36"/>
  <c r="I330" i="36" s="1"/>
  <c r="J330" i="36" s="1"/>
  <c r="H312" i="37"/>
  <c r="I312" i="37" s="1"/>
  <c r="J312" i="37" s="1"/>
  <c r="H320" i="37"/>
  <c r="I320" i="37" s="1"/>
  <c r="W106" i="12"/>
  <c r="X106" i="12" s="1"/>
  <c r="Y106" i="12" s="1"/>
  <c r="D299" i="12" s="1"/>
  <c r="Z106" i="12"/>
  <c r="W99" i="12"/>
  <c r="X99" i="12" s="1"/>
  <c r="Y99" i="12" s="1"/>
  <c r="D292" i="12" s="1"/>
  <c r="Z99" i="12"/>
  <c r="Z94" i="12"/>
  <c r="W94" i="12"/>
  <c r="X94" i="12" s="1"/>
  <c r="Y94" i="12" s="1"/>
  <c r="D287" i="12" s="1"/>
  <c r="H311" i="38"/>
  <c r="G332" i="38"/>
  <c r="E38" i="20" s="1"/>
  <c r="H317" i="38"/>
  <c r="I317" i="38" s="1"/>
  <c r="H328" i="36"/>
  <c r="I328" i="36" s="1"/>
  <c r="W102" i="12"/>
  <c r="X102" i="12" s="1"/>
  <c r="Y102" i="12" s="1"/>
  <c r="D295" i="12" s="1"/>
  <c r="Z102" i="12"/>
  <c r="H323" i="38"/>
  <c r="I323" i="38" s="1"/>
  <c r="H325" i="36"/>
  <c r="I325" i="36" s="1"/>
  <c r="J325" i="36" s="1"/>
  <c r="H312" i="36"/>
  <c r="I312" i="36" s="1"/>
  <c r="H314" i="36"/>
  <c r="I314" i="36" s="1"/>
  <c r="H326" i="37"/>
  <c r="I326" i="37" s="1"/>
  <c r="H314" i="37"/>
  <c r="I314" i="37" s="1"/>
  <c r="W107" i="12"/>
  <c r="X107" i="12" s="1"/>
  <c r="Y107" i="12" s="1"/>
  <c r="D300" i="12" s="1"/>
  <c r="Z107" i="12"/>
  <c r="X92" i="12"/>
  <c r="Y92" i="12" s="1"/>
  <c r="D285" i="12" s="1"/>
  <c r="Z92" i="12"/>
  <c r="Z95" i="12"/>
  <c r="W95" i="12"/>
  <c r="X95" i="12" s="1"/>
  <c r="Y95" i="12" s="1"/>
  <c r="D288" i="12" s="1"/>
  <c r="I285" i="12" l="1"/>
  <c r="B347" i="12"/>
  <c r="J322" i="37"/>
  <c r="J316" i="38"/>
  <c r="J330" i="37"/>
  <c r="J326" i="37"/>
  <c r="J321" i="38"/>
  <c r="J329" i="37"/>
  <c r="J323" i="38"/>
  <c r="J314" i="37"/>
  <c r="J325" i="38"/>
  <c r="J312" i="36"/>
  <c r="B361" i="12"/>
  <c r="O299" i="12"/>
  <c r="I299" i="12"/>
  <c r="J314" i="36"/>
  <c r="J320" i="37"/>
  <c r="J329" i="38"/>
  <c r="B352" i="12"/>
  <c r="I290" i="12"/>
  <c r="O290" i="12"/>
  <c r="B359" i="12"/>
  <c r="O297" i="12"/>
  <c r="I297" i="12"/>
  <c r="B348" i="12"/>
  <c r="I286" i="12"/>
  <c r="O286" i="12"/>
  <c r="B356" i="12"/>
  <c r="O294" i="12"/>
  <c r="I294" i="12"/>
  <c r="B350" i="12"/>
  <c r="I288" i="12"/>
  <c r="O288" i="12"/>
  <c r="O285" i="12"/>
  <c r="J311" i="37"/>
  <c r="I332" i="37"/>
  <c r="G37" i="20" s="1"/>
  <c r="B362" i="12"/>
  <c r="I300" i="12"/>
  <c r="O300" i="12"/>
  <c r="J328" i="36"/>
  <c r="B358" i="12"/>
  <c r="O296" i="12"/>
  <c r="I296" i="12"/>
  <c r="J313" i="37"/>
  <c r="J318" i="38"/>
  <c r="J311" i="36"/>
  <c r="I332" i="36"/>
  <c r="G36" i="20" s="1"/>
  <c r="I304" i="12"/>
  <c r="B366" i="12"/>
  <c r="O304" i="12"/>
  <c r="I311" i="38"/>
  <c r="H332" i="38"/>
  <c r="F38" i="20" s="1"/>
  <c r="B357" i="12"/>
  <c r="I295" i="12"/>
  <c r="O295" i="12"/>
  <c r="B364" i="12"/>
  <c r="I302" i="12"/>
  <c r="O302" i="12"/>
  <c r="B363" i="12"/>
  <c r="I301" i="12"/>
  <c r="O301" i="12"/>
  <c r="B351" i="12"/>
  <c r="I289" i="12"/>
  <c r="O289" i="12"/>
  <c r="B365" i="12"/>
  <c r="O303" i="12"/>
  <c r="I303" i="12"/>
  <c r="B353" i="12"/>
  <c r="I291" i="12"/>
  <c r="O291" i="12"/>
  <c r="B349" i="12"/>
  <c r="I287" i="12"/>
  <c r="O287" i="12"/>
  <c r="H332" i="37"/>
  <c r="F37" i="20" s="1"/>
  <c r="B355" i="12"/>
  <c r="O293" i="12"/>
  <c r="I293" i="12"/>
  <c r="J317" i="38"/>
  <c r="B354" i="12"/>
  <c r="O292" i="12"/>
  <c r="I292" i="12"/>
  <c r="B360" i="12"/>
  <c r="O298" i="12"/>
  <c r="I298" i="12"/>
  <c r="J319" i="37"/>
  <c r="J323" i="36"/>
  <c r="J314" i="38"/>
  <c r="H332" i="36"/>
  <c r="F36" i="20" s="1"/>
  <c r="H37" i="20" l="1"/>
  <c r="I37" i="20" s="1"/>
  <c r="H36" i="20"/>
  <c r="I36" i="20" s="1"/>
  <c r="D313" i="12"/>
  <c r="F313" i="12" s="1"/>
  <c r="G313" i="12" s="1"/>
  <c r="H313" i="12" s="1"/>
  <c r="I313" i="12" s="1"/>
  <c r="J313" i="12" s="1"/>
  <c r="D372" i="12"/>
  <c r="I6" i="31" s="1"/>
  <c r="B22" i="31"/>
  <c r="D365" i="12"/>
  <c r="D22" i="31" s="1"/>
  <c r="D366" i="12"/>
  <c r="D23" i="31" s="1"/>
  <c r="B23" i="31"/>
  <c r="B15" i="31"/>
  <c r="D358" i="12"/>
  <c r="D15" i="31" s="1"/>
  <c r="D370" i="12"/>
  <c r="I4" i="31" s="1"/>
  <c r="D311" i="12"/>
  <c r="F311" i="12" s="1"/>
  <c r="D312" i="12"/>
  <c r="F312" i="12" s="1"/>
  <c r="D371" i="12"/>
  <c r="I5" i="31" s="1"/>
  <c r="B9" i="31"/>
  <c r="D352" i="12"/>
  <c r="D9" i="31" s="1"/>
  <c r="D377" i="12"/>
  <c r="I11" i="31" s="1"/>
  <c r="D318" i="12"/>
  <c r="F318" i="12" s="1"/>
  <c r="D374" i="12"/>
  <c r="I8" i="31" s="1"/>
  <c r="D315" i="12"/>
  <c r="F315" i="12" s="1"/>
  <c r="D364" i="12"/>
  <c r="D21" i="31" s="1"/>
  <c r="B21" i="31"/>
  <c r="B4" i="31"/>
  <c r="D347" i="12"/>
  <c r="D4" i="31" s="1"/>
  <c r="D373" i="12"/>
  <c r="I7" i="31" s="1"/>
  <c r="D314" i="12"/>
  <c r="F314" i="12" s="1"/>
  <c r="G314" i="12" s="1"/>
  <c r="H314" i="12" s="1"/>
  <c r="I314" i="12" s="1"/>
  <c r="J314" i="12" s="1"/>
  <c r="J332" i="36"/>
  <c r="C335" i="36" s="1"/>
  <c r="C336" i="36" s="1"/>
  <c r="D386" i="12"/>
  <c r="I20" i="31" s="1"/>
  <c r="D327" i="12"/>
  <c r="F327" i="12" s="1"/>
  <c r="B7" i="31"/>
  <c r="D350" i="12"/>
  <c r="D7" i="31" s="1"/>
  <c r="D382" i="12"/>
  <c r="I16" i="31" s="1"/>
  <c r="D323" i="12"/>
  <c r="F323" i="12" s="1"/>
  <c r="G323" i="12" s="1"/>
  <c r="H323" i="12" s="1"/>
  <c r="I323" i="12" s="1"/>
  <c r="J323" i="12" s="1"/>
  <c r="B6" i="31"/>
  <c r="D349" i="12"/>
  <c r="D6" i="31" s="1"/>
  <c r="D348" i="12"/>
  <c r="D5" i="31" s="1"/>
  <c r="B5" i="31"/>
  <c r="D376" i="12"/>
  <c r="I10" i="31" s="1"/>
  <c r="D317" i="12"/>
  <c r="F317" i="12" s="1"/>
  <c r="D354" i="12"/>
  <c r="D11" i="31" s="1"/>
  <c r="B11" i="31"/>
  <c r="D321" i="12"/>
  <c r="F321" i="12" s="1"/>
  <c r="D380" i="12"/>
  <c r="I14" i="31" s="1"/>
  <c r="D385" i="12"/>
  <c r="I19" i="31" s="1"/>
  <c r="D326" i="12"/>
  <c r="F326" i="12" s="1"/>
  <c r="G326" i="12" s="1"/>
  <c r="H326" i="12" s="1"/>
  <c r="I326" i="12" s="1"/>
  <c r="J326" i="12" s="1"/>
  <c r="D351" i="12"/>
  <c r="D8" i="31" s="1"/>
  <c r="B8" i="31"/>
  <c r="B14" i="31"/>
  <c r="D357" i="12"/>
  <c r="D14" i="31" s="1"/>
  <c r="B19" i="31"/>
  <c r="D362" i="12"/>
  <c r="D19" i="31" s="1"/>
  <c r="D378" i="12"/>
  <c r="I12" i="31" s="1"/>
  <c r="D319" i="12"/>
  <c r="F319" i="12" s="1"/>
  <c r="G319" i="12" s="1"/>
  <c r="H319" i="12" s="1"/>
  <c r="I319" i="12" s="1"/>
  <c r="J319" i="12" s="1"/>
  <c r="B10" i="31"/>
  <c r="D353" i="12"/>
  <c r="D10" i="31" s="1"/>
  <c r="D359" i="12"/>
  <c r="D16" i="31" s="1"/>
  <c r="B16" i="31"/>
  <c r="D383" i="12"/>
  <c r="I17" i="31" s="1"/>
  <c r="D324" i="12"/>
  <c r="F324" i="12" s="1"/>
  <c r="G324" i="12" s="1"/>
  <c r="H324" i="12" s="1"/>
  <c r="I324" i="12" s="1"/>
  <c r="J324" i="12" s="1"/>
  <c r="B12" i="31"/>
  <c r="D355" i="12"/>
  <c r="D12" i="31" s="1"/>
  <c r="D363" i="12"/>
  <c r="D20" i="31" s="1"/>
  <c r="B20" i="31"/>
  <c r="I332" i="38"/>
  <c r="G38" i="20" s="1"/>
  <c r="H38" i="20" s="1"/>
  <c r="I38" i="20" s="1"/>
  <c r="J311" i="38"/>
  <c r="J332" i="38" s="1"/>
  <c r="C335" i="38" s="1"/>
  <c r="J332" i="37"/>
  <c r="C335" i="37" s="1"/>
  <c r="C336" i="37" s="1"/>
  <c r="D379" i="12"/>
  <c r="I13" i="31" s="1"/>
  <c r="D320" i="12"/>
  <c r="F320" i="12" s="1"/>
  <c r="D316" i="12"/>
  <c r="F316" i="12" s="1"/>
  <c r="G316" i="12" s="1"/>
  <c r="H316" i="12" s="1"/>
  <c r="I316" i="12" s="1"/>
  <c r="J316" i="12" s="1"/>
  <c r="D375" i="12"/>
  <c r="I9" i="31" s="1"/>
  <c r="D384" i="12"/>
  <c r="I18" i="31" s="1"/>
  <c r="D325" i="12"/>
  <c r="F325" i="12" s="1"/>
  <c r="D360" i="12"/>
  <c r="D17" i="31" s="1"/>
  <c r="B17" i="31"/>
  <c r="D329" i="12"/>
  <c r="F329" i="12" s="1"/>
  <c r="D388" i="12"/>
  <c r="I22" i="31" s="1"/>
  <c r="D328" i="12"/>
  <c r="F328" i="12" s="1"/>
  <c r="G328" i="12" s="1"/>
  <c r="H328" i="12" s="1"/>
  <c r="I328" i="12" s="1"/>
  <c r="J328" i="12" s="1"/>
  <c r="D387" i="12"/>
  <c r="I21" i="31" s="1"/>
  <c r="D389" i="12"/>
  <c r="I23" i="31" s="1"/>
  <c r="D330" i="12"/>
  <c r="F330" i="12" s="1"/>
  <c r="D381" i="12"/>
  <c r="I15" i="31" s="1"/>
  <c r="D322" i="12"/>
  <c r="F322" i="12" s="1"/>
  <c r="G322" i="12" s="1"/>
  <c r="H322" i="12" s="1"/>
  <c r="I322" i="12" s="1"/>
  <c r="J322" i="12" s="1"/>
  <c r="B13" i="31"/>
  <c r="D356" i="12"/>
  <c r="D13" i="31" s="1"/>
  <c r="D361" i="12"/>
  <c r="D18" i="31" s="1"/>
  <c r="B18" i="31"/>
  <c r="C336" i="38" l="1"/>
  <c r="C337" i="38" s="1"/>
  <c r="K311" i="37"/>
  <c r="K319" i="37"/>
  <c r="K327" i="37"/>
  <c r="K313" i="37"/>
  <c r="K329" i="37"/>
  <c r="K312" i="37"/>
  <c r="K320" i="37"/>
  <c r="K328" i="37"/>
  <c r="K321" i="37"/>
  <c r="K314" i="37"/>
  <c r="K322" i="37"/>
  <c r="K330" i="37"/>
  <c r="K323" i="37"/>
  <c r="K324" i="37"/>
  <c r="K317" i="37"/>
  <c r="K325" i="37"/>
  <c r="K318" i="37"/>
  <c r="K326" i="37"/>
  <c r="K315" i="37"/>
  <c r="K316" i="37"/>
  <c r="K318" i="36"/>
  <c r="K326" i="36"/>
  <c r="K320" i="36"/>
  <c r="K329" i="36"/>
  <c r="K322" i="36"/>
  <c r="K323" i="36"/>
  <c r="K311" i="36"/>
  <c r="K319" i="36"/>
  <c r="K327" i="36"/>
  <c r="K328" i="36"/>
  <c r="K313" i="36"/>
  <c r="K330" i="36"/>
  <c r="K312" i="36"/>
  <c r="K316" i="36"/>
  <c r="K324" i="36"/>
  <c r="K317" i="36"/>
  <c r="K325" i="36"/>
  <c r="K321" i="36"/>
  <c r="K314" i="36"/>
  <c r="K315" i="36"/>
  <c r="C338" i="37"/>
  <c r="C337" i="37"/>
  <c r="J37" i="20" s="1"/>
  <c r="C338" i="36"/>
  <c r="C337" i="36"/>
  <c r="J36" i="20" s="1"/>
  <c r="N3" i="31"/>
  <c r="K8" i="31"/>
  <c r="T8" i="31"/>
  <c r="W8" i="31" s="1"/>
  <c r="T7" i="31"/>
  <c r="W7" i="31" s="1"/>
  <c r="T6" i="31"/>
  <c r="W6" i="31" s="1"/>
  <c r="T5" i="31"/>
  <c r="W5" i="31" s="1"/>
  <c r="M8" i="31"/>
  <c r="J38" i="20"/>
  <c r="G321" i="12"/>
  <c r="H321" i="12" s="1"/>
  <c r="G318" i="12"/>
  <c r="H318" i="12" s="1"/>
  <c r="I318" i="12" s="1"/>
  <c r="G325" i="12"/>
  <c r="H325" i="12" s="1"/>
  <c r="I325" i="12" s="1"/>
  <c r="J325" i="12" s="1"/>
  <c r="G317" i="12"/>
  <c r="H317" i="12" s="1"/>
  <c r="I317" i="12" s="1"/>
  <c r="J317" i="12" s="1"/>
  <c r="G327" i="12"/>
  <c r="H327" i="12" s="1"/>
  <c r="I327" i="12" s="1"/>
  <c r="G312" i="12"/>
  <c r="H312" i="12" s="1"/>
  <c r="I312" i="12" s="1"/>
  <c r="G330" i="12"/>
  <c r="H330" i="12" s="1"/>
  <c r="G320" i="12"/>
  <c r="H320" i="12" s="1"/>
  <c r="G315" i="12"/>
  <c r="H315" i="12" s="1"/>
  <c r="I315" i="12" s="1"/>
  <c r="D332" i="12"/>
  <c r="D35" i="20" s="1"/>
  <c r="D41" i="20" s="1"/>
  <c r="G329" i="12"/>
  <c r="H329" i="12" s="1"/>
  <c r="K311" i="38" l="1"/>
  <c r="K319" i="38"/>
  <c r="K327" i="38"/>
  <c r="K313" i="38"/>
  <c r="K329" i="38"/>
  <c r="K314" i="38"/>
  <c r="K323" i="38"/>
  <c r="K324" i="38"/>
  <c r="K312" i="38"/>
  <c r="K320" i="38"/>
  <c r="K328" i="38"/>
  <c r="K321" i="38"/>
  <c r="K322" i="38"/>
  <c r="K317" i="38"/>
  <c r="K325" i="38"/>
  <c r="K318" i="38"/>
  <c r="K326" i="38"/>
  <c r="K315" i="38"/>
  <c r="K330" i="38"/>
  <c r="K316" i="38"/>
  <c r="C338" i="38"/>
  <c r="X5" i="31"/>
  <c r="W12" i="31"/>
  <c r="X6" i="31"/>
  <c r="X7" i="31"/>
  <c r="W14" i="31"/>
  <c r="X8" i="31"/>
  <c r="W15" i="31"/>
  <c r="T13" i="31"/>
  <c r="T14" i="31"/>
  <c r="T15" i="31"/>
  <c r="X15" i="31" s="1"/>
  <c r="T12" i="31"/>
  <c r="O10" i="31"/>
  <c r="P10" i="31" s="1"/>
  <c r="O9" i="31"/>
  <c r="P9" i="31" s="1"/>
  <c r="O11" i="31"/>
  <c r="P11" i="31" s="1"/>
  <c r="O8" i="31"/>
  <c r="P8" i="31" s="1"/>
  <c r="U7" i="31"/>
  <c r="V7" i="31" s="1"/>
  <c r="Y7" i="31"/>
  <c r="Z7" i="31"/>
  <c r="Z5" i="31"/>
  <c r="Y5" i="31"/>
  <c r="U5" i="31"/>
  <c r="V5" i="31" s="1"/>
  <c r="Y8" i="31"/>
  <c r="U8" i="31"/>
  <c r="V8" i="31" s="1"/>
  <c r="Z8" i="31"/>
  <c r="U6" i="31"/>
  <c r="V6" i="31" s="1"/>
  <c r="Y6" i="31"/>
  <c r="Z6" i="31"/>
  <c r="I330" i="12"/>
  <c r="J330" i="12" s="1"/>
  <c r="I321" i="12"/>
  <c r="J321" i="12" s="1"/>
  <c r="I329" i="12"/>
  <c r="J329" i="12" s="1"/>
  <c r="J312" i="12"/>
  <c r="J315" i="12"/>
  <c r="I320" i="12"/>
  <c r="J320" i="12" s="1"/>
  <c r="J327" i="12"/>
  <c r="J318" i="12"/>
  <c r="K332" i="36"/>
  <c r="G311" i="12"/>
  <c r="F332" i="12"/>
  <c r="K332" i="37"/>
  <c r="K332" i="38" l="1"/>
  <c r="X12" i="31"/>
  <c r="X14" i="31"/>
  <c r="X13" i="31"/>
  <c r="Z13" i="31"/>
  <c r="Z14" i="31"/>
  <c r="V13" i="31"/>
  <c r="U14" i="31"/>
  <c r="V14" i="31"/>
  <c r="U13" i="31"/>
  <c r="Z15" i="31"/>
  <c r="V15" i="31"/>
  <c r="Y13" i="31"/>
  <c r="Y14" i="31"/>
  <c r="Y15" i="31"/>
  <c r="U15" i="31"/>
  <c r="Y12" i="31"/>
  <c r="U12" i="31"/>
  <c r="V12" i="31"/>
  <c r="Z12" i="31"/>
  <c r="W13" i="31"/>
  <c r="H311" i="12"/>
  <c r="G332" i="12"/>
  <c r="E35" i="20" s="1"/>
  <c r="E41" i="20" l="1"/>
  <c r="I311" i="12"/>
  <c r="I332" i="12" s="1"/>
  <c r="G35" i="20" s="1"/>
  <c r="G41" i="20" s="1"/>
  <c r="C47" i="20" s="1"/>
  <c r="H332" i="12"/>
  <c r="F35" i="20" s="1"/>
  <c r="F41" i="20" s="1"/>
  <c r="H35" i="20" l="1"/>
  <c r="J311" i="12"/>
  <c r="J332" i="12" s="1"/>
  <c r="C335" i="12" s="1"/>
  <c r="C336" i="12" s="1"/>
  <c r="I35" i="20" l="1"/>
  <c r="H41" i="20"/>
  <c r="I41" i="20" s="1"/>
  <c r="J41" i="20" s="1"/>
  <c r="K318" i="12"/>
  <c r="K326" i="12"/>
  <c r="K329" i="12"/>
  <c r="K330" i="12"/>
  <c r="K323" i="12"/>
  <c r="K311" i="12"/>
  <c r="K319" i="12"/>
  <c r="K327" i="12"/>
  <c r="K312" i="12"/>
  <c r="K320" i="12"/>
  <c r="K328" i="12"/>
  <c r="K313" i="12"/>
  <c r="K322" i="12"/>
  <c r="K316" i="12"/>
  <c r="K324" i="12"/>
  <c r="K317" i="12"/>
  <c r="K325" i="12"/>
  <c r="K321" i="12"/>
  <c r="K314" i="12"/>
  <c r="K315" i="12"/>
  <c r="C338" i="12"/>
  <c r="C337" i="12"/>
  <c r="J35" i="20" s="1"/>
  <c r="C44" i="20" l="1"/>
  <c r="K332" i="12"/>
  <c r="C49" i="20" l="1"/>
  <c r="C46" i="20"/>
  <c r="C45" i="20"/>
  <c r="C50" i="20" s="1"/>
  <c r="C51" i="20" l="1"/>
  <c r="D45" i="20"/>
  <c r="D46" i="2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tc={4E219D9F-EB52-E84E-B6D9-DB05460DAE8D}</author>
  </authors>
  <commentList>
    <comment ref="E21" authorId="0" shapeId="0" xr:uid="{4E219D9F-EB52-E84E-B6D9-DB05460DAE8D}">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Par défaut, la valeur de la colonne D est conservée. 
Une valeur plus élevée peut être renseignée.</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tc={A7B84798-F2C9-1B45-9AA6-A0ADFE4BA752}</author>
    <author>tc={1BA506EE-FDC1-8F4B-A55B-C5E21C88F0F6}</author>
    <author>tc={BBE0D693-9F8A-E34E-A3DB-446E49976FDD}</author>
  </authors>
  <commentList>
    <comment ref="I1" authorId="0" shapeId="0" xr:uid="{A7B84798-F2C9-1B45-9AA6-A0ADFE4BA752}">
      <text>
        <t xml:space="preserve">[Commentaire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Rajouter Région et Clé ID
</t>
      </text>
    </comment>
    <comment ref="I15" authorId="1" shapeId="0" xr:uid="{1BA506EE-FDC1-8F4B-A55B-C5E21C88F0F6}">
      <text>
        <t xml:space="preserve">[Commentaire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Rajouter Région et Clé ID
</t>
      </text>
    </comment>
    <comment ref="A55" authorId="2" shapeId="0" xr:uid="{BBE0D693-9F8A-E34E-A3DB-446E49976FDD}">
      <text>
        <t xml:space="preserve">[Commentaire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Rajouter Région et Clé ID
</t>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<sst xmlns="http://schemas.openxmlformats.org/spreadsheetml/2006/main" count="7198" uniqueCount="1044">
  <si>
    <t>Strate</t>
  </si>
  <si>
    <t>CHN</t>
  </si>
  <si>
    <t>CHAR</t>
  </si>
  <si>
    <t>CHAT</t>
  </si>
  <si>
    <t>HET</t>
  </si>
  <si>
    <t>Colonne1</t>
  </si>
  <si>
    <t>Traitement</t>
  </si>
  <si>
    <t>Pays</t>
  </si>
  <si>
    <t>Essence</t>
  </si>
  <si>
    <t>Favorable</t>
  </si>
  <si>
    <t>France</t>
  </si>
  <si>
    <t>Nom_forêt</t>
  </si>
  <si>
    <t>Colonne2</t>
  </si>
  <si>
    <t>V_tot</t>
  </si>
  <si>
    <t>REFERENCE</t>
  </si>
  <si>
    <t>Annees</t>
  </si>
  <si>
    <t>VF</t>
  </si>
  <si>
    <t>ID</t>
  </si>
  <si>
    <t>Vprel</t>
  </si>
  <si>
    <t>VE</t>
  </si>
  <si>
    <t>%BO_ps</t>
  </si>
  <si>
    <t>%BO_sc</t>
  </si>
  <si>
    <t>%BI_pap</t>
  </si>
  <si>
    <t>PCD</t>
  </si>
  <si>
    <t>PMD</t>
  </si>
  <si>
    <t>PLD</t>
  </si>
  <si>
    <t>Type_val</t>
  </si>
  <si>
    <t>C_LD</t>
  </si>
  <si>
    <t>Annee</t>
  </si>
  <si>
    <t>C_MD_1</t>
  </si>
  <si>
    <t>C_MD_2</t>
  </si>
  <si>
    <t>C_MD_3</t>
  </si>
  <si>
    <t>C_MD_4</t>
  </si>
  <si>
    <t>C_MD_5</t>
  </si>
  <si>
    <t>C_MD_6</t>
  </si>
  <si>
    <t>C_MD_7</t>
  </si>
  <si>
    <t>C_MD_8</t>
  </si>
  <si>
    <t>C_MD_9</t>
  </si>
  <si>
    <t>C_MD_10</t>
  </si>
  <si>
    <t>C_MD_11</t>
  </si>
  <si>
    <t>C_MD_12</t>
  </si>
  <si>
    <t>C_MD_13</t>
  </si>
  <si>
    <t>C_MD_14</t>
  </si>
  <si>
    <t>C_MD_15</t>
  </si>
  <si>
    <t>C_MD_16</t>
  </si>
  <si>
    <t>C_MD_17</t>
  </si>
  <si>
    <t>C_MD_18</t>
  </si>
  <si>
    <t>C_MD_19</t>
  </si>
  <si>
    <t>C_MD_20</t>
  </si>
  <si>
    <t>CO2e_ST_tot</t>
  </si>
  <si>
    <t>PROJET</t>
  </si>
  <si>
    <t>RECAPITULATIF</t>
  </si>
  <si>
    <t>ST_PRJ_CO2e</t>
  </si>
  <si>
    <t>SQ_PRJ_CO2e</t>
  </si>
  <si>
    <t>ST_REF_CO2e</t>
  </si>
  <si>
    <t>SQ_REF_CO2e</t>
  </si>
  <si>
    <t>CO2e_VE</t>
  </si>
  <si>
    <t>Delta_CO2e</t>
  </si>
  <si>
    <t>EPC</t>
  </si>
  <si>
    <t>DOU</t>
  </si>
  <si>
    <t>PIS</t>
  </si>
  <si>
    <t>FEB</t>
  </si>
  <si>
    <t>ALT</t>
  </si>
  <si>
    <t>BOU</t>
  </si>
  <si>
    <t>CED</t>
  </si>
  <si>
    <t>CHPub</t>
  </si>
  <si>
    <t>CHR</t>
  </si>
  <si>
    <t>COR</t>
  </si>
  <si>
    <t>FRE</t>
  </si>
  <si>
    <t>MEL</t>
  </si>
  <si>
    <t>MER</t>
  </si>
  <si>
    <t>PIM</t>
  </si>
  <si>
    <t>PINA</t>
  </si>
  <si>
    <t>ROB</t>
  </si>
  <si>
    <t>SAP</t>
  </si>
  <si>
    <t>TRE</t>
  </si>
  <si>
    <t>RES</t>
  </si>
  <si>
    <t>FEU</t>
  </si>
  <si>
    <t>BA</t>
  </si>
  <si>
    <t>BR</t>
  </si>
  <si>
    <t>D_max</t>
  </si>
  <si>
    <t>C_BO_sc</t>
  </si>
  <si>
    <t>C_BI_pan</t>
  </si>
  <si>
    <t>C_BI_pap</t>
  </si>
  <si>
    <t>C_BO_ps</t>
  </si>
  <si>
    <t>C_MD</t>
  </si>
  <si>
    <t>C_MD_</t>
  </si>
  <si>
    <t>Niv_eng</t>
  </si>
  <si>
    <t>Acct</t>
  </si>
  <si>
    <t>DeltaC_ST</t>
  </si>
  <si>
    <t>DeltaC_SQ</t>
  </si>
  <si>
    <t>tCO2e</t>
  </si>
  <si>
    <t>%erreur</t>
  </si>
  <si>
    <t>tCO2e/an</t>
  </si>
  <si>
    <t>Année</t>
  </si>
  <si>
    <t>JP_1</t>
  </si>
  <si>
    <t>JP_2</t>
  </si>
  <si>
    <t>JP_3</t>
  </si>
  <si>
    <t>JP_4</t>
  </si>
  <si>
    <t>JP_5</t>
  </si>
  <si>
    <t>JP_6</t>
  </si>
  <si>
    <t>JP_7</t>
  </si>
  <si>
    <t>JP_8</t>
  </si>
  <si>
    <t>JP_9</t>
  </si>
  <si>
    <t>JP_10</t>
  </si>
  <si>
    <t>JP_11</t>
  </si>
  <si>
    <t>JP_12</t>
  </si>
  <si>
    <t>JP_13</t>
  </si>
  <si>
    <t>JP_14</t>
  </si>
  <si>
    <t>JP_15</t>
  </si>
  <si>
    <t>JP_16</t>
  </si>
  <si>
    <t>JP_17</t>
  </si>
  <si>
    <t>JP_18</t>
  </si>
  <si>
    <t>JP_19</t>
  </si>
  <si>
    <t>JP_20</t>
  </si>
  <si>
    <t>CO2e_JP</t>
  </si>
  <si>
    <t>BR_JP</t>
  </si>
  <si>
    <t>BA_JP</t>
  </si>
  <si>
    <r>
      <t xml:space="preserve">On considère que même si des éclaircies sont faites au cours des 30 premières années du JP, le bois est "valorisé" en Bois énergie ou Bois de chauffage, donc la perte de CO2e est immédiate et on peut prendre les tables de production "brutes".
</t>
    </r>
    <r>
      <rPr>
        <i/>
        <sz val="12"/>
        <color theme="0"/>
        <rFont val="Calibri"/>
        <family val="2"/>
        <scheme val="minor"/>
      </rPr>
      <t>Nota : LBC : Feuillus : 100% BE, Peup : connu, Résineux : 100% BI_panneaux, PIM : connu</t>
    </r>
  </si>
  <si>
    <t>FEUILLUS</t>
  </si>
  <si>
    <t>RESINEUX</t>
  </si>
  <si>
    <t>V_Prel_tot</t>
  </si>
  <si>
    <t>%récolté</t>
  </si>
  <si>
    <t>%récolté/Vtot_i</t>
  </si>
  <si>
    <t>%surftot_JP</t>
  </si>
  <si>
    <t>AGE</t>
  </si>
  <si>
    <t>V_av</t>
  </si>
  <si>
    <t>V_prel</t>
  </si>
  <si>
    <t>V_ap</t>
  </si>
  <si>
    <t>Aire de validité : Sologne, utilisable avec prudence au nord de la loire, dans l'Ouest et le Sud du Bassin Parisien</t>
  </si>
  <si>
    <t>Aire de validité : Sud-Est de la France (Alpes de Haute-Provence, Hautes-Alpes, Alpes-Maritimes, Drôme, Vaucluse), utilisable avec prudence dans le Gard, en Lozère...</t>
  </si>
  <si>
    <t>Aire de validité : utilisable avec prudence dans tout le Nord-Est de la France (&lt;900 m d'altitude)</t>
  </si>
  <si>
    <t>Aire de validité : utilisable avec prudence dans tout le Nord-Ouest du Massif Central</t>
  </si>
  <si>
    <t>Aire de validité : utilisable avec prudence dans le Sud-Ouest de la France (hors zones de dunes)</t>
  </si>
  <si>
    <t>Aire de validité : zone méditerranéenne française</t>
  </si>
  <si>
    <t>Aire de validité : utilisable avec prudence dans tout le Nord-Est de la France</t>
  </si>
  <si>
    <t>Aire de validité : utilisable avec prudence dans le Nord-Ouest de la France sous influence atlantique (Normandie)</t>
  </si>
  <si>
    <t>Aire de validité : utilisable avec prudence dans toutes les forêts de chênes de qualité du Centre et de l'Ouest de la France</t>
  </si>
  <si>
    <t>Classe unique</t>
  </si>
  <si>
    <t>Aire de validité : utilisable Pays-de-la-Loire, Bretagne, Centre-Val-de-Loire</t>
  </si>
  <si>
    <t>Aire de validité : Sylviculture dynamique utilisable Grand-Est + Bourgogne</t>
  </si>
  <si>
    <t>Aire de validité : Sylviculture classique utilisable Grand-Est + Bourgogne</t>
  </si>
  <si>
    <t>Peuplier - (Lemoine, RFF XXI -6-1969)</t>
  </si>
  <si>
    <t>Aire de validité : Vallée de la Garonne</t>
  </si>
  <si>
    <t>Peuplier - (Garbaye, )</t>
  </si>
  <si>
    <t>Aire de validité : Nord du Bassin
Parisien</t>
  </si>
  <si>
    <t>CL.1   I214    20/m3/ha/an</t>
  </si>
  <si>
    <t>CL.2   I214    14/m3/ha/an</t>
  </si>
  <si>
    <t>CL.3   I214    8/m3/ha/an</t>
  </si>
  <si>
    <t>CL.1   Robusta    20/m3/ha/an</t>
  </si>
  <si>
    <t>CL.2   Robusta    14/m3/ha/an</t>
  </si>
  <si>
    <t>VF_JP/HA</t>
  </si>
  <si>
    <t>VP_JP/HA</t>
  </si>
  <si>
    <t>VI_JP/HA</t>
  </si>
  <si>
    <t>JP_REF_CO2e</t>
  </si>
  <si>
    <t>JP_PRJ_CO2e</t>
  </si>
  <si>
    <t>DeltaC_JP</t>
  </si>
  <si>
    <t>Risque</t>
  </si>
  <si>
    <t>%surf_JP</t>
  </si>
  <si>
    <t>----&gt;</t>
  </si>
  <si>
    <t>D_min</t>
  </si>
  <si>
    <t>C_prel</t>
  </si>
  <si>
    <t>C_BE</t>
  </si>
  <si>
    <t>C_val</t>
  </si>
  <si>
    <t>Feuillus</t>
  </si>
  <si>
    <t>Résineux</t>
  </si>
  <si>
    <t>Type_Ess</t>
  </si>
  <si>
    <t>Rendements par type de valorisation (moyennes issues de FCBA, recalcul AxB)</t>
  </si>
  <si>
    <t>Public</t>
  </si>
  <si>
    <t>Privé</t>
  </si>
  <si>
    <t>Essence_dom</t>
  </si>
  <si>
    <t>%acc</t>
  </si>
  <si>
    <t>Propriétaire</t>
  </si>
  <si>
    <t>Niv_fertilité</t>
  </si>
  <si>
    <t>Défavorable</t>
  </si>
  <si>
    <t>Non spécifié</t>
  </si>
  <si>
    <t>INPUTS</t>
  </si>
  <si>
    <t>DONNEES_ESSENCE</t>
  </si>
  <si>
    <t>RENDEMENTS</t>
  </si>
  <si>
    <t>TAIFEU</t>
  </si>
  <si>
    <t>A</t>
  </si>
  <si>
    <t>Surface (ha)</t>
  </si>
  <si>
    <t>SF_REF_FR_JP</t>
  </si>
  <si>
    <t>C_MD_REF_FR</t>
  </si>
  <si>
    <t>RECAP_ST_PRJ_FR</t>
  </si>
  <si>
    <t>C_MD_PRJ_FR</t>
  </si>
  <si>
    <r>
      <t xml:space="preserve">ST_PRJ _FR
</t>
    </r>
    <r>
      <rPr>
        <b/>
        <sz val="12"/>
        <color rgb="FFFF0000"/>
        <rFont val="Calibri"/>
        <family val="2"/>
        <scheme val="minor"/>
      </rPr>
      <t>pour toutes les essences</t>
    </r>
  </si>
  <si>
    <t>C02e_FR_RECAP_3 
pour toutes les essences</t>
  </si>
  <si>
    <t>B</t>
  </si>
  <si>
    <t>Surface totale</t>
  </si>
  <si>
    <t>C</t>
  </si>
  <si>
    <t>Nom_terrain</t>
  </si>
  <si>
    <t>D</t>
  </si>
  <si>
    <t>V010</t>
  </si>
  <si>
    <t>V015</t>
  </si>
  <si>
    <t>V020</t>
  </si>
  <si>
    <t>V025</t>
  </si>
  <si>
    <t>V030</t>
  </si>
  <si>
    <t>V035</t>
  </si>
  <si>
    <t>V040</t>
  </si>
  <si>
    <t>V045</t>
  </si>
  <si>
    <t>V050</t>
  </si>
  <si>
    <t>V055</t>
  </si>
  <si>
    <t>V060</t>
  </si>
  <si>
    <t>V065</t>
  </si>
  <si>
    <t>V070</t>
  </si>
  <si>
    <t>V075</t>
  </si>
  <si>
    <t>V080</t>
  </si>
  <si>
    <t>V085</t>
  </si>
  <si>
    <t>V090</t>
  </si>
  <si>
    <t>V095</t>
  </si>
  <si>
    <t>V100</t>
  </si>
  <si>
    <t>V105</t>
  </si>
  <si>
    <t>V110</t>
  </si>
  <si>
    <t>V115</t>
  </si>
  <si>
    <t>V120</t>
  </si>
  <si>
    <t>V125</t>
  </si>
  <si>
    <t>V130</t>
  </si>
  <si>
    <t>V135</t>
  </si>
  <si>
    <t>V140</t>
  </si>
  <si>
    <t>V145</t>
  </si>
  <si>
    <t>V150</t>
  </si>
  <si>
    <t>INITIAL</t>
  </si>
  <si>
    <t>STRATE</t>
  </si>
  <si>
    <t>REG</t>
  </si>
  <si>
    <t>IRR</t>
  </si>
  <si>
    <t>Surf_eli</t>
  </si>
  <si>
    <t>Surf_éli</t>
  </si>
  <si>
    <t>Type_ess</t>
  </si>
  <si>
    <t>V_JP_tot</t>
  </si>
  <si>
    <t>Diam</t>
  </si>
  <si>
    <t>Colonne</t>
  </si>
  <si>
    <t>nom_col</t>
  </si>
  <si>
    <t>UNIQ</t>
  </si>
  <si>
    <t>V_EXP_IRR
aide calculs</t>
  </si>
  <si>
    <t>Aulne glutineux</t>
  </si>
  <si>
    <t>Cèdre de l'Atlas</t>
  </si>
  <si>
    <t>Chêne pubescent</t>
  </si>
  <si>
    <t>Douglas</t>
  </si>
  <si>
    <t>Erable plane</t>
  </si>
  <si>
    <t>Erable sycomore</t>
  </si>
  <si>
    <t>Frêne</t>
  </si>
  <si>
    <t>Hêtre</t>
  </si>
  <si>
    <t>Pin d'Alep</t>
  </si>
  <si>
    <t>Pin laricio</t>
  </si>
  <si>
    <t>Pin maritime</t>
  </si>
  <si>
    <t>Pin sylvestre</t>
  </si>
  <si>
    <t>Robinier</t>
  </si>
  <si>
    <t>Sapin pectiné</t>
  </si>
  <si>
    <t>ESSENCE</t>
  </si>
  <si>
    <t>AURA</t>
  </si>
  <si>
    <t>BRE</t>
  </si>
  <si>
    <t>CVDL</t>
  </si>
  <si>
    <t>GE</t>
  </si>
  <si>
    <t>IDF</t>
  </si>
  <si>
    <t>OCC</t>
  </si>
  <si>
    <t>PDL</t>
  </si>
  <si>
    <r>
      <t>NET</t>
    </r>
    <r>
      <rPr>
        <sz val="12"/>
        <color theme="0"/>
        <rFont val="Calibri (Corps)"/>
      </rPr>
      <t xml:space="preserve"> / Durée de récolte</t>
    </r>
  </si>
  <si>
    <t>AUG</t>
  </si>
  <si>
    <t>Incendie</t>
  </si>
  <si>
    <t>Surface</t>
  </si>
  <si>
    <t>Forêt</t>
  </si>
  <si>
    <t>Type risque</t>
  </si>
  <si>
    <t>%risque</t>
  </si>
  <si>
    <t>Risk_Incendie</t>
  </si>
  <si>
    <t>RISQUE</t>
  </si>
  <si>
    <t>Δréc_Max (m3)</t>
  </si>
  <si>
    <t>Δréc_Min (m3)</t>
  </si>
  <si>
    <t>tCO2e_FF</t>
  </si>
  <si>
    <t>Belgique</t>
  </si>
  <si>
    <t>Luxembourg</t>
  </si>
  <si>
    <t>Cat_ess</t>
  </si>
  <si>
    <t>Cat-Ess</t>
  </si>
  <si>
    <t>Niv_engt</t>
  </si>
  <si>
    <t>CORRESP. (indicatif)</t>
  </si>
  <si>
    <t>VEI (m3)</t>
  </si>
  <si>
    <t>Age</t>
  </si>
  <si>
    <t>Source</t>
  </si>
  <si>
    <t>Vprel_tot_REF</t>
  </si>
  <si>
    <t>Vprel_tot_PRJ</t>
  </si>
  <si>
    <t>m3</t>
  </si>
  <si>
    <t>tCO2e_net_vente</t>
  </si>
  <si>
    <t>CATEGORIES_PRODUITS
SANS BE/BC</t>
  </si>
  <si>
    <t>CATEGORIES_PRODUITS
COMPLET</t>
  </si>
  <si>
    <t>Somme sans BE/BC = 100% (conformément à l'équation (17) du chapitre 5.7.2.1 du référentiel technique GFO de LBF) :</t>
  </si>
  <si>
    <t>SQ_an</t>
  </si>
  <si>
    <t>JP_an</t>
  </si>
  <si>
    <t>ST_an</t>
  </si>
  <si>
    <t>TOTAL</t>
  </si>
  <si>
    <t>Drec</t>
  </si>
  <si>
    <t>%Vrec</t>
  </si>
  <si>
    <t>%Rec_strate</t>
  </si>
  <si>
    <t>Vtot</t>
  </si>
  <si>
    <t>Ess</t>
  </si>
  <si>
    <t>CATEGORIES_PRODUITS
UTILISE</t>
  </si>
  <si>
    <t>CATEGORIES_PRODUITS
SANS BE/BC
UTILISE</t>
  </si>
  <si>
    <t>TOUT SE CALCULE TOUT SEUL À DROITE DE CETTE COLONNE</t>
  </si>
  <si>
    <t>Groupe</t>
  </si>
  <si>
    <t>CALCUL AUTO</t>
  </si>
  <si>
    <t>%fuites_V2</t>
  </si>
  <si>
    <t>Région naturelle</t>
  </si>
  <si>
    <t>AGGLOMERATION LILLOISE</t>
  </si>
  <si>
    <t>AGGLOMERATION LYONNAISE</t>
  </si>
  <si>
    <t>ALBERES ET COTE ROCHEUSE</t>
  </si>
  <si>
    <t>ALBIGEOIS CASTRAIS ET GAILLACOIS</t>
  </si>
  <si>
    <t>ALPES NICOISES</t>
  </si>
  <si>
    <t>ALPILLES</t>
  </si>
  <si>
    <t>ARDENNE PRIMAIRE</t>
  </si>
  <si>
    <t>ARGONNE</t>
  </si>
  <si>
    <t>ARTENSE</t>
  </si>
  <si>
    <t>ASPRES</t>
  </si>
  <si>
    <t>ASTARAC</t>
  </si>
  <si>
    <t>AUBRAC</t>
  </si>
  <si>
    <t>AVANT-CAUSSES</t>
  </si>
  <si>
    <t>AVANT-MONTS DU LANGUEDOC</t>
  </si>
  <si>
    <t>AVANT-MONTS JURASSIENS</t>
  </si>
  <si>
    <t>BALAGNE</t>
  </si>
  <si>
    <t>BARONNIES</t>
  </si>
  <si>
    <t>BARROIS</t>
  </si>
  <si>
    <t>BAS-ADOUR ET CHALOSSE</t>
  </si>
  <si>
    <t>BAS-ARMAGNAC</t>
  </si>
  <si>
    <t>BAS-DRAC - TRIEVES - BEAUMONT</t>
  </si>
  <si>
    <t>BAS-MAINE</t>
  </si>
  <si>
    <t>BAS-PAYS DE FLANDRE</t>
  </si>
  <si>
    <t>BAS-VIVARAIS</t>
  </si>
  <si>
    <t>BASSE VALLEE DE L'AIN ET PLAINE DU BAS-DAUPHINE</t>
  </si>
  <si>
    <t>BASSE-CHATAIGNERAIE AUVERGNATE</t>
  </si>
  <si>
    <t>BASSE-COMBRAILLE</t>
  </si>
  <si>
    <t>BASSE-MARCHE</t>
  </si>
  <si>
    <t>BASSES COLLINES DE NORMANDIE</t>
  </si>
  <si>
    <t>BASSES MONTAGNES BASQUES</t>
  </si>
  <si>
    <t>BASSES-CEVENNES</t>
  </si>
  <si>
    <t>BASSES-VOSGES GRESEUSES</t>
  </si>
  <si>
    <t>BASSIGNY - AMANCE ET ANNEXES</t>
  </si>
  <si>
    <t>BASSIN D'APT</t>
  </si>
  <si>
    <t>BASSIN D'AURILLAC</t>
  </si>
  <si>
    <t>BASSIN DE BRIVE</t>
  </si>
  <si>
    <t>BASSIN DE L'ARC</t>
  </si>
  <si>
    <t>BASSIN DE RENNES ET PLATEAU-EST</t>
  </si>
  <si>
    <t>BASSIN HOUILLER DU NORD</t>
  </si>
  <si>
    <t>BASSINS DU PUY ET DE SAINT-ETIENNE</t>
  </si>
  <si>
    <t>BAUGEOIS</t>
  </si>
  <si>
    <t>BAUGES</t>
  </si>
  <si>
    <t>BAZADAIS</t>
  </si>
  <si>
    <t>BEAUCE</t>
  </si>
  <si>
    <t>BEAUJOLAIS VITICOLE ET COTES DE BOURGOGNE</t>
  </si>
  <si>
    <t>BELLEDONNE - BASSES MAURIENNE ET TARENTAISE</t>
  </si>
  <si>
    <t>BOCAGE ANGEVIN</t>
  </si>
  <si>
    <t>BOCAGE NORMAND</t>
  </si>
  <si>
    <t>BOCAGE VENDEEN ET GATINE-BOCAGE</t>
  </si>
  <si>
    <t>BOISCHAUT-SUD ET BOCAGE BOURBONNAIS</t>
  </si>
  <si>
    <t>BORDURE AUBRAC</t>
  </si>
  <si>
    <t>BORDURE MONTAGNEUSE DE L'EYRIEUX</t>
  </si>
  <si>
    <t>BORDURE SOUS-PYRENEENNE</t>
  </si>
  <si>
    <t>BORNES - ARAVIS</t>
  </si>
  <si>
    <t>BOULONNAIS</t>
  </si>
  <si>
    <t>BRANDES</t>
  </si>
  <si>
    <t>BRENNE</t>
  </si>
  <si>
    <t>BRESSE</t>
  </si>
  <si>
    <t>BRETAGNE CENTRALE</t>
  </si>
  <si>
    <t>BRETAGNE-NORD</t>
  </si>
  <si>
    <t>BRETAGNE-OUEST</t>
  </si>
  <si>
    <t>BRETAGNE-SUD</t>
  </si>
  <si>
    <t>BRIANCONNAIS</t>
  </si>
  <si>
    <t>BRIE</t>
  </si>
  <si>
    <t>BRIVADOIS</t>
  </si>
  <si>
    <t>BUGEY CENTRAL</t>
  </si>
  <si>
    <t>BUGEY MERIDIONAL ET ILE CREMIEU</t>
  </si>
  <si>
    <t>CAMARES</t>
  </si>
  <si>
    <t>CAMARGUE</t>
  </si>
  <si>
    <t>CAMBRESIS</t>
  </si>
  <si>
    <t>CAMPAGNES DE NORMANDIE</t>
  </si>
  <si>
    <t>CANTAL - CEZALLIER</t>
  </si>
  <si>
    <t>CAP CORSE</t>
  </si>
  <si>
    <t>CAPCIR</t>
  </si>
  <si>
    <t>CASTAGNICCIA</t>
  </si>
  <si>
    <t>CAUSSES</t>
  </si>
  <si>
    <t>CAUX MERIDIONAL ET PAYS DE LYONS</t>
  </si>
  <si>
    <t>CERDAGNE</t>
  </si>
  <si>
    <t>CHABLAIS</t>
  </si>
  <si>
    <t>CHAINONS CALCAIRES MERIDIONAUX</t>
  </si>
  <si>
    <t>CHAMPAGNE BERRICHONNE</t>
  </si>
  <si>
    <t>CHAMPAGNE CRAYEUSE</t>
  </si>
  <si>
    <t>CHAMPAGNE DU MAINE</t>
  </si>
  <si>
    <t>CHAMPAGNE HUMIDE</t>
  </si>
  <si>
    <t>CHAMPAGNES CHARENTAISES</t>
  </si>
  <si>
    <t>CHAMPEIGNE</t>
  </si>
  <si>
    <t>CHAMPSAUR</t>
  </si>
  <si>
    <t>CHAROLAIS ET ANNEXES</t>
  </si>
  <si>
    <t>CHARTREUSE</t>
  </si>
  <si>
    <t>CHATAIGNERAIE LIMOUSINE</t>
  </si>
  <si>
    <t>CINTO - ROTONDO</t>
  </si>
  <si>
    <t>CLUNISOIS</t>
  </si>
  <si>
    <t>COLLINES BOCAINES</t>
  </si>
  <si>
    <t>COLLINES D'ARTOIS</t>
  </si>
  <si>
    <t>COLLINES ET PLATEAU DE VALENSOLE</t>
  </si>
  <si>
    <t>COLLINES RHODANIENNES</t>
  </si>
  <si>
    <t>COLLINES SOUS-VOSGIENNES EST</t>
  </si>
  <si>
    <t>COLLINES SOUS-VOSGIENNES OUEST</t>
  </si>
  <si>
    <t>COLLINES SOUS-VOSGIENNES SUD</t>
  </si>
  <si>
    <t>COMTAT</t>
  </si>
  <si>
    <t>CONFLENT</t>
  </si>
  <si>
    <t>CORBIERES MERIDIONALES</t>
  </si>
  <si>
    <t>CORBIERES OCCIDENTALES</t>
  </si>
  <si>
    <t>CORBIERES ORIENTALES ET CLAPE</t>
  </si>
  <si>
    <t>COSTIERES ET VALLEE DU RHONE</t>
  </si>
  <si>
    <t>COTEAUX BASQUES</t>
  </si>
  <si>
    <t>COTEAUX DE BASSE-DURANCE</t>
  </si>
  <si>
    <t>COTEAUX DE MONCLAR</t>
  </si>
  <si>
    <t>COTEAUX DES GAVES</t>
  </si>
  <si>
    <t>COTEAUX DU NORD-BEARN</t>
  </si>
  <si>
    <t>COTEAUX DU NORD-VIVARAIS</t>
  </si>
  <si>
    <t>COTEAUX DU SARTENAIS OCCIDENTAL</t>
  </si>
  <si>
    <t>COTEAUX NICOIS</t>
  </si>
  <si>
    <t>COTEAUX PRE-JURASSIENS</t>
  </si>
  <si>
    <t>COTES ET COLLINES DE MEUSE</t>
  </si>
  <si>
    <t>DEPRESSION VAROISE</t>
  </si>
  <si>
    <t>DEPRESSIONS ARDENNAISES</t>
  </si>
  <si>
    <t>DEUXIEME PLATEAU DU JURA</t>
  </si>
  <si>
    <t>DEVES</t>
  </si>
  <si>
    <t>DEVOLUY</t>
  </si>
  <si>
    <t>DIOIS</t>
  </si>
  <si>
    <t>DOMBES</t>
  </si>
  <si>
    <t>DOUBLE ET LANDAIS</t>
  </si>
  <si>
    <t>DUNES D'ENTRE LOIRE ET GIRONDE</t>
  </si>
  <si>
    <t>DUNES LITTORALES DE GASCOGNE</t>
  </si>
  <si>
    <t>EMBRUNAIS</t>
  </si>
  <si>
    <t>ENTRE JURA ET SAVOIE</t>
  </si>
  <si>
    <t>ESTEREL</t>
  </si>
  <si>
    <t>FENOUILLEDES</t>
  </si>
  <si>
    <t>FLANDRE INTERIEURE</t>
  </si>
  <si>
    <t>FLANDRE MARITIME</t>
  </si>
  <si>
    <t>FRONT PYRENEEN</t>
  </si>
  <si>
    <t>GAPENCAIS</t>
  </si>
  <si>
    <t>GARRIGUES</t>
  </si>
  <si>
    <t>GASCOGNE CENTRALE</t>
  </si>
  <si>
    <t>GASCOGNE ORIENTALE</t>
  </si>
  <si>
    <t>GATINAIS</t>
  </si>
  <si>
    <t>GATINE NORD-TOURANGELLE</t>
  </si>
  <si>
    <t>GATINE SUD-TOURANGELLE ET BOISCHAUT-NORD</t>
  </si>
  <si>
    <t>GRANDE SOLOGNE</t>
  </si>
  <si>
    <t>GRANDS CAUSSES</t>
  </si>
  <si>
    <t>GROIES</t>
  </si>
  <si>
    <t>HAINAUT ET THIERACHE</t>
  </si>
  <si>
    <t>HARDT</t>
  </si>
  <si>
    <t>HAUT-DIOIS ET BOCHAINE</t>
  </si>
  <si>
    <t>HAUT-JURA</t>
  </si>
  <si>
    <t>HAUT-VAR</t>
  </si>
  <si>
    <t>HAUT-VERDON ET HAUTE-BLEONE</t>
  </si>
  <si>
    <t>HAUTE CHAINE PYRENEENNE</t>
  </si>
  <si>
    <t>HAUTE-CHATAIGNERAIE AUVERGNATE</t>
  </si>
  <si>
    <t>HAUTE-COMBRAILLE</t>
  </si>
  <si>
    <t>HAUTE-TINEE</t>
  </si>
  <si>
    <t>HAUTES COLLINES DE NORMANDIE</t>
  </si>
  <si>
    <t>HAUTES-CEVENNES</t>
  </si>
  <si>
    <t>HAUTES-VOSGES GRESEUSES</t>
  </si>
  <si>
    <t>HAUTEURS DE GATINE</t>
  </si>
  <si>
    <t>LANNEMEZAN</t>
  </si>
  <si>
    <t>LAURAGAIS</t>
  </si>
  <si>
    <t>LEVEZOU</t>
  </si>
  <si>
    <t>LIEUVIN</t>
  </si>
  <si>
    <t>LIVRADOIS</t>
  </si>
  <si>
    <t>LUBERON</t>
  </si>
  <si>
    <t>LUGDARES ET MAZAN</t>
  </si>
  <si>
    <t>MAINE BLANC</t>
  </si>
  <si>
    <t>MAINE ROUX</t>
  </si>
  <si>
    <t>MARAIS LITTORAUX</t>
  </si>
  <si>
    <t>MARCHE DE COMBRAILLE</t>
  </si>
  <si>
    <t>MARENSIN</t>
  </si>
  <si>
    <t>MARGERIDE</t>
  </si>
  <si>
    <t>MARQUENTERRE</t>
  </si>
  <si>
    <t>MAUGES</t>
  </si>
  <si>
    <t>MAURES ET BORDURE PERMIENNE</t>
  </si>
  <si>
    <t>MAURIENNE</t>
  </si>
  <si>
    <t>MEZENC - MEYGAL ET SUCS</t>
  </si>
  <si>
    <t>MONT PILAT ET BOUTIERES</t>
  </si>
  <si>
    <t>MONTAGNE BOURGUIGNONNE</t>
  </si>
  <si>
    <t>MONTAGNE DE LURE</t>
  </si>
  <si>
    <t>MONTAGNE NOIRE</t>
  </si>
  <si>
    <t>MONTMORELIEN</t>
  </si>
  <si>
    <t>MONTS DE LACAUNE - SOMMAIL - ESPINOUSE</t>
  </si>
  <si>
    <t>MONTS DOME</t>
  </si>
  <si>
    <t>MONTS DU BEAUJOLAIS</t>
  </si>
  <si>
    <t>MONTS DU FOREZ</t>
  </si>
  <si>
    <t>MONTS DU LYONNAIS</t>
  </si>
  <si>
    <t>MORVAN</t>
  </si>
  <si>
    <t>MOYENNE COMBRAILLE</t>
  </si>
  <si>
    <t>NEBBIO ET PAYS DE TENDE</t>
  </si>
  <si>
    <t>NORD-COTENTIN</t>
  </si>
  <si>
    <t>NYONSAIS</t>
  </si>
  <si>
    <t>OISANS</t>
  </si>
  <si>
    <t>ORLEANAIS</t>
  </si>
  <si>
    <t>PAYS D'AUGE</t>
  </si>
  <si>
    <t>PAYS D'OTHE</t>
  </si>
  <si>
    <t>PAYS D'OUCHE</t>
  </si>
  <si>
    <t>PAYS DE BELFORT ET DE MONTBELIARD</t>
  </si>
  <si>
    <t>PAYS DE BRAY</t>
  </si>
  <si>
    <t>PAYS DE CAUX</t>
  </si>
  <si>
    <t>PAYS DE SAULT</t>
  </si>
  <si>
    <t>PAYS DE THELLE ET VEXIN FRANCAIS</t>
  </si>
  <si>
    <t>PAYS DES SERRES</t>
  </si>
  <si>
    <t>PAYS DES YVELINES ET DE FONTAINEBLEAU</t>
  </si>
  <si>
    <t>PAYS DU MONT-BLANC ET BEAUFORTIN</t>
  </si>
  <si>
    <t>PAYS-FORT</t>
  </si>
  <si>
    <t>PAYS-HAUT</t>
  </si>
  <si>
    <t>PENTES INTERMEDIAIRES JURASSIENNES</t>
  </si>
  <si>
    <t>PERCHE</t>
  </si>
  <si>
    <t>PERCHE GOUET ET PERCHE VENDOMOIS</t>
  </si>
  <si>
    <t>PERIGORD BLANC</t>
  </si>
  <si>
    <t>PERIGORD NOIR</t>
  </si>
  <si>
    <t>PETIT CAUX</t>
  </si>
  <si>
    <t>PETITE MONTAGNE JURASSIENNE</t>
  </si>
  <si>
    <t>PETITES PYRENEES ET PLANTAUREL</t>
  </si>
  <si>
    <t>PICARDIE VERTE</t>
  </si>
  <si>
    <t>PLAIN ET BESSIN</t>
  </si>
  <si>
    <t>PLAINE CORSE ORIENTALE</t>
  </si>
  <si>
    <t>PLAINE D'ARTOIS</t>
  </si>
  <si>
    <t>PLAINE DE HAGUENAU</t>
  </si>
  <si>
    <t>PLAINE DE L'ILL</t>
  </si>
  <si>
    <t>PLAINE DE LA CRAU</t>
  </si>
  <si>
    <t>PLAINE DU FOREZ</t>
  </si>
  <si>
    <t>PLAINE DU RHONE</t>
  </si>
  <si>
    <t>PLAINE DU ROUSSILLON</t>
  </si>
  <si>
    <t>PLAINE ET COLLINES DU MOYEN-ADOUR</t>
  </si>
  <si>
    <t>PLAINE VITICOLE DE L'AUDE ET DE L'HERAULT</t>
  </si>
  <si>
    <t>PLAINES DE THOUARS ET DE MONCONTOUR</t>
  </si>
  <si>
    <t>PLAINES ET COTEAUX DU PAYS D'AJACCIO</t>
  </si>
  <si>
    <t>PLAINES PREMORVANDELLES</t>
  </si>
  <si>
    <t>PLAINES VENDEENNE ET NIORTAISE</t>
  </si>
  <si>
    <t>PLANEZE DE SAINT-FLOUR</t>
  </si>
  <si>
    <t>PLANS ET PIEMONT DE HAUTE-PROVENCE</t>
  </si>
  <si>
    <t>PLATEAU BOURGUIGNON CENTRAL</t>
  </si>
  <si>
    <t>PLATEAU BOURGUIGNON NORD</t>
  </si>
  <si>
    <t>PLATEAU BOURGUIGNON SUD</t>
  </si>
  <si>
    <t>PLATEAU CALAISIEN</t>
  </si>
  <si>
    <t>PLATEAU DE HAYE</t>
  </si>
  <si>
    <t>PLATEAU DE L'AUTUNOIS</t>
  </si>
  <si>
    <t>PLATEAU DE LAMBESC - ARBOIS</t>
  </si>
  <si>
    <t>PLATEAU DE LANGRES</t>
  </si>
  <si>
    <t>PLATEAU DE MILLEVACHES</t>
  </si>
  <si>
    <t>PLATEAU DES BARS-NORD</t>
  </si>
  <si>
    <t>PLATEAU DES BARS-SUD</t>
  </si>
  <si>
    <t>PLATEAU DU LYONNAIS</t>
  </si>
  <si>
    <t>PLATEAU HAUT-SAONOIS</t>
  </si>
  <si>
    <t>PLATEAU LANDAIS</t>
  </si>
  <si>
    <t>PLATEAU LIMOUSIN</t>
  </si>
  <si>
    <t>PLATEAU LORRAIN</t>
  </si>
  <si>
    <t>PLATEAU NIVERNAIS</t>
  </si>
  <si>
    <t>PLATEAU PICARD</t>
  </si>
  <si>
    <t>PLATEAUX BOISES NANTAIS</t>
  </si>
  <si>
    <t>PLATEAUX DE NEUBOURG DE SAINT-ANDRE ET DROUAIS</t>
  </si>
  <si>
    <t>PLATEAUX DE PROVENCE</t>
  </si>
  <si>
    <t>PLATEAUX ET COLLINES DU BAS-DAUPHINE</t>
  </si>
  <si>
    <t>PLATEAUX ET MONTS DE VAUCLUSE</t>
  </si>
  <si>
    <t>PLATEAUX FOREZIEN ET GRANITIQUE</t>
  </si>
  <si>
    <t>PONTHIEU</t>
  </si>
  <si>
    <t>PREALPES DE DIGNE</t>
  </si>
  <si>
    <t>PREALPES DE HAUTE-PROVENCE</t>
  </si>
  <si>
    <t>PREALPES NICOISES</t>
  </si>
  <si>
    <t>PREMIER PLATEAU DU JURA</t>
  </si>
  <si>
    <t>PREMIERE CRETE ARDENNAISE</t>
  </si>
  <si>
    <t>PUISAYE</t>
  </si>
  <si>
    <t>QUERIGUT</t>
  </si>
  <si>
    <t>QUEYRAS</t>
  </si>
  <si>
    <t>RAZES ET PIEGE</t>
  </si>
  <si>
    <t>REGION DE FOUGERES - DOL</t>
  </si>
  <si>
    <t>RENOSO - INCUDINE</t>
  </si>
  <si>
    <t>RICHELAIS ET LOUDUNAIS - CHATELLERAUDAIS</t>
  </si>
  <si>
    <t>ROSANNAIS</t>
  </si>
  <si>
    <t>ROUMOIS</t>
  </si>
  <si>
    <t>SAINT-QUENTINOIS</t>
  </si>
  <si>
    <t>SAINTONGE CENTRALE</t>
  </si>
  <si>
    <t>SANTERRE</t>
  </si>
  <si>
    <t>SARTENAIS ORIENTAL</t>
  </si>
  <si>
    <t>SAUMUROIS</t>
  </si>
  <si>
    <t>SECONDE CRETE ARDENNAISE</t>
  </si>
  <si>
    <t>SEGALA</t>
  </si>
  <si>
    <t>SILLON DE CORTE</t>
  </si>
  <si>
    <t>SOISSONNAIS</t>
  </si>
  <si>
    <t>SOLOGNE BOURBONNAISE</t>
  </si>
  <si>
    <t>SOLOGNE VITICOLE</t>
  </si>
  <si>
    <t>SUNDGAU</t>
  </si>
  <si>
    <t>TARDENOIS</t>
  </si>
  <si>
    <t>TARENTAISE</t>
  </si>
  <si>
    <t>TERREFORT DU DROPT</t>
  </si>
  <si>
    <t>TERRES ROUGES</t>
  </si>
  <si>
    <t>TRICASTIN</t>
  </si>
  <si>
    <t>UBAYE</t>
  </si>
  <si>
    <t>VAL D'ALLIER ET LIMAGNES</t>
  </si>
  <si>
    <t>VAL D'ANJOU</t>
  </si>
  <si>
    <t>VAL DE LOIRE</t>
  </si>
  <si>
    <t>VALGAUDEMAR</t>
  </si>
  <si>
    <t>VALLEE DE L'EYRIEUX</t>
  </si>
  <si>
    <t>VALLEE DE L'ISERE ET PIEMONTS</t>
  </si>
  <si>
    <t>VALLEE DE LA SEINE</t>
  </si>
  <si>
    <t>VALLEE DU RHIN</t>
  </si>
  <si>
    <t>VALLEES DE LA GARONNE ET AFFLUENTS</t>
  </si>
  <si>
    <t>VALLEES DE LA MARNE SEINE ET AFFLUENTS</t>
  </si>
  <si>
    <t>VALLEES ET PLAINE DE LA SAONE ET AFFLUENTS</t>
  </si>
  <si>
    <t>VALLESPIR</t>
  </si>
  <si>
    <t>VALOIS ET VIEILLE FRANCE</t>
  </si>
  <si>
    <t>VENTOUX</t>
  </si>
  <si>
    <t>VERCORS</t>
  </si>
  <si>
    <t>VEXIN NORMAND</t>
  </si>
  <si>
    <t>VIMEU</t>
  </si>
  <si>
    <t>VOGE</t>
  </si>
  <si>
    <t>VOLVESTRE ET COTEAUX DE L'ARIEGE</t>
  </si>
  <si>
    <t>VOSGES CRISTALLINES</t>
  </si>
  <si>
    <t>WARNDT</t>
  </si>
  <si>
    <t>WOEVRE ET ANNEXES</t>
  </si>
  <si>
    <t>Cat_Ess</t>
  </si>
  <si>
    <t>RiskEss_choisi</t>
  </si>
  <si>
    <t>INFOS STRATE</t>
  </si>
  <si>
    <t>VOLUMES ELIGIBLES</t>
  </si>
  <si>
    <t>ESSENCE_REGE</t>
  </si>
  <si>
    <t>V_ess_maj</t>
  </si>
  <si>
    <t>Vol_tot</t>
  </si>
  <si>
    <t>DUREES_VIE_PRODUITS</t>
  </si>
  <si>
    <t>RISK_GOUVERNANCE</t>
  </si>
  <si>
    <t>DIAMETRE_EXPLOITABILITE</t>
  </si>
  <si>
    <t>FACTEUR_FUITES_MARCHE</t>
  </si>
  <si>
    <t>AUTO_
RESULTATS AUDIT
(basé sur l'onglet VOL_initial)</t>
  </si>
  <si>
    <t>AUTO VOLUMES TOTAUX
(POUR IRREGULIER)</t>
  </si>
  <si>
    <t>AUTO CALCUL DES VOLUMES INCOMPRESSIBLES (BM =&gt; GB pendant le contrat)</t>
  </si>
  <si>
    <t>INFOS_STRATES</t>
  </si>
  <si>
    <t>facteur de renouvellement de la réf. (k)</t>
  </si>
  <si>
    <t>EVOLUTION DE LA BIOMASSE DANS LE PEUPLEMENT ÉLIGIBLE</t>
  </si>
  <si>
    <t>EVOLUTION DE LA BIOMASSE DANS LA RÉGÉNÉRATION</t>
  </si>
  <si>
    <t>VALORISATION DU CARBONE DANS LES PRODUITS BOIS (STOCKAGE)</t>
  </si>
  <si>
    <t>Surf_sans régé_début année</t>
  </si>
  <si>
    <t>Surf_new_régé_année</t>
  </si>
  <si>
    <t>Surf_régé_cumul</t>
  </si>
  <si>
    <t>Surf_sans régé_fin année</t>
  </si>
  <si>
    <t>RYTHME DE DÉGRADATION DU CARBONE DES PRODUITS BOIS</t>
  </si>
  <si>
    <t>STRATE A</t>
  </si>
  <si>
    <t>RECAP CO2E PAR SCÉNARIO ET PAR COMPARTIMENT</t>
  </si>
  <si>
    <t>RÉCAP ∆CO2E PAR COMPARTIMENT</t>
  </si>
  <si>
    <t>∆CO2E PAR SCÉNARIO</t>
  </si>
  <si>
    <t>∆CO2E PAR COMPARTIMENT</t>
  </si>
  <si>
    <t>REPORT DE VOLUMES (M3) POUR LE GRAPHIQUE D'ÉVOLUTION DU PEUPLEMENT ÉLIGIBLE INITIAL (LIGNES 400)</t>
  </si>
  <si>
    <t>STRATE B</t>
  </si>
  <si>
    <t>STRATE C</t>
  </si>
  <si>
    <t>STRATE D</t>
  </si>
  <si>
    <t>ORANGE</t>
  </si>
  <si>
    <t>GRIS</t>
  </si>
  <si>
    <t>JAUNE</t>
  </si>
  <si>
    <t>VERT</t>
  </si>
  <si>
    <t>VIOLET</t>
  </si>
  <si>
    <t>ROUGE</t>
  </si>
  <si>
    <t>ADDITIONNALITÉ (ANNUEL) PAR SCÉNARIO ET PAR COMPARTIMENT</t>
  </si>
  <si>
    <t>∆CO2e_SQ_an</t>
  </si>
  <si>
    <t>∆CO2e_JP_an</t>
  </si>
  <si>
    <t>∆CO2e_ST_an</t>
  </si>
  <si>
    <t>SQ (ppts éligibles)</t>
  </si>
  <si>
    <t>JP (régé)</t>
  </si>
  <si>
    <t>ST (produits bois)</t>
  </si>
  <si>
    <t>∆CO2e_tot_an</t>
  </si>
  <si>
    <t>tCO2e_RNP</t>
  </si>
  <si>
    <t>tCO2e_INC</t>
  </si>
  <si>
    <t>BRUT (avt décotes)</t>
  </si>
  <si>
    <t>tCO2e_net_an</t>
  </si>
  <si>
    <t>Item</t>
  </si>
  <si>
    <t>Cumul total</t>
  </si>
  <si>
    <t>FF (fuites)</t>
  </si>
  <si>
    <t>INC (erreur)</t>
  </si>
  <si>
    <t>RNP (tampon)</t>
  </si>
  <si>
    <t>CC_NET (tCO2e)</t>
  </si>
  <si>
    <t>REPORTS</t>
  </si>
  <si>
    <t>% RNP (tampon)</t>
  </si>
  <si>
    <t>% erreur (INC)</t>
  </si>
  <si>
    <t>% fuites marché (FF)</t>
  </si>
  <si>
    <t>CALCUL DU FACTEUR DE FUITES DE MARCHÉ POUR LA PROPRIÉTÉ</t>
  </si>
  <si>
    <t>CALCUL DU RISQUE DE NON-PERMANENCE POUR LA PROPRIÉTÉ</t>
  </si>
  <si>
    <t>CALCUL DU VOLUME MANQUANT</t>
  </si>
  <si>
    <t>VOLUME MANQUANT</t>
  </si>
  <si>
    <t>FACTEUR DE FUITES (FF)</t>
  </si>
  <si>
    <t>RISQUE NP TOTAL</t>
  </si>
  <si>
    <t>NIVEAU ENGAGEMENT</t>
  </si>
  <si>
    <t>- FUITES</t>
  </si>
  <si>
    <t>- INC</t>
  </si>
  <si>
    <t>- RNP</t>
  </si>
  <si>
    <t>(unité)</t>
  </si>
  <si>
    <t>VEI</t>
  </si>
  <si>
    <t>DÉCOTE FUITES</t>
  </si>
  <si>
    <t>DÉCOTE INCERTITUDE</t>
  </si>
  <si>
    <t>DÉCOTE TAMPON</t>
  </si>
  <si>
    <t>CO2E_BRUT</t>
  </si>
  <si>
    <t>CO2E_NET</t>
  </si>
  <si>
    <t>BILAN INDIVIDUEL PAR STRATE</t>
  </si>
  <si>
    <t>SOIT :</t>
  </si>
  <si>
    <t>BILAN
FORÊT</t>
  </si>
  <si>
    <t>Vol_manquant (m3)</t>
  </si>
  <si>
    <t>Ce calculateur automatisé a été développé par La Belle Forêt</t>
  </si>
  <si>
    <t>ESS_MAJ</t>
  </si>
  <si>
    <t>VOL_TOT</t>
  </si>
  <si>
    <t>REPORT VOL_INITIAL</t>
  </si>
  <si>
    <t>VOL_MAJ</t>
  </si>
  <si>
    <t>DÉTERMINATION DE L'ESSENCE MAJORITAIRE</t>
  </si>
  <si>
    <t>NOM DE LA SOURCE DE LA TABLE :</t>
  </si>
  <si>
    <t>Acct (%)</t>
  </si>
  <si>
    <t>Mélèze d'Europe</t>
  </si>
  <si>
    <t>DOUGLAS</t>
  </si>
  <si>
    <t>SAPIN PECTINÉ</t>
  </si>
  <si>
    <t>MÉLÈZES</t>
  </si>
  <si>
    <t>PIN SYLVESTRE</t>
  </si>
  <si>
    <t>PINS NOIRS</t>
  </si>
  <si>
    <t>ÉPICÉA</t>
  </si>
  <si>
    <t>CÈDRE</t>
  </si>
  <si>
    <t>PIN MARITIME</t>
  </si>
  <si>
    <t>HÊTRE</t>
  </si>
  <si>
    <t>CHÊNE CONTINENTAL</t>
  </si>
  <si>
    <t>CHÊNE ATLANTIQUE</t>
  </si>
  <si>
    <t>CHÂTAIGNIER</t>
  </si>
  <si>
    <t>PEUPLIERS</t>
  </si>
  <si>
    <r>
      <t xml:space="preserve">CHÊNE LIGÉRIEN </t>
    </r>
    <r>
      <rPr>
        <sz val="36"/>
        <color theme="1"/>
        <rFont val="Calibri (Corps)"/>
      </rPr>
      <t>(QUALITÉ CENTRE-OUEST)</t>
    </r>
  </si>
  <si>
    <t>Région_naturelle</t>
  </si>
  <si>
    <t>Région_admin</t>
  </si>
  <si>
    <t>Surf_boisée_tot</t>
  </si>
  <si>
    <t>Type_propriété</t>
  </si>
  <si>
    <t xml:space="preserve">CODE COULEUR DES EN-TÊTE DE TABLEAUX </t>
  </si>
  <si>
    <t>DANS LES ONGLETS "STRATE"</t>
  </si>
  <si>
    <t xml:space="preserve">informations et caractéristiques générales de la strate - état initial + essence de régé </t>
  </si>
  <si>
    <r>
      <t xml:space="preserve">modélisation du scénario de </t>
    </r>
    <r>
      <rPr>
        <b/>
        <u/>
        <sz val="12"/>
        <color theme="1"/>
        <rFont val="Calibri (Corps)"/>
      </rPr>
      <t>projet</t>
    </r>
    <r>
      <rPr>
        <sz val="12"/>
        <color theme="1"/>
        <rFont val="Calibri"/>
        <family val="2"/>
        <scheme val="minor"/>
      </rPr>
      <t xml:space="preserve"> (évolution de la quantité de carbone dans les 3 compartiments définis par la méthode)</t>
    </r>
  </si>
  <si>
    <r>
      <t xml:space="preserve">modélisation du scénario de </t>
    </r>
    <r>
      <rPr>
        <b/>
        <u/>
        <sz val="12"/>
        <color theme="1"/>
        <rFont val="Calibri (Corps)"/>
      </rPr>
      <t>référence</t>
    </r>
    <r>
      <rPr>
        <sz val="12"/>
        <color theme="1"/>
        <rFont val="Calibri"/>
        <family val="2"/>
        <scheme val="minor"/>
      </rPr>
      <t xml:space="preserve"> (évolution de la quantité de carbone dans les 3 compartiments définis par la méthode)</t>
    </r>
  </si>
  <si>
    <t>résultats : comparaison projet - référence, additionnalité</t>
  </si>
  <si>
    <t>INFOS_FORET</t>
  </si>
  <si>
    <t>INFOS_PAR_ESSENCE</t>
  </si>
  <si>
    <t>A_ESS_1</t>
  </si>
  <si>
    <t>A_ESS_2</t>
  </si>
  <si>
    <t>A_ESS_3</t>
  </si>
  <si>
    <t>A_ESS_4</t>
  </si>
  <si>
    <t>RECAP_SQ_PRJ_A</t>
  </si>
  <si>
    <t>SF_PRJ_JP_TROUEES</t>
  </si>
  <si>
    <t>SQ_PRJ_FR_JP</t>
  </si>
  <si>
    <t>ST_PRJ_FR_ESS_2</t>
  </si>
  <si>
    <t>ST_PRJ_FR_ESS_1</t>
  </si>
  <si>
    <t>ST_PRJ_FR_ESS_3</t>
  </si>
  <si>
    <t>ST_PRJ_FR_ESS_4</t>
  </si>
  <si>
    <t>Type_ppt</t>
  </si>
  <si>
    <t>FIRR</t>
  </si>
  <si>
    <t>MFT_IRR</t>
  </si>
  <si>
    <t>MFT_REG</t>
  </si>
  <si>
    <t>FRF</t>
  </si>
  <si>
    <t>SCÉNARIO RÉFÉRENCE SPÉCIFIQUE</t>
  </si>
  <si>
    <t>ESS_1</t>
  </si>
  <si>
    <t>ESS_2</t>
  </si>
  <si>
    <t>ESS_3</t>
  </si>
  <si>
    <t>ESS_4</t>
  </si>
  <si>
    <t>RYTHME RÉGÉ / RASE</t>
  </si>
  <si>
    <t>Surf_max</t>
  </si>
  <si>
    <t>RYTHME RÉCOLTE EN SURFACE</t>
  </si>
  <si>
    <t>STRATES RÉGULIER</t>
  </si>
  <si>
    <t>strate</t>
  </si>
  <si>
    <t>Régulier</t>
  </si>
  <si>
    <t>Surf</t>
  </si>
  <si>
    <t>%Surf_régulier</t>
  </si>
  <si>
    <t>%Surf_rég</t>
  </si>
  <si>
    <t>V_non_récoltable (m3)</t>
  </si>
  <si>
    <t>VR</t>
  </si>
  <si>
    <t>VE_REF</t>
  </si>
  <si>
    <t>VE_PRJ</t>
  </si>
  <si>
    <t>Vol_non récoltable</t>
  </si>
  <si>
    <t>Vol_tot_Référence</t>
  </si>
  <si>
    <t>Vol_tot_Projet</t>
  </si>
  <si>
    <t>Chêne (sessile) - CAPSIS - Fertilité 1 - 2000 tiges/ha</t>
  </si>
  <si>
    <t>CO2e_REF</t>
  </si>
  <si>
    <t>CO2e_PRJ</t>
  </si>
  <si>
    <t>∆CO2e</t>
  </si>
  <si>
    <t>∆SQ_an</t>
  </si>
  <si>
    <t>∆JP_an</t>
  </si>
  <si>
    <t>∆ST_an</t>
  </si>
  <si>
    <t>CHÊNE CAPSIS</t>
  </si>
  <si>
    <t>BA_i (tMS)</t>
  </si>
  <si>
    <t>BR_i (tMS)</t>
  </si>
  <si>
    <t>tCO2e_i</t>
  </si>
  <si>
    <t>ÉVOLUTION DE LA QUANTITÉ DE CO2E PAR SCÉNARIO</t>
  </si>
  <si>
    <t>∆CO2E ANNUEL PAR COMPARTIMENT</t>
  </si>
  <si>
    <t>C02e_REF</t>
  </si>
  <si>
    <t>RYTHME RÉGÉ / RASE 
ou
VOLUME ELIGIBLE RECOLTÉ EN IRR</t>
  </si>
  <si>
    <t>VR_obj_PRJ</t>
  </si>
  <si>
    <t>Vtot_RiskEss</t>
  </si>
  <si>
    <t>Vrec_horsRE</t>
  </si>
  <si>
    <t>Vrec_REinc</t>
  </si>
  <si>
    <t>VR_max_REF</t>
  </si>
  <si>
    <t>V_NR_REF</t>
  </si>
  <si>
    <t>VERIF_1</t>
  </si>
  <si>
    <t>VERIF_2</t>
  </si>
  <si>
    <t>VRobj_PRJ</t>
  </si>
  <si>
    <t>Vtot_sansRE</t>
  </si>
  <si>
    <t>Vrec_sansRE</t>
  </si>
  <si>
    <t>%RiskEss</t>
  </si>
  <si>
    <t>VRE_PRJ</t>
  </si>
  <si>
    <t>VRE_REF</t>
  </si>
  <si>
    <t>VR_nonrec_sansRE</t>
  </si>
  <si>
    <t>V_récoltable_non récolté</t>
  </si>
  <si>
    <t>Vol_non prélevable</t>
  </si>
  <si>
    <t>S_boisée tot</t>
  </si>
  <si>
    <t>(ha)</t>
  </si>
  <si>
    <t>%S_rec_max</t>
  </si>
  <si>
    <t>Surf_rég</t>
  </si>
  <si>
    <t>Volumes / ha</t>
  </si>
  <si>
    <t>URE / HA TOTAL BOISÉ</t>
  </si>
  <si>
    <t>CRÉDITS TAMPON DANS LE COMPTE TAMPON MUTUALISÉ (AU DÉBUT DU PROJET)</t>
  </si>
  <si>
    <t>URE / HA ÉLIGIBLE (CUMUL DES STRATES)</t>
  </si>
  <si>
    <t>ha maxi</t>
  </si>
  <si>
    <t>EVOLUTION DE LA BIOMASSE DANS LA RÉGÉNÉRATION (RECOLONISATION)</t>
  </si>
  <si>
    <t>tCO2e/an/ha éligible</t>
  </si>
  <si>
    <t>tCO2e/an/ha éli_max</t>
  </si>
  <si>
    <t>Surf_tot_propriété</t>
  </si>
  <si>
    <t>URE / HA TOTAL PROPRIÉTÉ</t>
  </si>
  <si>
    <t>Code_type</t>
  </si>
  <si>
    <t>ALB</t>
  </si>
  <si>
    <t>ERS</t>
  </si>
  <si>
    <t>PIAL</t>
  </si>
  <si>
    <t>ERC</t>
  </si>
  <si>
    <t>Vtot_initial</t>
  </si>
  <si>
    <t>Vrec_initial</t>
  </si>
  <si>
    <t>%Risk_ess</t>
  </si>
  <si>
    <t>Véli_initial</t>
  </si>
  <si>
    <t>Vobj_final</t>
  </si>
  <si>
    <t>NIVEAU D'ENGAGEMENT PROJET</t>
  </si>
  <si>
    <t>TYPE DE PEUPLEMENT</t>
  </si>
  <si>
    <t>TRAITEMENT DE RÉFÉRENCE</t>
  </si>
  <si>
    <t>DIAM/ESS</t>
  </si>
  <si>
    <t>SURFACE DE LA STRATE (HA)</t>
  </si>
  <si>
    <t>ERP</t>
  </si>
  <si>
    <t>PIL</t>
  </si>
  <si>
    <t>DATE DE MISE A JOUR : 02/01/2024</t>
  </si>
  <si>
    <t>VR_Max_REF_Réel</t>
  </si>
  <si>
    <t>Vrec_max_ref_reel</t>
  </si>
  <si>
    <t>REGION ADMIN</t>
  </si>
  <si>
    <t>Région</t>
  </si>
  <si>
    <t>Auvergne-Rhône-Alpes</t>
  </si>
  <si>
    <t>Bourgogne-Franche-Comté</t>
  </si>
  <si>
    <t>Bretagne</t>
  </si>
  <si>
    <t>Centre-Val-de-Loire</t>
  </si>
  <si>
    <t>Corse</t>
  </si>
  <si>
    <t>Grand Est</t>
  </si>
  <si>
    <t>Hauts-de-France</t>
  </si>
  <si>
    <t>Île-de-France</t>
  </si>
  <si>
    <t>Normandie</t>
  </si>
  <si>
    <t>Nouvelle-Aquitaine</t>
  </si>
  <si>
    <t>Occitanie</t>
  </si>
  <si>
    <t>Pays de la Loire</t>
  </si>
  <si>
    <t>Provence-Alpes-Côte d'Azur</t>
  </si>
  <si>
    <t>Code_reg</t>
  </si>
  <si>
    <t>BFC</t>
  </si>
  <si>
    <t>NOR</t>
  </si>
  <si>
    <t>NA</t>
  </si>
  <si>
    <t>PACA</t>
  </si>
  <si>
    <t>HDF</t>
  </si>
  <si>
    <t>Information à saisir</t>
  </si>
  <si>
    <t>Automatique</t>
  </si>
  <si>
    <t>Année début projet</t>
  </si>
  <si>
    <t>CORSE</t>
  </si>
  <si>
    <t>D_exploit_min</t>
  </si>
  <si>
    <t>Alisier blanc</t>
  </si>
  <si>
    <t>Alisier torminal</t>
  </si>
  <si>
    <t>Code_ess</t>
  </si>
  <si>
    <t>Bouleau sp.</t>
  </si>
  <si>
    <t>Charme</t>
  </si>
  <si>
    <t>Chataîgnier</t>
  </si>
  <si>
    <t>Chêne</t>
  </si>
  <si>
    <t>Chêne rouge</t>
  </si>
  <si>
    <t>Epicéa commun</t>
  </si>
  <si>
    <t>Erable champêtre</t>
  </si>
  <si>
    <t>Meriser</t>
  </si>
  <si>
    <t>Pin noir d'Autriche</t>
  </si>
  <si>
    <t>Tremble</t>
  </si>
  <si>
    <t>Taillis feuillu</t>
  </si>
  <si>
    <t>Autres feuillus</t>
  </si>
  <si>
    <t>Autres résineux</t>
  </si>
  <si>
    <t>ACCT PAR CAT_ESS</t>
  </si>
  <si>
    <t>Strate A</t>
  </si>
  <si>
    <t>Type de peuplement</t>
  </si>
  <si>
    <t>Surface de la strate</t>
  </si>
  <si>
    <t>Strate B</t>
  </si>
  <si>
    <t>Strate C</t>
  </si>
  <si>
    <t>Strate D</t>
  </si>
  <si>
    <t>Mélange futaie-taillis irrégularisé</t>
  </si>
  <si>
    <t>Futaie irrégularisée</t>
  </si>
  <si>
    <t>Mélange futaie-taillis régularisé</t>
  </si>
  <si>
    <t>Futaie régularisée feuillue</t>
  </si>
  <si>
    <t>nom_ppt</t>
  </si>
  <si>
    <t>type_ppt</t>
  </si>
  <si>
    <t>Accroissement standard</t>
  </si>
  <si>
    <t>Accroissement choisi</t>
  </si>
  <si>
    <t>Risque essence mini</t>
  </si>
  <si>
    <t>Risque essence choisi</t>
  </si>
  <si>
    <t>% acc choisi</t>
  </si>
  <si>
    <t>Essence 1</t>
  </si>
  <si>
    <t>Essence 2</t>
  </si>
  <si>
    <t>Essence 3</t>
  </si>
  <si>
    <t>Essence 4</t>
  </si>
  <si>
    <t>QTÉ MAX ANNUELLE</t>
  </si>
  <si>
    <t>En cours de labellisation - Label bas carbone</t>
  </si>
  <si>
    <t>Risk_Généraux</t>
  </si>
  <si>
    <t>Généraux</t>
  </si>
  <si>
    <t>S_régularisée</t>
  </si>
  <si>
    <t>V_BFT</t>
  </si>
  <si>
    <t>Référence</t>
  </si>
  <si>
    <t>Essence_1</t>
  </si>
  <si>
    <t>Essence_2</t>
  </si>
  <si>
    <t>Essence_3</t>
  </si>
  <si>
    <t>Essence_4</t>
  </si>
  <si>
    <t>Revenu net (€)</t>
  </si>
  <si>
    <t>PU net (€/m3)</t>
  </si>
  <si>
    <t>Projet</t>
  </si>
  <si>
    <t>FEB :</t>
  </si>
  <si>
    <t>PU net (€/m3 BFT)</t>
  </si>
  <si>
    <t>VAN référence</t>
  </si>
  <si>
    <t>VAN projet</t>
  </si>
  <si>
    <t>∆VAN</t>
  </si>
  <si>
    <t>Additionnalité économique ?</t>
  </si>
  <si>
    <t>Revenu_net_référence</t>
  </si>
  <si>
    <t>Revenu_net_projet</t>
  </si>
  <si>
    <t>VAN_réf</t>
  </si>
  <si>
    <t>VAN_projet</t>
  </si>
  <si>
    <t>REPORTS AUTOMATIQUES - REVENUS NETS</t>
  </si>
  <si>
    <t>REPORTS AUTOMATIQUES - DEPENSES</t>
  </si>
  <si>
    <t>Surf_régé (ha)</t>
  </si>
  <si>
    <t>Essence_régé</t>
  </si>
  <si>
    <t>Coûts entretien (€)</t>
  </si>
  <si>
    <t>Hypothèse :</t>
  </si>
  <si>
    <t>Coûts d'entretien de la régénération = 2.000€/ha répartis sur les 10 premières années (comptabilisé l'année 0)</t>
  </si>
  <si>
    <t>CALCULS AUTOMATIQUES DE VAN</t>
  </si>
  <si>
    <t>Coûts_référence</t>
  </si>
  <si>
    <t>Coûts_projet</t>
  </si>
  <si>
    <t>Prix moyen BO (€/m3)</t>
  </si>
  <si>
    <t>Prix moyen BIBE (€/m3)</t>
  </si>
  <si>
    <t>%BO</t>
  </si>
  <si>
    <t>%BIBE</t>
  </si>
  <si>
    <t>%BO-BIBE REPARTITION PRIX (€/M3)</t>
  </si>
  <si>
    <t>AUTO TRANSPOSITION DES TABLEAUX BLEUS
V/ha</t>
  </si>
  <si>
    <t>VOLUME TOTAL PAR STRATE</t>
  </si>
  <si>
    <t>Volume total aérien / ha pour chaque essence de chaque strate éligible</t>
  </si>
  <si>
    <t>Douglas (ONF, Angelier 2007) - classe 1</t>
  </si>
  <si>
    <t>Douglas (ONF, Angelier 2007) - classe 3</t>
  </si>
  <si>
    <t>Douglas (ONF, Angelier 2007) - classe 2</t>
  </si>
  <si>
    <t>Douglas - Ouest du Massif Central (INRA, N.Decourt, 1972) - classe 1</t>
  </si>
  <si>
    <t>Douglas - Ouest du Massif Central (INRA, N.Decourt, 1972) - classe 2</t>
  </si>
  <si>
    <t>Douglas - Ouest du Massif Central (INRA, N.Decourt, 1972) - classe 3</t>
  </si>
  <si>
    <t>Sapin pectiné (ONF, Abt 2014) - classe 1</t>
  </si>
  <si>
    <t>Sapin pectiné (ONF, Abt 2014) - classe 2</t>
  </si>
  <si>
    <t>Sapin pectiné (ONF, Abt 2014) - classe 3</t>
  </si>
  <si>
    <r>
      <t>Mélèze d'Europe (</t>
    </r>
    <r>
      <rPr>
        <b/>
        <i/>
        <sz val="11"/>
        <color theme="1"/>
        <rFont val="Calibri"/>
        <family val="2"/>
        <scheme val="minor"/>
      </rPr>
      <t>https://orbi.uliege.be/bitstream/2268/23101/1/fw61_17-24_2002.pdf</t>
    </r>
    <r>
      <rPr>
        <b/>
        <sz val="11"/>
        <color theme="1"/>
        <rFont val="Calibri"/>
        <family val="2"/>
        <scheme val="minor"/>
      </rPr>
      <t>)</t>
    </r>
  </si>
  <si>
    <t>Mélèze hybride (IDF, Riou-Nivert) - classe 1 (H50 = 33m)</t>
  </si>
  <si>
    <t>Mélèze hybride (IDF, Riou-Nivert) - classe 2 (H50 = 30m)</t>
  </si>
  <si>
    <t>Mélèze hybride (IDF, Riou-Nivert) - classe 3 (H50 = 30m)</t>
  </si>
  <si>
    <t>Pin sylvestre - Sologne (INRA, N. Decourt, 1965) - classe 1</t>
  </si>
  <si>
    <t>Pin sylvestre - Sologne (INRA, N. Decourt, 1965) - classe 2</t>
  </si>
  <si>
    <t>Pin sylvestre - Sologne (INRA, N. Decourt, 1965) - classe 3</t>
  </si>
  <si>
    <t>Pin sylvestre - Sologne (INRA, N. Decourt, 1965) - classe 4</t>
  </si>
  <si>
    <t>Pin sylvestre - Sologne (INRA, N. Decourt, 1965) - classe 5</t>
  </si>
  <si>
    <t>Pin laricio de Corse - Sologne (INRA, N. Decourt, 1965) -  classe 1</t>
  </si>
  <si>
    <t>Pin laricio de Corse - Sologne (INRA, N. Decourt, 1965) -  classe 2</t>
  </si>
  <si>
    <t>Pin laricio de Corse - Sologne (INRA, N. Decourt, 1965) -  classe 3</t>
  </si>
  <si>
    <t>Pin noir d'Autriche - Sud-Est (INRA, J.M. Ottorini &amp; J. Toth, 1975) - classe 1</t>
  </si>
  <si>
    <t>Pin noir d'Autriche - Sud-Est (INRA, J.M. Ottorini &amp; J. Toth, 1975) - classe 2</t>
  </si>
  <si>
    <t>Pin noir d'Autriche - Sud-Est (INRA, J.M. Ottorini &amp; J. Toth, 1975) - classe 3</t>
  </si>
  <si>
    <t>Pin noir d'Autriche - Sud-Est (INRA, J.M. Ottorini &amp; J. Toth, 1975) - classe 4</t>
  </si>
  <si>
    <t>Épicéa commun - Nord-Est (INRA, N.Decourt, 1971) - classe 1</t>
  </si>
  <si>
    <t>Épicéa commun - Nord-Est (INRA, N.Decourt, 1971) - classe 2</t>
  </si>
  <si>
    <t>Épicéa commun - Nord-Est (INRA, N.Decourt, 1971) - classe 3</t>
  </si>
  <si>
    <t>Épicéa commun - Nord-Est (INRA, N.Decourt, 1971) - classe 4</t>
  </si>
  <si>
    <t>Épicéa commun - Nord-Est (INRA, N.Decourt, 1971) - classe 5</t>
  </si>
  <si>
    <t>Épicéa commun - Nord-Est (INRA, N.Decourt, 1971) - classe 6</t>
  </si>
  <si>
    <t>Pin maritime - Sud-Ouest Landes (INRA, N.Decourt &amp; B. Lemoine, 1969) - classe 1</t>
  </si>
  <si>
    <t>Pin maritime - Sud-Ouest Landes (INRA, N.Decourt &amp; B. Lemoine, 1969) - classe 5</t>
  </si>
  <si>
    <t>Pin maritime - Sud-Ouest Landes (INRA, N.Decourt &amp; B. Lemoine, 1969) - classe 4</t>
  </si>
  <si>
    <t>Pin maritime - Sud-Ouest Landes (INRA, N.Decourt &amp; B. Lemoine, 1969) - classe 3</t>
  </si>
  <si>
    <t>Pin maritime - Sud-Ouest Landes (INRA, N.Decourt &amp; B. Lemoine, 1969) - classe 2</t>
  </si>
  <si>
    <t>Cèdres (ONF, Courdier JM. , 2008) - classe 1</t>
  </si>
  <si>
    <t>Cèdres (ONF, Courdier JM. , 2008) - classe 2</t>
  </si>
  <si>
    <t>Cèdres (ONF, Courdier JM. , 2008) - classe 3</t>
  </si>
  <si>
    <t>Cèdres (ONF, Courdier JM. , 2008) - classe 4</t>
  </si>
  <si>
    <t>Hêtre - Nord-Est (INRA, R. Schober, 1972) - classe 7 (acct moyen à 100 ans : 7 m3/ha/an)</t>
  </si>
  <si>
    <t>Hêtre - Nord-Est (INRA, R. Schober, 1972) - classe 3 (acct moyen à 100 ans : 3 m3/ha/an)</t>
  </si>
  <si>
    <t>Hêtre - Nord-Est (INRA, R. Schober, 1972) - classe 5 (acct moyen à 100 ans : 5 m3/ha/an)</t>
  </si>
  <si>
    <t>Hêtre - Nord-Est (INRA, R. Schober, 1972) - classe 9 (acct moyen à 100 ans : 9 m3/ha/an)</t>
  </si>
  <si>
    <t>Hêtre - Nord-Ouest (INRA, Hamilton &amp; Christie, 1971) - classe 10 (acct moyen maximum : 10 m3/ha/an)</t>
  </si>
  <si>
    <t>Hêtre - Nord-Ouest (INRA, Hamilton &amp; Christie, 1971) - classe 8 (acct moyen maximum : 8 m3/ha/an)</t>
  </si>
  <si>
    <t>Hêtre - Nord-Ouest (INRA, Hamilton &amp; Christie, 1971) - classe 6 (acct moyen maximum : 6 m3/ha/an)</t>
  </si>
  <si>
    <t>Hêtre - Nord-Ouest (INRA, Hamilton &amp; Christie, 1971) - classe 4 (acct moyen maximum : 4 m3/ha/an)</t>
  </si>
  <si>
    <t>Chênaies atlantiques - (ONF, Jarret P. , 2004) - classe 1</t>
  </si>
  <si>
    <t>Chênaies atlantiques - (ONF, Jarret P. , 2004) - classe 2</t>
  </si>
  <si>
    <t>Chênaies atlantiques - (ONF, Jarret P. , 2004) - classe 3</t>
  </si>
  <si>
    <t>Chênaies continentales - (ONF, sardin T. , 2008) - sylv. dynamique - classe 1</t>
  </si>
  <si>
    <t>Chênaies continentales - (ONF, sardin T. , 2008) - sylv. dynamique - classe 2</t>
  </si>
  <si>
    <t>Chênaies continentales - (ONF, sardin T. , 2008) - sylv. dynamique - classe 3</t>
  </si>
  <si>
    <t>Chênaies continentales - (ONF, sardin T. , 2008) - sylv. classique - classe 1</t>
  </si>
  <si>
    <t>Chênaies continentales - (ONF, sardin T. , 2008) - sylv. classique - classe 2</t>
  </si>
  <si>
    <t>Chênaies continentales - (ONF, sardin T. , 2008) - sylv. classique - classe 3</t>
  </si>
  <si>
    <t>Châtaignier - (Forêt - entreprise n °179-Mars 2008) - classe unique</t>
  </si>
  <si>
    <t>Mélèze d'Europe (https://orbi.uliege.be/bitstream/2268/23101/1/fw61_17-24_2002.pdf)</t>
  </si>
  <si>
    <t>Chêne - Secteur ligérien (INRA, J.Parde , 1962) - classe unique (Centre et Ouest)</t>
  </si>
  <si>
    <t>Sources_tables_production</t>
  </si>
  <si>
    <t>SOURCES TABLES PROD POUR ESS_REGE</t>
  </si>
  <si>
    <t>Contaténation</t>
  </si>
  <si>
    <t>NON_PERMANENCE</t>
  </si>
  <si>
    <t>BILAN GLOBAL DU PROJET</t>
  </si>
  <si>
    <t>REPORT (INFORMATIF) DES TAUX D'INCERTITUDE PAR STRATE ELIGIBLE</t>
  </si>
  <si>
    <t>TAUX INCERTITUDE</t>
  </si>
  <si>
    <t>%_incertitude</t>
  </si>
  <si>
    <t>QTÉ NETTE</t>
  </si>
  <si>
    <t>QTÉ BRUTE
(AVT DÉCOTES)</t>
  </si>
  <si>
    <t>tCO2e/ha.an</t>
  </si>
  <si>
    <t>tCO2e/ha.an PROJET</t>
  </si>
  <si>
    <t>CUMUL PROJET</t>
  </si>
  <si>
    <t>VOLUMES AERIENS TOTAUX PAR ESSENCE</t>
  </si>
  <si>
    <t>VOLUMES AERIENS TOTAUX/HA PAR ESSENCE</t>
  </si>
  <si>
    <t>pour la méthode "Gestion Forestière Optimisée",</t>
  </si>
  <si>
    <t>NON</t>
  </si>
  <si>
    <t>OUI</t>
  </si>
  <si>
    <t>DATE DE LA DERNIÈRE MODIFICATION : 20/09/2024</t>
  </si>
  <si>
    <t>bilan des calculs automatisés et résultats par strate et pour le projet complet (la forêt)</t>
  </si>
  <si>
    <t>Modélisation des scénarios pour chaque compartiment et pour chaque strate éligible</t>
  </si>
  <si>
    <t>Informations générales sur le fichier excel automatisé</t>
  </si>
  <si>
    <t>Descriptif de l'onglet</t>
  </si>
  <si>
    <t>Couleur de l'onglet</t>
  </si>
  <si>
    <t>Modification possible de l'onglet</t>
  </si>
  <si>
    <t>Sources : ClimEssences, DIGITALIS®, La Belle Forêt®</t>
  </si>
  <si>
    <r>
      <rPr>
        <b/>
        <i/>
        <u/>
        <sz val="12"/>
        <rFont val="Calibri (Corps)"/>
      </rPr>
      <t xml:space="preserve">Cet onglet est le 3ème (et dernier) à compléter.
</t>
    </r>
    <r>
      <rPr>
        <sz val="18"/>
        <rFont val="Calibri"/>
        <family val="2"/>
        <scheme val="minor"/>
      </rPr>
      <t>Dans les cases en jaune clair (ligne 17), l'opérateur doit sélectionner la source bibliographique la plus pertinente dans la liste déroulante proposée, pour chaque strate éligible</t>
    </r>
  </si>
  <si>
    <r>
      <rPr>
        <b/>
        <i/>
        <u/>
        <sz val="12"/>
        <color theme="1"/>
        <rFont val="Calibri (Corps)"/>
      </rPr>
      <t>Cet onglet est le 2ème onglet à compléter.</t>
    </r>
    <r>
      <rPr>
        <i/>
        <sz val="12"/>
        <color theme="1"/>
        <rFont val="Calibri"/>
        <family val="2"/>
        <scheme val="minor"/>
      </rPr>
      <t xml:space="preserve">
Pour chaque strate (peuplement éligible) renseignée dans l'onglet "1. GLOBAL", le code de chaque essence est automatiquement reporté dans les colonnes ci-dessous.</t>
    </r>
    <r>
      <rPr>
        <sz val="12"/>
        <color theme="1"/>
        <rFont val="Calibri"/>
        <family val="2"/>
        <scheme val="minor"/>
      </rPr>
      <t xml:space="preserve">
</t>
    </r>
    <r>
      <rPr>
        <sz val="16"/>
        <rFont val="Calibri (Corps)"/>
      </rPr>
      <t>Pour chaque strate, l'opérateur doit renseigner, dans les colonnes jaunes, le volume total aérien moyen (en m3/ha) pour chaque essence ou groupe d'essence (automatiquement reporté) et chaque classe de diamètre.</t>
    </r>
  </si>
  <si>
    <r>
      <t xml:space="preserve">ESSENCES
</t>
    </r>
    <r>
      <rPr>
        <i/>
        <u/>
        <sz val="12"/>
        <color theme="1"/>
        <rFont val="Calibri (Corps)"/>
      </rPr>
      <t>L'opérateur doit compléter autant de lignes que nécessaire (pour chaque essence ou groupe d'essence renseigné, toutes les cellules de la ligne doivent être complétées).</t>
    </r>
  </si>
  <si>
    <r>
      <t xml:space="preserve">GENERAL
</t>
    </r>
    <r>
      <rPr>
        <i/>
        <u/>
        <sz val="12"/>
        <color theme="1"/>
        <rFont val="Calibri (Corps)"/>
      </rPr>
      <t>Toutes les cellules en jaunes doivent être complétées.</t>
    </r>
  </si>
  <si>
    <t>Essences du projet</t>
  </si>
  <si>
    <t>Code_essence</t>
  </si>
  <si>
    <t>Région_naturelle_forestière</t>
  </si>
  <si>
    <t>Région_administrative</t>
  </si>
  <si>
    <t>Surf_boisée_totale</t>
  </si>
  <si>
    <t>Surf_totale_propriété</t>
  </si>
  <si>
    <t>Niveau_engagement</t>
  </si>
  <si>
    <t>% incertitude (essences listées)</t>
  </si>
  <si>
    <r>
      <rPr>
        <b/>
        <i/>
        <u/>
        <sz val="12"/>
        <color theme="1"/>
        <rFont val="Calibri (Corps)"/>
      </rPr>
      <t>Cet onglet est le 1er que l'opérateur doit compléter.</t>
    </r>
    <r>
      <rPr>
        <sz val="12"/>
        <color theme="1"/>
        <rFont val="Calibri"/>
        <family val="2"/>
        <scheme val="minor"/>
      </rPr>
      <t xml:space="preserve">
</t>
    </r>
    <r>
      <rPr>
        <sz val="18"/>
        <color theme="1"/>
        <rFont val="Calibri (Corps)"/>
      </rPr>
      <t>L'opérateur doit compléter les cellules en jaune clair en respectant les règles indiquées en debut de ligne (colonne A) dans la case en jaune foncé.</t>
    </r>
  </si>
  <si>
    <r>
      <rPr>
        <b/>
        <sz val="12"/>
        <color theme="1"/>
        <rFont val="Calibri"/>
        <family val="2"/>
        <scheme val="minor"/>
      </rPr>
      <t>STRATES
(PEUPLEMENTS ELIGIBLES)</t>
    </r>
    <r>
      <rPr>
        <sz val="12"/>
        <color theme="1"/>
        <rFont val="Calibri"/>
        <family val="2"/>
        <scheme val="minor"/>
      </rPr>
      <t xml:space="preserve">
</t>
    </r>
    <r>
      <rPr>
        <i/>
        <u/>
        <sz val="12"/>
        <color theme="1"/>
        <rFont val="Calibri (Corps)"/>
      </rPr>
      <t xml:space="preserve">
Pour chaque strate du projet, il faut compléter les informations requises (type de peuplement, surface, essences ou groupes d'essences conservés (entre 1 et 4), % d'incertitude associé aux essences listées).</t>
    </r>
    <r>
      <rPr>
        <sz val="12"/>
        <color theme="1"/>
        <rFont val="Calibri"/>
        <family val="2"/>
        <scheme val="minor"/>
      </rPr>
      <t xml:space="preserve">
</t>
    </r>
    <r>
      <rPr>
        <b/>
        <sz val="12"/>
        <color theme="1"/>
        <rFont val="Calibri"/>
        <family val="2"/>
        <scheme val="minor"/>
      </rPr>
      <t>NB : si des modifications ont été faites dans le tableau "ESSENCES", il faut vérifier que les essences listées dans les strates sont les bonnes.</t>
    </r>
  </si>
  <si>
    <t>Vérifier les cellules C53 à C56 si vous avez fait des modifications dans le tableau ESSENCES de cet onglet.</t>
  </si>
  <si>
    <t>Vérifier les cellules C61 à C64 si vous avez fait des modifications dans le tableau ESSENCES de cet onglet.</t>
  </si>
  <si>
    <t>Vérifier les cellules C69 à C72 si vous avez fait des modifications dans le tableau ESSENCES de cet onglet.</t>
  </si>
  <si>
    <t>Vérifier les cellules C77 à C80 si vous avez fait des modifications dans le tableau ESSENCES de cet onglet.</t>
  </si>
  <si>
    <r>
      <t xml:space="preserve">PRIX DE VENTE DU BOIS
(utile au calcul de VAN)
</t>
    </r>
    <r>
      <rPr>
        <i/>
        <u/>
        <sz val="12"/>
        <color theme="1"/>
        <rFont val="Calibri (Corps)"/>
      </rPr>
      <t>L'opérateur complète les cellules jaunes pour chaque essence ou groupe d'essences listé.</t>
    </r>
  </si>
  <si>
    <t>Masquage de l'onglet prévu</t>
  </si>
  <si>
    <t>Données source utilisées (via des recherches automatiques) dans les calculs : données et coefficients utilisés dans les calculs, issus de références bibliographiques</t>
  </si>
  <si>
    <t>Onglets à compléter par l'opérateur grâce aux caractéristiques de la propriété et des peuplements éligibles (informations sur la forêt, volumes détaillés par strate, essence de régénération par strate, prix de vente des bois)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</si>
</sst>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2" formatCode="_ * #,##0_)\ &quot;€&quot;_ ;_ * \(#,##0\)\ &quot;€&quot;_ ;_ * &quot;-&quot;_)\ &quot;€&quot;_ ;_ @_ "/>
    <numFmt numFmtId="44" formatCode="_ * #,##0.00_)\ &quot;€&quot;_ ;_ * \(#,##0.00\)\ &quot;€&quot;_ ;_ * &quot;-&quot;??_)\ &quot;€&quot;_ ;_ @_ "/>
    <numFmt numFmtId="164" formatCode="0.0%"/>
    <numFmt numFmtId="165" formatCode="0.0"/>
    <numFmt numFmtId="166" formatCode="0.0000"/>
    <numFmt numFmtId="167" formatCode="#,##0.0"/>
    <numFmt numFmtId="168" formatCode="0.000"/>
    <numFmt numFmtId="169" formatCode="_-* #,##0.00\ [$€-40C]_-;\-* #,##0.00\ [$€-40C]_-;_-* &quot;-&quot;??\ [$€-40C]_-;_-@_-"/>
    <numFmt numFmtId="170" formatCode="#,##0.00\ &quot;€&quot;"/>
  </numFmts>
  <fonts count="66" x14ac:knownFonts="1">
    <font>
      <sz val="12"/>
      <color theme="1"/>
      <name val="Calibri"/>
      <family val="2"/>
      <scheme val="minor"/>
    </font>
    <font>
      <sz val="11"/>
      <color theme="1"/>
      <name val="Calibri"/>
      <family val="2"/>
      <scheme val="minor"/>
    </font>
    <font>
      <sz val="12"/>
      <color theme="1"/>
      <name val="Calibri"/>
      <family val="2"/>
      <scheme val="minor"/>
    </font>
    <font>
      <sz val="12"/>
      <color rgb="FFFF0000"/>
      <name val="Calibri"/>
      <family val="2"/>
      <scheme val="minor"/>
    </font>
    <font>
      <sz val="12"/>
      <color theme="0"/>
      <name val="Calibri"/>
      <family val="2"/>
      <scheme val="minor"/>
    </font>
    <font>
      <sz val="8"/>
      <name val="Calibri"/>
      <family val="2"/>
      <scheme val="minor"/>
    </font>
    <font>
      <i/>
      <sz val="12"/>
      <color theme="1"/>
      <name val="Calibri"/>
      <family val="2"/>
      <scheme val="minor"/>
    </font>
    <font>
      <b/>
      <sz val="12"/>
      <color theme="0"/>
      <name val="Calibri"/>
      <family val="2"/>
      <scheme val="minor"/>
    </font>
    <font>
      <sz val="12"/>
      <name val="Calibri"/>
      <family val="2"/>
      <scheme val="minor"/>
    </font>
    <font>
      <sz val="11"/>
      <color theme="1"/>
      <name val="Calibri"/>
      <family val="2"/>
      <scheme val="minor"/>
    </font>
    <font>
      <sz val="18"/>
      <color theme="0"/>
      <name val="Calibri"/>
      <family val="2"/>
      <scheme val="minor"/>
    </font>
    <font>
      <i/>
      <sz val="12"/>
      <color theme="0"/>
      <name val="Calibri"/>
      <family val="2"/>
      <scheme val="minor"/>
    </font>
    <font>
      <b/>
      <sz val="12"/>
      <name val="Calibri"/>
      <family val="2"/>
      <scheme val="minor"/>
    </font>
    <font>
      <b/>
      <sz val="15"/>
      <color theme="3"/>
      <name val="Calibri"/>
      <family val="2"/>
      <scheme val="minor"/>
    </font>
    <font>
      <b/>
      <sz val="11"/>
      <color theme="1"/>
      <name val="Calibri"/>
      <family val="2"/>
      <scheme val="minor"/>
    </font>
    <font>
      <i/>
      <sz val="11"/>
      <color theme="1"/>
      <name val="Calibri"/>
      <family val="2"/>
      <scheme val="minor"/>
    </font>
    <font>
      <sz val="26"/>
      <color theme="0"/>
      <name val="Calibri"/>
      <family val="2"/>
      <scheme val="minor"/>
    </font>
    <font>
      <b/>
      <sz val="11"/>
      <color theme="0"/>
      <name val="Calibri"/>
      <family val="2"/>
      <scheme val="minor"/>
    </font>
    <font>
      <b/>
      <sz val="12"/>
      <color theme="1"/>
      <name val="Calibri"/>
      <family val="2"/>
      <scheme val="minor"/>
    </font>
    <font>
      <sz val="12"/>
      <color rgb="FFC00000"/>
      <name val="Calibri"/>
      <family val="2"/>
      <scheme val="minor"/>
    </font>
    <font>
      <b/>
      <sz val="12"/>
      <color rgb="FFFF0000"/>
      <name val="Calibri"/>
      <family val="2"/>
      <scheme val="minor"/>
    </font>
    <font>
      <sz val="12"/>
      <color rgb="FF00B050"/>
      <name val="Calibri"/>
      <family val="2"/>
      <scheme val="minor"/>
    </font>
    <font>
      <sz val="12"/>
      <color theme="0"/>
      <name val="Calibri (Corps)"/>
    </font>
    <font>
      <b/>
      <sz val="16"/>
      <color theme="0"/>
      <name val="Calibri"/>
      <family val="2"/>
      <scheme val="minor"/>
    </font>
    <font>
      <sz val="12"/>
      <name val="Calibri"/>
      <family val="2"/>
    </font>
    <font>
      <b/>
      <sz val="12"/>
      <color rgb="FF00B050"/>
      <name val="Calibri"/>
      <family val="2"/>
      <scheme val="minor"/>
    </font>
    <font>
      <b/>
      <sz val="18"/>
      <color rgb="FF00B050"/>
      <name val="Calibri"/>
      <family val="2"/>
      <scheme val="minor"/>
    </font>
    <font>
      <sz val="12"/>
      <color rgb="FF00A81F"/>
      <name val="Calibri"/>
      <family val="2"/>
      <scheme val="minor"/>
    </font>
    <font>
      <sz val="12"/>
      <color theme="1" tint="0.499984740745262"/>
      <name val="Calibri"/>
      <family val="2"/>
      <scheme val="minor"/>
    </font>
    <font>
      <b/>
      <sz val="12"/>
      <color rgb="FFFFFFFF"/>
      <name val="Calibri"/>
      <family val="2"/>
    </font>
    <font>
      <sz val="12"/>
      <color theme="1"/>
      <name val="Calibri"/>
      <family val="2"/>
    </font>
    <font>
      <b/>
      <sz val="12"/>
      <color rgb="FF000000"/>
      <name val="Calibri"/>
      <family val="2"/>
    </font>
    <font>
      <b/>
      <sz val="11"/>
      <color rgb="FF000000"/>
      <name val="Calibri"/>
      <family val="2"/>
    </font>
    <font>
      <b/>
      <sz val="12"/>
      <color indexed="9"/>
      <name val="Calibri"/>
      <family val="2"/>
      <scheme val="minor"/>
    </font>
    <font>
      <sz val="14"/>
      <color theme="0"/>
      <name val="Calibri"/>
      <family val="2"/>
      <scheme val="minor"/>
    </font>
    <font>
      <b/>
      <sz val="12"/>
      <color rgb="FF0070C0"/>
      <name val="Calibri"/>
      <family val="2"/>
      <scheme val="minor"/>
    </font>
    <font>
      <sz val="14"/>
      <color theme="1"/>
      <name val="Calibri"/>
      <family val="2"/>
      <scheme val="minor"/>
    </font>
    <font>
      <b/>
      <sz val="22"/>
      <color theme="0"/>
      <name val="Calibri"/>
      <family val="2"/>
      <scheme val="minor"/>
    </font>
    <font>
      <sz val="60"/>
      <color theme="1"/>
      <name val="Calibri"/>
      <family val="2"/>
      <scheme val="minor"/>
    </font>
    <font>
      <sz val="36"/>
      <color theme="1"/>
      <name val="Calibri (Corps)"/>
    </font>
    <font>
      <b/>
      <u/>
      <sz val="12"/>
      <color theme="1"/>
      <name val="Calibri (Corps)"/>
    </font>
    <font>
      <b/>
      <sz val="12"/>
      <color theme="5"/>
      <name val="Calibri"/>
      <family val="2"/>
      <scheme val="minor"/>
    </font>
    <font>
      <b/>
      <sz val="18"/>
      <color theme="5"/>
      <name val="Calibri"/>
      <family val="2"/>
      <scheme val="minor"/>
    </font>
    <font>
      <b/>
      <sz val="12"/>
      <color rgb="FF000000"/>
      <name val="Calibri"/>
      <family val="2"/>
      <scheme val="minor"/>
    </font>
    <font>
      <sz val="12"/>
      <color rgb="FF000000"/>
      <name val="Calibri"/>
      <family val="2"/>
      <scheme val="minor"/>
    </font>
    <font>
      <sz val="18"/>
      <color rgb="FFFF0000"/>
      <name val="Calibri"/>
      <family val="2"/>
      <scheme val="minor"/>
    </font>
    <font>
      <sz val="12"/>
      <color theme="7" tint="-0.249977111117893"/>
      <name val="Calibri"/>
      <family val="2"/>
      <scheme val="minor"/>
    </font>
    <font>
      <b/>
      <sz val="18"/>
      <color rgb="FF0070C0"/>
      <name val="Calibri"/>
      <family val="2"/>
      <scheme val="minor"/>
    </font>
    <font>
      <b/>
      <sz val="18"/>
      <color rgb="FF00B0F0"/>
      <name val="Calibri"/>
      <family val="2"/>
      <scheme val="minor"/>
    </font>
    <font>
      <b/>
      <sz val="12"/>
      <color rgb="FF00B0F0"/>
      <name val="Calibri"/>
      <family val="2"/>
      <scheme val="minor"/>
    </font>
    <font>
      <b/>
      <sz val="12"/>
      <color theme="0" tint="-0.499984740745262"/>
      <name val="Calibri"/>
      <family val="2"/>
      <scheme val="minor"/>
    </font>
    <font>
      <sz val="10"/>
      <color theme="1"/>
      <name val="Calibri"/>
      <family val="2"/>
      <scheme val="minor"/>
    </font>
    <font>
      <b/>
      <sz val="12"/>
      <color theme="8" tint="0.39997558519241921"/>
      <name val="Calibri"/>
      <family val="2"/>
      <scheme val="minor"/>
    </font>
    <font>
      <b/>
      <sz val="18"/>
      <color theme="8" tint="0.39997558519241921"/>
      <name val="Calibri"/>
      <family val="2"/>
      <scheme val="minor"/>
    </font>
    <font>
      <sz val="11"/>
      <color rgb="FF000000"/>
      <name val="Calibri"/>
      <family val="2"/>
    </font>
    <font>
      <sz val="12"/>
      <color theme="0"/>
      <name val="Calibri"/>
      <family val="2"/>
    </font>
    <font>
      <b/>
      <i/>
      <sz val="11"/>
      <color theme="1"/>
      <name val="Calibri"/>
      <family val="2"/>
      <scheme val="minor"/>
    </font>
    <font>
      <b/>
      <sz val="12"/>
      <color rgb="FFC00000"/>
      <name val="Calibri"/>
      <family val="2"/>
      <scheme val="minor"/>
    </font>
    <font>
      <sz val="22"/>
      <color theme="0"/>
      <name val="Calibri"/>
      <family val="2"/>
      <scheme val="minor"/>
    </font>
    <font>
      <sz val="18"/>
      <name val="Calibri"/>
      <family val="2"/>
      <scheme val="minor"/>
    </font>
    <font>
      <sz val="16"/>
      <name val="Calibri (Corps)"/>
    </font>
    <font>
      <b/>
      <i/>
      <u/>
      <sz val="12"/>
      <color theme="1"/>
      <name val="Calibri (Corps)"/>
    </font>
    <font>
      <i/>
      <u/>
      <sz val="12"/>
      <color theme="1"/>
      <name val="Calibri (Corps)"/>
    </font>
    <font>
      <b/>
      <i/>
      <u/>
      <sz val="12"/>
      <name val="Calibri (Corps)"/>
    </font>
    <font>
      <sz val="18"/>
      <color theme="1"/>
      <name val="Calibri (Corps)"/>
    </font>
    <font>
      <i/>
      <sz val="12"/>
      <color rgb="FFC00000"/>
      <name val="Calibri"/>
      <family val="2"/>
      <scheme val="minor"/>
    </font>
  </fonts>
  <fills count="35">
    <fill>
      <patternFill patternType="none"/>
    </fill>
    <fill>
      <patternFill patternType="gray125"/>
    </fill>
    <fill>
      <patternFill patternType="solid">
        <fgColor theme="5"/>
        <bgColor indexed="64"/>
      </patternFill>
    </fill>
    <fill>
      <patternFill patternType="solid">
        <fgColor theme="9"/>
        <bgColor indexed="64"/>
      </patternFill>
    </fill>
    <fill>
      <patternFill patternType="solid">
        <fgColor rgb="FF7030A0"/>
        <bgColor indexed="64"/>
      </patternFill>
    </fill>
    <fill>
      <patternFill patternType="solid">
        <fgColor theme="7"/>
        <bgColor indexed="64"/>
      </patternFill>
    </fill>
    <fill>
      <patternFill patternType="solid">
        <fgColor rgb="FFC00000"/>
        <bgColor indexed="64"/>
      </patternFill>
    </fill>
    <fill>
      <patternFill patternType="solid">
        <fgColor theme="9" tint="0.59999389629810485"/>
        <bgColor indexed="64"/>
      </patternFill>
    </fill>
    <fill>
      <patternFill patternType="solid">
        <fgColor theme="5" tint="0.59999389629810485"/>
        <bgColor indexed="64"/>
      </patternFill>
    </fill>
    <fill>
      <patternFill patternType="solid">
        <fgColor rgb="FFCCB4D9"/>
        <bgColor indexed="64"/>
      </patternFill>
    </fill>
    <fill>
      <patternFill patternType="solid">
        <fgColor theme="7" tint="0.39997558519241921"/>
        <bgColor indexed="64"/>
      </patternFill>
    </fill>
    <fill>
      <patternFill patternType="solid">
        <fgColor rgb="FF7C56B5"/>
        <bgColor indexed="64"/>
      </patternFill>
    </fill>
    <fill>
      <patternFill patternType="solid">
        <fgColor theme="5"/>
        <bgColor theme="5"/>
      </patternFill>
    </fill>
    <fill>
      <patternFill patternType="solid">
        <fgColor theme="5" tint="0.79998168889431442"/>
        <bgColor theme="5" tint="0.79998168889431442"/>
      </patternFill>
    </fill>
    <fill>
      <patternFill patternType="solid">
        <fgColor theme="7" tint="0.79998168889431442"/>
        <bgColor indexed="64"/>
      </patternFill>
    </fill>
    <fill>
      <patternFill patternType="solid">
        <fgColor theme="7" tint="0.59999389629810485"/>
        <bgColor indexed="64"/>
      </patternFill>
    </fill>
    <fill>
      <patternFill patternType="solid">
        <fgColor theme="7" tint="0.79998168889431442"/>
        <bgColor theme="7" tint="0.79998168889431442"/>
      </patternFill>
    </fill>
    <fill>
      <patternFill patternType="solid">
        <fgColor theme="0"/>
        <bgColor indexed="64"/>
      </patternFill>
    </fill>
    <fill>
      <patternFill patternType="solid">
        <fgColor theme="1"/>
        <bgColor indexed="64"/>
      </patternFill>
    </fill>
    <fill>
      <patternFill patternType="solid">
        <fgColor rgb="FF70AD47"/>
        <bgColor rgb="FF000000"/>
      </patternFill>
    </fill>
    <fill>
      <patternFill patternType="solid">
        <fgColor theme="5" tint="-0.249977111117893"/>
        <bgColor indexed="64"/>
      </patternFill>
    </fill>
    <fill>
      <patternFill patternType="solid">
        <fgColor theme="9" tint="-0.249977111117893"/>
        <bgColor indexed="64"/>
      </patternFill>
    </fill>
    <fill>
      <patternFill patternType="solid">
        <fgColor rgb="FFFF0000"/>
        <bgColor indexed="64"/>
      </patternFill>
    </fill>
    <fill>
      <patternFill patternType="solid">
        <fgColor theme="0" tint="-0.34998626667073579"/>
        <bgColor indexed="64"/>
      </patternFill>
    </fill>
    <fill>
      <patternFill patternType="solid">
        <fgColor rgb="FF00B050"/>
        <bgColor indexed="64"/>
      </patternFill>
    </fill>
    <fill>
      <patternFill patternType="solid">
        <fgColor theme="0" tint="-0.499984740745262"/>
        <bgColor indexed="64"/>
      </patternFill>
    </fill>
    <fill>
      <patternFill patternType="solid">
        <fgColor theme="0" tint="-0.249977111117893"/>
        <bgColor indexed="64"/>
      </patternFill>
    </fill>
    <fill>
      <patternFill patternType="solid">
        <fgColor theme="7" tint="0.79998168889431442"/>
        <bgColor rgb="FF000000"/>
      </patternFill>
    </fill>
    <fill>
      <patternFill patternType="solid">
        <fgColor theme="9" tint="0.79998168889431442"/>
        <bgColor indexed="64"/>
      </patternFill>
    </fill>
    <fill>
      <patternFill patternType="solid">
        <fgColor theme="9" tint="-0.499984740745262"/>
        <bgColor indexed="64"/>
      </patternFill>
    </fill>
    <fill>
      <patternFill patternType="solid">
        <fgColor theme="9" tint="0.39997558519241921"/>
        <bgColor indexed="64"/>
      </patternFill>
    </fill>
    <fill>
      <patternFill patternType="solid">
        <fgColor theme="9" tint="0.79998168889431442"/>
        <bgColor theme="4" tint="0.79998168889431442"/>
      </patternFill>
    </fill>
    <fill>
      <patternFill patternType="solid">
        <fgColor theme="0" tint="-0.14999847407452621"/>
        <bgColor indexed="64"/>
      </patternFill>
    </fill>
    <fill>
      <patternFill patternType="solid">
        <fgColor rgb="FFFFC4B9"/>
        <bgColor indexed="64"/>
      </patternFill>
    </fill>
    <fill>
      <patternFill patternType="solid">
        <fgColor theme="9" tint="0.79998168889431442"/>
        <bgColor rgb="FF000000"/>
      </patternFill>
    </fill>
  </fills>
  <borders count="52">
    <border>
      <left/>
      <right/>
      <top/>
      <bottom/>
      <diagonal/>
    </border>
    <border>
      <left/>
      <right/>
      <top/>
      <bottom style="thick">
        <color theme="4"/>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right/>
      <top style="thin">
        <color theme="5" tint="0.39997558519241921"/>
      </top>
      <bottom style="thin">
        <color theme="5" tint="0.39997558519241921"/>
      </bottom>
      <diagonal/>
    </border>
    <border>
      <left style="thin">
        <color theme="5" tint="0.39997558519241921"/>
      </left>
      <right/>
      <top style="thin">
        <color theme="5" tint="0.39997558519241921"/>
      </top>
      <bottom style="thin">
        <color theme="5" tint="0.39997558519241921"/>
      </bottom>
      <diagonal/>
    </border>
    <border>
      <left/>
      <right style="thin">
        <color theme="5" tint="0.39997558519241921"/>
      </right>
      <top style="thin">
        <color theme="5" tint="0.39997558519241921"/>
      </top>
      <bottom style="thin">
        <color theme="5" tint="0.39997558519241921"/>
      </bottom>
      <diagonal/>
    </border>
    <border>
      <left style="thin">
        <color theme="7" tint="0.39997558519241921"/>
      </left>
      <right/>
      <top style="thin">
        <color theme="7" tint="0.39997558519241921"/>
      </top>
      <bottom style="thin">
        <color theme="7" tint="0.39997558519241921"/>
      </bottom>
      <diagonal/>
    </border>
    <border>
      <left style="thin">
        <color theme="7"/>
      </left>
      <right/>
      <top style="thin">
        <color theme="7"/>
      </top>
      <bottom style="thin">
        <color theme="7"/>
      </bottom>
      <diagonal/>
    </border>
    <border>
      <left/>
      <right style="thin">
        <color theme="7"/>
      </right>
      <top style="thin">
        <color theme="7"/>
      </top>
      <bottom style="thin">
        <color theme="7"/>
      </bottom>
      <diagonal/>
    </border>
    <border>
      <left/>
      <right/>
      <top style="thin">
        <color theme="7"/>
      </top>
      <bottom style="thin">
        <color theme="7"/>
      </bottom>
      <diagonal/>
    </border>
    <border>
      <left style="thin">
        <color theme="7" tint="0.39997558519241921"/>
      </left>
      <right/>
      <top/>
      <bottom style="thin">
        <color theme="7" tint="0.39997558519241921"/>
      </bottom>
      <diagonal/>
    </border>
    <border>
      <left/>
      <right style="thin">
        <color theme="7"/>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theme="7"/>
      </bottom>
      <diagonal/>
    </border>
    <border>
      <left/>
      <right style="thin">
        <color theme="7"/>
      </right>
      <top/>
      <bottom style="thin">
        <color theme="7"/>
      </bottom>
      <diagonal/>
    </border>
    <border>
      <left/>
      <right/>
      <top style="thin">
        <color theme="7"/>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theme="9"/>
      </left>
      <right/>
      <top style="thin">
        <color theme="9"/>
      </top>
      <bottom style="thin">
        <color theme="9"/>
      </bottom>
      <diagonal/>
    </border>
    <border>
      <left/>
      <right/>
      <top style="thin">
        <color theme="9"/>
      </top>
      <bottom style="thin">
        <color theme="9"/>
      </bottom>
      <diagonal/>
    </border>
    <border>
      <left/>
      <right style="thin">
        <color theme="9"/>
      </right>
      <top style="thin">
        <color theme="9"/>
      </top>
      <bottom style="thin">
        <color theme="9"/>
      </bottom>
      <diagonal/>
    </border>
    <border>
      <left style="medium">
        <color theme="7"/>
      </left>
      <right/>
      <top style="thin">
        <color theme="7"/>
      </top>
      <bottom style="thin">
        <color theme="7"/>
      </bottom>
      <diagonal/>
    </border>
    <border>
      <left/>
      <right style="medium">
        <color theme="7"/>
      </right>
      <top style="thin">
        <color theme="7"/>
      </top>
      <bottom style="thin">
        <color theme="7"/>
      </bottom>
      <diagonal/>
    </border>
    <border>
      <left style="medium">
        <color rgb="FFC00000"/>
      </left>
      <right/>
      <top style="medium">
        <color rgb="FFC00000"/>
      </top>
      <bottom/>
      <diagonal/>
    </border>
    <border>
      <left/>
      <right/>
      <top style="medium">
        <color rgb="FFC00000"/>
      </top>
      <bottom/>
      <diagonal/>
    </border>
    <border>
      <left/>
      <right style="medium">
        <color rgb="FFC00000"/>
      </right>
      <top style="medium">
        <color rgb="FFC00000"/>
      </top>
      <bottom/>
      <diagonal/>
    </border>
    <border>
      <left style="medium">
        <color rgb="FFC00000"/>
      </left>
      <right/>
      <top/>
      <bottom/>
      <diagonal/>
    </border>
    <border>
      <left/>
      <right style="medium">
        <color rgb="FFC00000"/>
      </right>
      <top/>
      <bottom/>
      <diagonal/>
    </border>
    <border>
      <left style="medium">
        <color rgb="FFC00000"/>
      </left>
      <right/>
      <top/>
      <bottom style="medium">
        <color rgb="FFC00000"/>
      </bottom>
      <diagonal/>
    </border>
    <border>
      <left/>
      <right/>
      <top/>
      <bottom style="medium">
        <color rgb="FFC00000"/>
      </bottom>
      <diagonal/>
    </border>
    <border>
      <left/>
      <right style="medium">
        <color rgb="FFC00000"/>
      </right>
      <top/>
      <bottom style="medium">
        <color rgb="FFC00000"/>
      </bottom>
      <diagonal/>
    </border>
    <border>
      <left style="thin">
        <color theme="9"/>
      </left>
      <right style="medium">
        <color theme="7"/>
      </right>
      <top style="thin">
        <color theme="9"/>
      </top>
      <bottom style="thin">
        <color theme="9"/>
      </bottom>
      <diagonal/>
    </border>
    <border>
      <left style="medium">
        <color theme="7"/>
      </left>
      <right/>
      <top style="thin">
        <color theme="7"/>
      </top>
      <bottom/>
      <diagonal/>
    </border>
    <border>
      <left/>
      <right style="medium">
        <color theme="7"/>
      </right>
      <top style="thin">
        <color theme="7"/>
      </top>
      <bottom/>
      <diagonal/>
    </border>
    <border>
      <left/>
      <right style="thin">
        <color theme="7"/>
      </right>
      <top style="thin">
        <color theme="7"/>
      </top>
      <bottom/>
      <diagonal/>
    </border>
    <border>
      <left style="medium">
        <color theme="7"/>
      </left>
      <right/>
      <top style="medium">
        <color theme="9"/>
      </top>
      <bottom style="medium">
        <color theme="9"/>
      </bottom>
      <diagonal/>
    </border>
    <border>
      <left/>
      <right/>
      <top style="medium">
        <color theme="9"/>
      </top>
      <bottom style="medium">
        <color theme="9"/>
      </bottom>
      <diagonal/>
    </border>
    <border>
      <left/>
      <right style="medium">
        <color theme="7"/>
      </right>
      <top style="medium">
        <color theme="9"/>
      </top>
      <bottom style="medium">
        <color theme="9"/>
      </bottom>
      <diagonal/>
    </border>
    <border>
      <left/>
      <right style="thin">
        <color theme="7"/>
      </right>
      <top style="medium">
        <color theme="9"/>
      </top>
      <bottom style="medium">
        <color theme="9"/>
      </bottom>
      <diagonal/>
    </border>
    <border>
      <left style="thin">
        <color theme="9"/>
      </left>
      <right style="medium">
        <color theme="7"/>
      </right>
      <top style="medium">
        <color theme="9"/>
      </top>
      <bottom style="medium">
        <color theme="9"/>
      </bottom>
      <diagonal/>
    </border>
    <border>
      <left style="thin">
        <color theme="9"/>
      </left>
      <right style="medium">
        <color theme="7"/>
      </right>
      <top style="thin">
        <color theme="9"/>
      </top>
      <bottom/>
      <diagonal/>
    </border>
    <border>
      <left style="medium">
        <color theme="7"/>
      </left>
      <right/>
      <top/>
      <bottom style="thin">
        <color theme="7"/>
      </bottom>
      <diagonal/>
    </border>
    <border>
      <left/>
      <right style="medium">
        <color theme="7"/>
      </right>
      <top/>
      <bottom style="thin">
        <color theme="7"/>
      </bottom>
      <diagonal/>
    </border>
    <border>
      <left style="medium">
        <color theme="7"/>
      </left>
      <right/>
      <top style="thin">
        <color theme="9"/>
      </top>
      <bottom style="thin">
        <color theme="9"/>
      </bottom>
      <diagonal/>
    </border>
    <border>
      <left/>
      <right style="medium">
        <color theme="7"/>
      </right>
      <top style="thin">
        <color theme="9"/>
      </top>
      <bottom style="thin">
        <color theme="9"/>
      </bottom>
      <diagonal/>
    </border>
    <border>
      <left/>
      <right style="thin">
        <color theme="7"/>
      </right>
      <top style="thin">
        <color theme="9"/>
      </top>
      <bottom style="thin">
        <color theme="9"/>
      </bottom>
      <diagonal/>
    </border>
    <border>
      <left/>
      <right style="thin">
        <color indexed="64"/>
      </right>
      <top/>
      <bottom style="thin">
        <color indexed="64"/>
      </bottom>
      <diagonal/>
    </border>
    <border>
      <left style="thin">
        <color indexed="64"/>
      </left>
      <right/>
      <top/>
      <bottom/>
      <diagonal/>
    </border>
  </borders>
  <cellStyleXfs count="5">
    <xf numFmtId="0" fontId="0" fillId="0" borderId="0"/>
    <xf numFmtId="9" fontId="2" fillId="0" borderId="0" applyFont="0" applyFill="0" applyBorder="0" applyAlignment="0" applyProtection="0"/>
    <xf numFmtId="0" fontId="13" fillId="0" borderId="1" applyNumberFormat="0" applyFill="0" applyAlignment="0" applyProtection="0"/>
    <xf numFmtId="0" fontId="9" fillId="0" borderId="0"/>
    <xf numFmtId="44" fontId="2" fillId="0" borderId="0" applyFont="0" applyFill="0" applyBorder="0" applyAlignment="0" applyProtection="0"/>
  </cellStyleXfs>
  <cellXfs count="500">
    <xf numFmtId="0" fontId="0" fillId="0" borderId="0" xfId="0"/>
    <xf numFmtId="9" fontId="0" fillId="0" borderId="0" xfId="1" applyFont="1"/>
    <xf numFmtId="9" fontId="0" fillId="0" borderId="0" xfId="0" applyNumberFormat="1"/>
    <xf numFmtId="0" fontId="0" fillId="0" borderId="0" xfId="0" applyAlignment="1">
      <alignment horizontal="center" vertical="center"/>
    </xf>
    <xf numFmtId="0" fontId="0" fillId="0" borderId="0" xfId="0" applyAlignment="1">
      <alignment horizontal="center"/>
    </xf>
    <xf numFmtId="0" fontId="0" fillId="0" borderId="0" xfId="0" quotePrefix="1" applyAlignment="1">
      <alignment horizontal="center"/>
    </xf>
    <xf numFmtId="0" fontId="9" fillId="0" borderId="0" xfId="3"/>
    <xf numFmtId="0" fontId="14" fillId="0" borderId="0" xfId="3" applyFont="1"/>
    <xf numFmtId="1" fontId="9" fillId="0" borderId="0" xfId="3" applyNumberFormat="1"/>
    <xf numFmtId="0" fontId="15" fillId="0" borderId="0" xfId="3" applyFont="1"/>
    <xf numFmtId="2" fontId="0" fillId="0" borderId="0" xfId="0" applyNumberFormat="1" applyAlignment="1">
      <alignment horizontal="center"/>
    </xf>
    <xf numFmtId="1" fontId="0" fillId="0" borderId="0" xfId="0" applyNumberFormat="1" applyAlignment="1">
      <alignment horizontal="center" vertical="center"/>
    </xf>
    <xf numFmtId="1" fontId="0" fillId="0" borderId="0" xfId="0" applyNumberFormat="1" applyAlignment="1">
      <alignment horizontal="center"/>
    </xf>
    <xf numFmtId="1" fontId="14" fillId="0" borderId="0" xfId="3" applyNumberFormat="1" applyFont="1"/>
    <xf numFmtId="165" fontId="9" fillId="0" borderId="0" xfId="3" applyNumberFormat="1"/>
    <xf numFmtId="0" fontId="13" fillId="0" borderId="0" xfId="2" applyBorder="1"/>
    <xf numFmtId="9" fontId="0" fillId="0" borderId="0" xfId="1" applyFont="1" applyAlignment="1">
      <alignment horizontal="center"/>
    </xf>
    <xf numFmtId="0" fontId="18" fillId="0" borderId="0" xfId="0" applyFont="1"/>
    <xf numFmtId="0" fontId="19" fillId="0" borderId="0" xfId="0" applyFont="1"/>
    <xf numFmtId="9" fontId="19" fillId="0" borderId="0" xfId="0" applyNumberFormat="1" applyFont="1"/>
    <xf numFmtId="0" fontId="7" fillId="12" borderId="6" xfId="0" applyFont="1" applyFill="1" applyBorder="1" applyAlignment="1">
      <alignment horizontal="center"/>
    </xf>
    <xf numFmtId="0" fontId="7" fillId="12" borderId="5" xfId="0" applyFont="1" applyFill="1" applyBorder="1" applyAlignment="1">
      <alignment horizontal="center"/>
    </xf>
    <xf numFmtId="9" fontId="0" fillId="0" borderId="0" xfId="0" applyNumberFormat="1" applyAlignment="1">
      <alignment horizontal="center"/>
    </xf>
    <xf numFmtId="0" fontId="4" fillId="0" borderId="0" xfId="0" quotePrefix="1" applyFont="1" applyAlignment="1">
      <alignment horizontal="center" vertical="center" wrapText="1"/>
    </xf>
    <xf numFmtId="0" fontId="9" fillId="0" borderId="0" xfId="0" applyFont="1" applyAlignment="1">
      <alignment horizontal="center"/>
    </xf>
    <xf numFmtId="0" fontId="1" fillId="13" borderId="6" xfId="0" applyFont="1" applyFill="1" applyBorder="1" applyAlignment="1">
      <alignment horizontal="center"/>
    </xf>
    <xf numFmtId="0" fontId="1" fillId="13" borderId="5" xfId="0" applyFont="1" applyFill="1" applyBorder="1" applyAlignment="1">
      <alignment horizontal="center"/>
    </xf>
    <xf numFmtId="0" fontId="1" fillId="0" borderId="6" xfId="0" applyFont="1" applyBorder="1" applyAlignment="1">
      <alignment horizontal="center"/>
    </xf>
    <xf numFmtId="0" fontId="1" fillId="0" borderId="5" xfId="0" applyFont="1" applyBorder="1" applyAlignment="1">
      <alignment horizontal="center"/>
    </xf>
    <xf numFmtId="0" fontId="0" fillId="0" borderId="0" xfId="1" quotePrefix="1" applyNumberFormat="1" applyFont="1" applyAlignment="1">
      <alignment horizontal="center"/>
    </xf>
    <xf numFmtId="9" fontId="0" fillId="0" borderId="0" xfId="0" quotePrefix="1" applyNumberFormat="1" applyAlignment="1">
      <alignment horizontal="center"/>
    </xf>
    <xf numFmtId="0" fontId="4" fillId="0" borderId="0" xfId="0" applyFont="1" applyAlignment="1">
      <alignment horizontal="center" vertical="center" wrapText="1"/>
    </xf>
    <xf numFmtId="1" fontId="0" fillId="0" borderId="0" xfId="0" quotePrefix="1" applyNumberFormat="1" applyAlignment="1">
      <alignment horizontal="center"/>
    </xf>
    <xf numFmtId="0" fontId="7" fillId="12" borderId="5" xfId="0" applyFont="1" applyFill="1" applyBorder="1"/>
    <xf numFmtId="0" fontId="7" fillId="12" borderId="7" xfId="0" applyFont="1" applyFill="1" applyBorder="1"/>
    <xf numFmtId="0" fontId="0" fillId="13" borderId="7" xfId="0" applyFill="1" applyBorder="1"/>
    <xf numFmtId="0" fontId="0" fillId="0" borderId="7" xfId="0" applyBorder="1"/>
    <xf numFmtId="0" fontId="18" fillId="0" borderId="0" xfId="0" applyFont="1" applyAlignment="1">
      <alignment horizontal="center" vertical="center" wrapText="1"/>
    </xf>
    <xf numFmtId="0" fontId="0" fillId="0" borderId="0" xfId="0" applyAlignment="1">
      <alignment horizontal="center" vertical="center" wrapText="1"/>
    </xf>
    <xf numFmtId="0" fontId="0" fillId="0" borderId="0" xfId="0" applyAlignment="1">
      <alignment horizontal="left"/>
    </xf>
    <xf numFmtId="0" fontId="4" fillId="6" borderId="0" xfId="0" quotePrefix="1" applyFont="1" applyFill="1" applyAlignment="1">
      <alignment horizontal="center" vertical="center" wrapText="1"/>
    </xf>
    <xf numFmtId="0" fontId="4" fillId="2" borderId="0" xfId="0" applyFont="1" applyFill="1" applyAlignment="1">
      <alignment horizontal="center" vertical="center"/>
    </xf>
    <xf numFmtId="0" fontId="8" fillId="0" borderId="0" xfId="0" applyFont="1" applyAlignment="1">
      <alignment horizontal="center" vertical="center"/>
    </xf>
    <xf numFmtId="10" fontId="0" fillId="0" borderId="0" xfId="1" applyNumberFormat="1" applyFont="1" applyAlignment="1">
      <alignment horizontal="center" vertical="center"/>
    </xf>
    <xf numFmtId="0" fontId="0" fillId="0" borderId="0" xfId="0" quotePrefix="1" applyAlignment="1">
      <alignment horizontal="center" vertical="center"/>
    </xf>
    <xf numFmtId="1" fontId="0" fillId="0" borderId="0" xfId="0" quotePrefix="1" applyNumberFormat="1" applyAlignment="1">
      <alignment horizontal="center" vertical="center"/>
    </xf>
    <xf numFmtId="164" fontId="0" fillId="0" borderId="0" xfId="1" applyNumberFormat="1" applyFont="1" applyAlignment="1">
      <alignment horizontal="center" vertical="center"/>
    </xf>
    <xf numFmtId="164" fontId="0" fillId="0" borderId="0" xfId="0" applyNumberFormat="1" applyAlignment="1">
      <alignment horizontal="center" vertical="center"/>
    </xf>
    <xf numFmtId="0" fontId="3" fillId="0" borderId="0" xfId="0" quotePrefix="1" applyFont="1" applyAlignment="1">
      <alignment horizontal="center" vertical="center"/>
    </xf>
    <xf numFmtId="0" fontId="0" fillId="3" borderId="0" xfId="0" applyFill="1" applyAlignment="1">
      <alignment horizontal="center" vertical="center"/>
    </xf>
    <xf numFmtId="2" fontId="0" fillId="0" borderId="0" xfId="0" applyNumberFormat="1" applyAlignment="1">
      <alignment horizontal="center" vertical="center"/>
    </xf>
    <xf numFmtId="0" fontId="0" fillId="4" borderId="0" xfId="0" applyFill="1" applyAlignment="1">
      <alignment horizontal="center" vertical="center"/>
    </xf>
    <xf numFmtId="1" fontId="3" fillId="0" borderId="0" xfId="0" applyNumberFormat="1" applyFont="1" applyAlignment="1">
      <alignment horizontal="center" vertical="center"/>
    </xf>
    <xf numFmtId="0" fontId="3" fillId="0" borderId="0" xfId="0" applyFont="1" applyAlignment="1">
      <alignment horizontal="center" vertical="center"/>
    </xf>
    <xf numFmtId="2" fontId="3" fillId="0" borderId="0" xfId="0" applyNumberFormat="1" applyFont="1" applyAlignment="1">
      <alignment horizontal="center"/>
    </xf>
    <xf numFmtId="0" fontId="3" fillId="0" borderId="0" xfId="0" applyFont="1" applyAlignment="1">
      <alignment horizontal="center"/>
    </xf>
    <xf numFmtId="0" fontId="10" fillId="0" borderId="0" xfId="0" applyFont="1" applyAlignment="1">
      <alignment vertical="center" wrapText="1"/>
    </xf>
    <xf numFmtId="0" fontId="10" fillId="0" borderId="0" xfId="0" applyFont="1" applyAlignment="1">
      <alignment vertical="center"/>
    </xf>
    <xf numFmtId="10" fontId="0" fillId="0" borderId="0" xfId="0" applyNumberFormat="1" applyAlignment="1">
      <alignment horizontal="center"/>
    </xf>
    <xf numFmtId="164" fontId="0" fillId="0" borderId="0" xfId="0" applyNumberFormat="1" applyAlignment="1">
      <alignment horizontal="center"/>
    </xf>
    <xf numFmtId="0" fontId="6" fillId="0" borderId="0" xfId="0" applyFont="1" applyAlignment="1">
      <alignment horizontal="center" vertical="center" wrapText="1"/>
    </xf>
    <xf numFmtId="9" fontId="0" fillId="14" borderId="0" xfId="0" applyNumberFormat="1" applyFill="1" applyAlignment="1">
      <alignment horizontal="center"/>
    </xf>
    <xf numFmtId="0" fontId="0" fillId="10" borderId="0" xfId="0" applyFill="1" applyAlignment="1">
      <alignment horizontal="center"/>
    </xf>
    <xf numFmtId="0" fontId="4" fillId="11" borderId="0" xfId="0" applyFont="1" applyFill="1" applyAlignment="1">
      <alignment horizontal="left" vertical="center"/>
    </xf>
    <xf numFmtId="0" fontId="4" fillId="11" borderId="3" xfId="0" applyFont="1" applyFill="1" applyBorder="1" applyAlignment="1">
      <alignment horizontal="left" vertical="center"/>
    </xf>
    <xf numFmtId="0" fontId="4" fillId="11" borderId="4" xfId="0" applyFont="1" applyFill="1" applyBorder="1" applyAlignment="1">
      <alignment horizontal="left" vertical="center"/>
    </xf>
    <xf numFmtId="0" fontId="14" fillId="0" borderId="0" xfId="3" applyFont="1" applyAlignment="1">
      <alignment horizontal="left"/>
    </xf>
    <xf numFmtId="0" fontId="9" fillId="0" borderId="0" xfId="3" applyAlignment="1">
      <alignment horizontal="left"/>
    </xf>
    <xf numFmtId="0" fontId="9" fillId="0" borderId="0" xfId="3" applyAlignment="1">
      <alignment horizontal="center"/>
    </xf>
    <xf numFmtId="0" fontId="1" fillId="0" borderId="0" xfId="3" applyFont="1" applyAlignment="1">
      <alignment horizontal="center"/>
    </xf>
    <xf numFmtId="0" fontId="17" fillId="0" borderId="0" xfId="3" applyFont="1" applyAlignment="1">
      <alignment horizontal="center"/>
    </xf>
    <xf numFmtId="1" fontId="1" fillId="0" borderId="0" xfId="3" applyNumberFormat="1" applyFont="1" applyAlignment="1">
      <alignment horizontal="center"/>
    </xf>
    <xf numFmtId="9" fontId="0" fillId="0" borderId="0" xfId="1" applyFont="1" applyAlignment="1">
      <alignment horizontal="center" vertical="center"/>
    </xf>
    <xf numFmtId="0" fontId="8" fillId="15" borderId="0" xfId="0" applyFont="1" applyFill="1" applyAlignment="1">
      <alignment horizontal="center" vertical="center"/>
    </xf>
    <xf numFmtId="1" fontId="21" fillId="0" borderId="0" xfId="0" applyNumberFormat="1" applyFont="1" applyAlignment="1">
      <alignment horizontal="center" vertical="center"/>
    </xf>
    <xf numFmtId="0" fontId="21" fillId="0" borderId="0" xfId="0" applyFont="1" applyAlignment="1">
      <alignment horizontal="left" vertical="center"/>
    </xf>
    <xf numFmtId="0" fontId="1" fillId="0" borderId="0" xfId="0" applyFont="1" applyAlignment="1">
      <alignment horizontal="center"/>
    </xf>
    <xf numFmtId="0" fontId="23" fillId="11" borderId="0" xfId="0" applyFont="1" applyFill="1"/>
    <xf numFmtId="1" fontId="0" fillId="0" borderId="0" xfId="0" applyNumberFormat="1"/>
    <xf numFmtId="0" fontId="24" fillId="0" borderId="0" xfId="0" applyFont="1"/>
    <xf numFmtId="0" fontId="24" fillId="0" borderId="0" xfId="0" applyFont="1" applyAlignment="1">
      <alignment horizontal="center"/>
    </xf>
    <xf numFmtId="0" fontId="0" fillId="0" borderId="0" xfId="0" applyAlignment="1">
      <alignment horizontal="left" vertical="center"/>
    </xf>
    <xf numFmtId="9" fontId="3" fillId="0" borderId="0" xfId="1" applyFont="1" applyAlignment="1">
      <alignment horizontal="center" vertical="center"/>
    </xf>
    <xf numFmtId="0" fontId="0" fillId="0" borderId="0" xfId="0" applyAlignment="1">
      <alignment vertical="center" wrapText="1"/>
    </xf>
    <xf numFmtId="0" fontId="0" fillId="13" borderId="7" xfId="0" applyFill="1" applyBorder="1" applyAlignment="1">
      <alignment horizontal="center"/>
    </xf>
    <xf numFmtId="0" fontId="0" fillId="0" borderId="7" xfId="0" applyBorder="1" applyAlignment="1">
      <alignment horizontal="center"/>
    </xf>
    <xf numFmtId="0" fontId="4" fillId="0" borderId="0" xfId="0" applyFont="1" applyAlignment="1">
      <alignment vertical="center" wrapText="1"/>
    </xf>
    <xf numFmtId="9" fontId="27" fillId="13" borderId="7" xfId="1" applyFont="1" applyFill="1" applyBorder="1" applyAlignment="1">
      <alignment horizontal="center"/>
    </xf>
    <xf numFmtId="9" fontId="27" fillId="0" borderId="7" xfId="1" applyFont="1" applyBorder="1" applyAlignment="1">
      <alignment horizontal="center"/>
    </xf>
    <xf numFmtId="9" fontId="27" fillId="0" borderId="0" xfId="1" applyFont="1" applyAlignment="1">
      <alignment horizontal="center"/>
    </xf>
    <xf numFmtId="9" fontId="28" fillId="13" borderId="7" xfId="1" applyFont="1" applyFill="1" applyBorder="1" applyAlignment="1">
      <alignment horizontal="center"/>
    </xf>
    <xf numFmtId="9" fontId="28" fillId="0" borderId="7" xfId="1" applyFont="1" applyBorder="1" applyAlignment="1">
      <alignment horizontal="center"/>
    </xf>
    <xf numFmtId="9" fontId="28" fillId="0" borderId="0" xfId="1" applyFont="1" applyAlignment="1">
      <alignment horizontal="center"/>
    </xf>
    <xf numFmtId="9" fontId="27" fillId="0" borderId="7" xfId="1" applyFont="1" applyFill="1" applyBorder="1" applyAlignment="1">
      <alignment horizontal="center"/>
    </xf>
    <xf numFmtId="0" fontId="18" fillId="0" borderId="0" xfId="0" applyFont="1" applyAlignment="1">
      <alignment horizontal="center" vertical="center"/>
    </xf>
    <xf numFmtId="3" fontId="0" fillId="0" borderId="0" xfId="0" applyNumberFormat="1" applyAlignment="1">
      <alignment horizontal="center" vertical="center"/>
    </xf>
    <xf numFmtId="3" fontId="18" fillId="0" borderId="0" xfId="0" applyNumberFormat="1" applyFont="1" applyAlignment="1">
      <alignment horizontal="center" vertical="center"/>
    </xf>
    <xf numFmtId="1" fontId="19" fillId="0" borderId="0" xfId="0" applyNumberFormat="1" applyFont="1" applyAlignment="1">
      <alignment horizontal="center" vertical="center"/>
    </xf>
    <xf numFmtId="0" fontId="19" fillId="0" borderId="0" xfId="0" applyFont="1" applyAlignment="1">
      <alignment horizontal="center" vertical="center"/>
    </xf>
    <xf numFmtId="164" fontId="0" fillId="0" borderId="0" xfId="1" applyNumberFormat="1" applyFont="1" applyFill="1" applyAlignment="1">
      <alignment horizontal="center" vertical="center"/>
    </xf>
    <xf numFmtId="164" fontId="0" fillId="0" borderId="0" xfId="1" applyNumberFormat="1" applyFont="1"/>
    <xf numFmtId="0" fontId="7" fillId="0" borderId="0" xfId="0" applyFont="1" applyAlignment="1">
      <alignment vertical="center" wrapText="1"/>
    </xf>
    <xf numFmtId="9" fontId="0" fillId="0" borderId="0" xfId="1" applyFont="1" applyFill="1" applyAlignment="1">
      <alignment horizontal="center"/>
    </xf>
    <xf numFmtId="3" fontId="0" fillId="0" borderId="0" xfId="0" applyNumberFormat="1" applyAlignment="1">
      <alignment horizontal="center"/>
    </xf>
    <xf numFmtId="164" fontId="0" fillId="0" borderId="0" xfId="0" applyNumberFormat="1"/>
    <xf numFmtId="3" fontId="3" fillId="0" borderId="0" xfId="0" applyNumberFormat="1" applyFont="1" applyAlignment="1">
      <alignment horizontal="center" vertical="center"/>
    </xf>
    <xf numFmtId="3" fontId="21" fillId="0" borderId="0" xfId="0" applyNumberFormat="1" applyFont="1" applyAlignment="1">
      <alignment horizontal="center" vertical="center"/>
    </xf>
    <xf numFmtId="3" fontId="4" fillId="11" borderId="2" xfId="0" applyNumberFormat="1" applyFont="1" applyFill="1" applyBorder="1" applyAlignment="1">
      <alignment horizontal="right" vertical="center"/>
    </xf>
    <xf numFmtId="0" fontId="0" fillId="16" borderId="8" xfId="0" applyFill="1" applyBorder="1" applyAlignment="1">
      <alignment horizontal="center" vertical="center"/>
    </xf>
    <xf numFmtId="0" fontId="0" fillId="0" borderId="8" xfId="0" applyBorder="1" applyAlignment="1">
      <alignment horizontal="center" vertical="center"/>
    </xf>
    <xf numFmtId="3" fontId="0" fillId="0" borderId="12" xfId="0" applyNumberFormat="1" applyBorder="1" applyAlignment="1">
      <alignment horizontal="center" vertical="center"/>
    </xf>
    <xf numFmtId="3" fontId="0" fillId="0" borderId="8" xfId="0" applyNumberFormat="1" applyBorder="1" applyAlignment="1">
      <alignment horizontal="center" vertical="center"/>
    </xf>
    <xf numFmtId="0" fontId="0" fillId="0" borderId="11" xfId="0" applyBorder="1" applyAlignment="1">
      <alignment horizontal="center"/>
    </xf>
    <xf numFmtId="166" fontId="0" fillId="0" borderId="0" xfId="0" applyNumberFormat="1" applyAlignment="1">
      <alignment horizontal="center" vertical="center"/>
    </xf>
    <xf numFmtId="0" fontId="7" fillId="0" borderId="0" xfId="0" applyFont="1"/>
    <xf numFmtId="9" fontId="28" fillId="0" borderId="0" xfId="1" applyFont="1" applyFill="1" applyBorder="1" applyAlignment="1">
      <alignment horizontal="center"/>
    </xf>
    <xf numFmtId="9" fontId="27" fillId="0" borderId="0" xfId="1" applyFont="1" applyFill="1" applyBorder="1" applyAlignment="1">
      <alignment horizontal="center"/>
    </xf>
    <xf numFmtId="9" fontId="0" fillId="0" borderId="0" xfId="1" applyFont="1" applyFill="1" applyBorder="1"/>
    <xf numFmtId="4" fontId="0" fillId="0" borderId="0" xfId="0" applyNumberFormat="1" applyAlignment="1">
      <alignment horizontal="center"/>
    </xf>
    <xf numFmtId="0" fontId="7" fillId="5" borderId="9" xfId="0" applyFont="1" applyFill="1" applyBorder="1" applyAlignment="1">
      <alignment horizontal="center"/>
    </xf>
    <xf numFmtId="0" fontId="0" fillId="0" borderId="9" xfId="0" applyBorder="1" applyAlignment="1">
      <alignment horizontal="center"/>
    </xf>
    <xf numFmtId="0" fontId="24" fillId="0" borderId="0" xfId="0" applyFont="1" applyAlignment="1">
      <alignment horizontal="left"/>
    </xf>
    <xf numFmtId="0" fontId="29" fillId="19" borderId="0" xfId="0" applyFont="1" applyFill="1" applyAlignment="1">
      <alignment horizontal="left"/>
    </xf>
    <xf numFmtId="0" fontId="30" fillId="19" borderId="0" xfId="0" applyFont="1" applyFill="1" applyAlignment="1">
      <alignment horizontal="left"/>
    </xf>
    <xf numFmtId="0" fontId="31" fillId="0" borderId="0" xfId="0" applyFont="1" applyAlignment="1">
      <alignment horizontal="center"/>
    </xf>
    <xf numFmtId="0" fontId="32" fillId="0" borderId="0" xfId="0" applyFont="1" applyAlignment="1">
      <alignment horizontal="center"/>
    </xf>
    <xf numFmtId="0" fontId="30" fillId="0" borderId="0" xfId="0" applyFont="1"/>
    <xf numFmtId="9" fontId="30" fillId="0" borderId="0" xfId="0" applyNumberFormat="1" applyFont="1"/>
    <xf numFmtId="9" fontId="0" fillId="0" borderId="0" xfId="0" applyNumberFormat="1" applyAlignment="1">
      <alignment horizontal="center" vertical="center"/>
    </xf>
    <xf numFmtId="3" fontId="26" fillId="0" borderId="0" xfId="0" applyNumberFormat="1" applyFont="1" applyAlignment="1">
      <alignment horizontal="center" vertical="center"/>
    </xf>
    <xf numFmtId="3" fontId="0" fillId="0" borderId="0" xfId="0" quotePrefix="1" applyNumberFormat="1" applyAlignment="1">
      <alignment horizontal="center"/>
    </xf>
    <xf numFmtId="3" fontId="8" fillId="0" borderId="0" xfId="0" applyNumberFormat="1" applyFont="1" applyAlignment="1">
      <alignment horizontal="center"/>
    </xf>
    <xf numFmtId="3" fontId="0" fillId="14" borderId="0" xfId="0" applyNumberFormat="1" applyFill="1" applyAlignment="1">
      <alignment horizontal="center"/>
    </xf>
    <xf numFmtId="0" fontId="0" fillId="2" borderId="0" xfId="0" applyFill="1" applyAlignment="1">
      <alignment horizontal="center" vertical="center"/>
    </xf>
    <xf numFmtId="0" fontId="7" fillId="2" borderId="0" xfId="0" applyFont="1" applyFill="1" applyAlignment="1">
      <alignment vertical="center"/>
    </xf>
    <xf numFmtId="0" fontId="7" fillId="3" borderId="0" xfId="0" applyFont="1" applyFill="1" applyAlignment="1">
      <alignment vertical="center"/>
    </xf>
    <xf numFmtId="0" fontId="33" fillId="3" borderId="0" xfId="0" applyFont="1" applyFill="1" applyAlignment="1">
      <alignment vertical="center"/>
    </xf>
    <xf numFmtId="0" fontId="7" fillId="20" borderId="0" xfId="0" applyFont="1" applyFill="1" applyAlignment="1">
      <alignment horizontal="center" vertical="center"/>
    </xf>
    <xf numFmtId="9" fontId="7" fillId="20" borderId="0" xfId="0" applyNumberFormat="1" applyFont="1" applyFill="1" applyAlignment="1">
      <alignment horizontal="center" vertical="center"/>
    </xf>
    <xf numFmtId="0" fontId="4" fillId="20" borderId="0" xfId="0" applyFont="1" applyFill="1" applyAlignment="1">
      <alignment horizontal="center" vertical="center"/>
    </xf>
    <xf numFmtId="0" fontId="4" fillId="21" borderId="0" xfId="0" applyFont="1" applyFill="1" applyAlignment="1">
      <alignment horizontal="center" vertical="center"/>
    </xf>
    <xf numFmtId="0" fontId="0" fillId="21" borderId="0" xfId="0" applyFill="1" applyAlignment="1">
      <alignment horizontal="center" vertical="center"/>
    </xf>
    <xf numFmtId="9" fontId="4" fillId="21" borderId="0" xfId="0" applyNumberFormat="1" applyFont="1" applyFill="1" applyAlignment="1">
      <alignment horizontal="center" vertical="center"/>
    </xf>
    <xf numFmtId="0" fontId="4" fillId="4" borderId="0" xfId="0" applyFont="1" applyFill="1"/>
    <xf numFmtId="0" fontId="34" fillId="4" borderId="0" xfId="0" applyFont="1" applyFill="1"/>
    <xf numFmtId="0" fontId="23" fillId="4" borderId="0" xfId="0" applyFont="1" applyFill="1" applyAlignment="1">
      <alignment vertical="center"/>
    </xf>
    <xf numFmtId="0" fontId="0" fillId="18" borderId="0" xfId="0" applyFill="1" applyAlignment="1">
      <alignment horizontal="center" vertical="center"/>
    </xf>
    <xf numFmtId="0" fontId="35" fillId="0" borderId="0" xfId="0" applyFont="1" applyAlignment="1">
      <alignment horizontal="left" vertical="center"/>
    </xf>
    <xf numFmtId="0" fontId="4" fillId="11" borderId="0" xfId="0" applyFont="1" applyFill="1" applyAlignment="1">
      <alignment horizontal="center" vertical="center"/>
    </xf>
    <xf numFmtId="0" fontId="12" fillId="0" borderId="0" xfId="0" applyFont="1" applyAlignment="1">
      <alignment horizontal="center" vertical="center"/>
    </xf>
    <xf numFmtId="0" fontId="8" fillId="0" borderId="0" xfId="0" applyFont="1" applyAlignment="1">
      <alignment horizontal="left" vertical="center"/>
    </xf>
    <xf numFmtId="10" fontId="20" fillId="14" borderId="0" xfId="0" applyNumberFormat="1" applyFont="1" applyFill="1" applyAlignment="1">
      <alignment horizontal="center" vertical="center"/>
    </xf>
    <xf numFmtId="0" fontId="34" fillId="11" borderId="0" xfId="0" applyFont="1" applyFill="1"/>
    <xf numFmtId="0" fontId="34" fillId="11" borderId="0" xfId="0" applyFont="1" applyFill="1" applyAlignment="1">
      <alignment horizontal="center"/>
    </xf>
    <xf numFmtId="1" fontId="34" fillId="11" borderId="0" xfId="0" applyNumberFormat="1" applyFont="1" applyFill="1"/>
    <xf numFmtId="0" fontId="23" fillId="0" borderId="0" xfId="0" applyFont="1"/>
    <xf numFmtId="0" fontId="12" fillId="0" borderId="0" xfId="0" applyFont="1"/>
    <xf numFmtId="0" fontId="8" fillId="0" borderId="0" xfId="0" applyFont="1"/>
    <xf numFmtId="0" fontId="12" fillId="0" borderId="0" xfId="0" applyFont="1" applyAlignment="1">
      <alignment horizontal="center"/>
    </xf>
    <xf numFmtId="0" fontId="23" fillId="11" borderId="0" xfId="0" applyFont="1" applyFill="1" applyAlignment="1">
      <alignment horizontal="left"/>
    </xf>
    <xf numFmtId="0" fontId="21" fillId="0" borderId="0" xfId="0" applyFont="1"/>
    <xf numFmtId="0" fontId="25" fillId="0" borderId="0" xfId="0" applyFont="1" applyAlignment="1">
      <alignment horizontal="left" vertical="center"/>
    </xf>
    <xf numFmtId="0" fontId="20" fillId="0" borderId="0" xfId="0" applyFont="1"/>
    <xf numFmtId="0" fontId="36" fillId="0" borderId="0" xfId="0" applyFont="1"/>
    <xf numFmtId="14" fontId="3" fillId="0" borderId="0" xfId="0" applyNumberFormat="1" applyFont="1"/>
    <xf numFmtId="0" fontId="0" fillId="23" borderId="0" xfId="0" applyFill="1"/>
    <xf numFmtId="0" fontId="0" fillId="0" borderId="0" xfId="0" applyAlignment="1">
      <alignment vertical="center"/>
    </xf>
    <xf numFmtId="0" fontId="18" fillId="14" borderId="9" xfId="0" applyFont="1" applyFill="1" applyBorder="1" applyAlignment="1">
      <alignment horizontal="center"/>
    </xf>
    <xf numFmtId="3" fontId="0" fillId="14" borderId="11" xfId="0" applyNumberFormat="1" applyFill="1" applyBorder="1" applyAlignment="1">
      <alignment horizontal="center"/>
    </xf>
    <xf numFmtId="3" fontId="0" fillId="14" borderId="10" xfId="0" applyNumberFormat="1" applyFill="1" applyBorder="1" applyAlignment="1">
      <alignment horizontal="center"/>
    </xf>
    <xf numFmtId="0" fontId="18" fillId="0" borderId="9" xfId="0" applyFont="1" applyBorder="1" applyAlignment="1">
      <alignment horizontal="center"/>
    </xf>
    <xf numFmtId="0" fontId="0" fillId="0" borderId="10" xfId="0" applyBorder="1" applyAlignment="1">
      <alignment horizontal="center"/>
    </xf>
    <xf numFmtId="3" fontId="0" fillId="14" borderId="9" xfId="0" applyNumberFormat="1" applyFill="1" applyBorder="1" applyAlignment="1">
      <alignment horizontal="center"/>
    </xf>
    <xf numFmtId="0" fontId="36" fillId="23" borderId="0" xfId="0" applyFont="1" applyFill="1" applyAlignment="1">
      <alignment vertical="center"/>
    </xf>
    <xf numFmtId="0" fontId="4" fillId="3" borderId="0" xfId="0" applyFont="1" applyFill="1" applyAlignment="1">
      <alignment horizontal="center" vertical="center"/>
    </xf>
    <xf numFmtId="0" fontId="4" fillId="4" borderId="0" xfId="0" applyFont="1" applyFill="1" applyAlignment="1">
      <alignment horizontal="center" vertical="center"/>
    </xf>
    <xf numFmtId="0" fontId="17" fillId="0" borderId="0" xfId="3" applyFont="1"/>
    <xf numFmtId="0" fontId="13" fillId="0" borderId="0" xfId="2" applyFill="1" applyBorder="1"/>
    <xf numFmtId="0" fontId="1" fillId="0" borderId="0" xfId="0" applyFont="1" applyAlignment="1">
      <alignment horizontal="right"/>
    </xf>
    <xf numFmtId="1" fontId="1" fillId="0" borderId="0" xfId="0" applyNumberFormat="1" applyFont="1" applyAlignment="1">
      <alignment horizontal="right"/>
    </xf>
    <xf numFmtId="0" fontId="14" fillId="0" borderId="0" xfId="0" applyFont="1" applyAlignment="1">
      <alignment horizontal="right"/>
    </xf>
    <xf numFmtId="1" fontId="14" fillId="0" borderId="0" xfId="0" applyNumberFormat="1" applyFont="1" applyAlignment="1">
      <alignment horizontal="right"/>
    </xf>
    <xf numFmtId="0" fontId="37" fillId="2" borderId="0" xfId="2" applyFont="1" applyFill="1" applyBorder="1"/>
    <xf numFmtId="9" fontId="9" fillId="0" borderId="0" xfId="1" applyFont="1"/>
    <xf numFmtId="9" fontId="1" fillId="0" borderId="7" xfId="3" applyNumberFormat="1" applyFont="1" applyBorder="1"/>
    <xf numFmtId="9" fontId="37" fillId="2" borderId="0" xfId="1" applyFont="1" applyFill="1" applyBorder="1"/>
    <xf numFmtId="9" fontId="17" fillId="12" borderId="7" xfId="1" applyFont="1" applyFill="1" applyBorder="1" applyAlignment="1"/>
    <xf numFmtId="9" fontId="1" fillId="13" borderId="7" xfId="1" applyFont="1" applyFill="1" applyBorder="1" applyAlignment="1"/>
    <xf numFmtId="9" fontId="1" fillId="0" borderId="7" xfId="1" applyFont="1" applyBorder="1"/>
    <xf numFmtId="9" fontId="1" fillId="0" borderId="0" xfId="1" applyFont="1" applyFill="1" applyBorder="1"/>
    <xf numFmtId="9" fontId="9" fillId="0" borderId="0" xfId="1" applyFont="1" applyAlignment="1">
      <alignment horizontal="left"/>
    </xf>
    <xf numFmtId="9" fontId="9" fillId="0" borderId="0" xfId="1" applyFont="1" applyAlignment="1">
      <alignment horizontal="center"/>
    </xf>
    <xf numFmtId="9" fontId="17" fillId="0" borderId="0" xfId="1" applyFont="1" applyFill="1" applyAlignment="1">
      <alignment horizontal="center"/>
    </xf>
    <xf numFmtId="9" fontId="1" fillId="0" borderId="7" xfId="1" applyFont="1" applyFill="1" applyBorder="1" applyAlignment="1"/>
    <xf numFmtId="9" fontId="9" fillId="0" borderId="0" xfId="1" applyFont="1" applyFill="1"/>
    <xf numFmtId="9" fontId="1" fillId="0" borderId="0" xfId="1" applyFont="1"/>
    <xf numFmtId="9" fontId="17" fillId="0" borderId="0" xfId="1" applyFont="1" applyFill="1"/>
    <xf numFmtId="9" fontId="1" fillId="0" borderId="0" xfId="1" applyFont="1" applyBorder="1"/>
    <xf numFmtId="9" fontId="13" fillId="0" borderId="0" xfId="1" applyFont="1" applyBorder="1"/>
    <xf numFmtId="0" fontId="1" fillId="0" borderId="0" xfId="0" applyFont="1" applyAlignment="1">
      <alignment horizontal="left"/>
    </xf>
    <xf numFmtId="9" fontId="1" fillId="0" borderId="7" xfId="1" applyFont="1" applyFill="1" applyBorder="1" applyAlignment="1">
      <alignment horizontal="left"/>
    </xf>
    <xf numFmtId="9" fontId="9" fillId="0" borderId="0" xfId="1" applyFont="1" applyFill="1" applyBorder="1"/>
    <xf numFmtId="9" fontId="17" fillId="0" borderId="0" xfId="1" applyFont="1" applyFill="1" applyBorder="1"/>
    <xf numFmtId="9" fontId="9" fillId="0" borderId="0" xfId="1" applyFont="1" applyBorder="1"/>
    <xf numFmtId="0" fontId="9" fillId="8" borderId="0" xfId="3" applyFill="1"/>
    <xf numFmtId="0" fontId="38" fillId="8" borderId="0" xfId="3" applyFont="1" applyFill="1" applyAlignment="1">
      <alignment vertical="center" textRotation="90"/>
    </xf>
    <xf numFmtId="0" fontId="38" fillId="8" borderId="0" xfId="3" applyFont="1" applyFill="1" applyAlignment="1">
      <alignment textRotation="90"/>
    </xf>
    <xf numFmtId="0" fontId="38" fillId="0" borderId="0" xfId="3" applyFont="1" applyAlignment="1">
      <alignment textRotation="90"/>
    </xf>
    <xf numFmtId="0" fontId="38" fillId="0" borderId="0" xfId="3" applyFont="1" applyAlignment="1">
      <alignment horizontal="center" vertical="top" textRotation="90"/>
    </xf>
    <xf numFmtId="0" fontId="38" fillId="8" borderId="0" xfId="3" applyFont="1" applyFill="1" applyAlignment="1">
      <alignment vertical="top" textRotation="90"/>
    </xf>
    <xf numFmtId="0" fontId="4" fillId="24" borderId="0" xfId="0" applyFont="1" applyFill="1"/>
    <xf numFmtId="0" fontId="34" fillId="24" borderId="0" xfId="0" applyFont="1" applyFill="1"/>
    <xf numFmtId="0" fontId="7" fillId="25" borderId="0" xfId="0" applyFont="1" applyFill="1" applyAlignment="1">
      <alignment horizontal="center" vertical="center"/>
    </xf>
    <xf numFmtId="0" fontId="4" fillId="25" borderId="0" xfId="0" applyFont="1" applyFill="1" applyAlignment="1">
      <alignment horizontal="center" vertical="center"/>
    </xf>
    <xf numFmtId="0" fontId="4" fillId="23" borderId="0" xfId="0" applyFont="1" applyFill="1" applyAlignment="1">
      <alignment horizontal="center" vertical="center"/>
    </xf>
    <xf numFmtId="0" fontId="18" fillId="0" borderId="0" xfId="0" applyFont="1" applyAlignment="1">
      <alignment vertical="center" wrapText="1"/>
    </xf>
    <xf numFmtId="0" fontId="18" fillId="7" borderId="0" xfId="0" applyFont="1" applyFill="1" applyAlignment="1">
      <alignment vertical="center" wrapText="1"/>
    </xf>
    <xf numFmtId="0" fontId="18" fillId="9" borderId="0" xfId="0" applyFont="1" applyFill="1" applyAlignment="1">
      <alignment vertical="center" wrapText="1"/>
    </xf>
    <xf numFmtId="0" fontId="0" fillId="9" borderId="0" xfId="0" applyFill="1" applyAlignment="1">
      <alignment vertical="center" wrapText="1"/>
    </xf>
    <xf numFmtId="0" fontId="12" fillId="0" borderId="0" xfId="0" applyFont="1" applyAlignment="1">
      <alignment vertical="center" wrapText="1"/>
    </xf>
    <xf numFmtId="3" fontId="0" fillId="0" borderId="0" xfId="1" applyNumberFormat="1" applyFont="1" applyFill="1" applyAlignment="1">
      <alignment vertical="center"/>
    </xf>
    <xf numFmtId="1" fontId="18" fillId="0" borderId="0" xfId="0" applyNumberFormat="1" applyFont="1" applyAlignment="1">
      <alignment horizontal="center" vertical="center"/>
    </xf>
    <xf numFmtId="0" fontId="0" fillId="0" borderId="0" xfId="0" applyAlignment="1">
      <alignment horizontal="right"/>
    </xf>
    <xf numFmtId="2" fontId="0" fillId="0" borderId="0" xfId="0" applyNumberFormat="1" applyAlignment="1">
      <alignment horizontal="right"/>
    </xf>
    <xf numFmtId="165" fontId="14" fillId="0" borderId="0" xfId="3" applyNumberFormat="1" applyFont="1"/>
    <xf numFmtId="3" fontId="42" fillId="0" borderId="0" xfId="0" applyNumberFormat="1" applyFont="1" applyAlignment="1">
      <alignment horizontal="center"/>
    </xf>
    <xf numFmtId="3" fontId="0" fillId="0" borderId="0" xfId="0" quotePrefix="1" applyNumberFormat="1" applyAlignment="1">
      <alignment horizontal="center" vertical="center"/>
    </xf>
    <xf numFmtId="3" fontId="0" fillId="0" borderId="0" xfId="1" quotePrefix="1" applyNumberFormat="1" applyFont="1" applyAlignment="1">
      <alignment horizontal="center"/>
    </xf>
    <xf numFmtId="2" fontId="7" fillId="11" borderId="0" xfId="0" applyNumberFormat="1" applyFont="1" applyFill="1" applyAlignment="1">
      <alignment horizontal="right" vertical="center"/>
    </xf>
    <xf numFmtId="0" fontId="45" fillId="0" borderId="0" xfId="0" applyFont="1" applyAlignment="1">
      <alignment vertical="center" wrapText="1"/>
    </xf>
    <xf numFmtId="0" fontId="45" fillId="0" borderId="0" xfId="0" applyFont="1" applyAlignment="1">
      <alignment vertical="center"/>
    </xf>
    <xf numFmtId="3" fontId="0" fillId="0" borderId="0" xfId="0" applyNumberFormat="1"/>
    <xf numFmtId="2" fontId="0" fillId="0" borderId="0" xfId="1" applyNumberFormat="1" applyFont="1" applyFill="1" applyAlignment="1">
      <alignment horizontal="center"/>
    </xf>
    <xf numFmtId="165" fontId="47" fillId="0" borderId="0" xfId="0" applyNumberFormat="1" applyFont="1" applyAlignment="1">
      <alignment horizontal="center"/>
    </xf>
    <xf numFmtId="165" fontId="48" fillId="0" borderId="0" xfId="0" applyNumberFormat="1" applyFont="1" applyAlignment="1">
      <alignment horizontal="center"/>
    </xf>
    <xf numFmtId="0" fontId="35" fillId="0" borderId="0" xfId="0" applyFont="1"/>
    <xf numFmtId="0" fontId="49" fillId="0" borderId="0" xfId="0" applyFont="1"/>
    <xf numFmtId="0" fontId="41" fillId="0" borderId="0" xfId="0" applyFont="1" applyAlignment="1">
      <alignment vertical="center"/>
    </xf>
    <xf numFmtId="0" fontId="50" fillId="0" borderId="0" xfId="0" applyFont="1" applyAlignment="1">
      <alignment horizontal="left" vertical="center"/>
    </xf>
    <xf numFmtId="3" fontId="50" fillId="0" borderId="0" xfId="0" applyNumberFormat="1" applyFont="1" applyAlignment="1">
      <alignment horizontal="center" vertical="center"/>
    </xf>
    <xf numFmtId="0" fontId="51" fillId="0" borderId="0" xfId="0" applyFont="1"/>
    <xf numFmtId="0" fontId="52" fillId="0" borderId="0" xfId="0" applyFont="1"/>
    <xf numFmtId="165" fontId="53" fillId="0" borderId="0" xfId="0" applyNumberFormat="1" applyFont="1" applyAlignment="1">
      <alignment horizontal="center"/>
    </xf>
    <xf numFmtId="9" fontId="1" fillId="0" borderId="0" xfId="1" applyFont="1" applyFill="1" applyBorder="1" applyAlignment="1"/>
    <xf numFmtId="9" fontId="17" fillId="0" borderId="0" xfId="1" applyFont="1" applyFill="1" applyBorder="1" applyAlignment="1">
      <alignment horizontal="center"/>
    </xf>
    <xf numFmtId="9" fontId="0" fillId="0" borderId="0" xfId="1" applyFont="1" applyBorder="1" applyAlignment="1">
      <alignment horizontal="center"/>
    </xf>
    <xf numFmtId="9" fontId="8" fillId="0" borderId="0" xfId="1" applyFont="1" applyAlignment="1">
      <alignment horizontal="center"/>
    </xf>
    <xf numFmtId="0" fontId="54" fillId="0" borderId="0" xfId="0" applyFont="1" applyAlignment="1">
      <alignment vertical="center" wrapText="1"/>
    </xf>
    <xf numFmtId="0" fontId="54" fillId="0" borderId="0" xfId="0" applyFont="1" applyAlignment="1">
      <alignment horizontal="center" vertical="center"/>
    </xf>
    <xf numFmtId="0" fontId="35" fillId="0" borderId="0" xfId="0" applyFont="1" applyAlignment="1">
      <alignment vertical="center"/>
    </xf>
    <xf numFmtId="168" fontId="1" fillId="0" borderId="0" xfId="0" applyNumberFormat="1" applyFont="1" applyAlignment="1">
      <alignment horizontal="center"/>
    </xf>
    <xf numFmtId="168" fontId="9" fillId="0" borderId="0" xfId="0" applyNumberFormat="1" applyFont="1" applyAlignment="1">
      <alignment horizontal="center"/>
    </xf>
    <xf numFmtId="0" fontId="55" fillId="0" borderId="0" xfId="0" applyFont="1" applyAlignment="1">
      <alignment vertical="center" wrapText="1"/>
    </xf>
    <xf numFmtId="0" fontId="55" fillId="0" borderId="0" xfId="0" applyFont="1" applyAlignment="1">
      <alignment horizontal="center" vertical="center"/>
    </xf>
    <xf numFmtId="0" fontId="0" fillId="13" borderId="5" xfId="0" applyFill="1" applyBorder="1" applyAlignment="1">
      <alignment horizontal="center"/>
    </xf>
    <xf numFmtId="0" fontId="0" fillId="0" borderId="5" xfId="0" applyBorder="1" applyAlignment="1">
      <alignment horizontal="center"/>
    </xf>
    <xf numFmtId="164" fontId="0" fillId="0" borderId="0" xfId="1" applyNumberFormat="1" applyFont="1" applyBorder="1" applyAlignment="1">
      <alignment horizontal="center"/>
    </xf>
    <xf numFmtId="0" fontId="7" fillId="12" borderId="7" xfId="0" applyFont="1" applyFill="1" applyBorder="1" applyAlignment="1">
      <alignment horizontal="center"/>
    </xf>
    <xf numFmtId="0" fontId="7" fillId="0" borderId="0" xfId="0" applyFont="1" applyAlignment="1">
      <alignment horizontal="center"/>
    </xf>
    <xf numFmtId="9" fontId="0" fillId="0" borderId="0" xfId="1" applyFont="1" applyAlignment="1" applyProtection="1">
      <alignment horizontal="center" vertical="center" wrapText="1"/>
    </xf>
    <xf numFmtId="0" fontId="0" fillId="0" borderId="0" xfId="0" applyAlignment="1">
      <alignment horizontal="center" wrapText="1"/>
    </xf>
    <xf numFmtId="9" fontId="0" fillId="0" borderId="0" xfId="1" applyFont="1" applyFill="1" applyBorder="1" applyAlignment="1" applyProtection="1">
      <alignment horizontal="center"/>
    </xf>
    <xf numFmtId="0" fontId="8" fillId="0" borderId="0" xfId="0" applyFont="1" applyAlignment="1">
      <alignment horizontal="center"/>
    </xf>
    <xf numFmtId="0" fontId="8" fillId="0" borderId="0" xfId="0" applyFont="1" applyAlignment="1">
      <alignment horizontal="center" vertical="center" wrapText="1"/>
    </xf>
    <xf numFmtId="0" fontId="12" fillId="0" borderId="0" xfId="0" applyFont="1" applyAlignment="1">
      <alignment horizontal="center" vertical="center" wrapText="1"/>
    </xf>
    <xf numFmtId="0" fontId="7" fillId="0" borderId="0" xfId="0" applyFont="1" applyAlignment="1">
      <alignment vertical="center"/>
    </xf>
    <xf numFmtId="0" fontId="7" fillId="0" borderId="0" xfId="0" applyFont="1" applyAlignment="1">
      <alignment horizontal="left"/>
    </xf>
    <xf numFmtId="9" fontId="0" fillId="0" borderId="0" xfId="1" applyFont="1" applyAlignment="1" applyProtection="1">
      <alignment horizontal="center"/>
    </xf>
    <xf numFmtId="165" fontId="0" fillId="0" borderId="0" xfId="1" applyNumberFormat="1" applyFont="1" applyAlignment="1" applyProtection="1">
      <alignment horizontal="center"/>
    </xf>
    <xf numFmtId="0" fontId="0" fillId="0" borderId="0" xfId="1" applyNumberFormat="1" applyFont="1" applyAlignment="1" applyProtection="1">
      <alignment horizontal="center"/>
    </xf>
    <xf numFmtId="3" fontId="0" fillId="0" borderId="0" xfId="1" applyNumberFormat="1" applyFont="1" applyAlignment="1" applyProtection="1">
      <alignment horizontal="center"/>
    </xf>
    <xf numFmtId="1" fontId="0" fillId="0" borderId="0" xfId="4" applyNumberFormat="1" applyFont="1" applyAlignment="1" applyProtection="1">
      <alignment horizontal="center"/>
    </xf>
    <xf numFmtId="1" fontId="0" fillId="0" borderId="0" xfId="4" applyNumberFormat="1" applyFont="1" applyFill="1" applyBorder="1" applyAlignment="1" applyProtection="1">
      <alignment horizontal="center"/>
    </xf>
    <xf numFmtId="0" fontId="0" fillId="0" borderId="14" xfId="0" applyBorder="1" applyAlignment="1">
      <alignment horizontal="center" vertical="center"/>
    </xf>
    <xf numFmtId="0" fontId="0" fillId="0" borderId="15" xfId="0" applyBorder="1" applyAlignment="1">
      <alignment horizontal="center" vertical="center"/>
    </xf>
    <xf numFmtId="0" fontId="18" fillId="0" borderId="0" xfId="0" applyFont="1" applyAlignment="1">
      <alignment horizontal="center"/>
    </xf>
    <xf numFmtId="0" fontId="46" fillId="0" borderId="0" xfId="0" applyFont="1" applyAlignment="1">
      <alignment horizontal="center"/>
    </xf>
    <xf numFmtId="0" fontId="46" fillId="0" borderId="0" xfId="0" quotePrefix="1" applyFont="1" applyAlignment="1">
      <alignment horizontal="left"/>
    </xf>
    <xf numFmtId="0" fontId="18" fillId="0" borderId="0" xfId="0" applyFont="1" applyAlignment="1">
      <alignment horizontal="left"/>
    </xf>
    <xf numFmtId="0" fontId="0" fillId="2" borderId="0" xfId="0" applyFill="1"/>
    <xf numFmtId="0" fontId="0" fillId="3" borderId="0" xfId="0" applyFill="1"/>
    <xf numFmtId="0" fontId="0" fillId="24" borderId="0" xfId="0" applyFill="1"/>
    <xf numFmtId="44" fontId="0" fillId="0" borderId="0" xfId="4" applyFont="1"/>
    <xf numFmtId="44" fontId="0" fillId="0" borderId="0" xfId="0" applyNumberFormat="1"/>
    <xf numFmtId="0" fontId="0" fillId="18" borderId="0" xfId="0" applyFill="1"/>
    <xf numFmtId="170" fontId="0" fillId="0" borderId="0" xfId="4" applyNumberFormat="1" applyFont="1" applyAlignment="1">
      <alignment horizontal="right"/>
    </xf>
    <xf numFmtId="9" fontId="1" fillId="0" borderId="0" xfId="0" applyNumberFormat="1" applyFont="1" applyAlignment="1">
      <alignment horizontal="center"/>
    </xf>
    <xf numFmtId="0" fontId="7" fillId="6" borderId="0" xfId="0" applyFont="1" applyFill="1" applyAlignment="1">
      <alignment horizontal="center" vertical="center" wrapText="1"/>
    </xf>
    <xf numFmtId="0" fontId="0" fillId="28" borderId="14" xfId="0" applyFill="1" applyBorder="1" applyAlignment="1">
      <alignment horizontal="center" vertical="center"/>
    </xf>
    <xf numFmtId="0" fontId="0" fillId="28" borderId="14" xfId="0" applyFill="1" applyBorder="1" applyAlignment="1">
      <alignment horizontal="center" vertical="center" wrapText="1"/>
    </xf>
    <xf numFmtId="9" fontId="0" fillId="28" borderId="14" xfId="1" applyFont="1" applyFill="1" applyBorder="1" applyAlignment="1" applyProtection="1">
      <alignment horizontal="center" vertical="center"/>
    </xf>
    <xf numFmtId="164" fontId="0" fillId="28" borderId="14" xfId="1" applyNumberFormat="1" applyFont="1" applyFill="1" applyBorder="1" applyAlignment="1" applyProtection="1">
      <alignment horizontal="center" vertical="center"/>
    </xf>
    <xf numFmtId="169" fontId="0" fillId="28" borderId="15" xfId="1" applyNumberFormat="1" applyFont="1" applyFill="1" applyBorder="1" applyAlignment="1" applyProtection="1">
      <alignment horizontal="center" vertical="center"/>
    </xf>
    <xf numFmtId="0" fontId="0" fillId="14" borderId="14" xfId="0" applyFill="1" applyBorder="1" applyAlignment="1" applyProtection="1">
      <alignment horizontal="center" vertical="center"/>
      <protection locked="0"/>
    </xf>
    <xf numFmtId="0" fontId="8" fillId="14" borderId="14" xfId="0" applyFont="1" applyFill="1" applyBorder="1" applyAlignment="1" applyProtection="1">
      <alignment horizontal="center" vertical="center"/>
      <protection locked="0"/>
    </xf>
    <xf numFmtId="0" fontId="8" fillId="14" borderId="14" xfId="0" applyFont="1" applyFill="1" applyBorder="1" applyAlignment="1" applyProtection="1">
      <alignment horizontal="center" vertical="center" wrapText="1"/>
      <protection locked="0"/>
    </xf>
    <xf numFmtId="9" fontId="0" fillId="14" borderId="14" xfId="0" applyNumberFormat="1" applyFill="1" applyBorder="1" applyAlignment="1" applyProtection="1">
      <alignment horizontal="center" vertical="center"/>
      <protection locked="0"/>
    </xf>
    <xf numFmtId="9" fontId="0" fillId="14" borderId="14" xfId="1" applyFont="1" applyFill="1" applyBorder="1" applyAlignment="1" applyProtection="1">
      <alignment horizontal="center" vertical="center"/>
      <protection locked="0"/>
    </xf>
    <xf numFmtId="0" fontId="0" fillId="14" borderId="15" xfId="0" applyFill="1" applyBorder="1" applyAlignment="1" applyProtection="1">
      <alignment horizontal="center" vertical="center"/>
      <protection locked="0"/>
    </xf>
    <xf numFmtId="9" fontId="0" fillId="14" borderId="15" xfId="1" applyFont="1" applyFill="1" applyBorder="1" applyAlignment="1" applyProtection="1">
      <alignment horizontal="center" vertical="center"/>
      <protection locked="0"/>
    </xf>
    <xf numFmtId="164" fontId="0" fillId="14" borderId="15" xfId="1" applyNumberFormat="1" applyFont="1" applyFill="1" applyBorder="1" applyAlignment="1" applyProtection="1">
      <alignment horizontal="center" vertical="center"/>
      <protection locked="0"/>
    </xf>
    <xf numFmtId="42" fontId="0" fillId="14" borderId="15" xfId="1" applyNumberFormat="1" applyFont="1" applyFill="1" applyBorder="1" applyAlignment="1" applyProtection="1">
      <alignment horizontal="center" vertical="center"/>
      <protection locked="0"/>
    </xf>
    <xf numFmtId="10" fontId="0" fillId="14" borderId="15" xfId="0" applyNumberFormat="1" applyFill="1" applyBorder="1" applyAlignment="1" applyProtection="1">
      <alignment horizontal="center" vertical="center"/>
      <protection locked="0"/>
    </xf>
    <xf numFmtId="0" fontId="18" fillId="3" borderId="14" xfId="0" applyFont="1" applyFill="1" applyBorder="1" applyAlignment="1">
      <alignment horizontal="center" vertical="center"/>
    </xf>
    <xf numFmtId="10" fontId="0" fillId="0" borderId="0" xfId="1" applyNumberFormat="1" applyFont="1" applyAlignment="1">
      <alignment horizontal="center"/>
    </xf>
    <xf numFmtId="0" fontId="18" fillId="3" borderId="22" xfId="0" applyFont="1" applyFill="1" applyBorder="1" applyAlignment="1">
      <alignment horizontal="center" vertical="center" wrapText="1"/>
    </xf>
    <xf numFmtId="0" fontId="7" fillId="3" borderId="23" xfId="0" applyFont="1" applyFill="1" applyBorder="1" applyAlignment="1">
      <alignment horizontal="center" vertical="center" wrapText="1"/>
    </xf>
    <xf numFmtId="0" fontId="7" fillId="3" borderId="24" xfId="0" applyFont="1" applyFill="1" applyBorder="1" applyAlignment="1">
      <alignment horizontal="center" vertical="center" wrapText="1"/>
    </xf>
    <xf numFmtId="0" fontId="0" fillId="28" borderId="22" xfId="0" applyFill="1" applyBorder="1" applyAlignment="1">
      <alignment horizontal="center" vertical="center"/>
    </xf>
    <xf numFmtId="3" fontId="0" fillId="28" borderId="23" xfId="0" applyNumberFormat="1" applyFill="1" applyBorder="1" applyAlignment="1">
      <alignment horizontal="center" vertical="center"/>
    </xf>
    <xf numFmtId="1" fontId="0" fillId="28" borderId="23" xfId="0" applyNumberFormat="1" applyFill="1" applyBorder="1" applyAlignment="1">
      <alignment horizontal="center"/>
    </xf>
    <xf numFmtId="0" fontId="0" fillId="0" borderId="22" xfId="0" applyBorder="1" applyAlignment="1">
      <alignment horizontal="center" vertical="center"/>
    </xf>
    <xf numFmtId="3" fontId="0" fillId="0" borderId="23" xfId="0" applyNumberFormat="1" applyBorder="1" applyAlignment="1">
      <alignment horizontal="center" vertical="center"/>
    </xf>
    <xf numFmtId="3" fontId="8" fillId="28" borderId="23" xfId="0" applyNumberFormat="1" applyFont="1" applyFill="1" applyBorder="1" applyAlignment="1">
      <alignment horizontal="center" vertical="center"/>
    </xf>
    <xf numFmtId="3" fontId="8" fillId="0" borderId="23" xfId="0" applyNumberFormat="1" applyFont="1" applyBorder="1" applyAlignment="1">
      <alignment horizontal="center" vertical="center"/>
    </xf>
    <xf numFmtId="9" fontId="18" fillId="28" borderId="0" xfId="0" applyNumberFormat="1" applyFont="1" applyFill="1" applyAlignment="1">
      <alignment horizontal="center"/>
    </xf>
    <xf numFmtId="3" fontId="12" fillId="28" borderId="0" xfId="0" applyNumberFormat="1" applyFont="1" applyFill="1"/>
    <xf numFmtId="0" fontId="18" fillId="28" borderId="0" xfId="0" applyFont="1" applyFill="1"/>
    <xf numFmtId="167" fontId="2" fillId="0" borderId="0" xfId="0" applyNumberFormat="1" applyFont="1" applyAlignment="1">
      <alignment horizontal="center"/>
    </xf>
    <xf numFmtId="3" fontId="8" fillId="28" borderId="24" xfId="1" applyNumberFormat="1" applyFont="1" applyFill="1" applyBorder="1" applyAlignment="1">
      <alignment horizontal="center"/>
    </xf>
    <xf numFmtId="164" fontId="8" fillId="0" borderId="24" xfId="0" applyNumberFormat="1" applyFont="1" applyBorder="1" applyAlignment="1">
      <alignment horizontal="center"/>
    </xf>
    <xf numFmtId="167" fontId="2" fillId="0" borderId="0" xfId="1" applyNumberFormat="1" applyFont="1" applyAlignment="1">
      <alignment horizontal="center"/>
    </xf>
    <xf numFmtId="0" fontId="19" fillId="0" borderId="0" xfId="0" quotePrefix="1" applyFont="1" applyAlignment="1">
      <alignment horizontal="center" vertical="center"/>
    </xf>
    <xf numFmtId="3" fontId="19" fillId="0" borderId="0" xfId="0" applyNumberFormat="1" applyFont="1" applyAlignment="1">
      <alignment horizontal="center" vertical="center"/>
    </xf>
    <xf numFmtId="0" fontId="57" fillId="3" borderId="23" xfId="0" applyFont="1" applyFill="1" applyBorder="1" applyAlignment="1">
      <alignment horizontal="center" vertical="center" wrapText="1"/>
    </xf>
    <xf numFmtId="3" fontId="19" fillId="28" borderId="23" xfId="0" applyNumberFormat="1" applyFont="1" applyFill="1" applyBorder="1" applyAlignment="1">
      <alignment horizontal="center" vertical="center"/>
    </xf>
    <xf numFmtId="3" fontId="19" fillId="0" borderId="23" xfId="0" applyNumberFormat="1" applyFont="1" applyBorder="1" applyAlignment="1">
      <alignment horizontal="center" vertical="center"/>
    </xf>
    <xf numFmtId="164" fontId="57" fillId="28" borderId="0" xfId="1" applyNumberFormat="1" applyFont="1" applyFill="1" applyAlignment="1">
      <alignment horizontal="center"/>
    </xf>
    <xf numFmtId="3" fontId="57" fillId="0" borderId="0" xfId="0" applyNumberFormat="1" applyFont="1" applyAlignment="1">
      <alignment horizontal="center" vertical="center"/>
    </xf>
    <xf numFmtId="0" fontId="57" fillId="0" borderId="0" xfId="0" applyFont="1" applyAlignment="1">
      <alignment vertical="center"/>
    </xf>
    <xf numFmtId="0" fontId="12" fillId="0" borderId="0" xfId="0" applyFont="1" applyAlignment="1">
      <alignment vertical="center"/>
    </xf>
    <xf numFmtId="167" fontId="8" fillId="28" borderId="24" xfId="1" applyNumberFormat="1" applyFont="1" applyFill="1" applyBorder="1" applyAlignment="1">
      <alignment horizontal="center"/>
    </xf>
    <xf numFmtId="0" fontId="7" fillId="3" borderId="22" xfId="0" applyFont="1" applyFill="1" applyBorder="1" applyAlignment="1">
      <alignment horizontal="center"/>
    </xf>
    <xf numFmtId="0" fontId="7" fillId="3" borderId="23" xfId="0" applyFont="1" applyFill="1" applyBorder="1" applyAlignment="1">
      <alignment horizontal="center"/>
    </xf>
    <xf numFmtId="0" fontId="7" fillId="3" borderId="24" xfId="0" applyFont="1" applyFill="1" applyBorder="1" applyAlignment="1">
      <alignment horizontal="center"/>
    </xf>
    <xf numFmtId="0" fontId="0" fillId="28" borderId="22" xfId="0" applyFill="1" applyBorder="1" applyAlignment="1">
      <alignment horizontal="center"/>
    </xf>
    <xf numFmtId="0" fontId="0" fillId="28" borderId="23" xfId="0" applyFill="1" applyBorder="1" applyAlignment="1">
      <alignment horizontal="center"/>
    </xf>
    <xf numFmtId="44" fontId="0" fillId="28" borderId="24" xfId="0" applyNumberFormat="1" applyFill="1" applyBorder="1"/>
    <xf numFmtId="0" fontId="0" fillId="0" borderId="22" xfId="0" applyBorder="1" applyAlignment="1">
      <alignment horizontal="center"/>
    </xf>
    <xf numFmtId="1" fontId="0" fillId="0" borderId="23" xfId="0" applyNumberFormat="1" applyBorder="1" applyAlignment="1">
      <alignment horizontal="center"/>
    </xf>
    <xf numFmtId="0" fontId="0" fillId="0" borderId="23" xfId="0" applyBorder="1" applyAlignment="1">
      <alignment horizontal="center"/>
    </xf>
    <xf numFmtId="44" fontId="0" fillId="0" borderId="24" xfId="0" applyNumberFormat="1" applyBorder="1"/>
    <xf numFmtId="2" fontId="0" fillId="28" borderId="23" xfId="0" applyNumberFormat="1" applyFill="1" applyBorder="1" applyAlignment="1">
      <alignment horizontal="center"/>
    </xf>
    <xf numFmtId="2" fontId="0" fillId="0" borderId="23" xfId="0" applyNumberFormat="1" applyBorder="1" applyAlignment="1">
      <alignment horizontal="center"/>
    </xf>
    <xf numFmtId="0" fontId="0" fillId="30" borderId="0" xfId="0" applyFill="1"/>
    <xf numFmtId="0" fontId="0" fillId="28" borderId="0" xfId="0" applyFill="1" applyAlignment="1">
      <alignment horizontal="center" vertical="center"/>
    </xf>
    <xf numFmtId="0" fontId="19" fillId="4" borderId="0" xfId="0" applyFont="1" applyFill="1"/>
    <xf numFmtId="3" fontId="19" fillId="0" borderId="0" xfId="0" applyNumberFormat="1" applyFont="1"/>
    <xf numFmtId="0" fontId="12" fillId="28" borderId="0" xfId="0" applyFont="1" applyFill="1" applyAlignment="1">
      <alignment horizontal="center"/>
    </xf>
    <xf numFmtId="0" fontId="8" fillId="28" borderId="0" xfId="0" applyFont="1" applyFill="1" applyAlignment="1">
      <alignment horizontal="right"/>
    </xf>
    <xf numFmtId="0" fontId="46" fillId="28" borderId="0" xfId="0" quotePrefix="1" applyFont="1" applyFill="1" applyAlignment="1">
      <alignment horizontal="left"/>
    </xf>
    <xf numFmtId="0" fontId="12" fillId="28" borderId="0" xfId="0" applyFont="1" applyFill="1" applyAlignment="1">
      <alignment horizontal="center" vertical="center"/>
    </xf>
    <xf numFmtId="0" fontId="8" fillId="28" borderId="0" xfId="0" applyFont="1" applyFill="1" applyAlignment="1">
      <alignment horizontal="right" vertical="center" wrapText="1"/>
    </xf>
    <xf numFmtId="9" fontId="8" fillId="28" borderId="0" xfId="1" applyFont="1" applyFill="1" applyAlignment="1" applyProtection="1">
      <alignment horizontal="right" vertical="center" wrapText="1"/>
    </xf>
    <xf numFmtId="0" fontId="46" fillId="28" borderId="0" xfId="0" applyFont="1" applyFill="1" applyAlignment="1">
      <alignment horizontal="right" vertical="center" wrapText="1"/>
    </xf>
    <xf numFmtId="9" fontId="0" fillId="0" borderId="24" xfId="1" applyFont="1" applyFill="1" applyBorder="1" applyAlignment="1" applyProtection="1">
      <alignment horizontal="center"/>
    </xf>
    <xf numFmtId="0" fontId="0" fillId="31" borderId="22" xfId="0" applyFill="1" applyBorder="1" applyAlignment="1">
      <alignment horizontal="center"/>
    </xf>
    <xf numFmtId="9" fontId="0" fillId="31" borderId="24" xfId="1" applyFont="1" applyFill="1" applyBorder="1" applyAlignment="1" applyProtection="1">
      <alignment horizontal="center"/>
    </xf>
    <xf numFmtId="0" fontId="4" fillId="0" borderId="0" xfId="0" applyFont="1" applyAlignment="1">
      <alignment horizontal="center" vertical="center"/>
    </xf>
    <xf numFmtId="0" fontId="0" fillId="0" borderId="0" xfId="0" applyAlignment="1">
      <alignment wrapText="1"/>
    </xf>
    <xf numFmtId="0" fontId="3" fillId="0" borderId="0" xfId="0" applyFont="1" applyAlignment="1">
      <alignment vertical="center"/>
    </xf>
    <xf numFmtId="0" fontId="21" fillId="0" borderId="0" xfId="0" applyFont="1" applyAlignment="1">
      <alignment vertical="center"/>
    </xf>
    <xf numFmtId="0" fontId="0" fillId="32" borderId="14" xfId="0" applyFill="1" applyBorder="1" applyAlignment="1">
      <alignment horizontal="center" vertical="center" wrapText="1"/>
    </xf>
    <xf numFmtId="0" fontId="0" fillId="32" borderId="14" xfId="0" applyFill="1" applyBorder="1" applyAlignment="1">
      <alignment horizontal="center" vertical="center"/>
    </xf>
    <xf numFmtId="0" fontId="4" fillId="22" borderId="14" xfId="0" applyFont="1" applyFill="1" applyBorder="1" applyAlignment="1">
      <alignment horizontal="center" vertical="center"/>
    </xf>
    <xf numFmtId="0" fontId="0" fillId="0" borderId="14" xfId="0" applyBorder="1" applyAlignment="1">
      <alignment vertical="center" wrapText="1"/>
    </xf>
    <xf numFmtId="0" fontId="3" fillId="0" borderId="14" xfId="0" applyFont="1" applyBorder="1" applyAlignment="1">
      <alignment horizontal="center" vertical="center"/>
    </xf>
    <xf numFmtId="0" fontId="8" fillId="2" borderId="14" xfId="0" applyFont="1" applyFill="1" applyBorder="1" applyAlignment="1">
      <alignment horizontal="center" vertical="center"/>
    </xf>
    <xf numFmtId="0" fontId="8" fillId="5" borderId="14" xfId="0" applyFont="1" applyFill="1" applyBorder="1" applyAlignment="1">
      <alignment horizontal="center" vertical="center"/>
    </xf>
    <xf numFmtId="0" fontId="21" fillId="0" borderId="14" xfId="0" applyFont="1" applyBorder="1" applyAlignment="1">
      <alignment horizontal="center" vertical="center"/>
    </xf>
    <xf numFmtId="0" fontId="4" fillId="24" borderId="14" xfId="0" applyFont="1" applyFill="1" applyBorder="1" applyAlignment="1">
      <alignment horizontal="center" vertical="center"/>
    </xf>
    <xf numFmtId="0" fontId="4" fillId="4" borderId="14" xfId="0" applyFont="1" applyFill="1" applyBorder="1" applyAlignment="1">
      <alignment horizontal="center" vertical="center"/>
    </xf>
    <xf numFmtId="0" fontId="36" fillId="0" borderId="0" xfId="0" applyFont="1" applyAlignment="1">
      <alignment vertical="center"/>
    </xf>
    <xf numFmtId="0" fontId="0" fillId="28" borderId="24" xfId="0" applyFill="1" applyBorder="1" applyAlignment="1">
      <alignment horizontal="center"/>
    </xf>
    <xf numFmtId="0" fontId="0" fillId="0" borderId="24" xfId="0" applyBorder="1" applyAlignment="1">
      <alignment horizontal="center"/>
    </xf>
    <xf numFmtId="4" fontId="0" fillId="14" borderId="11" xfId="0" applyNumberFormat="1" applyFill="1" applyBorder="1" applyAlignment="1" applyProtection="1">
      <alignment horizontal="right" vertical="center"/>
      <protection locked="0"/>
    </xf>
    <xf numFmtId="4" fontId="0" fillId="14" borderId="10" xfId="0" applyNumberFormat="1" applyFill="1" applyBorder="1" applyAlignment="1" applyProtection="1">
      <alignment horizontal="right" vertical="center"/>
      <protection locked="0"/>
    </xf>
    <xf numFmtId="4" fontId="0" fillId="0" borderId="11" xfId="0" applyNumberFormat="1" applyBorder="1" applyAlignment="1" applyProtection="1">
      <alignment horizontal="right" vertical="center"/>
      <protection locked="0"/>
    </xf>
    <xf numFmtId="4" fontId="0" fillId="0" borderId="10" xfId="0" applyNumberFormat="1" applyBorder="1" applyAlignment="1" applyProtection="1">
      <alignment horizontal="right" vertical="center"/>
      <protection locked="0"/>
    </xf>
    <xf numFmtId="4" fontId="44" fillId="27" borderId="11" xfId="0" applyNumberFormat="1" applyFont="1" applyFill="1" applyBorder="1" applyAlignment="1" applyProtection="1">
      <alignment horizontal="right" vertical="center"/>
      <protection locked="0"/>
    </xf>
    <xf numFmtId="4" fontId="44" fillId="0" borderId="11" xfId="0" applyNumberFormat="1" applyFont="1" applyBorder="1" applyAlignment="1" applyProtection="1">
      <alignment horizontal="right" vertical="center"/>
      <protection locked="0"/>
    </xf>
    <xf numFmtId="4" fontId="44" fillId="27" borderId="25" xfId="0" applyNumberFormat="1" applyFont="1" applyFill="1" applyBorder="1" applyAlignment="1" applyProtection="1">
      <alignment horizontal="right" vertical="center"/>
      <protection locked="0"/>
    </xf>
    <xf numFmtId="4" fontId="0" fillId="14" borderId="26" xfId="0" applyNumberFormat="1" applyFill="1" applyBorder="1" applyAlignment="1" applyProtection="1">
      <alignment horizontal="right" vertical="center"/>
      <protection locked="0"/>
    </xf>
    <xf numFmtId="4" fontId="44" fillId="0" borderId="25" xfId="0" applyNumberFormat="1" applyFont="1" applyBorder="1" applyAlignment="1" applyProtection="1">
      <alignment horizontal="right" vertical="center"/>
      <protection locked="0"/>
    </xf>
    <xf numFmtId="4" fontId="0" fillId="0" borderId="26" xfId="0" applyNumberFormat="1" applyBorder="1" applyAlignment="1" applyProtection="1">
      <alignment horizontal="right" vertical="center"/>
      <protection locked="0"/>
    </xf>
    <xf numFmtId="4" fontId="0" fillId="14" borderId="25" xfId="0" applyNumberFormat="1" applyFill="1" applyBorder="1" applyAlignment="1" applyProtection="1">
      <alignment horizontal="right" vertical="center"/>
      <protection locked="0"/>
    </xf>
    <xf numFmtId="4" fontId="0" fillId="0" borderId="25" xfId="0" applyNumberFormat="1" applyBorder="1" applyAlignment="1" applyProtection="1">
      <alignment horizontal="right" vertical="center"/>
      <protection locked="0"/>
    </xf>
    <xf numFmtId="0" fontId="0" fillId="28" borderId="0" xfId="0" applyFill="1" applyAlignment="1">
      <alignment horizontal="center"/>
    </xf>
    <xf numFmtId="0" fontId="0" fillId="5" borderId="0" xfId="0" applyFill="1"/>
    <xf numFmtId="0" fontId="18" fillId="0" borderId="35" xfId="0" applyFont="1" applyBorder="1" applyAlignment="1">
      <alignment horizontal="center" vertical="center"/>
    </xf>
    <xf numFmtId="0" fontId="18" fillId="28" borderId="35" xfId="0" applyFont="1" applyFill="1" applyBorder="1" applyAlignment="1">
      <alignment horizontal="center" vertical="center"/>
    </xf>
    <xf numFmtId="0" fontId="0" fillId="28" borderId="35" xfId="0" applyFill="1" applyBorder="1" applyAlignment="1">
      <alignment horizontal="center" vertical="center"/>
    </xf>
    <xf numFmtId="0" fontId="0" fillId="0" borderId="35" xfId="0" applyBorder="1" applyAlignment="1">
      <alignment horizontal="center" vertical="center"/>
    </xf>
    <xf numFmtId="4" fontId="44" fillId="27" borderId="36" xfId="0" applyNumberFormat="1" applyFont="1" applyFill="1" applyBorder="1" applyAlignment="1" applyProtection="1">
      <alignment horizontal="right" vertical="center"/>
      <protection locked="0"/>
    </xf>
    <xf numFmtId="4" fontId="0" fillId="14" borderId="18" xfId="0" applyNumberFormat="1" applyFill="1" applyBorder="1" applyAlignment="1" applyProtection="1">
      <alignment horizontal="right" vertical="center"/>
      <protection locked="0"/>
    </xf>
    <xf numFmtId="4" fontId="0" fillId="14" borderId="37" xfId="0" applyNumberFormat="1" applyFill="1" applyBorder="1" applyAlignment="1" applyProtection="1">
      <alignment horizontal="right" vertical="center"/>
      <protection locked="0"/>
    </xf>
    <xf numFmtId="4" fontId="0" fillId="14" borderId="36" xfId="0" applyNumberFormat="1" applyFill="1" applyBorder="1" applyAlignment="1" applyProtection="1">
      <alignment horizontal="right" vertical="center"/>
      <protection locked="0"/>
    </xf>
    <xf numFmtId="4" fontId="0" fillId="14" borderId="38" xfId="0" applyNumberFormat="1" applyFill="1" applyBorder="1" applyAlignment="1" applyProtection="1">
      <alignment horizontal="right" vertical="center"/>
      <protection locked="0"/>
    </xf>
    <xf numFmtId="4" fontId="18" fillId="28" borderId="39" xfId="0" applyNumberFormat="1" applyFont="1" applyFill="1" applyBorder="1" applyAlignment="1">
      <alignment horizontal="right" vertical="center"/>
    </xf>
    <xf numFmtId="4" fontId="18" fillId="28" borderId="40" xfId="0" applyNumberFormat="1" applyFont="1" applyFill="1" applyBorder="1" applyAlignment="1">
      <alignment horizontal="right" vertical="center"/>
    </xf>
    <xf numFmtId="4" fontId="18" fillId="28" borderId="41" xfId="0" applyNumberFormat="1" applyFont="1" applyFill="1" applyBorder="1" applyAlignment="1">
      <alignment horizontal="right" vertical="center"/>
    </xf>
    <xf numFmtId="4" fontId="18" fillId="28" borderId="42" xfId="0" applyNumberFormat="1" applyFont="1" applyFill="1" applyBorder="1" applyAlignment="1">
      <alignment horizontal="right" vertical="center"/>
    </xf>
    <xf numFmtId="0" fontId="0" fillId="28" borderId="44" xfId="0" applyFill="1" applyBorder="1" applyAlignment="1">
      <alignment horizontal="center" vertical="center"/>
    </xf>
    <xf numFmtId="0" fontId="18" fillId="28" borderId="43" xfId="0" applyFont="1" applyFill="1" applyBorder="1" applyAlignment="1">
      <alignment horizontal="center" vertical="center"/>
    </xf>
    <xf numFmtId="4" fontId="44" fillId="27" borderId="45" xfId="0" applyNumberFormat="1" applyFont="1" applyFill="1" applyBorder="1" applyAlignment="1" applyProtection="1">
      <alignment horizontal="right" vertical="center"/>
      <protection locked="0"/>
    </xf>
    <xf numFmtId="4" fontId="0" fillId="14" borderId="16" xfId="0" applyNumberFormat="1" applyFill="1" applyBorder="1" applyAlignment="1" applyProtection="1">
      <alignment horizontal="right" vertical="center"/>
      <protection locked="0"/>
    </xf>
    <xf numFmtId="4" fontId="0" fillId="14" borderId="46" xfId="0" applyNumberFormat="1" applyFill="1" applyBorder="1" applyAlignment="1" applyProtection="1">
      <alignment horizontal="right" vertical="center"/>
      <protection locked="0"/>
    </xf>
    <xf numFmtId="4" fontId="44" fillId="27" borderId="16" xfId="0" applyNumberFormat="1" applyFont="1" applyFill="1" applyBorder="1" applyAlignment="1" applyProtection="1">
      <alignment horizontal="right" vertical="center"/>
      <protection locked="0"/>
    </xf>
    <xf numFmtId="4" fontId="0" fillId="14" borderId="17" xfId="0" applyNumberFormat="1" applyFill="1" applyBorder="1" applyAlignment="1" applyProtection="1">
      <alignment horizontal="right" vertical="center"/>
      <protection locked="0"/>
    </xf>
    <xf numFmtId="0" fontId="43" fillId="34" borderId="47" xfId="0" applyFont="1" applyFill="1" applyBorder="1" applyAlignment="1">
      <alignment horizontal="center" vertical="center"/>
    </xf>
    <xf numFmtId="0" fontId="18" fillId="28" borderId="23" xfId="0" applyFont="1" applyFill="1" applyBorder="1" applyAlignment="1">
      <alignment horizontal="center" vertical="center"/>
    </xf>
    <xf numFmtId="0" fontId="18" fillId="28" borderId="48" xfId="0" applyFont="1" applyFill="1" applyBorder="1" applyAlignment="1">
      <alignment horizontal="center" vertical="center"/>
    </xf>
    <xf numFmtId="0" fontId="43" fillId="34" borderId="23" xfId="0" applyFont="1" applyFill="1" applyBorder="1" applyAlignment="1">
      <alignment horizontal="center" vertical="center"/>
    </xf>
    <xf numFmtId="0" fontId="18" fillId="28" borderId="49" xfId="0" applyFont="1" applyFill="1" applyBorder="1" applyAlignment="1">
      <alignment horizontal="center" vertical="center"/>
    </xf>
    <xf numFmtId="165" fontId="0" fillId="0" borderId="0" xfId="0" applyNumberFormat="1" applyAlignment="1">
      <alignment horizontal="center"/>
    </xf>
    <xf numFmtId="167" fontId="4" fillId="11" borderId="0" xfId="0" applyNumberFormat="1" applyFont="1" applyFill="1" applyAlignment="1">
      <alignment horizontal="right" vertical="center"/>
    </xf>
    <xf numFmtId="0" fontId="0" fillId="0" borderId="0" xfId="0" applyAlignment="1">
      <alignment horizontal="left" vertical="center" wrapText="1"/>
    </xf>
    <xf numFmtId="0" fontId="65" fillId="0" borderId="51" xfId="0" applyFont="1" applyBorder="1" applyAlignment="1">
      <alignment horizontal="left" vertical="center" wrapText="1"/>
    </xf>
    <xf numFmtId="0" fontId="65" fillId="0" borderId="0" xfId="0" applyFont="1" applyAlignment="1">
      <alignment horizontal="left" vertical="center" wrapText="1"/>
    </xf>
    <xf numFmtId="0" fontId="18" fillId="5" borderId="19" xfId="0" applyFont="1" applyFill="1" applyBorder="1" applyAlignment="1">
      <alignment horizontal="center" vertical="center" wrapText="1"/>
    </xf>
    <xf numFmtId="0" fontId="18" fillId="5" borderId="20" xfId="0" applyFont="1" applyFill="1" applyBorder="1" applyAlignment="1">
      <alignment horizontal="center" vertical="center"/>
    </xf>
    <xf numFmtId="0" fontId="18" fillId="5" borderId="21" xfId="0" applyFont="1" applyFill="1" applyBorder="1" applyAlignment="1">
      <alignment horizontal="center" vertical="center"/>
    </xf>
    <xf numFmtId="0" fontId="0" fillId="33" borderId="27" xfId="0" applyFill="1" applyBorder="1" applyAlignment="1">
      <alignment horizontal="left" vertical="center" wrapText="1"/>
    </xf>
    <xf numFmtId="0" fontId="0" fillId="33" borderId="28" xfId="0" applyFill="1" applyBorder="1" applyAlignment="1">
      <alignment horizontal="left" vertical="center" wrapText="1"/>
    </xf>
    <xf numFmtId="0" fontId="0" fillId="33" borderId="29" xfId="0" applyFill="1" applyBorder="1" applyAlignment="1">
      <alignment horizontal="left" vertical="center" wrapText="1"/>
    </xf>
    <xf numFmtId="0" fontId="0" fillId="33" borderId="30" xfId="0" applyFill="1" applyBorder="1" applyAlignment="1">
      <alignment horizontal="left" vertical="center" wrapText="1"/>
    </xf>
    <xf numFmtId="0" fontId="0" fillId="33" borderId="0" xfId="0" applyFill="1" applyAlignment="1">
      <alignment horizontal="left" vertical="center" wrapText="1"/>
    </xf>
    <xf numFmtId="0" fontId="0" fillId="33" borderId="31" xfId="0" applyFill="1" applyBorder="1" applyAlignment="1">
      <alignment horizontal="left" vertical="center" wrapText="1"/>
    </xf>
    <xf numFmtId="0" fontId="0" fillId="33" borderId="32" xfId="0" applyFill="1" applyBorder="1" applyAlignment="1">
      <alignment horizontal="left" vertical="center" wrapText="1"/>
    </xf>
    <xf numFmtId="0" fontId="0" fillId="33" borderId="33" xfId="0" applyFill="1" applyBorder="1" applyAlignment="1">
      <alignment horizontal="left" vertical="center" wrapText="1"/>
    </xf>
    <xf numFmtId="0" fontId="0" fillId="33" borderId="34" xfId="0" applyFill="1" applyBorder="1" applyAlignment="1">
      <alignment horizontal="left" vertical="center" wrapText="1"/>
    </xf>
    <xf numFmtId="0" fontId="18" fillId="5" borderId="3" xfId="0" applyFont="1" applyFill="1" applyBorder="1" applyAlignment="1">
      <alignment horizontal="center" vertical="center" wrapText="1"/>
    </xf>
    <xf numFmtId="0" fontId="18" fillId="5" borderId="4" xfId="0" applyFont="1" applyFill="1" applyBorder="1" applyAlignment="1">
      <alignment horizontal="center" vertical="center"/>
    </xf>
    <xf numFmtId="0" fontId="18" fillId="5" borderId="50" xfId="0" applyFont="1" applyFill="1" applyBorder="1" applyAlignment="1">
      <alignment horizontal="center" vertical="center"/>
    </xf>
    <xf numFmtId="0" fontId="0" fillId="5" borderId="14" xfId="0" applyFill="1" applyBorder="1" applyAlignment="1">
      <alignment horizontal="center" vertical="center" wrapText="1"/>
    </xf>
    <xf numFmtId="0" fontId="0" fillId="5" borderId="14" xfId="0" applyFill="1" applyBorder="1" applyAlignment="1">
      <alignment horizontal="center" vertical="center"/>
    </xf>
    <xf numFmtId="0" fontId="7" fillId="6" borderId="0" xfId="0" applyFont="1" applyFill="1" applyAlignment="1">
      <alignment horizontal="center" vertical="center" wrapText="1"/>
    </xf>
    <xf numFmtId="0" fontId="7" fillId="18" borderId="0" xfId="0" applyFont="1" applyFill="1" applyAlignment="1">
      <alignment horizontal="center" vertical="center" wrapText="1"/>
    </xf>
    <xf numFmtId="0" fontId="18" fillId="17" borderId="18" xfId="0" applyFont="1" applyFill="1" applyBorder="1" applyAlignment="1">
      <alignment horizontal="center" vertical="center"/>
    </xf>
    <xf numFmtId="0" fontId="18" fillId="17" borderId="38" xfId="0" applyFont="1" applyFill="1" applyBorder="1" applyAlignment="1">
      <alignment horizontal="center" vertical="center"/>
    </xf>
    <xf numFmtId="0" fontId="4" fillId="3" borderId="36" xfId="0" applyFont="1" applyFill="1" applyBorder="1" applyAlignment="1">
      <alignment horizontal="center" vertical="center"/>
    </xf>
    <xf numFmtId="0" fontId="4" fillId="3" borderId="18" xfId="0" applyFont="1" applyFill="1" applyBorder="1" applyAlignment="1">
      <alignment horizontal="center" vertical="center"/>
    </xf>
    <xf numFmtId="0" fontId="4" fillId="3" borderId="37" xfId="0" applyFont="1" applyFill="1" applyBorder="1" applyAlignment="1">
      <alignment horizontal="center" vertical="center"/>
    </xf>
    <xf numFmtId="0" fontId="7" fillId="6" borderId="13" xfId="0" applyFont="1" applyFill="1" applyBorder="1" applyAlignment="1">
      <alignment horizontal="center" vertical="center" wrapText="1"/>
    </xf>
    <xf numFmtId="0" fontId="37" fillId="3" borderId="0" xfId="0" applyFont="1" applyFill="1" applyAlignment="1">
      <alignment horizontal="center"/>
    </xf>
    <xf numFmtId="0" fontId="7" fillId="5" borderId="9" xfId="0" applyFont="1" applyFill="1" applyBorder="1" applyAlignment="1">
      <alignment horizontal="center"/>
    </xf>
    <xf numFmtId="0" fontId="7" fillId="5" borderId="11" xfId="0" applyFont="1" applyFill="1" applyBorder="1" applyAlignment="1">
      <alignment horizontal="center"/>
    </xf>
    <xf numFmtId="0" fontId="7" fillId="5" borderId="10" xfId="0" applyFont="1" applyFill="1" applyBorder="1" applyAlignment="1">
      <alignment horizontal="center"/>
    </xf>
    <xf numFmtId="0" fontId="44" fillId="27" borderId="0" xfId="0" applyFont="1" applyFill="1" applyAlignment="1" applyProtection="1">
      <alignment horizontal="left" vertical="center"/>
      <protection locked="0"/>
    </xf>
    <xf numFmtId="0" fontId="0" fillId="14" borderId="0" xfId="0" applyFill="1" applyAlignment="1" applyProtection="1">
      <alignment horizontal="left" vertical="center"/>
      <protection locked="0"/>
    </xf>
    <xf numFmtId="0" fontId="59" fillId="33" borderId="27" xfId="0" applyFont="1" applyFill="1" applyBorder="1" applyAlignment="1">
      <alignment horizontal="left" vertical="center" wrapText="1"/>
    </xf>
    <xf numFmtId="0" fontId="59" fillId="33" borderId="28" xfId="0" applyFont="1" applyFill="1" applyBorder="1" applyAlignment="1">
      <alignment horizontal="left" vertical="center"/>
    </xf>
    <xf numFmtId="0" fontId="59" fillId="33" borderId="29" xfId="0" applyFont="1" applyFill="1" applyBorder="1" applyAlignment="1">
      <alignment horizontal="left" vertical="center"/>
    </xf>
    <xf numFmtId="0" fontId="59" fillId="33" borderId="30" xfId="0" applyFont="1" applyFill="1" applyBorder="1" applyAlignment="1">
      <alignment horizontal="left" vertical="center"/>
    </xf>
    <xf numFmtId="0" fontId="59" fillId="33" borderId="0" xfId="0" applyFont="1" applyFill="1" applyAlignment="1">
      <alignment horizontal="left" vertical="center"/>
    </xf>
    <xf numFmtId="0" fontId="59" fillId="33" borderId="31" xfId="0" applyFont="1" applyFill="1" applyBorder="1" applyAlignment="1">
      <alignment horizontal="left" vertical="center"/>
    </xf>
    <xf numFmtId="0" fontId="59" fillId="33" borderId="32" xfId="0" applyFont="1" applyFill="1" applyBorder="1" applyAlignment="1">
      <alignment horizontal="left" vertical="center"/>
    </xf>
    <xf numFmtId="0" fontId="59" fillId="33" borderId="33" xfId="0" applyFont="1" applyFill="1" applyBorder="1" applyAlignment="1">
      <alignment horizontal="left" vertical="center"/>
    </xf>
    <xf numFmtId="0" fontId="59" fillId="33" borderId="34" xfId="0" applyFont="1" applyFill="1" applyBorder="1" applyAlignment="1">
      <alignment horizontal="left" vertical="center"/>
    </xf>
    <xf numFmtId="0" fontId="7" fillId="6" borderId="0" xfId="0" applyFont="1" applyFill="1" applyAlignment="1">
      <alignment horizontal="center" vertical="center"/>
    </xf>
    <xf numFmtId="0" fontId="18" fillId="9" borderId="0" xfId="0" applyFont="1" applyFill="1" applyAlignment="1">
      <alignment horizontal="center" vertical="center" wrapText="1"/>
    </xf>
    <xf numFmtId="0" fontId="35" fillId="9" borderId="0" xfId="0" applyFont="1" applyFill="1" applyAlignment="1">
      <alignment horizontal="center" vertical="center"/>
    </xf>
    <xf numFmtId="0" fontId="21" fillId="0" borderId="0" xfId="0" applyFont="1" applyAlignment="1">
      <alignment horizontal="center" vertical="center"/>
    </xf>
    <xf numFmtId="0" fontId="18" fillId="7" borderId="0" xfId="0" applyFont="1" applyFill="1" applyAlignment="1">
      <alignment horizontal="center" vertical="center" wrapText="1"/>
    </xf>
    <xf numFmtId="0" fontId="7" fillId="4" borderId="0" xfId="0" applyFont="1" applyFill="1" applyAlignment="1">
      <alignment horizontal="center" vertical="center"/>
    </xf>
    <xf numFmtId="0" fontId="16" fillId="11" borderId="2" xfId="0" applyFont="1" applyFill="1" applyBorder="1" applyAlignment="1">
      <alignment horizontal="center" vertical="center"/>
    </xf>
    <xf numFmtId="0" fontId="16" fillId="11" borderId="0" xfId="0" applyFont="1" applyFill="1" applyAlignment="1">
      <alignment horizontal="center" vertical="center"/>
    </xf>
    <xf numFmtId="0" fontId="12" fillId="9" borderId="0" xfId="0" applyFont="1" applyFill="1" applyAlignment="1">
      <alignment horizontal="center" vertical="center"/>
    </xf>
    <xf numFmtId="0" fontId="7" fillId="25" borderId="0" xfId="0" applyFont="1" applyFill="1" applyAlignment="1">
      <alignment horizontal="center" vertical="center"/>
    </xf>
    <xf numFmtId="0" fontId="12" fillId="26" borderId="0" xfId="0" applyFont="1" applyFill="1" applyAlignment="1">
      <alignment horizontal="center" vertical="center"/>
    </xf>
    <xf numFmtId="0" fontId="0" fillId="10" borderId="0" xfId="0" applyFill="1" applyAlignment="1">
      <alignment horizontal="center"/>
    </xf>
    <xf numFmtId="0" fontId="12" fillId="26" borderId="0" xfId="0" applyFont="1" applyFill="1" applyAlignment="1">
      <alignment horizontal="center" vertical="center" wrapText="1"/>
    </xf>
    <xf numFmtId="0" fontId="18" fillId="8" borderId="0" xfId="0" applyFont="1" applyFill="1" applyAlignment="1">
      <alignment horizontal="center" vertical="center" wrapText="1"/>
    </xf>
    <xf numFmtId="0" fontId="7" fillId="20" borderId="0" xfId="0" applyFont="1" applyFill="1" applyAlignment="1">
      <alignment horizontal="center" vertical="center"/>
    </xf>
    <xf numFmtId="0" fontId="4" fillId="6" borderId="0" xfId="0" applyFont="1" applyFill="1" applyAlignment="1">
      <alignment horizontal="center" vertical="center" wrapText="1"/>
    </xf>
    <xf numFmtId="0" fontId="7" fillId="21" borderId="0" xfId="0" applyFont="1" applyFill="1" applyAlignment="1">
      <alignment horizontal="center" vertical="center"/>
    </xf>
    <xf numFmtId="0" fontId="4" fillId="4" borderId="0" xfId="0" applyFont="1" applyFill="1" applyAlignment="1">
      <alignment horizontal="left" vertical="center"/>
    </xf>
    <xf numFmtId="3" fontId="0" fillId="0" borderId="0" xfId="0" applyNumberFormat="1" applyAlignment="1">
      <alignment horizontal="center" vertical="center"/>
    </xf>
    <xf numFmtId="0" fontId="0" fillId="28" borderId="0" xfId="0" applyFill="1" applyAlignment="1">
      <alignment horizontal="center" vertical="center"/>
    </xf>
    <xf numFmtId="0" fontId="0" fillId="30" borderId="0" xfId="0" applyFill="1" applyAlignment="1">
      <alignment horizontal="center" vertical="center"/>
    </xf>
    <xf numFmtId="9" fontId="0" fillId="28" borderId="0" xfId="0" applyNumberFormat="1" applyFill="1" applyAlignment="1">
      <alignment horizontal="center" vertical="center"/>
    </xf>
    <xf numFmtId="0" fontId="0" fillId="9" borderId="0" xfId="0" applyFill="1" applyAlignment="1">
      <alignment horizontal="center" vertical="center"/>
    </xf>
    <xf numFmtId="0" fontId="7" fillId="11" borderId="0" xfId="0" applyFont="1" applyFill="1" applyAlignment="1">
      <alignment horizontal="center" vertical="center" wrapText="1"/>
    </xf>
    <xf numFmtId="0" fontId="12" fillId="9" borderId="0" xfId="0" applyFont="1" applyFill="1" applyAlignment="1">
      <alignment horizontal="center"/>
    </xf>
    <xf numFmtId="0" fontId="7" fillId="11" borderId="0" xfId="0" applyFont="1" applyFill="1" applyAlignment="1">
      <alignment horizontal="center"/>
    </xf>
    <xf numFmtId="0" fontId="58" fillId="29" borderId="0" xfId="0" applyFont="1" applyFill="1" applyAlignment="1">
      <alignment horizontal="center"/>
    </xf>
    <xf numFmtId="0" fontId="7" fillId="3" borderId="22" xfId="0" applyFont="1" applyFill="1" applyBorder="1" applyAlignment="1">
      <alignment horizontal="center"/>
    </xf>
    <xf numFmtId="0" fontId="7" fillId="3" borderId="23" xfId="0" applyFont="1" applyFill="1" applyBorder="1" applyAlignment="1">
      <alignment horizontal="center"/>
    </xf>
    <xf numFmtId="0" fontId="20" fillId="0" borderId="23" xfId="0" applyFont="1" applyBorder="1" applyAlignment="1">
      <alignment horizontal="center"/>
    </xf>
    <xf numFmtId="0" fontId="20" fillId="0" borderId="24" xfId="0" applyFont="1" applyBorder="1" applyAlignment="1">
      <alignment horizontal="center"/>
    </xf>
    <xf numFmtId="170" fontId="0" fillId="28" borderId="23" xfId="4" applyNumberFormat="1" applyFont="1" applyFill="1" applyBorder="1" applyAlignment="1">
      <alignment horizontal="center"/>
    </xf>
    <xf numFmtId="170" fontId="0" fillId="28" borderId="24" xfId="4" applyNumberFormat="1" applyFont="1" applyFill="1" applyBorder="1" applyAlignment="1">
      <alignment horizontal="center"/>
    </xf>
    <xf numFmtId="170" fontId="0" fillId="0" borderId="23" xfId="4" applyNumberFormat="1" applyFont="1" applyBorder="1" applyAlignment="1">
      <alignment horizontal="center"/>
    </xf>
    <xf numFmtId="170" fontId="0" fillId="0" borderId="24" xfId="4" applyNumberFormat="1" applyFont="1" applyBorder="1" applyAlignment="1">
      <alignment horizontal="center"/>
    </xf>
    <xf numFmtId="0" fontId="38" fillId="8" borderId="0" xfId="3" applyFont="1" applyFill="1" applyAlignment="1">
      <alignment horizontal="center" vertical="top" textRotation="90"/>
    </xf>
    <xf numFmtId="0" fontId="38" fillId="8" borderId="0" xfId="3" applyFont="1" applyFill="1" applyAlignment="1">
      <alignment horizontal="center" textRotation="90"/>
    </xf>
    <xf numFmtId="0" fontId="38" fillId="8" borderId="0" xfId="3" applyFont="1" applyFill="1" applyAlignment="1">
      <alignment horizontal="center" vertical="center" textRotation="90"/>
    </xf>
    <xf numFmtId="0" fontId="7" fillId="23" borderId="0" xfId="0" applyFont="1" applyFill="1" applyAlignment="1">
      <alignment horizontal="center" vertical="center" wrapText="1"/>
    </xf>
    <xf numFmtId="0" fontId="7" fillId="2" borderId="0" xfId="0" applyFont="1" applyFill="1" applyAlignment="1">
      <alignment horizontal="center" vertical="center" wrapText="1"/>
    </xf>
    <xf numFmtId="0" fontId="7" fillId="2" borderId="0" xfId="0" applyFont="1" applyFill="1" applyAlignment="1">
      <alignment horizontal="center" vertical="center"/>
    </xf>
  </cellXfs>
  <cellStyles count="5">
    <cellStyle name="Monétaire" xfId="4" builtinId="4"/>
    <cellStyle name="Normal" xfId="0" builtinId="0"/>
    <cellStyle name="Normal 2" xfId="3" xr:uid="{00000000-0005-0000-0000-000002000000}"/>
    <cellStyle name="Pourcentage" xfId="1" builtinId="5"/>
    <cellStyle name="Titre 1" xfId="2" builtinId="16"/>
  </cellStyles>
  <dxfs count="2296">
    <dxf>
      <font>
        <b val="0"/>
        <i val="0"/>
        <strike val="0"/>
        <condense val="0"/>
        <extend val="0"/>
        <outline val="0"/>
        <shadow val="0"/>
        <u val="none"/>
        <vertAlign val="baseline"/>
        <sz val="12"/>
        <color theme="1"/>
        <name val="Calibri"/>
        <scheme val="minor"/>
      </font>
      <numFmt numFmtId="13" formatCode="0%"/>
      <fill>
        <patternFill patternType="none">
          <fgColor indexed="64"/>
          <bgColor auto="1"/>
        </patternFill>
      </fill>
      <alignment horizontal="center" vertical="bottom" textRotation="0" wrapText="0" indent="0" justifyLastLine="0" shrinkToFit="0" readingOrder="0"/>
      <protection locked="1" hidden="0"/>
    </dxf>
    <dxf>
      <numFmt numFmtId="14" formatCode="0.00%"/>
      <fill>
        <patternFill patternType="none">
          <fgColor indexed="64"/>
          <bgColor auto="1"/>
        </patternFill>
      </fill>
      <alignment horizontal="center" textRotation="0" indent="0" justifyLastLine="0" shrinkToFit="0" readingOrder="0"/>
    </dxf>
    <dxf>
      <numFmt numFmtId="14" formatCode="0.00%"/>
      <fill>
        <patternFill patternType="none">
          <fgColor indexed="64"/>
          <bgColor auto="1"/>
        </patternFill>
      </fill>
      <alignment horizontal="center" textRotation="0" indent="0" justifyLastLine="0" shrinkToFit="0" readingOrder="0"/>
    </dxf>
    <dxf>
      <numFmt numFmtId="14" formatCode="0.00%"/>
      <fill>
        <patternFill patternType="none">
          <fgColor indexed="64"/>
          <bgColor auto="1"/>
        </patternFill>
      </fill>
      <alignment horizontal="center" textRotation="0" indent="0" justifyLastLine="0" shrinkToFit="0" readingOrder="0"/>
    </dxf>
    <dxf>
      <numFmt numFmtId="14" formatCode="0.00%"/>
      <fill>
        <patternFill patternType="none">
          <fgColor indexed="64"/>
          <bgColor auto="1"/>
        </patternFill>
      </fill>
      <alignment horizontal="center" textRotation="0" indent="0" justifyLastLine="0" shrinkToFit="0" readingOrder="0"/>
    </dxf>
    <dxf>
      <font>
        <b val="0"/>
        <i val="0"/>
        <strike val="0"/>
        <condense val="0"/>
        <extend val="0"/>
        <outline val="0"/>
        <shadow val="0"/>
        <u val="none"/>
        <vertAlign val="baseline"/>
        <sz val="12"/>
        <color theme="1"/>
        <name val="Calibri"/>
        <family val="2"/>
        <scheme val="minor"/>
      </font>
      <numFmt numFmtId="13" formatCode="0%"/>
    </dxf>
    <dxf>
      <font>
        <b val="0"/>
        <i val="0"/>
        <strike val="0"/>
        <condense val="0"/>
        <extend val="0"/>
        <outline val="0"/>
        <shadow val="0"/>
        <u val="none"/>
        <vertAlign val="baseline"/>
        <sz val="12"/>
        <color theme="1"/>
        <name val="Calibri"/>
        <family val="2"/>
        <scheme val="minor"/>
      </font>
      <numFmt numFmtId="13" formatCode="0%"/>
    </dxf>
    <dxf>
      <font>
        <b val="0"/>
        <i val="0"/>
        <strike val="0"/>
        <condense val="0"/>
        <extend val="0"/>
        <outline val="0"/>
        <shadow val="0"/>
        <u val="none"/>
        <vertAlign val="baseline"/>
        <sz val="12"/>
        <color theme="1"/>
        <name val="Calibri"/>
        <family val="2"/>
        <scheme val="minor"/>
      </font>
      <numFmt numFmtId="13" formatCode="0%"/>
    </dxf>
    <dxf>
      <numFmt numFmtId="13" formatCode="0%"/>
    </dxf>
    <dxf>
      <font>
        <color auto="1"/>
      </font>
      <numFmt numFmtId="13" formatCode="0%"/>
      <alignment horizontal="center" vertical="bottom" textRotation="0" wrapText="0" indent="0" justifyLastLine="0" shrinkToFit="0" readingOrder="0"/>
    </dxf>
    <dxf>
      <numFmt numFmtId="0" formatCode="General"/>
      <alignment horizontal="center" vertical="center" textRotation="0" wrapText="0" indent="0" justifyLastLine="0" shrinkToFit="0" readingOrder="0"/>
    </dxf>
    <dxf>
      <numFmt numFmtId="0" formatCode="General"/>
      <alignment horizontal="center" vertical="center" textRotation="0" wrapText="0" indent="0" justifyLastLine="0" shrinkToFit="0" readingOrder="0"/>
    </dxf>
    <dxf>
      <font>
        <color auto="1"/>
      </font>
      <numFmt numFmtId="13" formatCode="0%"/>
      <alignment horizontal="center" vertical="bottom" textRotation="0" wrapText="0" indent="0" justifyLastLine="0" shrinkToFit="0" readingOrder="0"/>
    </dxf>
    <dxf>
      <numFmt numFmtId="0" formatCode="General"/>
      <alignment horizontal="center" vertical="center" textRotation="0" wrapText="0" indent="0" justifyLastLine="0" shrinkToFit="0" readingOrder="0"/>
    </dxf>
    <dxf>
      <font>
        <color auto="1"/>
      </font>
      <numFmt numFmtId="13" formatCode="0%"/>
      <alignment horizontal="center" vertical="bottom" textRotation="0" wrapText="0" indent="0" justifyLastLine="0" shrinkToFit="0" readingOrder="0"/>
    </dxf>
    <dxf>
      <numFmt numFmtId="0" formatCode="General"/>
      <alignment horizontal="center" textRotation="0" indent="0" justifyLastLine="0" shrinkToFit="0" readingOrder="0"/>
    </dxf>
    <dxf>
      <font>
        <b val="0"/>
        <i val="0"/>
        <strike val="0"/>
        <condense val="0"/>
        <extend val="0"/>
        <outline val="0"/>
        <shadow val="0"/>
        <u val="none"/>
        <vertAlign val="baseline"/>
        <sz val="12"/>
        <color auto="1"/>
        <name val="Calibri"/>
        <family val="2"/>
        <scheme val="minor"/>
      </font>
      <numFmt numFmtId="13" formatCode="0%"/>
      <alignment horizontal="center" vertical="bottom" textRotation="0" wrapText="0" indent="0" justifyLastLine="0" shrinkToFit="0" readingOrder="0"/>
    </dxf>
    <dxf>
      <numFmt numFmtId="0" formatCode="General"/>
      <alignment horizontal="center" vertical="bottom" textRotation="0" wrapText="0" indent="0" justifyLastLine="0" shrinkToFit="0" readingOrder="0"/>
      <protection locked="1" hidden="0"/>
    </dxf>
    <dxf>
      <numFmt numFmtId="3" formatCode="#,##0"/>
      <fill>
        <patternFill patternType="none">
          <fgColor indexed="64"/>
          <bgColor auto="1"/>
        </patternFill>
      </fill>
      <alignment horizontal="center" vertical="bottom" textRotation="0" wrapText="0" indent="0" justifyLastLine="0" shrinkToFit="0" readingOrder="0"/>
      <protection locked="1" hidden="0"/>
    </dxf>
    <dxf>
      <font>
        <b val="0"/>
        <i val="0"/>
        <strike val="0"/>
        <condense val="0"/>
        <extend val="0"/>
        <outline val="0"/>
        <shadow val="0"/>
        <u val="none"/>
        <vertAlign val="baseline"/>
        <sz val="12"/>
        <color theme="1"/>
        <name val="Calibri"/>
        <family val="2"/>
        <scheme val="minor"/>
      </font>
      <numFmt numFmtId="3" formatCode="#,##0"/>
      <alignment horizontal="center" vertical="bottom" textRotation="0" wrapText="0" indent="0" justifyLastLine="0" shrinkToFit="0" readingOrder="0"/>
      <protection locked="1" hidden="0"/>
    </dxf>
    <dxf>
      <numFmt numFmtId="13" formatCode="0%"/>
      <alignment horizontal="center" vertical="bottom" textRotation="0" wrapText="0" indent="0" justifyLastLine="0" shrinkToFit="0" readingOrder="0"/>
      <protection locked="1" hidden="0"/>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left"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numFmt numFmtId="13" formatCode="0%"/>
      <alignment horizontal="center" vertical="bottom" textRotation="0" wrapText="0" indent="0" justifyLastLine="0" shrinkToFit="0" readingOrder="0"/>
    </dxf>
    <dxf>
      <numFmt numFmtId="13" formatCode="0%"/>
      <alignment horizontal="center" vertical="bottom" textRotation="0" wrapText="0" indent="0" justifyLastLine="0" shrinkToFit="0" readingOrder="0"/>
    </dxf>
    <dxf>
      <font>
        <b val="0"/>
        <i val="0"/>
        <strike val="0"/>
        <condense val="0"/>
        <extend val="0"/>
        <outline val="0"/>
        <shadow val="0"/>
        <u val="none"/>
        <vertAlign val="baseline"/>
        <sz val="12"/>
        <color theme="1"/>
        <name val="Calibri"/>
        <family val="2"/>
        <scheme val="minor"/>
      </font>
      <fill>
        <patternFill patternType="none">
          <fgColor indexed="64"/>
          <bgColor indexed="65"/>
        </patternFill>
      </fill>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numFmt numFmtId="164" formatCode="0.0%"/>
      <alignment horizontal="center" vertical="bottom" textRotation="0" wrapText="0" indent="0" justifyLastLine="0" shrinkToFit="0" readingOrder="0"/>
    </dxf>
    <dxf>
      <alignment horizontal="center" vertical="bottom" textRotation="0" wrapText="0" indent="0" justifyLastLine="0" shrinkToFit="0" readingOrder="0"/>
      <border diagonalUp="0" diagonalDown="0" outline="0">
        <left/>
        <right/>
        <top style="thin">
          <color theme="5" tint="0.39997558519241921"/>
        </top>
        <bottom style="thin">
          <color theme="5" tint="0.39997558519241921"/>
        </bottom>
      </border>
    </dxf>
    <dxf>
      <alignment horizontal="center" vertical="bottom" textRotation="0" wrapText="0" indent="0" justifyLastLine="0" shrinkToFit="0" readingOrder="0"/>
    </dxf>
    <dxf>
      <font>
        <b val="0"/>
        <i val="0"/>
        <strike val="0"/>
        <condense val="0"/>
        <extend val="0"/>
        <outline val="0"/>
        <shadow val="0"/>
        <u val="none"/>
        <vertAlign val="baseline"/>
        <sz val="11"/>
        <color rgb="FF000000"/>
        <name val="Calibri"/>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1"/>
        <color rgb="FF000000"/>
        <name val="Calibri"/>
        <family val="2"/>
        <scheme val="none"/>
      </font>
      <alignment horizontal="general" vertical="center" textRotation="0" wrapText="1"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font>
        <strike val="0"/>
        <outline val="0"/>
        <shadow val="0"/>
        <u val="none"/>
        <vertAlign val="baseline"/>
        <sz val="12"/>
        <color rgb="FF00A81F"/>
        <name val="Calibri"/>
        <family val="2"/>
        <scheme val="minor"/>
      </font>
      <fill>
        <patternFill patternType="none">
          <fgColor indexed="64"/>
          <bgColor auto="1"/>
        </patternFill>
      </fill>
    </dxf>
    <dxf>
      <font>
        <strike val="0"/>
        <outline val="0"/>
        <shadow val="0"/>
        <u val="none"/>
        <vertAlign val="baseline"/>
        <sz val="12"/>
        <color theme="1" tint="0.499984740745262"/>
        <name val="Calibri"/>
        <family val="2"/>
        <scheme val="minor"/>
      </font>
      <fill>
        <patternFill patternType="none">
          <fgColor indexed="64"/>
          <bgColor auto="1"/>
        </patternFill>
      </fill>
    </dxf>
    <dxf>
      <font>
        <strike val="0"/>
        <outline val="0"/>
        <shadow val="0"/>
        <u val="none"/>
        <vertAlign val="baseline"/>
        <sz val="12"/>
        <color theme="1" tint="0.499984740745262"/>
        <name val="Calibri"/>
        <family val="2"/>
        <scheme val="minor"/>
      </font>
      <fill>
        <patternFill patternType="none">
          <fgColor indexed="64"/>
          <bgColor auto="1"/>
        </patternFill>
      </fill>
    </dxf>
    <dxf>
      <font>
        <strike val="0"/>
        <outline val="0"/>
        <shadow val="0"/>
        <u val="none"/>
        <vertAlign val="baseline"/>
        <sz val="12"/>
        <color theme="1" tint="0.499984740745262"/>
        <name val="Calibri"/>
        <family val="2"/>
        <scheme val="minor"/>
      </font>
      <fill>
        <patternFill patternType="none">
          <fgColor indexed="64"/>
          <bgColor auto="1"/>
        </patternFill>
      </fill>
    </dxf>
    <dxf>
      <font>
        <strike val="0"/>
        <outline val="0"/>
        <shadow val="0"/>
        <u val="none"/>
        <vertAlign val="baseline"/>
        <sz val="12"/>
        <color rgb="FFFF0000"/>
        <name val="Calibri"/>
        <scheme val="minor"/>
      </font>
      <fill>
        <patternFill patternType="none">
          <fgColor indexed="64"/>
          <bgColor auto="1"/>
        </patternFill>
      </fill>
      <alignment horizontal="center" vertical="bottom" textRotation="0" wrapText="0" indent="0" justifyLastLine="0" shrinkToFit="0" readingOrder="0"/>
    </dxf>
    <dxf>
      <fill>
        <patternFill patternType="none">
          <fgColor indexed="64"/>
          <bgColor auto="1"/>
        </patternFill>
      </fill>
      <alignment horizontal="center" vertical="bottom" textRotation="0" wrapText="0" indent="0" justifyLastLine="0" shrinkToFit="0" readingOrder="0"/>
    </dxf>
    <dxf>
      <fill>
        <patternFill patternType="none">
          <fgColor indexed="64"/>
          <bgColor auto="1"/>
        </patternFill>
      </fill>
    </dxf>
    <dxf>
      <font>
        <strike val="0"/>
        <outline val="0"/>
        <shadow val="0"/>
        <u val="none"/>
        <vertAlign val="baseline"/>
        <sz val="12"/>
        <color rgb="FF00A81F"/>
        <name val="Calibri"/>
        <family val="2"/>
        <scheme val="minor"/>
      </font>
      <fill>
        <patternFill patternType="none">
          <fgColor indexed="64"/>
          <bgColor auto="1"/>
        </patternFill>
      </fill>
    </dxf>
    <dxf>
      <font>
        <strike val="0"/>
        <outline val="0"/>
        <shadow val="0"/>
        <u val="none"/>
        <vertAlign val="baseline"/>
        <sz val="12"/>
        <color rgb="FF00A81F"/>
        <name val="Calibri"/>
        <family val="2"/>
        <scheme val="minor"/>
      </font>
      <fill>
        <patternFill patternType="none">
          <fgColor indexed="64"/>
          <bgColor auto="1"/>
        </patternFill>
      </fill>
    </dxf>
    <dxf>
      <font>
        <strike val="0"/>
        <outline val="0"/>
        <shadow val="0"/>
        <u val="none"/>
        <vertAlign val="baseline"/>
        <sz val="12"/>
        <color rgb="FF00A81F"/>
        <name val="Calibri"/>
        <family val="2"/>
        <scheme val="minor"/>
      </font>
      <fill>
        <patternFill patternType="none">
          <fgColor indexed="64"/>
          <bgColor auto="1"/>
        </patternFill>
      </fill>
    </dxf>
    <dxf>
      <font>
        <strike val="0"/>
        <outline val="0"/>
        <shadow val="0"/>
        <u val="none"/>
        <vertAlign val="baseline"/>
        <sz val="12"/>
        <color rgb="FFFF0000"/>
        <name val="Calibri"/>
        <scheme val="minor"/>
      </font>
      <fill>
        <patternFill patternType="none">
          <bgColor auto="1"/>
        </patternFill>
      </fill>
      <alignment horizontal="center" vertical="bottom" textRotation="0" wrapText="0" indent="0" justifyLastLine="0" shrinkToFit="0" readingOrder="0"/>
    </dxf>
    <dxf>
      <fill>
        <patternFill patternType="none">
          <bgColor auto="1"/>
        </patternFill>
      </fill>
      <alignment horizontal="center" vertical="bottom" textRotation="0" wrapText="0" indent="0" justifyLastLine="0" shrinkToFit="0" readingOrder="0"/>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strike val="0"/>
        <outline val="0"/>
        <shadow val="0"/>
        <u val="none"/>
        <vertAlign val="baseline"/>
        <sz val="12"/>
        <color rgb="FF00A81F"/>
        <name val="Calibri"/>
        <family val="2"/>
        <scheme val="minor"/>
      </font>
    </dxf>
    <dxf>
      <font>
        <strike val="0"/>
        <outline val="0"/>
        <shadow val="0"/>
        <u val="none"/>
        <vertAlign val="baseline"/>
        <sz val="12"/>
        <color theme="1" tint="0.499984740745262"/>
        <name val="Calibri"/>
        <family val="2"/>
        <scheme val="minor"/>
      </font>
    </dxf>
    <dxf>
      <font>
        <strike val="0"/>
        <outline val="0"/>
        <shadow val="0"/>
        <u val="none"/>
        <vertAlign val="baseline"/>
        <sz val="12"/>
        <color theme="1" tint="0.499984740745262"/>
        <name val="Calibri"/>
        <family val="2"/>
        <scheme val="minor"/>
      </font>
    </dxf>
    <dxf>
      <font>
        <strike val="0"/>
        <outline val="0"/>
        <shadow val="0"/>
        <u val="none"/>
        <vertAlign val="baseline"/>
        <sz val="12"/>
        <color theme="1" tint="0.499984740745262"/>
        <name val="Calibri"/>
        <family val="2"/>
        <scheme val="minor"/>
      </font>
    </dxf>
    <dxf>
      <font>
        <strike val="0"/>
        <outline val="0"/>
        <shadow val="0"/>
        <u val="none"/>
        <vertAlign val="baseline"/>
        <sz val="12"/>
        <color rgb="FFFF0000"/>
        <name val="Calibri"/>
        <scheme val="minor"/>
      </font>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font>
        <b val="0"/>
        <i val="0"/>
        <strike val="0"/>
        <condense val="0"/>
        <extend val="0"/>
        <outline val="0"/>
        <shadow val="0"/>
        <u val="none"/>
        <vertAlign val="baseline"/>
        <sz val="12"/>
        <color auto="1"/>
        <name val="Calibri"/>
        <family val="2"/>
        <scheme val="none"/>
      </font>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font>
        <b val="0"/>
        <i val="0"/>
        <strike val="0"/>
        <condense val="0"/>
        <extend val="0"/>
        <outline val="0"/>
        <shadow val="0"/>
        <u val="none"/>
        <vertAlign val="baseline"/>
        <sz val="12"/>
        <color auto="1"/>
        <name val="Calibri"/>
        <family val="2"/>
        <scheme val="none"/>
      </font>
    </dxf>
    <dxf>
      <font>
        <b val="0"/>
        <i val="0"/>
        <strike val="0"/>
        <condense val="0"/>
        <extend val="0"/>
        <outline val="0"/>
        <shadow val="0"/>
        <u val="none"/>
        <vertAlign val="baseline"/>
        <sz val="12"/>
        <color theme="1"/>
        <name val="Calibri"/>
        <scheme val="minor"/>
      </font>
      <alignment horizontal="center" vertical="bottom" textRotation="0" wrapText="0" indent="0" justifyLastLine="0" shrinkToFit="0" readingOrder="0"/>
    </dxf>
    <dxf>
      <font>
        <b val="0"/>
        <i val="0"/>
        <strike val="0"/>
        <condense val="0"/>
        <extend val="0"/>
        <outline val="0"/>
        <shadow val="0"/>
        <u val="none"/>
        <vertAlign val="baseline"/>
        <sz val="12"/>
        <color theme="1"/>
        <name val="Calibri"/>
        <scheme val="minor"/>
      </font>
      <alignment horizontal="center" vertical="bottom" textRotation="0" wrapText="0" indent="0" justifyLastLine="0" shrinkToFit="0" readingOrder="0"/>
    </dxf>
    <dxf>
      <font>
        <b val="0"/>
        <i val="0"/>
        <strike val="0"/>
        <condense val="0"/>
        <extend val="0"/>
        <outline val="0"/>
        <shadow val="0"/>
        <u val="none"/>
        <vertAlign val="baseline"/>
        <sz val="12"/>
        <color theme="1"/>
        <name val="Calibri"/>
        <scheme val="minor"/>
      </font>
      <alignment horizontal="center" vertical="bottom" textRotation="0" wrapText="0" indent="0" justifyLastLine="0" shrinkToFit="0" readingOrder="0"/>
    </dxf>
    <dxf>
      <font>
        <b val="0"/>
        <i val="0"/>
        <strike val="0"/>
        <condense val="0"/>
        <extend val="0"/>
        <outline val="0"/>
        <shadow val="0"/>
        <u val="none"/>
        <vertAlign val="baseline"/>
        <sz val="12"/>
        <color theme="1"/>
        <name val="Calibri"/>
        <scheme val="minor"/>
      </font>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font>
        <b val="0"/>
        <i val="0"/>
        <strike val="0"/>
        <condense val="0"/>
        <extend val="0"/>
        <outline val="0"/>
        <shadow val="0"/>
        <u val="none"/>
        <vertAlign val="baseline"/>
        <sz val="12"/>
        <color theme="1"/>
        <name val="Calibri"/>
        <scheme val="minor"/>
      </font>
      <alignment horizontal="center" vertical="bottom" textRotation="0" wrapText="0" indent="0" justifyLastLine="0" shrinkToFit="0" readingOrder="0"/>
    </dxf>
    <dxf>
      <alignment horizontal="left" vertical="bottom" textRotation="0" wrapText="0" indent="0" justifyLastLine="0" shrinkToFit="0" readingOrder="0"/>
    </dxf>
    <dxf>
      <font>
        <b val="0"/>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numFmt numFmtId="0" formatCode="Genera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alignment horizontal="center" vertical="bottom" textRotation="0" wrapText="0" indent="0" justifyLastLine="0" shrinkToFit="0" readingOrder="0"/>
    </dxf>
    <dxf>
      <font>
        <strike val="0"/>
        <outline val="0"/>
        <shadow val="0"/>
        <u val="none"/>
        <vertAlign val="baseline"/>
        <sz val="12"/>
        <color rgb="FF00A81F"/>
        <name val="Calibri"/>
        <family val="2"/>
        <scheme val="minor"/>
      </font>
      <fill>
        <patternFill patternType="none">
          <fgColor indexed="64"/>
          <bgColor auto="1"/>
        </patternFill>
      </fill>
      <border outline="0">
        <left style="thin">
          <color theme="5" tint="0.39997558519241921"/>
        </left>
      </border>
    </dxf>
    <dxf>
      <font>
        <strike val="0"/>
        <outline val="0"/>
        <shadow val="0"/>
        <u val="none"/>
        <vertAlign val="baseline"/>
        <sz val="12"/>
        <color rgb="FF00A81F"/>
        <name val="Calibri"/>
        <family val="2"/>
        <scheme val="minor"/>
      </font>
      <fill>
        <patternFill patternType="none">
          <fgColor indexed="64"/>
          <bgColor auto="1"/>
        </patternFill>
      </fill>
      <border outline="0">
        <left style="thin">
          <color theme="5" tint="0.39997558519241921"/>
        </left>
        <right/>
      </border>
    </dxf>
    <dxf>
      <font>
        <strike val="0"/>
        <outline val="0"/>
        <shadow val="0"/>
        <u val="none"/>
        <vertAlign val="baseline"/>
        <sz val="12"/>
        <color rgb="FF00A81F"/>
        <name val="Calibri"/>
        <family val="2"/>
        <scheme val="minor"/>
      </font>
      <fill>
        <patternFill patternType="none">
          <fgColor indexed="64"/>
          <bgColor auto="1"/>
        </patternFill>
      </fill>
    </dxf>
    <dxf>
      <font>
        <strike val="0"/>
        <outline val="0"/>
        <shadow val="0"/>
        <u val="none"/>
        <vertAlign val="baseline"/>
        <sz val="12"/>
        <color rgb="FFFF0000"/>
        <name val="Calibri"/>
        <scheme val="minor"/>
      </font>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dxf>
    <dxf>
      <numFmt numFmtId="165" formatCode="0.0"/>
      <fill>
        <patternFill patternType="none">
          <fgColor indexed="64"/>
          <bgColor indexed="65"/>
        </patternFill>
      </fill>
    </dxf>
    <dxf>
      <fill>
        <patternFill patternType="none">
          <fgColor indexed="64"/>
          <bgColor indexed="65"/>
        </patternFill>
      </fill>
    </dxf>
    <dxf>
      <numFmt numFmtId="165" formatCode="0.0"/>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numFmt numFmtId="1" formatCode="0"/>
      <fill>
        <patternFill patternType="none">
          <fgColor indexed="64"/>
          <bgColor indexed="65"/>
        </patternFill>
      </fill>
    </dxf>
    <dxf>
      <fill>
        <patternFill patternType="none">
          <fgColor indexed="64"/>
          <bgColor indexed="65"/>
        </patternFill>
      </fill>
    </dxf>
    <dxf>
      <numFmt numFmtId="1" formatCode="0"/>
      <fill>
        <patternFill patternType="none">
          <fgColor indexed="64"/>
          <bgColor indexed="65"/>
        </patternFill>
      </fill>
    </dxf>
    <dxf>
      <fill>
        <patternFill patternType="none">
          <fgColor indexed="64"/>
          <bgColor indexed="65"/>
        </patternFill>
      </fill>
    </dxf>
    <dxf>
      <font>
        <b/>
        <i val="0"/>
        <strike val="0"/>
        <condense val="0"/>
        <extend val="0"/>
        <outline val="0"/>
        <shadow val="0"/>
        <u val="none"/>
        <vertAlign val="baseline"/>
        <sz val="11"/>
        <color theme="0"/>
        <name val="Calibri"/>
        <family val="2"/>
        <scheme val="minor"/>
      </font>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ont>
        <b/>
        <i val="0"/>
        <strike val="0"/>
        <condense val="0"/>
        <extend val="0"/>
        <outline val="0"/>
        <shadow val="0"/>
        <u val="none"/>
        <vertAlign val="baseline"/>
        <sz val="11"/>
        <color theme="0"/>
        <name val="Calibri"/>
        <family val="2"/>
        <scheme val="minor"/>
      </font>
      <fill>
        <patternFill patternType="none">
          <fgColor indexed="64"/>
          <bgColor indexed="65"/>
        </patternFill>
      </fill>
    </dxf>
    <dxf>
      <numFmt numFmtId="165" formatCode="0.0"/>
      <fill>
        <patternFill patternType="none">
          <fgColor indexed="64"/>
          <bgColor indexed="65"/>
        </patternFill>
      </fill>
    </dxf>
    <dxf>
      <fill>
        <patternFill patternType="none">
          <fgColor indexed="64"/>
          <bgColor indexed="65"/>
        </patternFill>
      </fill>
    </dxf>
    <dxf>
      <numFmt numFmtId="165" formatCode="0.0"/>
      <fill>
        <patternFill patternType="none">
          <fgColor indexed="64"/>
          <bgColor indexed="65"/>
        </patternFill>
      </fill>
    </dxf>
    <dxf>
      <fill>
        <patternFill patternType="none">
          <fgColor indexed="64"/>
          <bgColor indexed="65"/>
        </patternFill>
      </fill>
    </dxf>
    <dxf>
      <font>
        <b/>
        <i val="0"/>
        <strike val="0"/>
        <condense val="0"/>
        <extend val="0"/>
        <outline val="0"/>
        <shadow val="0"/>
        <u val="none"/>
        <vertAlign val="baseline"/>
        <sz val="11"/>
        <color theme="0"/>
        <name val="Calibri"/>
        <family val="2"/>
        <scheme val="minor"/>
      </font>
      <fill>
        <patternFill patternType="none">
          <fgColor indexed="64"/>
          <bgColor indexed="65"/>
        </patternFill>
      </fill>
    </dxf>
    <dxf>
      <numFmt numFmtId="165" formatCode="0.0"/>
      <fill>
        <patternFill patternType="none">
          <fgColor indexed="64"/>
          <bgColor indexed="65"/>
        </patternFill>
      </fill>
    </dxf>
    <dxf>
      <fill>
        <patternFill patternType="none">
          <fgColor indexed="64"/>
          <bgColor indexed="65"/>
        </patternFill>
      </fill>
    </dxf>
    <dxf>
      <numFmt numFmtId="165" formatCode="0.0"/>
      <fill>
        <patternFill patternType="none">
          <fgColor indexed="64"/>
          <bgColor indexed="65"/>
        </patternFill>
      </fill>
    </dxf>
    <dxf>
      <fill>
        <patternFill patternType="none">
          <fgColor indexed="64"/>
          <bgColor indexed="65"/>
        </patternFill>
      </fill>
    </dxf>
    <dxf>
      <font>
        <b/>
        <i val="0"/>
        <strike val="0"/>
        <condense val="0"/>
        <extend val="0"/>
        <outline val="0"/>
        <shadow val="0"/>
        <u val="none"/>
        <vertAlign val="baseline"/>
        <sz val="11"/>
        <color theme="0"/>
        <name val="Calibri"/>
        <family val="2"/>
        <scheme val="minor"/>
      </font>
      <fill>
        <patternFill patternType="none">
          <fgColor indexed="64"/>
          <bgColor indexed="65"/>
        </patternFill>
      </fill>
    </dxf>
    <dxf>
      <numFmt numFmtId="165" formatCode="0.0"/>
      <fill>
        <patternFill patternType="none">
          <fgColor indexed="64"/>
          <bgColor indexed="65"/>
        </patternFill>
      </fill>
    </dxf>
    <dxf>
      <fill>
        <patternFill patternType="none">
          <fgColor indexed="64"/>
          <bgColor indexed="65"/>
        </patternFill>
      </fill>
    </dxf>
    <dxf>
      <numFmt numFmtId="165" formatCode="0.0"/>
      <fill>
        <patternFill patternType="none">
          <fgColor indexed="64"/>
          <bgColor indexed="65"/>
        </patternFill>
      </fill>
    </dxf>
    <dxf>
      <fill>
        <patternFill patternType="none">
          <fgColor indexed="64"/>
          <bgColor indexed="65"/>
        </patternFill>
      </fill>
    </dxf>
    <dxf>
      <font>
        <b/>
        <i val="0"/>
        <strike val="0"/>
        <condense val="0"/>
        <extend val="0"/>
        <outline val="0"/>
        <shadow val="0"/>
        <u val="none"/>
        <vertAlign val="baseline"/>
        <sz val="11"/>
        <color theme="0"/>
        <name val="Calibri"/>
        <family val="2"/>
        <scheme val="minor"/>
      </font>
      <fill>
        <patternFill patternType="none">
          <fgColor indexed="64"/>
          <bgColor indexed="65"/>
        </patternFill>
      </fill>
    </dxf>
    <dxf>
      <numFmt numFmtId="165" formatCode="0.0"/>
      <fill>
        <patternFill patternType="none">
          <fgColor indexed="64"/>
          <bgColor indexed="65"/>
        </patternFill>
      </fill>
    </dxf>
    <dxf>
      <fill>
        <patternFill patternType="none">
          <fgColor indexed="64"/>
          <bgColor indexed="65"/>
        </patternFill>
      </fill>
    </dxf>
    <dxf>
      <numFmt numFmtId="165" formatCode="0.0"/>
      <fill>
        <patternFill patternType="none">
          <fgColor indexed="64"/>
          <bgColor indexed="65"/>
        </patternFill>
      </fill>
    </dxf>
    <dxf>
      <fill>
        <patternFill patternType="none">
          <fgColor indexed="64"/>
          <bgColor indexed="65"/>
        </patternFill>
      </fill>
    </dxf>
    <dxf>
      <font>
        <b/>
        <i val="0"/>
        <strike val="0"/>
        <condense val="0"/>
        <extend val="0"/>
        <outline val="0"/>
        <shadow val="0"/>
        <u val="none"/>
        <vertAlign val="baseline"/>
        <sz val="11"/>
        <color theme="0"/>
        <name val="Calibri"/>
        <family val="2"/>
        <scheme val="minor"/>
      </font>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numFmt numFmtId="165" formatCode="0.0"/>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ont>
        <b/>
        <i val="0"/>
        <strike val="0"/>
        <condense val="0"/>
        <extend val="0"/>
        <outline val="0"/>
        <shadow val="0"/>
        <u val="none"/>
        <vertAlign val="baseline"/>
        <sz val="11"/>
        <color theme="0"/>
        <name val="Calibri"/>
        <family val="2"/>
        <scheme val="minor"/>
      </font>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numFmt numFmtId="165" formatCode="0.0"/>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ont>
        <b/>
        <i val="0"/>
        <strike val="0"/>
        <condense val="0"/>
        <extend val="0"/>
        <outline val="0"/>
        <shadow val="0"/>
        <u val="none"/>
        <vertAlign val="baseline"/>
        <sz val="11"/>
        <color theme="0"/>
        <name val="Calibri"/>
        <family val="2"/>
        <scheme val="minor"/>
      </font>
      <fill>
        <patternFill patternType="none">
          <fgColor indexed="64"/>
          <bgColor indexed="65"/>
        </patternFill>
      </fill>
    </dxf>
    <dxf>
      <fill>
        <patternFill patternType="none">
          <fgColor indexed="64"/>
          <bgColor indexed="65"/>
        </patternFill>
      </fill>
    </dxf>
    <dxf>
      <numFmt numFmtId="165" formatCode="0.0"/>
      <fill>
        <patternFill patternType="none">
          <fgColor indexed="64"/>
          <bgColor indexed="65"/>
        </patternFill>
      </fill>
    </dxf>
    <dxf>
      <fill>
        <patternFill patternType="none">
          <fgColor indexed="64"/>
          <bgColor indexed="65"/>
        </patternFill>
      </fill>
    </dxf>
    <dxf>
      <font>
        <b/>
        <i val="0"/>
        <strike val="0"/>
        <condense val="0"/>
        <extend val="0"/>
        <outline val="0"/>
        <shadow val="0"/>
        <u val="none"/>
        <vertAlign val="baseline"/>
        <sz val="11"/>
        <color theme="0"/>
        <name val="Calibri"/>
        <family val="2"/>
        <scheme val="minor"/>
      </font>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ont>
        <b/>
        <i val="0"/>
        <strike val="0"/>
        <condense val="0"/>
        <extend val="0"/>
        <outline val="0"/>
        <shadow val="0"/>
        <u val="none"/>
        <vertAlign val="baseline"/>
        <sz val="11"/>
        <color theme="0"/>
        <name val="Calibri"/>
        <family val="2"/>
        <scheme val="minor"/>
      </font>
      <fill>
        <patternFill patternType="none">
          <fgColor indexed="64"/>
          <bgColor indexed="65"/>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ont>
        <b/>
        <i val="0"/>
        <strike val="0"/>
        <condense val="0"/>
        <extend val="0"/>
        <outline val="0"/>
        <shadow val="0"/>
        <u val="none"/>
        <vertAlign val="baseline"/>
        <sz val="11"/>
        <color theme="0"/>
        <name val="Calibri"/>
        <family val="2"/>
        <scheme val="minor"/>
      </font>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ont>
        <b/>
        <i val="0"/>
        <strike val="0"/>
        <condense val="0"/>
        <extend val="0"/>
        <outline val="0"/>
        <shadow val="0"/>
        <u val="none"/>
        <vertAlign val="baseline"/>
        <sz val="11"/>
        <color theme="0"/>
        <name val="Calibri"/>
        <family val="2"/>
        <scheme val="minor"/>
      </font>
      <fill>
        <patternFill patternType="none">
          <fgColor indexed="64"/>
          <bgColor auto="1"/>
        </patternFill>
      </fill>
    </dxf>
    <dxf>
      <font>
        <b val="0"/>
        <i val="0"/>
        <strike val="0"/>
        <condense val="0"/>
        <extend val="0"/>
        <outline val="0"/>
        <shadow val="0"/>
        <u val="none"/>
        <vertAlign val="baseline"/>
        <sz val="11"/>
        <color theme="1"/>
        <name val="Calibri"/>
        <family val="2"/>
        <scheme val="minor"/>
      </font>
      <numFmt numFmtId="1" formatCode="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numFmt numFmtId="1" formatCode="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alignment horizontal="left" vertical="bottom" textRotation="0" wrapText="0" indent="0" justifyLastLine="0" shrinkToFit="0" readingOrder="0"/>
    </dxf>
    <dxf>
      <fill>
        <patternFill patternType="none">
          <fgColor indexed="64"/>
          <bgColor indexed="65"/>
        </patternFill>
      </fill>
    </dxf>
    <dxf>
      <numFmt numFmtId="1" formatCode="0"/>
      <fill>
        <patternFill patternType="none">
          <fgColor indexed="64"/>
          <bgColor indexed="65"/>
        </patternFill>
      </fill>
    </dxf>
    <dxf>
      <fill>
        <patternFill patternType="none">
          <fgColor indexed="64"/>
          <bgColor indexed="65"/>
        </patternFill>
      </fill>
    </dxf>
    <dxf>
      <numFmt numFmtId="1" formatCode="0"/>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ont>
        <b/>
        <i val="0"/>
        <strike val="0"/>
        <condense val="0"/>
        <extend val="0"/>
        <outline val="0"/>
        <shadow val="0"/>
        <u val="none"/>
        <vertAlign val="baseline"/>
        <sz val="11"/>
        <color theme="0"/>
        <name val="Calibri"/>
        <family val="2"/>
        <scheme val="minor"/>
      </font>
      <fill>
        <patternFill patternType="none">
          <fgColor indexed="64"/>
          <bgColor indexed="65"/>
        </patternFill>
      </fill>
    </dxf>
    <dxf>
      <fill>
        <patternFill patternType="none">
          <fgColor indexed="64"/>
          <bgColor indexed="65"/>
        </patternFill>
      </fill>
    </dxf>
    <dxf>
      <numFmt numFmtId="1" formatCode="0"/>
      <fill>
        <patternFill patternType="none">
          <fgColor indexed="64"/>
          <bgColor indexed="65"/>
        </patternFill>
      </fill>
    </dxf>
    <dxf>
      <fill>
        <patternFill patternType="none">
          <fgColor indexed="64"/>
          <bgColor indexed="65"/>
        </patternFill>
      </fill>
    </dxf>
    <dxf>
      <numFmt numFmtId="1" formatCode="0"/>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ont>
        <b/>
        <i val="0"/>
        <strike val="0"/>
        <condense val="0"/>
        <extend val="0"/>
        <outline val="0"/>
        <shadow val="0"/>
        <u val="none"/>
        <vertAlign val="baseline"/>
        <sz val="11"/>
        <color theme="0"/>
        <name val="Calibri"/>
        <family val="2"/>
        <scheme val="minor"/>
      </font>
      <fill>
        <patternFill patternType="none">
          <fgColor indexed="64"/>
          <bgColor indexed="65"/>
        </patternFill>
      </fill>
    </dxf>
    <dxf>
      <numFmt numFmtId="1" formatCode="0"/>
      <fill>
        <patternFill patternType="none">
          <fgColor indexed="64"/>
          <bgColor indexed="65"/>
        </patternFill>
      </fill>
    </dxf>
    <dxf>
      <fill>
        <patternFill patternType="none">
          <fgColor indexed="64"/>
          <bgColor indexed="65"/>
        </patternFill>
      </fill>
    </dxf>
    <dxf>
      <numFmt numFmtId="1" formatCode="0"/>
      <fill>
        <patternFill patternType="none">
          <fgColor indexed="64"/>
          <bgColor indexed="65"/>
        </patternFill>
      </fill>
    </dxf>
    <dxf>
      <fill>
        <patternFill patternType="none">
          <fgColor indexed="64"/>
          <bgColor indexed="65"/>
        </patternFill>
      </fill>
    </dxf>
    <dxf>
      <font>
        <b/>
        <i val="0"/>
        <strike val="0"/>
        <condense val="0"/>
        <extend val="0"/>
        <outline val="0"/>
        <shadow val="0"/>
        <u val="none"/>
        <vertAlign val="baseline"/>
        <sz val="11"/>
        <color theme="0"/>
        <name val="Calibri"/>
        <family val="2"/>
        <scheme val="minor"/>
      </font>
      <fill>
        <patternFill patternType="none">
          <fgColor indexed="64"/>
          <bgColor indexed="65"/>
        </patternFill>
      </fill>
    </dxf>
    <dxf>
      <fill>
        <patternFill patternType="none">
          <bgColor auto="1"/>
        </patternFill>
      </fill>
    </dxf>
    <dxf>
      <numFmt numFmtId="165" formatCode="0.0"/>
      <fill>
        <patternFill patternType="none">
          <bgColor auto="1"/>
        </patternFill>
      </fill>
    </dxf>
    <dxf>
      <fill>
        <patternFill patternType="none">
          <bgColor auto="1"/>
        </patternFill>
      </fill>
    </dxf>
    <dxf>
      <numFmt numFmtId="165" formatCode="0.0"/>
      <fill>
        <patternFill patternType="none">
          <bgColor auto="1"/>
        </patternFill>
      </fill>
    </dxf>
    <dxf>
      <fill>
        <patternFill patternType="none">
          <bgColor auto="1"/>
        </patternFill>
      </fill>
    </dxf>
    <dxf>
      <border outline="0">
        <top style="thin">
          <color theme="4"/>
        </top>
      </border>
    </dxf>
    <dxf>
      <fill>
        <patternFill patternType="none">
          <bgColor auto="1"/>
        </patternFill>
      </fill>
    </dxf>
    <dxf>
      <font>
        <b/>
        <i val="0"/>
        <strike val="0"/>
        <condense val="0"/>
        <extend val="0"/>
        <outline val="0"/>
        <shadow val="0"/>
        <u val="none"/>
        <vertAlign val="baseline"/>
        <sz val="11"/>
        <color theme="0"/>
        <name val="Calibri"/>
        <family val="2"/>
        <scheme val="minor"/>
      </font>
      <fill>
        <patternFill patternType="none">
          <fgColor theme="4"/>
          <bgColor auto="1"/>
        </patternFill>
      </fill>
    </dxf>
    <dxf>
      <fill>
        <patternFill patternType="none">
          <bgColor auto="1"/>
        </patternFill>
      </fill>
    </dxf>
    <dxf>
      <numFmt numFmtId="165" formatCode="0.0"/>
      <fill>
        <patternFill patternType="none">
          <bgColor auto="1"/>
        </patternFill>
      </fill>
    </dxf>
    <dxf>
      <fill>
        <patternFill patternType="none">
          <bgColor auto="1"/>
        </patternFill>
      </fill>
    </dxf>
    <dxf>
      <numFmt numFmtId="165" formatCode="0.0"/>
      <fill>
        <patternFill patternType="none">
          <bgColor auto="1"/>
        </patternFill>
      </fill>
    </dxf>
    <dxf>
      <fill>
        <patternFill patternType="none">
          <bgColor auto="1"/>
        </patternFill>
      </fill>
    </dxf>
    <dxf>
      <border outline="0">
        <top style="thin">
          <color theme="4"/>
        </top>
      </border>
    </dxf>
    <dxf>
      <fill>
        <patternFill patternType="none">
          <bgColor auto="1"/>
        </patternFill>
      </fill>
    </dxf>
    <dxf>
      <font>
        <b/>
        <i val="0"/>
        <strike val="0"/>
        <condense val="0"/>
        <extend val="0"/>
        <outline val="0"/>
        <shadow val="0"/>
        <u val="none"/>
        <vertAlign val="baseline"/>
        <sz val="11"/>
        <color theme="0"/>
        <name val="Calibri"/>
        <family val="2"/>
        <scheme val="minor"/>
      </font>
      <fill>
        <patternFill patternType="none">
          <fgColor theme="4"/>
          <bgColor auto="1"/>
        </patternFill>
      </fill>
    </dxf>
    <dxf>
      <fill>
        <patternFill patternType="none">
          <bgColor auto="1"/>
        </patternFill>
      </fill>
    </dxf>
    <dxf>
      <numFmt numFmtId="165" formatCode="0.0"/>
      <fill>
        <patternFill patternType="none">
          <bgColor auto="1"/>
        </patternFill>
      </fill>
    </dxf>
    <dxf>
      <fill>
        <patternFill patternType="none">
          <bgColor auto="1"/>
        </patternFill>
      </fill>
    </dxf>
    <dxf>
      <numFmt numFmtId="165" formatCode="0.0"/>
      <fill>
        <patternFill patternType="none">
          <bgColor auto="1"/>
        </patternFill>
      </fill>
    </dxf>
    <dxf>
      <fill>
        <patternFill patternType="none">
          <bgColor auto="1"/>
        </patternFill>
      </fill>
    </dxf>
    <dxf>
      <border outline="0">
        <top style="thin">
          <color theme="4"/>
        </top>
      </border>
    </dxf>
    <dxf>
      <fill>
        <patternFill patternType="none">
          <bgColor auto="1"/>
        </patternFill>
      </fill>
    </dxf>
    <dxf>
      <font>
        <b/>
        <i val="0"/>
        <strike val="0"/>
        <condense val="0"/>
        <extend val="0"/>
        <outline val="0"/>
        <shadow val="0"/>
        <u val="none"/>
        <vertAlign val="baseline"/>
        <sz val="11"/>
        <color theme="0"/>
        <name val="Calibri"/>
        <family val="2"/>
        <scheme val="minor"/>
      </font>
      <fill>
        <patternFill patternType="none">
          <fgColor theme="4"/>
          <bgColor auto="1"/>
        </patternFill>
      </fill>
    </dxf>
    <dxf>
      <fill>
        <patternFill patternType="none">
          <bgColor auto="1"/>
        </patternFill>
      </fill>
    </dxf>
    <dxf>
      <numFmt numFmtId="165" formatCode="0.0"/>
      <fill>
        <patternFill patternType="none">
          <bgColor auto="1"/>
        </patternFill>
      </fill>
    </dxf>
    <dxf>
      <fill>
        <patternFill patternType="none">
          <bgColor auto="1"/>
        </patternFill>
      </fill>
    </dxf>
    <dxf>
      <numFmt numFmtId="165" formatCode="0.0"/>
      <fill>
        <patternFill patternType="none">
          <bgColor auto="1"/>
        </patternFill>
      </fill>
    </dxf>
    <dxf>
      <fill>
        <patternFill patternType="none">
          <bgColor auto="1"/>
        </patternFill>
      </fill>
    </dxf>
    <dxf>
      <fill>
        <patternFill patternType="none">
          <bgColor auto="1"/>
        </patternFill>
      </fill>
    </dxf>
    <dxf>
      <font>
        <b/>
        <i val="0"/>
        <strike val="0"/>
        <condense val="0"/>
        <extend val="0"/>
        <outline val="0"/>
        <shadow val="0"/>
        <u val="none"/>
        <vertAlign val="baseline"/>
        <sz val="11"/>
        <color theme="0"/>
        <name val="Calibri"/>
        <family val="2"/>
        <scheme val="minor"/>
      </font>
      <fill>
        <patternFill patternType="none">
          <fgColor theme="4"/>
          <bgColor auto="1"/>
        </patternFill>
      </fill>
    </dxf>
    <dxf>
      <fill>
        <patternFill patternType="none">
          <fgColor indexed="64"/>
          <bgColor auto="1"/>
        </patternFill>
      </fill>
    </dxf>
    <dxf>
      <numFmt numFmtId="1" formatCode="0"/>
      <fill>
        <patternFill patternType="none">
          <fgColor indexed="64"/>
          <bgColor auto="1"/>
        </patternFill>
      </fill>
    </dxf>
    <dxf>
      <fill>
        <patternFill patternType="none">
          <fgColor indexed="64"/>
          <bgColor auto="1"/>
        </patternFill>
      </fill>
    </dxf>
    <dxf>
      <numFmt numFmtId="1" formatCode="0"/>
      <fill>
        <patternFill patternType="none">
          <fgColor indexed="64"/>
          <bgColor auto="1"/>
        </patternFill>
      </fill>
    </dxf>
    <dxf>
      <fill>
        <patternFill patternType="none">
          <fgColor indexed="64"/>
          <bgColor auto="1"/>
        </patternFill>
      </fill>
    </dxf>
    <dxf>
      <fill>
        <patternFill patternType="none">
          <fgColor indexed="64"/>
          <bgColor auto="1"/>
        </patternFill>
      </fill>
    </dxf>
    <dxf>
      <font>
        <b/>
        <i val="0"/>
        <strike val="0"/>
        <condense val="0"/>
        <extend val="0"/>
        <outline val="0"/>
        <shadow val="0"/>
        <u val="none"/>
        <vertAlign val="baseline"/>
        <sz val="11"/>
        <color theme="0"/>
        <name val="Calibri"/>
        <family val="2"/>
        <scheme val="minor"/>
      </font>
      <fill>
        <patternFill patternType="none">
          <fgColor indexed="64"/>
          <bgColor auto="1"/>
        </patternFill>
      </fill>
    </dxf>
    <dxf>
      <fill>
        <patternFill patternType="none">
          <fgColor indexed="64"/>
          <bgColor auto="1"/>
        </patternFill>
      </fill>
    </dxf>
    <dxf>
      <numFmt numFmtId="1" formatCode="0"/>
      <fill>
        <patternFill patternType="none">
          <fgColor indexed="64"/>
          <bgColor auto="1"/>
        </patternFill>
      </fill>
    </dxf>
    <dxf>
      <fill>
        <patternFill patternType="none">
          <fgColor indexed="64"/>
          <bgColor auto="1"/>
        </patternFill>
      </fill>
    </dxf>
    <dxf>
      <numFmt numFmtId="1" formatCode="0"/>
      <fill>
        <patternFill patternType="none">
          <fgColor indexed="64"/>
          <bgColor auto="1"/>
        </patternFill>
      </fill>
    </dxf>
    <dxf>
      <fill>
        <patternFill patternType="none">
          <fgColor indexed="64"/>
          <bgColor auto="1"/>
        </patternFill>
      </fill>
    </dxf>
    <dxf>
      <fill>
        <patternFill patternType="none">
          <fgColor indexed="64"/>
          <bgColor auto="1"/>
        </patternFill>
      </fill>
    </dxf>
    <dxf>
      <font>
        <b/>
        <i val="0"/>
        <strike val="0"/>
        <condense val="0"/>
        <extend val="0"/>
        <outline val="0"/>
        <shadow val="0"/>
        <u val="none"/>
        <vertAlign val="baseline"/>
        <sz val="11"/>
        <color theme="0"/>
        <name val="Calibri"/>
        <family val="2"/>
        <scheme val="minor"/>
      </font>
      <fill>
        <patternFill patternType="none">
          <fgColor indexed="64"/>
          <bgColor auto="1"/>
        </patternFill>
      </fill>
    </dxf>
    <dxf>
      <fill>
        <patternFill patternType="none">
          <bgColor auto="1"/>
        </patternFill>
      </fill>
    </dxf>
    <dxf>
      <numFmt numFmtId="1" formatCode="0"/>
      <fill>
        <patternFill patternType="none">
          <bgColor auto="1"/>
        </patternFill>
      </fill>
    </dxf>
    <dxf>
      <fill>
        <patternFill patternType="none">
          <bgColor auto="1"/>
        </patternFill>
      </fill>
    </dxf>
    <dxf>
      <numFmt numFmtId="1" formatCode="0"/>
      <fill>
        <patternFill patternType="none">
          <bgColor auto="1"/>
        </patternFill>
      </fill>
    </dxf>
    <dxf>
      <fill>
        <patternFill patternType="none">
          <bgColor auto="1"/>
        </patternFill>
      </fill>
    </dxf>
    <dxf>
      <fill>
        <patternFill patternType="none">
          <bgColor auto="1"/>
        </patternFill>
      </fill>
    </dxf>
    <dxf>
      <font>
        <b/>
        <i val="0"/>
        <strike val="0"/>
        <condense val="0"/>
        <extend val="0"/>
        <outline val="0"/>
        <shadow val="0"/>
        <u val="none"/>
        <vertAlign val="baseline"/>
        <sz val="11"/>
        <color theme="0"/>
        <name val="Calibri"/>
        <family val="2"/>
        <scheme val="minor"/>
      </font>
      <fill>
        <patternFill patternType="none">
          <fgColor theme="4"/>
          <bgColor auto="1"/>
        </patternFill>
      </fill>
    </dxf>
    <dxf>
      <fill>
        <patternFill patternType="none">
          <bgColor auto="1"/>
        </patternFill>
      </fill>
    </dxf>
    <dxf>
      <numFmt numFmtId="1" formatCode="0"/>
      <fill>
        <patternFill patternType="none">
          <bgColor auto="1"/>
        </patternFill>
      </fill>
    </dxf>
    <dxf>
      <fill>
        <patternFill patternType="none">
          <bgColor auto="1"/>
        </patternFill>
      </fill>
    </dxf>
    <dxf>
      <numFmt numFmtId="1" formatCode="0"/>
      <fill>
        <patternFill patternType="none">
          <bgColor auto="1"/>
        </patternFill>
      </fill>
    </dxf>
    <dxf>
      <fill>
        <patternFill patternType="none">
          <bgColor auto="1"/>
        </patternFill>
      </fill>
    </dxf>
    <dxf>
      <fill>
        <patternFill patternType="none">
          <bgColor auto="1"/>
        </patternFill>
      </fill>
    </dxf>
    <dxf>
      <font>
        <b/>
        <i val="0"/>
        <strike val="0"/>
        <condense val="0"/>
        <extend val="0"/>
        <outline val="0"/>
        <shadow val="0"/>
        <u val="none"/>
        <vertAlign val="baseline"/>
        <sz val="11"/>
        <color theme="0"/>
        <name val="Calibri"/>
        <family val="2"/>
        <scheme val="minor"/>
      </font>
      <fill>
        <patternFill patternType="none">
          <fgColor theme="4"/>
          <bgColor auto="1"/>
        </patternFill>
      </fill>
    </dxf>
    <dxf>
      <fill>
        <patternFill patternType="none">
          <bgColor auto="1"/>
        </patternFill>
      </fill>
    </dxf>
    <dxf>
      <numFmt numFmtId="1" formatCode="0"/>
      <fill>
        <patternFill patternType="none">
          <bgColor auto="1"/>
        </patternFill>
      </fill>
    </dxf>
    <dxf>
      <fill>
        <patternFill patternType="none">
          <bgColor auto="1"/>
        </patternFill>
      </fill>
    </dxf>
    <dxf>
      <numFmt numFmtId="1" formatCode="0"/>
      <fill>
        <patternFill patternType="none">
          <bgColor auto="1"/>
        </patternFill>
      </fill>
    </dxf>
    <dxf>
      <fill>
        <patternFill patternType="none">
          <bgColor auto="1"/>
        </patternFill>
      </fill>
    </dxf>
    <dxf>
      <fill>
        <patternFill patternType="none">
          <bgColor auto="1"/>
        </patternFill>
      </fill>
    </dxf>
    <dxf>
      <font>
        <b/>
        <i val="0"/>
        <strike val="0"/>
        <condense val="0"/>
        <extend val="0"/>
        <outline val="0"/>
        <shadow val="0"/>
        <u val="none"/>
        <vertAlign val="baseline"/>
        <sz val="11"/>
        <color theme="0"/>
        <name val="Calibri"/>
        <family val="2"/>
        <scheme val="minor"/>
      </font>
      <fill>
        <patternFill patternType="none">
          <fgColor theme="4"/>
          <bgColor auto="1"/>
        </patternFill>
      </fill>
    </dxf>
    <dxf>
      <fill>
        <patternFill patternType="none">
          <bgColor auto="1"/>
        </patternFill>
      </fill>
    </dxf>
    <dxf>
      <numFmt numFmtId="1" formatCode="0"/>
      <fill>
        <patternFill patternType="none">
          <bgColor auto="1"/>
        </patternFill>
      </fill>
    </dxf>
    <dxf>
      <fill>
        <patternFill patternType="none">
          <bgColor auto="1"/>
        </patternFill>
      </fill>
    </dxf>
    <dxf>
      <numFmt numFmtId="1" formatCode="0"/>
      <fill>
        <patternFill patternType="none">
          <bgColor auto="1"/>
        </patternFill>
      </fill>
    </dxf>
    <dxf>
      <fill>
        <patternFill patternType="none">
          <bgColor auto="1"/>
        </patternFill>
      </fill>
    </dxf>
    <dxf>
      <fill>
        <patternFill patternType="none">
          <bgColor auto="1"/>
        </patternFill>
      </fill>
    </dxf>
    <dxf>
      <font>
        <b/>
        <i val="0"/>
        <strike val="0"/>
        <condense val="0"/>
        <extend val="0"/>
        <outline val="0"/>
        <shadow val="0"/>
        <u val="none"/>
        <vertAlign val="baseline"/>
        <sz val="11"/>
        <color theme="0"/>
        <name val="Calibri"/>
        <family val="2"/>
        <scheme val="minor"/>
      </font>
      <fill>
        <patternFill patternType="none">
          <fgColor theme="4"/>
          <bgColor auto="1"/>
        </patternFill>
      </fill>
    </dxf>
    <dxf>
      <fill>
        <patternFill patternType="none">
          <bgColor auto="1"/>
        </patternFill>
      </fill>
    </dxf>
    <dxf>
      <numFmt numFmtId="1" formatCode="0"/>
      <fill>
        <patternFill patternType="none">
          <bgColor auto="1"/>
        </patternFill>
      </fill>
    </dxf>
    <dxf>
      <fill>
        <patternFill patternType="none">
          <bgColor auto="1"/>
        </patternFill>
      </fill>
    </dxf>
    <dxf>
      <numFmt numFmtId="1" formatCode="0"/>
      <fill>
        <patternFill patternType="none">
          <bgColor auto="1"/>
        </patternFill>
      </fill>
    </dxf>
    <dxf>
      <fill>
        <patternFill patternType="none">
          <bgColor auto="1"/>
        </patternFill>
      </fill>
    </dxf>
    <dxf>
      <fill>
        <patternFill patternType="none">
          <bgColor auto="1"/>
        </patternFill>
      </fill>
    </dxf>
    <dxf>
      <font>
        <b/>
        <i val="0"/>
        <strike val="0"/>
        <condense val="0"/>
        <extend val="0"/>
        <outline val="0"/>
        <shadow val="0"/>
        <u val="none"/>
        <vertAlign val="baseline"/>
        <sz val="11"/>
        <color theme="0"/>
        <name val="Calibri"/>
        <family val="2"/>
        <scheme val="minor"/>
      </font>
      <fill>
        <patternFill patternType="none">
          <fgColor theme="4"/>
          <bgColor auto="1"/>
        </patternFill>
      </fill>
    </dxf>
    <dxf>
      <fill>
        <patternFill patternType="none">
          <bgColor auto="1"/>
        </patternFill>
      </fill>
    </dxf>
    <dxf>
      <numFmt numFmtId="1" formatCode="0"/>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border outline="0">
        <top style="thin">
          <color theme="4"/>
        </top>
      </border>
    </dxf>
    <dxf>
      <fill>
        <patternFill patternType="none">
          <bgColor auto="1"/>
        </patternFill>
      </fill>
    </dxf>
    <dxf>
      <font>
        <b/>
        <i val="0"/>
        <strike val="0"/>
        <condense val="0"/>
        <extend val="0"/>
        <outline val="0"/>
        <shadow val="0"/>
        <u val="none"/>
        <vertAlign val="baseline"/>
        <sz val="11"/>
        <color theme="0"/>
        <name val="Calibri"/>
        <family val="2"/>
        <scheme val="minor"/>
      </font>
      <fill>
        <patternFill patternType="none">
          <fgColor theme="4"/>
          <bgColor auto="1"/>
        </patternFill>
      </fill>
    </dxf>
    <dxf>
      <fill>
        <patternFill patternType="none">
          <bgColor auto="1"/>
        </patternFill>
      </fill>
    </dxf>
    <dxf>
      <numFmt numFmtId="1" formatCode="0"/>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border outline="0">
        <top style="thin">
          <color theme="4"/>
        </top>
      </border>
    </dxf>
    <dxf>
      <fill>
        <patternFill patternType="none">
          <bgColor auto="1"/>
        </patternFill>
      </fill>
    </dxf>
    <dxf>
      <font>
        <b/>
        <i val="0"/>
        <strike val="0"/>
        <condense val="0"/>
        <extend val="0"/>
        <outline val="0"/>
        <shadow val="0"/>
        <u val="none"/>
        <vertAlign val="baseline"/>
        <sz val="11"/>
        <color theme="0"/>
        <name val="Calibri"/>
        <family val="2"/>
        <scheme val="minor"/>
      </font>
      <fill>
        <patternFill patternType="none">
          <fgColor theme="4"/>
          <bgColor auto="1"/>
        </patternFill>
      </fill>
    </dxf>
    <dxf>
      <fill>
        <patternFill patternType="none">
          <bgColor auto="1"/>
        </patternFill>
      </fill>
    </dxf>
    <dxf>
      <numFmt numFmtId="1" formatCode="0"/>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border outline="0">
        <top style="thin">
          <color theme="4"/>
        </top>
      </border>
    </dxf>
    <dxf>
      <fill>
        <patternFill patternType="none">
          <bgColor auto="1"/>
        </patternFill>
      </fill>
    </dxf>
    <dxf>
      <font>
        <b/>
        <i val="0"/>
        <strike val="0"/>
        <condense val="0"/>
        <extend val="0"/>
        <outline val="0"/>
        <shadow val="0"/>
        <u val="none"/>
        <vertAlign val="baseline"/>
        <sz val="11"/>
        <color theme="0"/>
        <name val="Calibri"/>
        <family val="2"/>
        <scheme val="minor"/>
      </font>
      <fill>
        <patternFill patternType="none">
          <fgColor theme="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ont>
        <b/>
        <i val="0"/>
        <strike val="0"/>
        <condense val="0"/>
        <extend val="0"/>
        <outline val="0"/>
        <shadow val="0"/>
        <u val="none"/>
        <vertAlign val="baseline"/>
        <sz val="11"/>
        <color theme="0"/>
        <name val="Calibri"/>
        <family val="2"/>
        <scheme val="minor"/>
      </font>
      <fill>
        <patternFill patternType="none">
          <fgColor indexed="64"/>
          <bgColor auto="1"/>
        </patternFill>
      </fill>
    </dxf>
    <dxf>
      <fill>
        <patternFill patternType="none">
          <fgColor indexed="64"/>
          <bgColor auto="1"/>
        </patternFill>
      </fill>
    </dxf>
    <dxf>
      <numFmt numFmtId="1" formatCode="0"/>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ont>
        <b/>
        <i val="0"/>
        <strike val="0"/>
        <condense val="0"/>
        <extend val="0"/>
        <outline val="0"/>
        <shadow val="0"/>
        <u val="none"/>
        <vertAlign val="baseline"/>
        <sz val="11"/>
        <color theme="0"/>
        <name val="Calibri"/>
        <family val="2"/>
        <scheme val="minor"/>
      </font>
      <fill>
        <patternFill patternType="none">
          <fgColor indexed="64"/>
          <bgColor auto="1"/>
        </patternFill>
      </fill>
    </dxf>
    <dxf>
      <fill>
        <patternFill patternType="none">
          <fgColor indexed="64"/>
          <bgColor auto="1"/>
        </patternFill>
      </fill>
    </dxf>
    <dxf>
      <numFmt numFmtId="1" formatCode="0"/>
      <fill>
        <patternFill patternType="none">
          <fgColor indexed="64"/>
          <bgColor auto="1"/>
        </patternFill>
      </fill>
    </dxf>
    <dxf>
      <fill>
        <patternFill patternType="none">
          <fgColor indexed="64"/>
          <bgColor auto="1"/>
        </patternFill>
      </fill>
    </dxf>
    <dxf>
      <numFmt numFmtId="1" formatCode="0"/>
      <fill>
        <patternFill patternType="none">
          <fgColor indexed="64"/>
          <bgColor auto="1"/>
        </patternFill>
      </fill>
    </dxf>
    <dxf>
      <fill>
        <patternFill patternType="none">
          <fgColor indexed="64"/>
          <bgColor auto="1"/>
        </patternFill>
      </fill>
    </dxf>
    <dxf>
      <fill>
        <patternFill patternType="none">
          <fgColor indexed="64"/>
          <bgColor auto="1"/>
        </patternFill>
      </fill>
    </dxf>
    <dxf>
      <font>
        <b/>
        <i val="0"/>
        <strike val="0"/>
        <condense val="0"/>
        <extend val="0"/>
        <outline val="0"/>
        <shadow val="0"/>
        <u val="none"/>
        <vertAlign val="baseline"/>
        <sz val="11"/>
        <color theme="0"/>
        <name val="Calibri"/>
        <family val="2"/>
        <scheme val="minor"/>
      </font>
      <fill>
        <patternFill patternType="none">
          <fgColor indexed="64"/>
          <bgColor auto="1"/>
        </patternFill>
      </fill>
    </dxf>
    <dxf>
      <fill>
        <patternFill patternType="none">
          <fgColor indexed="64"/>
          <bgColor auto="1"/>
        </patternFill>
      </fill>
    </dxf>
    <dxf>
      <numFmt numFmtId="1" formatCode="0"/>
      <fill>
        <patternFill patternType="none">
          <fgColor indexed="64"/>
          <bgColor auto="1"/>
        </patternFill>
      </fill>
    </dxf>
    <dxf>
      <fill>
        <patternFill patternType="none">
          <fgColor indexed="64"/>
          <bgColor auto="1"/>
        </patternFill>
      </fill>
    </dxf>
    <dxf>
      <numFmt numFmtId="1" formatCode="0"/>
      <fill>
        <patternFill patternType="none">
          <fgColor indexed="64"/>
          <bgColor auto="1"/>
        </patternFill>
      </fill>
    </dxf>
    <dxf>
      <fill>
        <patternFill patternType="none">
          <fgColor indexed="64"/>
          <bgColor auto="1"/>
        </patternFill>
      </fill>
    </dxf>
    <dxf>
      <fill>
        <patternFill patternType="none">
          <fgColor indexed="64"/>
          <bgColor auto="1"/>
        </patternFill>
      </fill>
    </dxf>
    <dxf>
      <font>
        <b/>
        <i val="0"/>
        <strike val="0"/>
        <condense val="0"/>
        <extend val="0"/>
        <outline val="0"/>
        <shadow val="0"/>
        <u val="none"/>
        <vertAlign val="baseline"/>
        <sz val="11"/>
        <color theme="0"/>
        <name val="Calibri"/>
        <family val="2"/>
        <scheme val="minor"/>
      </font>
      <fill>
        <patternFill patternType="none">
          <fgColor indexed="64"/>
          <bgColor auto="1"/>
        </patternFill>
      </fill>
    </dxf>
    <dxf>
      <fill>
        <patternFill patternType="none">
          <fgColor indexed="64"/>
          <bgColor auto="1"/>
        </patternFill>
      </fill>
    </dxf>
    <dxf>
      <fill>
        <patternFill patternType="none">
          <fgColor indexed="64"/>
          <bgColor auto="1"/>
        </patternFill>
      </fill>
    </dxf>
    <dxf>
      <numFmt numFmtId="1" formatCode="0"/>
      <fill>
        <patternFill patternType="none">
          <fgColor indexed="64"/>
          <bgColor auto="1"/>
        </patternFill>
      </fill>
    </dxf>
    <dxf>
      <numFmt numFmtId="1" formatCode="0"/>
      <fill>
        <patternFill patternType="none">
          <fgColor indexed="64"/>
          <bgColor auto="1"/>
        </patternFill>
      </fill>
    </dxf>
    <dxf>
      <fill>
        <patternFill patternType="none">
          <fgColor indexed="64"/>
          <bgColor auto="1"/>
        </patternFill>
      </fill>
    </dxf>
    <dxf>
      <fill>
        <patternFill patternType="none">
          <fgColor indexed="64"/>
          <bgColor auto="1"/>
        </patternFill>
      </fill>
    </dxf>
    <dxf>
      <font>
        <b/>
        <i val="0"/>
        <strike val="0"/>
        <condense val="0"/>
        <extend val="0"/>
        <outline val="0"/>
        <shadow val="0"/>
        <u val="none"/>
        <vertAlign val="baseline"/>
        <sz val="11"/>
        <color theme="0"/>
        <name val="Calibri"/>
        <family val="2"/>
        <scheme val="minor"/>
      </font>
      <fill>
        <patternFill patternType="none">
          <fgColor indexed="64"/>
          <bgColor auto="1"/>
        </patternFill>
      </fill>
    </dxf>
    <dxf>
      <fill>
        <patternFill patternType="none">
          <fgColor indexed="64"/>
          <bgColor auto="1"/>
        </patternFill>
      </fill>
    </dxf>
    <dxf>
      <numFmt numFmtId="1" formatCode="0"/>
      <fill>
        <patternFill patternType="none">
          <fgColor indexed="64"/>
          <bgColor auto="1"/>
        </patternFill>
      </fill>
    </dxf>
    <dxf>
      <numFmt numFmtId="1" formatCode="0"/>
      <fill>
        <patternFill patternType="none">
          <fgColor indexed="64"/>
          <bgColor auto="1"/>
        </patternFill>
      </fill>
    </dxf>
    <dxf>
      <numFmt numFmtId="1" formatCode="0"/>
      <fill>
        <patternFill patternType="none">
          <fgColor indexed="64"/>
          <bgColor auto="1"/>
        </patternFill>
      </fill>
    </dxf>
    <dxf>
      <fill>
        <patternFill patternType="none">
          <fgColor indexed="64"/>
          <bgColor auto="1"/>
        </patternFill>
      </fill>
    </dxf>
    <dxf>
      <fill>
        <patternFill patternType="none">
          <fgColor indexed="64"/>
          <bgColor auto="1"/>
        </patternFill>
      </fill>
    </dxf>
    <dxf>
      <font>
        <b/>
        <i val="0"/>
        <strike val="0"/>
        <condense val="0"/>
        <extend val="0"/>
        <outline val="0"/>
        <shadow val="0"/>
        <u val="none"/>
        <vertAlign val="baseline"/>
        <sz val="11"/>
        <color theme="0"/>
        <name val="Calibri"/>
        <family val="2"/>
        <scheme val="minor"/>
      </font>
      <fill>
        <patternFill patternType="none">
          <fgColor indexed="64"/>
          <bgColor auto="1"/>
        </patternFill>
      </fill>
    </dxf>
    <dxf>
      <fill>
        <patternFill patternType="none">
          <fgColor indexed="64"/>
          <bgColor auto="1"/>
        </patternFill>
      </fill>
    </dxf>
    <dxf>
      <numFmt numFmtId="1" formatCode="0"/>
      <fill>
        <patternFill patternType="none">
          <fgColor indexed="64"/>
          <bgColor auto="1"/>
        </patternFill>
      </fill>
    </dxf>
    <dxf>
      <fill>
        <patternFill patternType="none">
          <fgColor indexed="64"/>
          <bgColor auto="1"/>
        </patternFill>
      </fill>
    </dxf>
    <dxf>
      <numFmt numFmtId="1" formatCode="0"/>
      <fill>
        <patternFill patternType="none">
          <fgColor indexed="64"/>
          <bgColor auto="1"/>
        </patternFill>
      </fill>
    </dxf>
    <dxf>
      <fill>
        <patternFill patternType="none">
          <fgColor indexed="64"/>
          <bgColor auto="1"/>
        </patternFill>
      </fill>
    </dxf>
    <dxf>
      <fill>
        <patternFill patternType="none">
          <fgColor indexed="64"/>
          <bgColor auto="1"/>
        </patternFill>
      </fill>
    </dxf>
    <dxf>
      <font>
        <b/>
        <i val="0"/>
        <strike val="0"/>
        <condense val="0"/>
        <extend val="0"/>
        <outline val="0"/>
        <shadow val="0"/>
        <u val="none"/>
        <vertAlign val="baseline"/>
        <sz val="11"/>
        <color theme="0"/>
        <name val="Calibri"/>
        <family val="2"/>
        <scheme val="minor"/>
      </font>
      <fill>
        <patternFill patternType="none">
          <fgColor indexed="64"/>
          <bgColor auto="1"/>
        </patternFill>
      </fill>
    </dxf>
    <dxf>
      <fill>
        <patternFill patternType="none">
          <fgColor indexed="64"/>
          <bgColor auto="1"/>
        </patternFill>
      </fill>
    </dxf>
    <dxf>
      <numFmt numFmtId="1" formatCode="0"/>
      <fill>
        <patternFill patternType="none">
          <fgColor indexed="64"/>
          <bgColor auto="1"/>
        </patternFill>
      </fill>
    </dxf>
    <dxf>
      <fill>
        <patternFill patternType="none">
          <fgColor indexed="64"/>
          <bgColor auto="1"/>
        </patternFill>
      </fill>
    </dxf>
    <dxf>
      <numFmt numFmtId="1" formatCode="0"/>
      <fill>
        <patternFill patternType="none">
          <fgColor indexed="64"/>
          <bgColor auto="1"/>
        </patternFill>
      </fill>
    </dxf>
    <dxf>
      <fill>
        <patternFill patternType="none">
          <fgColor indexed="64"/>
          <bgColor auto="1"/>
        </patternFill>
      </fill>
    </dxf>
    <dxf>
      <fill>
        <patternFill patternType="none">
          <fgColor indexed="64"/>
          <bgColor auto="1"/>
        </patternFill>
      </fill>
    </dxf>
    <dxf>
      <font>
        <b/>
        <i val="0"/>
        <strike val="0"/>
        <condense val="0"/>
        <extend val="0"/>
        <outline val="0"/>
        <shadow val="0"/>
        <u val="none"/>
        <vertAlign val="baseline"/>
        <sz val="11"/>
        <color theme="0"/>
        <name val="Calibri"/>
        <family val="2"/>
        <scheme val="minor"/>
      </font>
      <fill>
        <patternFill patternType="none">
          <fgColor indexed="64"/>
          <bgColor auto="1"/>
        </patternFill>
      </fill>
    </dxf>
    <dxf>
      <fill>
        <patternFill patternType="none">
          <fgColor indexed="64"/>
          <bgColor auto="1"/>
        </patternFill>
      </fill>
    </dxf>
    <dxf>
      <font>
        <b val="0"/>
        <i val="0"/>
        <strike val="0"/>
        <condense val="0"/>
        <extend val="0"/>
        <outline val="0"/>
        <shadow val="0"/>
        <u val="none"/>
        <vertAlign val="baseline"/>
        <sz val="11"/>
        <color theme="1"/>
        <name val="Calibri"/>
        <family val="2"/>
        <scheme val="minor"/>
      </font>
      <numFmt numFmtId="1" formatCode="0"/>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numFmt numFmtId="1" formatCode="0"/>
      <fill>
        <patternFill patternType="none">
          <fgColor indexed="64"/>
          <bgColor auto="1"/>
        </patternFill>
      </fill>
      <alignment horizontal="center" vertical="bottom" textRotation="0" wrapText="0" indent="0" justifyLastLine="0" shrinkToFit="0" readingOrder="0"/>
    </dxf>
    <dxf>
      <fill>
        <patternFill patternType="none">
          <fgColor indexed="64"/>
          <bgColor auto="1"/>
        </patternFill>
      </fill>
      <alignment horizontal="center" vertical="bottom" textRotation="0" wrapText="0" indent="0" justifyLastLine="0" shrinkToFit="0" readingOrder="0"/>
    </dxf>
    <dxf>
      <fill>
        <patternFill patternType="none">
          <fgColor indexed="64"/>
          <bgColor auto="1"/>
        </patternFill>
      </fill>
    </dxf>
    <dxf>
      <font>
        <b/>
        <i val="0"/>
        <strike val="0"/>
        <condense val="0"/>
        <extend val="0"/>
        <outline val="0"/>
        <shadow val="0"/>
        <u val="none"/>
        <vertAlign val="baseline"/>
        <sz val="11"/>
        <color theme="0"/>
        <name val="Calibri"/>
        <family val="2"/>
        <scheme val="minor"/>
      </font>
      <fill>
        <patternFill patternType="none">
          <fgColor indexed="64"/>
          <bgColor auto="1"/>
        </patternFill>
      </fill>
      <alignment horizontal="center" vertical="bottom" textRotation="0" wrapText="0" indent="0" justifyLastLine="0" shrinkToFit="0" readingOrder="0"/>
    </dxf>
    <dxf>
      <fill>
        <patternFill patternType="none">
          <fgColor indexed="64"/>
          <bgColor auto="1"/>
        </patternFill>
      </fill>
    </dxf>
    <dxf>
      <font>
        <b val="0"/>
        <i val="0"/>
        <strike val="0"/>
        <condense val="0"/>
        <extend val="0"/>
        <outline val="0"/>
        <shadow val="0"/>
        <u val="none"/>
        <vertAlign val="baseline"/>
        <sz val="11"/>
        <color theme="1"/>
        <name val="Calibri"/>
        <family val="2"/>
        <scheme val="minor"/>
      </font>
      <numFmt numFmtId="1" formatCode="0"/>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numFmt numFmtId="1" formatCode="0"/>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fill>
        <patternFill patternType="none">
          <fgColor indexed="64"/>
          <bgColor auto="1"/>
        </patternFill>
      </fill>
      <alignment horizontal="center" vertical="bottom" textRotation="0" wrapText="0" indent="0" justifyLastLine="0" shrinkToFit="0" readingOrder="0"/>
    </dxf>
    <dxf>
      <fill>
        <patternFill patternType="none">
          <fgColor indexed="64"/>
          <bgColor auto="1"/>
        </patternFill>
      </fill>
    </dxf>
    <dxf>
      <font>
        <b/>
        <i val="0"/>
        <strike val="0"/>
        <condense val="0"/>
        <extend val="0"/>
        <outline val="0"/>
        <shadow val="0"/>
        <u val="none"/>
        <vertAlign val="baseline"/>
        <sz val="11"/>
        <color theme="0"/>
        <name val="Calibri"/>
        <family val="2"/>
        <scheme val="minor"/>
      </font>
      <fill>
        <patternFill patternType="none">
          <fgColor indexed="64"/>
          <bgColor auto="1"/>
        </patternFill>
      </fill>
      <alignment horizontal="center" vertical="bottom" textRotation="0" wrapText="0" indent="0" justifyLastLine="0" shrinkToFit="0" readingOrder="0"/>
    </dxf>
    <dxf>
      <fill>
        <patternFill patternType="none">
          <fgColor indexed="64"/>
          <bgColor auto="1"/>
        </patternFill>
      </fill>
    </dxf>
    <dxf>
      <font>
        <b val="0"/>
        <i val="0"/>
        <strike val="0"/>
        <condense val="0"/>
        <extend val="0"/>
        <outline val="0"/>
        <shadow val="0"/>
        <u val="none"/>
        <vertAlign val="baseline"/>
        <sz val="11"/>
        <color theme="1"/>
        <name val="Calibri"/>
        <family val="2"/>
        <scheme val="minor"/>
      </font>
      <numFmt numFmtId="1" formatCode="0"/>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numFmt numFmtId="1" formatCode="0"/>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fill>
        <patternFill patternType="none">
          <fgColor indexed="64"/>
          <bgColor auto="1"/>
        </patternFill>
      </fill>
      <alignment horizontal="center" vertical="bottom" textRotation="0" wrapText="0" indent="0" justifyLastLine="0" shrinkToFit="0" readingOrder="0"/>
    </dxf>
    <dxf>
      <fill>
        <patternFill patternType="none">
          <fgColor indexed="64"/>
          <bgColor auto="1"/>
        </patternFill>
      </fill>
    </dxf>
    <dxf>
      <font>
        <b/>
        <i val="0"/>
        <strike val="0"/>
        <condense val="0"/>
        <extend val="0"/>
        <outline val="0"/>
        <shadow val="0"/>
        <u val="none"/>
        <vertAlign val="baseline"/>
        <sz val="11"/>
        <color theme="0"/>
        <name val="Calibri"/>
        <family val="2"/>
        <scheme val="minor"/>
      </font>
      <fill>
        <patternFill patternType="none">
          <fgColor indexed="64"/>
          <bgColor auto="1"/>
        </patternFill>
      </fill>
      <alignment horizontal="center" vertical="bottom" textRotation="0" wrapText="0" indent="0" justifyLastLine="0" shrinkToFit="0" readingOrder="0"/>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ont>
        <b val="0"/>
        <i val="0"/>
        <strike val="0"/>
        <condense val="0"/>
        <extend val="0"/>
        <outline val="0"/>
        <shadow val="0"/>
        <u val="none"/>
        <vertAlign val="baseline"/>
        <sz val="11"/>
        <color theme="1"/>
        <name val="Calibri"/>
        <family val="2"/>
        <scheme val="minor"/>
      </font>
      <fill>
        <patternFill patternType="solid">
          <fgColor theme="5" tint="0.79998168889431442"/>
          <bgColor theme="5" tint="0.79998168889431442"/>
        </patternFill>
      </fill>
      <border diagonalUp="0" diagonalDown="0">
        <left/>
        <right style="thin">
          <color theme="5" tint="0.39997558519241921"/>
        </right>
        <top style="thin">
          <color theme="5" tint="0.39997558519241921"/>
        </top>
        <bottom style="thin">
          <color theme="5" tint="0.39997558519241921"/>
        </bottom>
        <vertical/>
        <horizontal/>
      </border>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bgColor auto="1"/>
        </patternFill>
      </fill>
    </dxf>
    <dxf>
      <fill>
        <patternFill patternType="none">
          <bgColor auto="1"/>
        </patternFill>
      </fill>
    </dxf>
    <dxf>
      <font>
        <b val="0"/>
        <i val="0"/>
        <strike val="0"/>
        <condense val="0"/>
        <extend val="0"/>
        <outline val="0"/>
        <shadow val="0"/>
        <u val="none"/>
        <vertAlign val="baseline"/>
        <sz val="11"/>
        <color theme="1"/>
        <name val="Calibri"/>
        <family val="2"/>
        <scheme val="minor"/>
      </font>
      <fill>
        <patternFill patternType="solid">
          <fgColor theme="5" tint="0.79998168889431442"/>
          <bgColor theme="5" tint="0.79998168889431442"/>
        </patternFill>
      </fill>
      <border diagonalUp="0" diagonalDown="0">
        <left/>
        <right style="thin">
          <color theme="5" tint="0.39997558519241921"/>
        </right>
        <top style="thin">
          <color theme="5" tint="0.39997558519241921"/>
        </top>
        <bottom style="thin">
          <color theme="5" tint="0.39997558519241921"/>
        </bottom>
        <vertical/>
        <horizontal/>
      </border>
    </dxf>
    <dxf>
      <font>
        <b val="0"/>
        <i val="0"/>
        <strike val="0"/>
        <condense val="0"/>
        <extend val="0"/>
        <outline val="0"/>
        <shadow val="0"/>
        <u val="none"/>
        <vertAlign val="baseline"/>
        <sz val="12"/>
        <color theme="1"/>
        <name val="Calibri"/>
        <family val="2"/>
        <scheme val="minor"/>
      </font>
      <numFmt numFmtId="170" formatCode="#,##0.00\ &quot;€&quot;"/>
      <alignment horizontal="right" vertical="bottom" textRotation="0" wrapText="0" indent="0" justifyLastLine="0" shrinkToFit="0" readingOrder="0"/>
    </dxf>
    <dxf>
      <numFmt numFmtId="34" formatCode="_ * #,##0.00_)\ &quot;€&quot;_ ;_ * \(#,##0.00\)\ &quot;€&quot;_ ;_ * &quot;-&quot;??_)\ &quot;€&quot;_ ;_ @_ "/>
    </dxf>
    <dxf>
      <font>
        <b val="0"/>
        <i val="0"/>
        <strike val="0"/>
        <condense val="0"/>
        <extend val="0"/>
        <outline val="0"/>
        <shadow val="0"/>
        <u val="none"/>
        <vertAlign val="baseline"/>
        <sz val="12"/>
        <color theme="1"/>
        <name val="Calibri"/>
        <family val="2"/>
        <scheme val="minor"/>
      </font>
      <numFmt numFmtId="170" formatCode="#,##0.00\ &quot;€&quot;"/>
      <alignment horizontal="right" vertical="bottom" textRotation="0" wrapText="0" indent="0" justifyLastLine="0" shrinkToFit="0" readingOrder="0"/>
    </dxf>
    <dxf>
      <font>
        <b val="0"/>
        <i val="0"/>
        <strike val="0"/>
        <condense val="0"/>
        <extend val="0"/>
        <outline val="0"/>
        <shadow val="0"/>
        <u val="none"/>
        <vertAlign val="baseline"/>
        <sz val="12"/>
        <color theme="1"/>
        <name val="Calibri"/>
        <family val="2"/>
        <scheme val="minor"/>
      </font>
      <numFmt numFmtId="170" formatCode="#,##0.00\ &quot;€&quot;"/>
      <alignment horizontal="right" vertical="bottom" textRotation="0" wrapText="0" indent="0" justifyLastLine="0" shrinkToFit="0" readingOrder="0"/>
    </dxf>
    <dxf>
      <numFmt numFmtId="34" formatCode="_ * #,##0.00_)\ &quot;€&quot;_ ;_ * \(#,##0.00\)\ &quot;€&quot;_ ;_ * &quot;-&quot;??_)\ &quot;€&quot;_ ;_ @_ "/>
    </dxf>
    <dxf>
      <font>
        <b val="0"/>
        <i val="0"/>
        <strike val="0"/>
        <condense val="0"/>
        <extend val="0"/>
        <outline val="0"/>
        <shadow val="0"/>
        <u val="none"/>
        <vertAlign val="baseline"/>
        <sz val="12"/>
        <color theme="1"/>
        <name val="Calibri"/>
        <family val="2"/>
        <scheme val="minor"/>
      </font>
      <numFmt numFmtId="170" formatCode="#,##0.00\ &quot;€&quot;"/>
      <alignment horizontal="right" vertical="bottom" textRotation="0" wrapText="0" indent="0" justifyLastLine="0" shrinkToFit="0" readingOrder="0"/>
    </dxf>
    <dxf>
      <alignment horizontal="center" vertical="bottom" textRotation="0" wrapText="0" indent="0" justifyLastLine="0" shrinkToFit="0" readingOrder="0"/>
    </dxf>
    <dxf>
      <font>
        <b val="0"/>
        <i val="0"/>
        <strike val="0"/>
        <condense val="0"/>
        <extend val="0"/>
        <outline val="0"/>
        <shadow val="0"/>
        <u val="none"/>
        <vertAlign val="baseline"/>
        <sz val="12"/>
        <color theme="1"/>
        <name val="Calibri"/>
        <family val="2"/>
        <scheme val="minor"/>
      </font>
      <alignment horizontal="right" vertical="bottom" textRotation="0" wrapText="0" indent="0" justifyLastLine="0" shrinkToFit="0" readingOrder="0"/>
    </dxf>
    <dxf>
      <alignment horizontal="center" vertical="bottom" textRotation="0" wrapText="0" indent="0" justifyLastLine="0" shrinkToFit="0" readingOrder="0"/>
    </dxf>
    <dxf>
      <numFmt numFmtId="14" formatCode="0.00%"/>
      <alignment horizontal="center" vertical="bottom" textRotation="0" wrapText="0" indent="0" justifyLastLine="0" shrinkToFit="0" readingOrder="0"/>
    </dxf>
    <dxf>
      <alignment horizontal="center" vertical="bottom" textRotation="0" wrapText="0" indent="0" justifyLastLine="0" shrinkToFit="0" readingOrder="0"/>
    </dxf>
    <dxf>
      <alignment horizontal="left" vertical="bottom" textRotation="0" wrapText="0" indent="0" justifyLastLine="0" shrinkToFit="0" readingOrder="0"/>
    </dxf>
    <dxf>
      <numFmt numFmtId="3" formatCode="#,##0"/>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alignment horizontal="center" vertical="bottom" textRotation="0" wrapText="0" indent="0" justifyLastLine="0" shrinkToFit="0" readingOrder="0"/>
    </dxf>
    <dxf>
      <alignment horizontal="left" vertical="bottom" textRotation="0" wrapText="0" indent="0" justifyLastLine="0" shrinkToFit="0" readingOrder="0"/>
    </dxf>
    <dxf>
      <font>
        <b val="0"/>
        <i val="0"/>
        <strike val="0"/>
        <condense val="0"/>
        <extend val="0"/>
        <outline val="0"/>
        <shadow val="0"/>
        <u val="none"/>
        <vertAlign val="baseline"/>
        <sz val="12"/>
        <color theme="1"/>
        <name val="Calibri"/>
        <family val="2"/>
        <scheme val="minor"/>
      </font>
      <numFmt numFmtId="167" formatCode="#,##0.0"/>
      <alignment horizontal="center" vertical="bottom" textRotation="0" wrapText="0" indent="0" justifyLastLine="0" shrinkToFit="0" readingOrder="0"/>
    </dxf>
    <dxf>
      <font>
        <strike val="0"/>
        <outline val="0"/>
        <shadow val="0"/>
        <u val="none"/>
        <vertAlign val="baseline"/>
        <sz val="12"/>
        <color theme="1"/>
        <name val="Calibri"/>
        <family val="2"/>
        <scheme val="minor"/>
      </font>
      <numFmt numFmtId="167" formatCode="#,##0.0"/>
      <alignment horizontal="center" vertical="bottom" textRotation="0" wrapText="0" indent="0" justifyLastLine="0" shrinkToFit="0" readingOrder="0"/>
    </dxf>
    <dxf>
      <font>
        <strike val="0"/>
        <outline val="0"/>
        <shadow val="0"/>
        <u val="none"/>
        <vertAlign val="baseline"/>
        <sz val="12"/>
        <color theme="1"/>
        <name val="Calibri"/>
        <family val="2"/>
        <scheme val="minor"/>
      </font>
      <numFmt numFmtId="3" formatCode="#,##0"/>
      <alignment horizontal="center" vertical="bottom" textRotation="0" wrapText="0" indent="0" justifyLastLine="0" shrinkToFit="0" readingOrder="0"/>
    </dxf>
    <dxf>
      <font>
        <strike val="0"/>
        <outline val="0"/>
        <shadow val="0"/>
        <u val="none"/>
        <vertAlign val="baseline"/>
        <sz val="12"/>
        <color rgb="FFC00000"/>
        <name val="Calibri"/>
        <family val="2"/>
        <scheme val="minor"/>
      </font>
      <numFmt numFmtId="3" formatCode="#,##0"/>
      <alignment horizontal="center" vertical="center" textRotation="0" wrapText="0" indent="0" justifyLastLine="0" shrinkToFit="0" readingOrder="0"/>
    </dxf>
    <dxf>
      <font>
        <strike val="0"/>
        <outline val="0"/>
        <shadow val="0"/>
        <u val="none"/>
        <vertAlign val="baseline"/>
        <sz val="12"/>
        <color rgb="FFC00000"/>
        <name val="Calibri"/>
        <family val="2"/>
        <scheme val="minor"/>
      </font>
      <numFmt numFmtId="3" formatCode="#,##0"/>
      <alignment horizontal="center" vertical="center" textRotation="0" wrapText="0" indent="0" justifyLastLine="0" shrinkToFit="0" readingOrder="0"/>
    </dxf>
    <dxf>
      <font>
        <strike val="0"/>
        <outline val="0"/>
        <shadow val="0"/>
        <u val="none"/>
        <vertAlign val="baseline"/>
        <sz val="12"/>
        <color rgb="FFC00000"/>
        <name val="Calibri"/>
        <family val="2"/>
        <scheme val="minor"/>
      </font>
      <numFmt numFmtId="3" formatCode="#,##0"/>
      <alignment horizontal="center" vertical="center" textRotation="0" wrapText="0" indent="0" justifyLastLine="0" shrinkToFit="0" readingOrder="0"/>
    </dxf>
    <dxf>
      <numFmt numFmtId="3" formatCode="#,##0"/>
      <alignment horizontal="center" vertical="center" textRotation="0" wrapText="0" indent="0" justifyLastLine="0" shrinkToFit="0" readingOrder="0"/>
    </dxf>
    <dxf>
      <numFmt numFmtId="3" formatCode="#,##0"/>
      <alignment horizontal="center" vertical="center" textRotation="0" wrapText="0" indent="0" justifyLastLine="0" shrinkToFit="0" readingOrder="0"/>
    </dxf>
    <dxf>
      <alignment horizontal="center" vertical="center" textRotation="0" wrapText="0" indent="0" justifyLastLine="0" shrinkToFit="0" readingOrder="0"/>
    </dxf>
    <dxf>
      <numFmt numFmtId="164" formatCode="0.0%"/>
    </dxf>
    <dxf>
      <font>
        <strike val="0"/>
        <outline val="0"/>
        <shadow val="0"/>
        <u val="none"/>
        <vertAlign val="baseline"/>
        <sz val="12"/>
        <color rgb="FFC00000"/>
        <name val="Calibri"/>
        <family val="2"/>
        <scheme val="minor"/>
      </font>
      <numFmt numFmtId="3" formatCode="#,##0"/>
    </dxf>
    <dxf>
      <numFmt numFmtId="3" formatCode="#,##0"/>
    </dxf>
    <dxf>
      <font>
        <b val="0"/>
        <i val="0"/>
        <strike val="0"/>
        <condense val="0"/>
        <extend val="0"/>
        <outline val="0"/>
        <shadow val="0"/>
        <u val="none"/>
        <vertAlign val="baseline"/>
        <sz val="12"/>
        <color theme="1"/>
        <name val="Calibri"/>
        <family val="2"/>
        <scheme val="minor"/>
      </font>
    </dxf>
    <dxf>
      <numFmt numFmtId="13" formatCode="0%"/>
    </dxf>
    <dxf>
      <numFmt numFmtId="3" formatCode="#,##0"/>
    </dxf>
    <dxf>
      <numFmt numFmtId="3" formatCode="#,##0"/>
    </dxf>
    <dxf>
      <numFmt numFmtId="0" formatCode="General"/>
      <fill>
        <patternFill patternType="none">
          <fgColor indexed="64"/>
          <bgColor indexed="65"/>
        </patternFill>
      </fill>
    </dxf>
    <dxf>
      <font>
        <strike val="0"/>
        <outline val="0"/>
        <shadow val="0"/>
        <u val="none"/>
        <vertAlign val="baseline"/>
        <sz val="12"/>
        <color rgb="FFC00000"/>
        <name val="Calibri"/>
        <family val="2"/>
        <scheme val="minor"/>
      </font>
      <numFmt numFmtId="3" formatCode="#,##0"/>
    </dxf>
    <dxf>
      <numFmt numFmtId="3" formatCode="#,##0"/>
    </dxf>
    <dxf>
      <font>
        <b val="0"/>
        <i val="0"/>
        <strike val="0"/>
        <condense val="0"/>
        <extend val="0"/>
        <outline val="0"/>
        <shadow val="0"/>
        <u val="none"/>
        <vertAlign val="baseline"/>
        <sz val="12"/>
        <color theme="1"/>
        <name val="Calibri"/>
        <family val="2"/>
        <scheme val="minor"/>
      </font>
    </dxf>
    <dxf>
      <numFmt numFmtId="13" formatCode="0%"/>
    </dxf>
    <dxf>
      <numFmt numFmtId="3" formatCode="#,##0"/>
    </dxf>
    <dxf>
      <numFmt numFmtId="3" formatCode="#,##0"/>
    </dxf>
    <dxf>
      <numFmt numFmtId="0" formatCode="General"/>
      <fill>
        <patternFill patternType="none">
          <fgColor indexed="64"/>
          <bgColor indexed="65"/>
        </patternFill>
      </fill>
    </dxf>
    <dxf>
      <font>
        <strike val="0"/>
        <outline val="0"/>
        <shadow val="0"/>
        <u val="none"/>
        <vertAlign val="baseline"/>
        <sz val="12"/>
        <color rgb="FFC00000"/>
        <name val="Calibri"/>
        <family val="2"/>
        <scheme val="minor"/>
      </font>
      <numFmt numFmtId="3" formatCode="#,##0"/>
    </dxf>
    <dxf>
      <numFmt numFmtId="3" formatCode="#,##0"/>
    </dxf>
    <dxf>
      <font>
        <b val="0"/>
        <i val="0"/>
        <strike val="0"/>
        <condense val="0"/>
        <extend val="0"/>
        <outline val="0"/>
        <shadow val="0"/>
        <u val="none"/>
        <vertAlign val="baseline"/>
        <sz val="12"/>
        <color theme="1"/>
        <name val="Calibri"/>
        <family val="2"/>
        <scheme val="minor"/>
      </font>
      <numFmt numFmtId="3" formatCode="#,##0"/>
    </dxf>
    <dxf>
      <numFmt numFmtId="13" formatCode="0%"/>
    </dxf>
    <dxf>
      <numFmt numFmtId="3" formatCode="#,##0"/>
    </dxf>
    <dxf>
      <numFmt numFmtId="3" formatCode="#,##0"/>
    </dxf>
    <dxf>
      <numFmt numFmtId="0" formatCode="General"/>
      <fill>
        <patternFill patternType="none">
          <fgColor indexed="64"/>
          <bgColor indexed="65"/>
        </patternFill>
      </fill>
    </dxf>
    <dxf>
      <font>
        <strike val="0"/>
        <outline val="0"/>
        <shadow val="0"/>
        <u val="none"/>
        <vertAlign val="baseline"/>
        <sz val="12"/>
        <color rgb="FFC00000"/>
        <name val="Calibri"/>
        <family val="2"/>
        <scheme val="minor"/>
      </font>
      <numFmt numFmtId="3" formatCode="#,##0"/>
    </dxf>
    <dxf>
      <numFmt numFmtId="3" formatCode="#,##0"/>
    </dxf>
    <dxf>
      <font>
        <b val="0"/>
        <i val="0"/>
        <strike val="0"/>
        <condense val="0"/>
        <extend val="0"/>
        <outline val="0"/>
        <shadow val="0"/>
        <u val="none"/>
        <vertAlign val="baseline"/>
        <sz val="12"/>
        <color theme="1"/>
        <name val="Calibri"/>
        <family val="2"/>
        <scheme val="minor"/>
      </font>
      <numFmt numFmtId="3" formatCode="#,##0"/>
    </dxf>
    <dxf>
      <numFmt numFmtId="13" formatCode="0%"/>
    </dxf>
    <dxf>
      <numFmt numFmtId="3" formatCode="#,##0"/>
    </dxf>
    <dxf>
      <numFmt numFmtId="3" formatCode="#,##0"/>
    </dxf>
    <dxf>
      <numFmt numFmtId="0" formatCode="General"/>
      <fill>
        <patternFill patternType="none">
          <fgColor indexed="64"/>
          <bgColor indexed="65"/>
        </patternFill>
      </fill>
    </dxf>
    <dxf>
      <font>
        <strike val="0"/>
        <outline val="0"/>
        <shadow val="0"/>
        <u val="none"/>
        <vertAlign val="baseline"/>
        <sz val="12"/>
        <color rgb="FFC00000"/>
        <name val="Calibri"/>
        <family val="2"/>
        <scheme val="minor"/>
      </font>
    </dxf>
    <dxf>
      <font>
        <b val="0"/>
        <i val="0"/>
        <strike val="0"/>
        <condense val="0"/>
        <extend val="0"/>
        <outline val="0"/>
        <shadow val="0"/>
        <u val="none"/>
        <vertAlign val="baseline"/>
        <sz val="12"/>
        <color theme="1"/>
        <name val="Calibri"/>
        <family val="2"/>
        <scheme val="minor"/>
      </font>
      <numFmt numFmtId="3" formatCode="#,##0"/>
    </dxf>
    <dxf>
      <numFmt numFmtId="3" formatCode="#,##0"/>
    </dxf>
    <dxf>
      <numFmt numFmtId="3" formatCode="#,##0"/>
    </dxf>
    <dxf>
      <fill>
        <patternFill patternType="none">
          <fgColor indexed="64"/>
          <bgColor indexed="65"/>
        </patternFill>
      </fill>
    </dxf>
    <dxf>
      <font>
        <strike val="0"/>
        <outline val="0"/>
        <shadow val="0"/>
        <u val="none"/>
        <vertAlign val="baseline"/>
        <sz val="12"/>
        <color rgb="FFC00000"/>
        <name val="Calibri"/>
        <family val="2"/>
        <scheme val="minor"/>
      </font>
    </dxf>
    <dxf>
      <font>
        <b val="0"/>
        <i val="0"/>
        <strike val="0"/>
        <condense val="0"/>
        <extend val="0"/>
        <outline val="0"/>
        <shadow val="0"/>
        <u val="none"/>
        <vertAlign val="baseline"/>
        <sz val="12"/>
        <color theme="1"/>
        <name val="Calibri"/>
        <family val="2"/>
        <scheme val="minor"/>
      </font>
      <numFmt numFmtId="3" formatCode="#,##0"/>
    </dxf>
    <dxf>
      <numFmt numFmtId="3" formatCode="#,##0"/>
    </dxf>
    <dxf>
      <numFmt numFmtId="3" formatCode="#,##0"/>
    </dxf>
    <dxf>
      <fill>
        <patternFill patternType="none">
          <fgColor indexed="64"/>
          <bgColor indexed="65"/>
        </patternFill>
      </fill>
    </dxf>
    <dxf>
      <font>
        <strike val="0"/>
        <outline val="0"/>
        <shadow val="0"/>
        <u val="none"/>
        <vertAlign val="baseline"/>
        <sz val="12"/>
        <color rgb="FFC00000"/>
        <name val="Calibri"/>
        <family val="2"/>
        <scheme val="minor"/>
      </font>
      <numFmt numFmtId="3" formatCode="#,##0"/>
    </dxf>
    <dxf>
      <numFmt numFmtId="3" formatCode="#,##0"/>
    </dxf>
    <dxf>
      <font>
        <b val="0"/>
        <i val="0"/>
        <strike val="0"/>
        <condense val="0"/>
        <extend val="0"/>
        <outline val="0"/>
        <shadow val="0"/>
        <u val="none"/>
        <vertAlign val="baseline"/>
        <sz val="12"/>
        <color theme="1"/>
        <name val="Calibri"/>
        <family val="2"/>
        <scheme val="minor"/>
      </font>
      <numFmt numFmtId="3" formatCode="#,##0"/>
    </dxf>
    <dxf>
      <numFmt numFmtId="3" formatCode="#,##0"/>
    </dxf>
    <dxf>
      <numFmt numFmtId="3" formatCode="#,##0"/>
    </dxf>
    <dxf>
      <fill>
        <patternFill patternType="none">
          <fgColor indexed="64"/>
          <bgColor indexed="65"/>
        </patternFill>
      </fill>
    </dxf>
    <dxf>
      <font>
        <strike val="0"/>
        <outline val="0"/>
        <shadow val="0"/>
        <u val="none"/>
        <vertAlign val="baseline"/>
        <sz val="12"/>
        <color rgb="FFC00000"/>
        <name val="Calibri"/>
        <family val="2"/>
        <scheme val="minor"/>
      </font>
      <numFmt numFmtId="3" formatCode="#,##0"/>
    </dxf>
    <dxf>
      <numFmt numFmtId="3" formatCode="#,##0"/>
    </dxf>
    <dxf>
      <font>
        <b val="0"/>
        <i val="0"/>
        <strike val="0"/>
        <condense val="0"/>
        <extend val="0"/>
        <outline val="0"/>
        <shadow val="0"/>
        <u val="none"/>
        <vertAlign val="baseline"/>
        <sz val="12"/>
        <color theme="1"/>
        <name val="Calibri"/>
        <family val="2"/>
        <scheme val="minor"/>
      </font>
      <numFmt numFmtId="3" formatCode="#,##0"/>
    </dxf>
    <dxf>
      <numFmt numFmtId="3" formatCode="#,##0"/>
    </dxf>
    <dxf>
      <numFmt numFmtId="3" formatCode="#,##0"/>
    </dxf>
    <dxf>
      <fill>
        <patternFill patternType="none">
          <fgColor indexed="64"/>
          <bgColor indexed="65"/>
        </patternFill>
      </fill>
    </dxf>
    <dxf>
      <numFmt numFmtId="3" formatCode="#,##0"/>
      <alignment horizontal="center" vertical="center" textRotation="0" wrapText="0" indent="0" justifyLastLine="0" shrinkToFit="0" readingOrder="0"/>
    </dxf>
    <dxf>
      <numFmt numFmtId="3" formatCode="#,##0"/>
      <alignment horizontal="center" vertical="center" textRotation="0" wrapText="0" indent="0" justifyLastLine="0" shrinkToFit="0" readingOrder="0"/>
    </dxf>
    <dxf>
      <numFmt numFmtId="3" formatCode="#,##0"/>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numFmt numFmtId="3" formatCode="#,##0"/>
      <alignment horizontal="center" vertical="center" textRotation="0" wrapText="0" indent="0" justifyLastLine="0" shrinkToFit="0" readingOrder="0"/>
    </dxf>
    <dxf>
      <numFmt numFmtId="3" formatCode="#,##0"/>
      <alignment horizontal="center" vertical="center" textRotation="0" wrapText="0" indent="0" justifyLastLine="0" shrinkToFit="0" readingOrder="0"/>
    </dxf>
    <dxf>
      <numFmt numFmtId="3" formatCode="#,##0"/>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numFmt numFmtId="3" formatCode="#,##0"/>
      <alignment horizontal="center" vertical="center" textRotation="0" wrapText="0" indent="0" justifyLastLine="0" shrinkToFit="0" readingOrder="0"/>
    </dxf>
    <dxf>
      <numFmt numFmtId="3" formatCode="#,##0"/>
      <alignment horizontal="center" vertical="center" textRotation="0" wrapText="0" indent="0" justifyLastLine="0" shrinkToFit="0" readingOrder="0"/>
    </dxf>
    <dxf>
      <numFmt numFmtId="3" formatCode="#,##0"/>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numFmt numFmtId="3" formatCode="#,##0"/>
      <alignment horizontal="center" vertical="center" textRotation="0" wrapText="0" indent="0" justifyLastLine="0" shrinkToFit="0" readingOrder="0"/>
    </dxf>
    <dxf>
      <numFmt numFmtId="3" formatCode="#,##0"/>
      <alignment horizontal="center" vertical="center" textRotation="0" wrapText="0" indent="0" justifyLastLine="0" shrinkToFit="0" readingOrder="0"/>
    </dxf>
    <dxf>
      <numFmt numFmtId="3" formatCode="#,##0"/>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numFmt numFmtId="3" formatCode="#,##0"/>
      <alignment horizontal="center" vertical="center" textRotation="0" wrapText="0" indent="0" justifyLastLine="0" shrinkToFit="0" readingOrder="0"/>
    </dxf>
    <dxf>
      <numFmt numFmtId="3" formatCode="#,##0"/>
      <alignment horizontal="center" vertical="center" textRotation="0" wrapText="0" indent="0" justifyLastLine="0" shrinkToFit="0" readingOrder="0"/>
    </dxf>
    <dxf>
      <numFmt numFmtId="3" formatCode="#,##0"/>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numFmt numFmtId="3" formatCode="#,##0"/>
      <alignment horizontal="center" vertical="center" textRotation="0" wrapText="0" indent="0" justifyLastLine="0" shrinkToFit="0" readingOrder="0"/>
    </dxf>
    <dxf>
      <numFmt numFmtId="3" formatCode="#,##0"/>
      <alignment horizontal="center" vertical="center" textRotation="0" wrapText="0" indent="0" justifyLastLine="0" shrinkToFit="0" readingOrder="0"/>
    </dxf>
    <dxf>
      <numFmt numFmtId="3" formatCode="#,##0"/>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numFmt numFmtId="3" formatCode="#,##0"/>
      <alignment horizontal="center" vertical="center" textRotation="0" wrapText="0" indent="0" justifyLastLine="0" shrinkToFit="0" readingOrder="0"/>
    </dxf>
    <dxf>
      <numFmt numFmtId="3" formatCode="#,##0"/>
      <alignment horizontal="center" vertical="center" textRotation="0" wrapText="0" indent="0" justifyLastLine="0" shrinkToFit="0" readingOrder="0"/>
    </dxf>
    <dxf>
      <numFmt numFmtId="3" formatCode="#,##0"/>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numFmt numFmtId="3" formatCode="#,##0"/>
      <alignment horizontal="center" vertical="center" textRotation="0" wrapText="0" indent="0" justifyLastLine="0" shrinkToFit="0" readingOrder="0"/>
    </dxf>
    <dxf>
      <numFmt numFmtId="3" formatCode="#,##0"/>
      <alignment horizontal="center" vertical="center" textRotation="0" wrapText="0" indent="0" justifyLastLine="0" shrinkToFit="0" readingOrder="0"/>
    </dxf>
    <dxf>
      <numFmt numFmtId="3" formatCode="#,##0"/>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numFmt numFmtId="3" formatCode="#,##0"/>
      <alignment horizontal="center" vertical="center" textRotation="0" wrapText="0" indent="0" justifyLastLine="0" shrinkToFit="0" readingOrder="0"/>
    </dxf>
    <dxf>
      <numFmt numFmtId="3" formatCode="#,##0"/>
      <alignment horizontal="center" vertical="center" textRotation="0" wrapText="0" indent="0" justifyLastLine="0" shrinkToFit="0" readingOrder="0"/>
    </dxf>
    <dxf>
      <numFmt numFmtId="3" formatCode="#,##0"/>
      <alignment horizontal="center" vertical="center" textRotation="0" wrapText="0" indent="0" justifyLastLine="0" shrinkToFit="0" readingOrder="0"/>
    </dxf>
    <dxf>
      <numFmt numFmtId="3" formatCode="#,##0"/>
      <alignment horizontal="center" vertical="center" textRotation="0" wrapText="0" indent="0" justifyLastLine="0" shrinkToFit="0" readingOrder="0"/>
    </dxf>
    <dxf>
      <numFmt numFmtId="3" formatCode="#,##0"/>
      <alignment horizontal="center" vertical="center" textRotation="0" wrapText="0" indent="0" justifyLastLine="0" shrinkToFit="0" readingOrder="0"/>
    </dxf>
    <dxf>
      <numFmt numFmtId="3" formatCode="#,##0"/>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left" vertical="center" textRotation="0" wrapText="0" indent="0" justifyLastLine="0" shrinkToFit="0" readingOrder="0"/>
    </dxf>
    <dxf>
      <numFmt numFmtId="3" formatCode="#,##0"/>
      <alignment horizontal="center" vertical="center" textRotation="0" wrapText="0" indent="0" justifyLastLine="0" shrinkToFit="0" readingOrder="0"/>
    </dxf>
    <dxf>
      <numFmt numFmtId="3" formatCode="#,##0"/>
      <alignment horizontal="center" vertical="center" textRotation="0" wrapText="0" indent="0" justifyLastLine="0" shrinkToFit="0" readingOrder="0"/>
    </dxf>
    <dxf>
      <numFmt numFmtId="3" formatCode="#,##0"/>
      <alignment horizontal="center" vertical="center" textRotation="0" wrapText="0" indent="0" justifyLastLine="0" shrinkToFit="0" readingOrder="0"/>
    </dxf>
    <dxf>
      <numFmt numFmtId="3" formatCode="#,##0"/>
      <alignment horizontal="center" vertical="center" textRotation="0" wrapText="0" indent="0" justifyLastLine="0" shrinkToFit="0" readingOrder="0"/>
    </dxf>
    <dxf>
      <numFmt numFmtId="3" formatCode="#,##0"/>
      <alignment horizontal="center" vertical="center" textRotation="0" wrapText="0" indent="0" justifyLastLine="0" shrinkToFit="0" readingOrder="0"/>
    </dxf>
    <dxf>
      <numFmt numFmtId="3" formatCode="#,##0"/>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left" vertical="center" textRotation="0" wrapText="0" indent="0" justifyLastLine="0" shrinkToFit="0" readingOrder="0"/>
    </dxf>
    <dxf>
      <numFmt numFmtId="1" formatCode="0"/>
      <alignment horizontal="center" vertical="center" textRotation="0" wrapText="0" indent="0" justifyLastLine="0" shrinkToFit="0" readingOrder="0"/>
    </dxf>
    <dxf>
      <numFmt numFmtId="1" formatCode="0"/>
      <alignment horizontal="center" vertical="center" textRotation="0" wrapText="0" indent="0" justifyLastLine="0" shrinkToFit="0" readingOrder="0"/>
    </dxf>
    <dxf>
      <numFmt numFmtId="1" formatCode="0"/>
      <alignment horizontal="center" vertical="center" textRotation="0" wrapText="0" indent="0" justifyLastLine="0" shrinkToFit="0" readingOrder="0"/>
    </dxf>
    <dxf>
      <numFmt numFmtId="1" formatCode="0"/>
      <alignment horizontal="center" vertical="center" textRotation="0" wrapText="0" indent="0" justifyLastLine="0" shrinkToFit="0" readingOrder="0"/>
    </dxf>
    <dxf>
      <numFmt numFmtId="1" formatCode="0"/>
      <alignment horizontal="center" vertical="center" textRotation="0" wrapText="0" indent="0" justifyLastLine="0" shrinkToFit="0" readingOrder="0"/>
    </dxf>
    <dxf>
      <numFmt numFmtId="1" formatCode="0"/>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bottom" textRotation="0" wrapText="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indent="0" justifyLastLine="0" shrinkToFit="0" readingOrder="0"/>
    </dxf>
    <dxf>
      <alignment horizontal="center" vertical="center" textRotation="0" indent="0" justifyLastLine="0" shrinkToFit="0" readingOrder="0"/>
    </dxf>
    <dxf>
      <alignment horizontal="center" vertical="center" textRotation="0" indent="0" justifyLastLine="0" shrinkToFit="0" readingOrder="0"/>
    </dxf>
    <dxf>
      <alignment horizontal="center" vertical="center" textRotation="0" indent="0" justifyLastLine="0" shrinkToFit="0" readingOrder="0"/>
    </dxf>
    <dxf>
      <font>
        <b val="0"/>
        <i val="0"/>
        <strike val="0"/>
        <condense val="0"/>
        <extend val="0"/>
        <outline val="0"/>
        <shadow val="0"/>
        <u val="none"/>
        <vertAlign val="baseline"/>
        <sz val="12"/>
        <color theme="1"/>
        <name val="Calibri"/>
        <family val="2"/>
        <scheme val="minor"/>
      </font>
      <numFmt numFmtId="3" formatCode="#,##0"/>
      <alignment horizontal="center" vertical="center" textRotation="0" wrapText="0" indent="0" justifyLastLine="0" shrinkToFit="0" readingOrder="0"/>
      <border diagonalUp="0" diagonalDown="0">
        <left style="thin">
          <color theme="7" tint="0.39997558519241921"/>
        </left>
        <right/>
        <top style="thin">
          <color theme="7" tint="0.39997558519241921"/>
        </top>
        <bottom style="thin">
          <color theme="7" tint="0.39997558519241921"/>
        </bottom>
        <vertical/>
        <horizontal/>
      </border>
    </dxf>
    <dxf>
      <font>
        <b val="0"/>
        <i val="0"/>
        <strike val="0"/>
        <condense val="0"/>
        <extend val="0"/>
        <outline val="0"/>
        <shadow val="0"/>
        <u val="none"/>
        <vertAlign val="baseline"/>
        <sz val="12"/>
        <color theme="1"/>
        <name val="Calibri"/>
        <family val="2"/>
        <scheme val="minor"/>
      </font>
      <alignment horizontal="center" vertical="center" textRotation="0" wrapText="0" indent="0" justifyLastLine="0" shrinkToFit="0" readingOrder="0"/>
      <border diagonalUp="0" diagonalDown="0">
        <left style="thin">
          <color theme="7" tint="0.39997558519241921"/>
        </left>
        <right/>
        <top style="thin">
          <color theme="7" tint="0.39997558519241921"/>
        </top>
        <bottom style="thin">
          <color theme="7" tint="0.39997558519241921"/>
        </bottom>
        <vertical/>
        <horizontal/>
      </border>
    </dxf>
    <dxf>
      <border outline="0">
        <bottom style="thin">
          <color rgb="FFFFD966"/>
        </bottom>
      </border>
    </dxf>
    <dxf>
      <font>
        <b val="0"/>
        <i val="0"/>
        <strike val="0"/>
        <condense val="0"/>
        <extend val="0"/>
        <outline val="0"/>
        <shadow val="0"/>
        <u val="none"/>
        <vertAlign val="baseline"/>
        <sz val="12"/>
        <color rgb="FF000000"/>
        <name val="Calibri"/>
        <family val="2"/>
        <scheme val="none"/>
      </font>
      <alignment horizontal="center" vertical="center" textRotation="0" wrapText="0" indent="0" justifyLastLine="0" shrinkToFit="0" readingOrder="0"/>
    </dxf>
    <dxf>
      <alignment horizontal="center" vertical="center" textRotation="0" wrapText="0" indent="0" justifyLastLine="0" shrinkToFit="0" readingOrder="0"/>
    </dxf>
    <dxf>
      <font>
        <b val="0"/>
        <i val="0"/>
        <strike val="0"/>
        <condense val="0"/>
        <extend val="0"/>
        <outline val="0"/>
        <shadow val="0"/>
        <u val="none"/>
        <vertAlign val="baseline"/>
        <sz val="12"/>
        <color theme="1"/>
        <name val="Calibri"/>
        <family val="2"/>
        <scheme val="minor"/>
      </font>
      <numFmt numFmtId="3" formatCode="#,##0"/>
      <alignment horizontal="center" vertical="center" textRotation="0" wrapText="0" indent="0" justifyLastLine="0" shrinkToFit="0" readingOrder="0"/>
      <border diagonalUp="0" diagonalDown="0">
        <left style="thin">
          <color theme="7" tint="0.39997558519241921"/>
        </left>
        <right/>
        <top style="thin">
          <color theme="7" tint="0.39997558519241921"/>
        </top>
        <bottom style="thin">
          <color theme="7" tint="0.39997558519241921"/>
        </bottom>
        <vertical/>
        <horizontal/>
      </border>
    </dxf>
    <dxf>
      <font>
        <b val="0"/>
        <i val="0"/>
        <strike val="0"/>
        <condense val="0"/>
        <extend val="0"/>
        <outline val="0"/>
        <shadow val="0"/>
        <u val="none"/>
        <vertAlign val="baseline"/>
        <sz val="12"/>
        <color theme="1"/>
        <name val="Calibri"/>
        <family val="2"/>
        <scheme val="minor"/>
      </font>
      <alignment horizontal="center" vertical="center" textRotation="0" wrapText="0" indent="0" justifyLastLine="0" shrinkToFit="0" readingOrder="0"/>
      <border diagonalUp="0" diagonalDown="0">
        <left style="thin">
          <color theme="7" tint="0.39997558519241921"/>
        </left>
        <right/>
        <top style="thin">
          <color theme="7" tint="0.39997558519241921"/>
        </top>
        <bottom style="thin">
          <color theme="7" tint="0.39997558519241921"/>
        </bottom>
        <vertical/>
        <horizontal/>
      </border>
    </dxf>
    <dxf>
      <border outline="0">
        <bottom style="thin">
          <color rgb="FFFFD966"/>
        </bottom>
      </border>
    </dxf>
    <dxf>
      <font>
        <b val="0"/>
        <i val="0"/>
        <strike val="0"/>
        <condense val="0"/>
        <extend val="0"/>
        <outline val="0"/>
        <shadow val="0"/>
        <u val="none"/>
        <vertAlign val="baseline"/>
        <sz val="12"/>
        <color rgb="FF000000"/>
        <name val="Calibri"/>
        <family val="2"/>
        <scheme val="none"/>
      </font>
      <alignment horizontal="center" vertical="center" textRotation="0" wrapText="0" indent="0" justifyLastLine="0" shrinkToFit="0" readingOrder="0"/>
    </dxf>
    <dxf>
      <alignment horizontal="center" vertical="center" textRotation="0" wrapText="0" indent="0" justifyLastLine="0" shrinkToFit="0" readingOrder="0"/>
    </dxf>
    <dxf>
      <numFmt numFmtId="3" formatCode="#,##0"/>
      <alignment horizontal="center" vertical="center" textRotation="0" wrapText="0" indent="0" justifyLastLine="0" shrinkToFit="0" readingOrder="0"/>
    </dxf>
    <dxf>
      <numFmt numFmtId="3" formatCode="#,##0"/>
      <alignment horizontal="center" vertical="center" textRotation="0" wrapText="0" indent="0" justifyLastLine="0" shrinkToFit="0" readingOrder="0"/>
    </dxf>
    <dxf>
      <numFmt numFmtId="3" formatCode="#,##0"/>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numFmt numFmtId="3" formatCode="#,##0"/>
      <alignment horizontal="center" vertical="center" textRotation="0" wrapText="0" indent="0" justifyLastLine="0" shrinkToFit="0" readingOrder="0"/>
    </dxf>
    <dxf>
      <numFmt numFmtId="3" formatCode="#,##0"/>
      <alignment horizontal="center" vertical="center" textRotation="0" wrapText="0" indent="0" justifyLastLine="0" shrinkToFit="0" readingOrder="0"/>
    </dxf>
    <dxf>
      <numFmt numFmtId="3" formatCode="#,##0"/>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numFmt numFmtId="1" formatCode="0"/>
      <alignment horizontal="center" vertical="center" textRotation="0" wrapText="0" indent="0" justifyLastLine="0" shrinkToFit="0" readingOrder="0"/>
    </dxf>
    <dxf>
      <numFmt numFmtId="1" formatCode="0"/>
      <alignment horizontal="center" vertical="center" textRotation="0" wrapText="0" indent="0" justifyLastLine="0" shrinkToFit="0" readingOrder="0"/>
    </dxf>
    <dxf>
      <numFmt numFmtId="1" formatCode="0"/>
      <alignment horizontal="center" vertical="center" textRotation="0" wrapText="0" indent="0" justifyLastLine="0" shrinkToFit="0" readingOrder="0"/>
    </dxf>
    <dxf>
      <numFmt numFmtId="1" formatCode="0"/>
      <alignment horizontal="center" vertical="center" textRotation="0" wrapText="0" indent="0" justifyLastLine="0" shrinkToFit="0" readingOrder="0"/>
    </dxf>
    <dxf>
      <numFmt numFmtId="1" formatCode="0"/>
      <alignment horizontal="center" vertical="center" textRotation="0" wrapText="0" indent="0" justifyLastLine="0" shrinkToFit="0" readingOrder="0"/>
    </dxf>
    <dxf>
      <numFmt numFmtId="1" formatCode="0"/>
      <alignment horizontal="center" vertical="center" textRotation="0" wrapText="0" indent="0" justifyLastLine="0" shrinkToFit="0" readingOrder="0"/>
    </dxf>
    <dxf>
      <alignment horizontal="center" vertical="center" textRotation="0" indent="0" justifyLastLine="0" shrinkToFit="0" readingOrder="0"/>
    </dxf>
    <dxf>
      <alignment horizontal="center" vertical="center" textRotation="0" indent="0" justifyLastLine="0" shrinkToFit="0" readingOrder="0"/>
    </dxf>
    <dxf>
      <alignment horizontal="center" vertical="center" textRotation="0" indent="0" justifyLastLine="0" shrinkToFit="0" readingOrder="0"/>
    </dxf>
    <dxf>
      <numFmt numFmtId="1" formatCode="0"/>
      <alignment horizontal="center" vertical="center" textRotation="0" wrapText="0" indent="0" justifyLastLine="0" shrinkToFit="0" readingOrder="0"/>
    </dxf>
    <dxf>
      <numFmt numFmtId="1" formatCode="0"/>
      <alignment horizontal="center" vertical="center" textRotation="0" wrapText="0" indent="0" justifyLastLine="0" shrinkToFit="0" readingOrder="0"/>
    </dxf>
    <dxf>
      <numFmt numFmtId="1" formatCode="0"/>
      <alignment horizontal="center" vertical="center" textRotation="0" wrapText="0" indent="0" justifyLastLine="0" shrinkToFit="0" readingOrder="0"/>
    </dxf>
    <dxf>
      <numFmt numFmtId="1" formatCode="0"/>
      <alignment horizontal="center" vertical="center" textRotation="0" wrapText="0" indent="0" justifyLastLine="0" shrinkToFit="0" readingOrder="0"/>
    </dxf>
    <dxf>
      <numFmt numFmtId="1" formatCode="0"/>
      <alignment horizontal="center" vertical="center" textRotation="0" wrapText="0" indent="0" justifyLastLine="0" shrinkToFit="0" readingOrder="0"/>
    </dxf>
    <dxf>
      <numFmt numFmtId="1" formatCode="0"/>
      <alignment horizontal="center" vertical="center" textRotation="0" wrapText="0" indent="0" justifyLastLine="0" shrinkToFit="0" readingOrder="0"/>
    </dxf>
    <dxf>
      <alignment horizontal="center" vertical="center" textRotation="0" indent="0" justifyLastLine="0" shrinkToFit="0" readingOrder="0"/>
    </dxf>
    <dxf>
      <alignment horizontal="center" vertical="center" textRotation="0" indent="0" justifyLastLine="0" shrinkToFit="0" readingOrder="0"/>
    </dxf>
    <dxf>
      <alignment horizontal="center" vertical="center" textRotation="0" indent="0" justifyLastLine="0" shrinkToFit="0" readingOrder="0"/>
    </dxf>
    <dxf>
      <numFmt numFmtId="1" formatCode="0"/>
      <alignment horizontal="center" vertical="center" textRotation="0" wrapText="0" indent="0" justifyLastLine="0" shrinkToFit="0" readingOrder="0"/>
    </dxf>
    <dxf>
      <numFmt numFmtId="1" formatCode="0"/>
      <alignment horizontal="center" vertical="center" textRotation="0" wrapText="0" indent="0" justifyLastLine="0" shrinkToFit="0" readingOrder="0"/>
    </dxf>
    <dxf>
      <numFmt numFmtId="1" formatCode="0"/>
      <alignment horizontal="center" vertical="center" textRotation="0" wrapText="0" indent="0" justifyLastLine="0" shrinkToFit="0" readingOrder="0"/>
    </dxf>
    <dxf>
      <numFmt numFmtId="1" formatCode="0"/>
      <alignment horizontal="center" vertical="center" textRotation="0" wrapText="0" indent="0" justifyLastLine="0" shrinkToFit="0" readingOrder="0"/>
    </dxf>
    <dxf>
      <numFmt numFmtId="1" formatCode="0"/>
      <alignment horizontal="center" vertical="center" textRotation="0" wrapText="0" indent="0" justifyLastLine="0" shrinkToFit="0" readingOrder="0"/>
    </dxf>
    <dxf>
      <numFmt numFmtId="1" formatCode="0"/>
      <alignment horizontal="center" vertical="center" textRotation="0" wrapText="0" indent="0" justifyLastLine="0" shrinkToFit="0" readingOrder="0"/>
    </dxf>
    <dxf>
      <alignment horizontal="center" vertical="center" textRotation="0" indent="0" justifyLastLine="0" shrinkToFit="0" readingOrder="0"/>
    </dxf>
    <dxf>
      <alignment horizontal="center" vertical="center" textRotation="0" indent="0" justifyLastLine="0" shrinkToFit="0" readingOrder="0"/>
    </dxf>
    <dxf>
      <alignment horizontal="center" vertical="center" textRotation="0" indent="0" justifyLastLine="0" shrinkToFit="0" readingOrder="0"/>
    </dxf>
    <dxf>
      <numFmt numFmtId="1" formatCode="0"/>
      <alignment horizontal="center" vertical="center" textRotation="0" wrapText="0" indent="0" justifyLastLine="0" shrinkToFit="0" readingOrder="0"/>
    </dxf>
    <dxf>
      <numFmt numFmtId="1" formatCode="0"/>
      <alignment horizontal="center" vertical="center" textRotation="0" wrapText="0" indent="0" justifyLastLine="0" shrinkToFit="0" readingOrder="0"/>
    </dxf>
    <dxf>
      <numFmt numFmtId="1" formatCode="0"/>
      <alignment horizontal="center" vertical="center" textRotation="0" wrapText="0" indent="0" justifyLastLine="0" shrinkToFit="0" readingOrder="0"/>
    </dxf>
    <dxf>
      <numFmt numFmtId="1" formatCode="0"/>
      <alignment horizontal="center" vertical="center" textRotation="0" wrapText="0" indent="0" justifyLastLine="0" shrinkToFit="0" readingOrder="0"/>
    </dxf>
    <dxf>
      <numFmt numFmtId="1" formatCode="0"/>
      <alignment horizontal="center" vertical="center" textRotation="0" wrapText="0" indent="0" justifyLastLine="0" shrinkToFit="0" readingOrder="0"/>
    </dxf>
    <dxf>
      <numFmt numFmtId="1" formatCode="0"/>
      <alignment horizontal="center" vertical="center" textRotation="0" wrapText="0" indent="0" justifyLastLine="0" shrinkToFit="0" readingOrder="0"/>
    </dxf>
    <dxf>
      <alignment horizontal="center" vertical="center" textRotation="0" indent="0" justifyLastLine="0" shrinkToFit="0" readingOrder="0"/>
    </dxf>
    <dxf>
      <alignment horizontal="center" vertical="center" textRotation="0" indent="0" justifyLastLine="0" shrinkToFit="0" readingOrder="0"/>
    </dxf>
    <dxf>
      <alignment horizontal="center" vertical="center" textRotation="0" indent="0" justifyLastLine="0" shrinkToFit="0" readingOrder="0"/>
    </dxf>
    <dxf>
      <numFmt numFmtId="1" formatCode="0"/>
      <alignment horizontal="center" vertical="center" textRotation="0" wrapText="0" indent="0" justifyLastLine="0" shrinkToFit="0" readingOrder="0"/>
    </dxf>
    <dxf>
      <numFmt numFmtId="1" formatCode="0"/>
      <alignment horizontal="center" vertical="center" textRotation="0" wrapText="0" indent="0" justifyLastLine="0" shrinkToFit="0" readingOrder="0"/>
    </dxf>
    <dxf>
      <numFmt numFmtId="1" formatCode="0"/>
      <alignment horizontal="center" vertical="center" textRotation="0" wrapText="0" indent="0" justifyLastLine="0" shrinkToFit="0" readingOrder="0"/>
    </dxf>
    <dxf>
      <numFmt numFmtId="1" formatCode="0"/>
      <alignment horizontal="center" vertical="center" textRotation="0" wrapText="0" indent="0" justifyLastLine="0" shrinkToFit="0" readingOrder="0"/>
    </dxf>
    <dxf>
      <numFmt numFmtId="1" formatCode="0"/>
      <alignment horizontal="center" vertical="center" textRotation="0" wrapText="0" indent="0" justifyLastLine="0" shrinkToFit="0" readingOrder="0"/>
    </dxf>
    <dxf>
      <numFmt numFmtId="1" formatCode="0"/>
      <alignment horizontal="center" vertical="center" textRotation="0" wrapText="0" indent="0" justifyLastLine="0" shrinkToFit="0" readingOrder="0"/>
    </dxf>
    <dxf>
      <alignment horizontal="center" vertical="center" textRotation="0" indent="0" justifyLastLine="0" shrinkToFit="0" readingOrder="0"/>
    </dxf>
    <dxf>
      <alignment horizontal="center" vertical="center" textRotation="0" indent="0" justifyLastLine="0" shrinkToFit="0" readingOrder="0"/>
    </dxf>
    <dxf>
      <alignment horizontal="center" vertic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wrapText="0" indent="0" justifyLastLine="0" shrinkToFit="0" readingOrder="0"/>
    </dxf>
    <dxf>
      <alignment horizontal="center" vertical="center" textRotation="0" indent="0" justifyLastLine="0" shrinkToFit="0" readingOrder="0"/>
    </dxf>
    <dxf>
      <alignment horizontal="center" vertical="center" textRotation="0" indent="0" justifyLastLine="0" shrinkToFit="0" readingOrder="0"/>
    </dxf>
    <dxf>
      <alignment horizontal="center" vertical="center" textRotation="0" indent="0" justifyLastLine="0" shrinkToFit="0" readingOrder="0"/>
    </dxf>
    <dxf>
      <alignment horizontal="center" vertical="center" textRotation="0" indent="0" justifyLastLine="0" shrinkToFit="0" readingOrder="0"/>
    </dxf>
    <dxf>
      <numFmt numFmtId="2" formatCode="0.00"/>
      <alignment horizontal="center" vertical="bottom" textRotation="0" wrapText="0" indent="0" justifyLastLine="0" shrinkToFit="0" readingOrder="0"/>
    </dxf>
    <dxf>
      <numFmt numFmtId="2" formatCode="0.00"/>
      <alignment horizontal="center" vertical="bottom" textRotation="0" wrapText="0" indent="0" justifyLastLine="0" shrinkToFit="0" readingOrder="0"/>
    </dxf>
    <dxf>
      <numFmt numFmtId="2" formatCode="0.00"/>
      <alignment horizontal="center" vertical="bottom" textRotation="0" wrapText="0" indent="0" justifyLastLine="0" shrinkToFit="0" readingOrder="0"/>
    </dxf>
    <dxf>
      <alignment horizontal="center" textRotation="0" indent="0" justifyLastLine="0" shrinkToFit="0" readingOrder="0"/>
    </dxf>
    <dxf>
      <alignment horizontal="center" textRotation="0" indent="0" justifyLastLine="0" shrinkToFit="0" readingOrder="0"/>
    </dxf>
    <dxf>
      <alignment horizontal="center" textRotation="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textRotation="0" indent="0" justifyLastLine="0" shrinkToFit="0" readingOrder="0"/>
    </dxf>
    <dxf>
      <numFmt numFmtId="13" formatCode="0%"/>
      <alignment horizontal="center" textRotation="0" indent="0" justifyLastLine="0" shrinkToFit="0" readingOrder="0"/>
    </dxf>
    <dxf>
      <alignment horizontal="center" textRotation="0" indent="0" justifyLastLine="0" shrinkToFit="0" readingOrder="0"/>
    </dxf>
    <dxf>
      <alignment horizontal="center" textRotation="0" indent="0" justifyLastLine="0" shrinkToFit="0" readingOrder="0"/>
    </dxf>
    <dxf>
      <alignment horizontal="center" textRotation="0" indent="0" justifyLastLine="0" shrinkToFit="0" readingOrder="0"/>
    </dxf>
    <dxf>
      <numFmt numFmtId="3" formatCode="#,##0"/>
      <alignment horizontal="center" vertical="center" textRotation="0" wrapText="0" indent="0" justifyLastLine="0" shrinkToFit="0" readingOrder="0"/>
    </dxf>
    <dxf>
      <numFmt numFmtId="3" formatCode="#,##0"/>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font>
        <color auto="1"/>
      </font>
      <numFmt numFmtId="3" formatCode="#,##0"/>
      <alignment horizontal="center" vertical="bottom" textRotation="0" wrapText="0" indent="0" justifyLastLine="0" shrinkToFit="0" readingOrder="0"/>
    </dxf>
    <dxf>
      <numFmt numFmtId="0" formatCode="General"/>
      <alignment horizontal="center" textRotation="0" indent="0" justifyLastLine="0" shrinkToFit="0" readingOrder="0"/>
    </dxf>
    <dxf>
      <alignment horizontal="center" textRotation="0" indent="0" justifyLastLine="0" shrinkToFit="0" readingOrder="0"/>
    </dxf>
    <dxf>
      <alignment horizontal="center" textRotation="0" indent="0" justifyLastLine="0" shrinkToFit="0" readingOrder="0"/>
    </dxf>
    <dxf>
      <alignment horizont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wrapText="0" indent="0" justifyLastLine="0" shrinkToFit="0" readingOrder="0"/>
    </dxf>
    <dxf>
      <alignment horizontal="center" vertical="center" textRotation="0" indent="0" justifyLastLine="0" shrinkToFit="0" readingOrder="0"/>
    </dxf>
    <dxf>
      <alignment horizontal="center" vertical="center" textRotation="0" indent="0" justifyLastLine="0" shrinkToFit="0" readingOrder="0"/>
    </dxf>
    <dxf>
      <alignment horizontal="center" vertical="center" textRotation="0" indent="0" justifyLastLine="0" shrinkToFit="0" readingOrder="0"/>
    </dxf>
    <dxf>
      <alignment horizontal="center" vertical="center" textRotation="0" indent="0" justifyLastLine="0" shrinkToFit="0" readingOrder="0"/>
    </dxf>
    <dxf>
      <numFmt numFmtId="164" formatCode="0.0%"/>
      <alignment horizontal="center" vertical="center" textRotation="0" wrapText="0" indent="0" justifyLastLine="0" shrinkToFit="0" readingOrder="0"/>
    </dxf>
    <dxf>
      <numFmt numFmtId="164" formatCode="0.0%"/>
      <alignment horizontal="center" vertical="center" textRotation="0" wrapText="0" indent="0" justifyLastLine="0" shrinkToFit="0" readingOrder="0"/>
    </dxf>
    <dxf>
      <numFmt numFmtId="1" formatCode="0"/>
      <alignment horizontal="center" vertical="center" textRotation="0" wrapText="0" indent="0" justifyLastLine="0" shrinkToFit="0" readingOrder="0"/>
    </dxf>
    <dxf>
      <alignment horizontal="center" vertical="center" textRotation="0" indent="0" justifyLastLine="0" shrinkToFit="0" readingOrder="0"/>
    </dxf>
    <dxf>
      <alignment horizontal="center" vertical="center" textRotation="0" indent="0" justifyLastLine="0" shrinkToFit="0" readingOrder="0"/>
    </dxf>
    <dxf>
      <alignment horizontal="center" vertical="center" textRotation="0" indent="0" justifyLastLine="0" shrinkToFit="0" readingOrder="0"/>
    </dxf>
    <dxf>
      <numFmt numFmtId="1" formatCode="0"/>
      <alignment horizontal="center" vertical="center" textRotation="0" wrapText="0" indent="0" justifyLastLine="0" shrinkToFit="0" readingOrder="0"/>
    </dxf>
    <dxf>
      <numFmt numFmtId="1" formatCode="0"/>
      <alignment horizontal="center" vertical="center" textRotation="0" wrapText="0" indent="0" justifyLastLine="0" shrinkToFit="0" readingOrder="0"/>
    </dxf>
    <dxf>
      <numFmt numFmtId="1" formatCode="0"/>
      <alignment horizontal="center" vertical="center" textRotation="0" wrapText="0" indent="0" justifyLastLine="0" shrinkToFit="0" readingOrder="0"/>
    </dxf>
    <dxf>
      <numFmt numFmtId="1" formatCode="0"/>
      <alignment horizontal="center" vertical="center" textRotation="0" wrapText="0" indent="0" justifyLastLine="0" shrinkToFit="0" readingOrder="0"/>
    </dxf>
    <dxf>
      <numFmt numFmtId="1" formatCode="0"/>
      <alignment horizontal="center" vertical="center" textRotation="0" wrapText="0" indent="0" justifyLastLine="0" shrinkToFit="0" readingOrder="0"/>
    </dxf>
    <dxf>
      <numFmt numFmtId="1" formatCode="0"/>
      <alignment horizontal="center" vertical="center" textRotation="0" wrapText="0" indent="0" justifyLastLine="0" shrinkToFit="0" readingOrder="0"/>
    </dxf>
    <dxf>
      <numFmt numFmtId="1" formatCode="0"/>
      <alignment horizontal="center" vertical="center" textRotation="0" wrapText="0" indent="0" justifyLastLine="0" shrinkToFit="0" readingOrder="0"/>
    </dxf>
    <dxf>
      <alignment horizontal="center" vertical="center" textRotation="0" indent="0" justifyLastLine="0" shrinkToFit="0" readingOrder="0"/>
    </dxf>
    <dxf>
      <alignment horizontal="center" vertical="center" textRotation="0" indent="0" justifyLastLine="0" shrinkToFit="0" readingOrder="0"/>
    </dxf>
    <dxf>
      <alignment horizontal="center" vertical="center" textRotation="0" indent="0" justifyLastLine="0" shrinkToFit="0" readingOrder="0"/>
    </dxf>
    <dxf>
      <numFmt numFmtId="1" formatCode="0"/>
      <alignment horizontal="center" vertical="center" textRotation="0" wrapText="0" indent="0" justifyLastLine="0" shrinkToFit="0" readingOrder="0"/>
    </dxf>
    <dxf>
      <numFmt numFmtId="1" formatCode="0"/>
      <alignment horizontal="center" vertical="center" textRotation="0" wrapText="0" indent="0" justifyLastLine="0" shrinkToFit="0" readingOrder="0"/>
    </dxf>
    <dxf>
      <numFmt numFmtId="1" formatCode="0"/>
      <alignment horizontal="center" vertical="center" textRotation="0" wrapText="0" indent="0" justifyLastLine="0" shrinkToFit="0" readingOrder="0"/>
    </dxf>
    <dxf>
      <numFmt numFmtId="1" formatCode="0"/>
      <alignment horizontal="center" vertical="center" textRotation="0" wrapText="0" indent="0" justifyLastLine="0" shrinkToFit="0" readingOrder="0"/>
    </dxf>
    <dxf>
      <numFmt numFmtId="1" formatCode="0"/>
      <alignment horizontal="center" vertical="center" textRotation="0" wrapText="0" indent="0" justifyLastLine="0" shrinkToFit="0" readingOrder="0"/>
    </dxf>
    <dxf>
      <numFmt numFmtId="1" formatCode="0"/>
      <alignment horizontal="center" vertical="center" textRotation="0" wrapText="0" indent="0" justifyLastLine="0" shrinkToFit="0" readingOrder="0"/>
    </dxf>
    <dxf>
      <numFmt numFmtId="1" formatCode="0"/>
      <alignment horizontal="center" vertical="center" textRotation="0" wrapText="0" indent="0" justifyLastLine="0" shrinkToFit="0" readingOrder="0"/>
    </dxf>
    <dxf>
      <alignment horizontal="center" vertical="center" textRotation="0" indent="0" justifyLastLine="0" shrinkToFit="0" readingOrder="0"/>
    </dxf>
    <dxf>
      <alignment horizontal="center" vertical="center" textRotation="0" indent="0" justifyLastLine="0" shrinkToFit="0" readingOrder="0"/>
    </dxf>
    <dxf>
      <alignment horizontal="center" vertical="center" textRotation="0" indent="0" justifyLastLine="0" shrinkToFit="0" readingOrder="0"/>
    </dxf>
    <dxf>
      <numFmt numFmtId="1" formatCode="0"/>
      <alignment horizontal="center" vertical="center" textRotation="0" wrapText="0" indent="0" justifyLastLine="0" shrinkToFit="0" readingOrder="0"/>
    </dxf>
    <dxf>
      <numFmt numFmtId="1" formatCode="0"/>
      <alignment horizontal="center" vertical="center" textRotation="0" wrapText="0" indent="0" justifyLastLine="0" shrinkToFit="0" readingOrder="0"/>
    </dxf>
    <dxf>
      <numFmt numFmtId="1" formatCode="0"/>
      <alignment horizontal="center" vertical="center" textRotation="0" wrapText="0" indent="0" justifyLastLine="0" shrinkToFit="0" readingOrder="0"/>
    </dxf>
    <dxf>
      <numFmt numFmtId="1" formatCode="0"/>
      <alignment horizontal="center" vertical="center" textRotation="0" wrapText="0" indent="0" justifyLastLine="0" shrinkToFit="0" readingOrder="0"/>
    </dxf>
    <dxf>
      <numFmt numFmtId="1" formatCode="0"/>
      <alignment horizontal="center" vertical="center" textRotation="0" wrapText="0" indent="0" justifyLastLine="0" shrinkToFit="0" readingOrder="0"/>
    </dxf>
    <dxf>
      <numFmt numFmtId="1" formatCode="0"/>
      <alignment horizontal="center" vertical="center" textRotation="0" wrapText="0" indent="0" justifyLastLine="0" shrinkToFit="0" readingOrder="0"/>
    </dxf>
    <dxf>
      <numFmt numFmtId="1" formatCode="0"/>
      <alignment horizontal="center" vertical="center" textRotation="0" wrapText="0" indent="0" justifyLastLine="0" shrinkToFit="0" readingOrder="0"/>
    </dxf>
    <dxf>
      <alignment horizontal="center" vertical="center" textRotation="0" indent="0" justifyLastLine="0" shrinkToFit="0" readingOrder="0"/>
    </dxf>
    <dxf>
      <alignment horizontal="center" vertical="center" textRotation="0" indent="0" justifyLastLine="0" shrinkToFit="0" readingOrder="0"/>
    </dxf>
    <dxf>
      <alignment horizontal="center" vertical="center" textRotation="0" indent="0" justifyLastLine="0" shrinkToFit="0" readingOrder="0"/>
    </dxf>
    <dxf>
      <numFmt numFmtId="1" formatCode="0"/>
      <alignment horizontal="center" vertical="center" textRotation="0" wrapText="0" indent="0" justifyLastLine="0" shrinkToFit="0" readingOrder="0"/>
    </dxf>
    <dxf>
      <numFmt numFmtId="1" formatCode="0"/>
      <alignment horizontal="center" vertical="center" textRotation="0" wrapText="0" indent="0" justifyLastLine="0" shrinkToFit="0" readingOrder="0"/>
    </dxf>
    <dxf>
      <numFmt numFmtId="1" formatCode="0"/>
      <alignment horizontal="center" vertical="center" textRotation="0" wrapText="0" indent="0" justifyLastLine="0" shrinkToFit="0" readingOrder="0"/>
    </dxf>
    <dxf>
      <numFmt numFmtId="1" formatCode="0"/>
      <alignment horizontal="center" vertical="center" textRotation="0" wrapText="0" indent="0" justifyLastLine="0" shrinkToFit="0" readingOrder="0"/>
    </dxf>
    <dxf>
      <numFmt numFmtId="1" formatCode="0"/>
      <alignment horizontal="center" vertical="center" textRotation="0" wrapText="0" indent="0" justifyLastLine="0" shrinkToFit="0" readingOrder="0"/>
    </dxf>
    <dxf>
      <numFmt numFmtId="1" formatCode="0"/>
      <alignment horizontal="center" vertical="center" textRotation="0" wrapText="0" indent="0" justifyLastLine="0" shrinkToFit="0" readingOrder="0"/>
    </dxf>
    <dxf>
      <numFmt numFmtId="1" formatCode="0"/>
      <alignment horizontal="center" vertical="center" textRotation="0" wrapText="0" indent="0" justifyLastLine="0" shrinkToFit="0" readingOrder="0"/>
    </dxf>
    <dxf>
      <alignment horizontal="center" vertical="center" textRotation="0" indent="0" justifyLastLine="0" shrinkToFit="0" readingOrder="0"/>
    </dxf>
    <dxf>
      <alignment horizontal="center" vertical="center" textRotation="0" indent="0" justifyLastLine="0" shrinkToFit="0" readingOrder="0"/>
    </dxf>
    <dxf>
      <alignment horizontal="center" vertical="center" textRotation="0" indent="0" justifyLastLine="0" shrinkToFit="0" readingOrder="0"/>
    </dxf>
    <dxf>
      <numFmt numFmtId="1" formatCode="0"/>
      <alignment horizontal="center" vertical="center" textRotation="0" wrapText="0" indent="0" justifyLastLine="0" shrinkToFit="0" readingOrder="0"/>
    </dxf>
    <dxf>
      <numFmt numFmtId="1" formatCode="0"/>
      <alignment horizontal="center" vertical="center" textRotation="0" wrapText="0" indent="0" justifyLastLine="0" shrinkToFit="0" readingOrder="0"/>
    </dxf>
    <dxf>
      <numFmt numFmtId="1" formatCode="0"/>
      <alignment horizontal="center" vertical="center" textRotation="0" wrapText="0" indent="0" justifyLastLine="0" shrinkToFit="0" readingOrder="0"/>
    </dxf>
    <dxf>
      <numFmt numFmtId="1" formatCode="0"/>
      <alignment horizontal="center" vertical="center" textRotation="0" wrapText="0" indent="0" justifyLastLine="0" shrinkToFit="0" readingOrder="0"/>
    </dxf>
    <dxf>
      <numFmt numFmtId="1" formatCode="0"/>
      <alignment horizontal="center" vertical="center" textRotation="0" wrapText="0" indent="0" justifyLastLine="0" shrinkToFit="0" readingOrder="0"/>
    </dxf>
    <dxf>
      <numFmt numFmtId="1" formatCode="0"/>
      <alignment horizontal="center" vertical="center" textRotation="0" wrapText="0" indent="0" justifyLastLine="0" shrinkToFit="0" readingOrder="0"/>
    </dxf>
    <dxf>
      <numFmt numFmtId="1" formatCode="0"/>
      <alignment horizontal="center" vertical="center" textRotation="0" wrapText="0" indent="0" justifyLastLine="0" shrinkToFit="0" readingOrder="0"/>
    </dxf>
    <dxf>
      <alignment horizontal="center" vertical="center" textRotation="0" indent="0" justifyLastLine="0" shrinkToFit="0" readingOrder="0"/>
    </dxf>
    <dxf>
      <alignment horizontal="center" vertical="center" textRotation="0" indent="0" justifyLastLine="0" shrinkToFit="0" readingOrder="0"/>
    </dxf>
    <dxf>
      <alignment horizontal="center" vertical="center" textRotation="0" indent="0" justifyLastLine="0" shrinkToFit="0" readingOrder="0"/>
    </dxf>
    <dxf>
      <numFmt numFmtId="1" formatCode="0"/>
      <alignment horizontal="center" vertical="center" textRotation="0" wrapText="0" indent="0" justifyLastLine="0" shrinkToFit="0" readingOrder="0"/>
    </dxf>
    <dxf>
      <numFmt numFmtId="1" formatCode="0"/>
      <alignment horizontal="center" vertical="center" textRotation="0" wrapText="0" indent="0" justifyLastLine="0" shrinkToFit="0" readingOrder="0"/>
    </dxf>
    <dxf>
      <numFmt numFmtId="1" formatCode="0"/>
      <alignment horizontal="center" vertical="center" textRotation="0" wrapText="0" indent="0" justifyLastLine="0" shrinkToFit="0" readingOrder="0"/>
    </dxf>
    <dxf>
      <numFmt numFmtId="1" formatCode="0"/>
      <alignment horizontal="center" vertical="center" textRotation="0" wrapText="0" indent="0" justifyLastLine="0" shrinkToFit="0" readingOrder="0"/>
    </dxf>
    <dxf>
      <numFmt numFmtId="1" formatCode="0"/>
      <alignment horizontal="center" vertical="center" textRotation="0" wrapText="0" indent="0" justifyLastLine="0" shrinkToFit="0" readingOrder="0"/>
    </dxf>
    <dxf>
      <numFmt numFmtId="1" formatCode="0"/>
      <alignment horizontal="center" vertical="center" textRotation="0" wrapText="0" indent="0" justifyLastLine="0" shrinkToFit="0" readingOrder="0"/>
    </dxf>
    <dxf>
      <numFmt numFmtId="1" formatCode="0"/>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indent="0" justifyLastLine="0" shrinkToFit="0" readingOrder="0"/>
    </dxf>
    <dxf>
      <numFmt numFmtId="164" formatCode="0.0%"/>
      <alignment horizontal="center" vertical="center" textRotation="0" indent="0" justifyLastLine="0" shrinkToFit="0" readingOrder="0"/>
    </dxf>
    <dxf>
      <numFmt numFmtId="164" formatCode="0.0%"/>
      <alignment horizontal="center" vertical="center" textRotation="0" wrapText="0" indent="0" justifyLastLine="0" shrinkToFit="0" readingOrder="0"/>
    </dxf>
    <dxf>
      <numFmt numFmtId="1" formatCode="0"/>
      <alignment horizontal="center" vertical="center" textRotation="0" indent="0" justifyLastLine="0" shrinkToFit="0" readingOrder="0"/>
    </dxf>
    <dxf>
      <alignment horizontal="center" vertical="center" textRotation="0" indent="0" justifyLastLine="0" shrinkToFit="0" readingOrder="0"/>
    </dxf>
    <dxf>
      <alignment horizontal="center" vertical="center" textRotation="0" indent="0" justifyLastLine="0" shrinkToFit="0" readingOrder="0"/>
    </dxf>
    <dxf>
      <alignment horizontal="center" vertic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indent="0" justifyLastLine="0" shrinkToFit="0" readingOrder="0"/>
    </dxf>
    <dxf>
      <alignment horizontal="center" vertical="center" textRotation="0" indent="0" justifyLastLine="0" shrinkToFit="0" readingOrder="0"/>
    </dxf>
    <dxf>
      <alignment horizontal="center" vertical="center" textRotation="0" indent="0" justifyLastLine="0" shrinkToFit="0" readingOrder="0"/>
    </dxf>
    <dxf>
      <alignment horizontal="center" vertical="center" textRotation="0" indent="0" justifyLastLine="0" shrinkToFit="0" readingOrder="0"/>
    </dxf>
    <dxf>
      <font>
        <strike val="0"/>
        <outline val="0"/>
        <shadow val="0"/>
        <u val="none"/>
        <vertAlign val="baseline"/>
        <sz val="12"/>
        <color rgb="FF00B050"/>
        <name val="Calibri"/>
        <family val="2"/>
        <scheme val="minor"/>
      </font>
      <numFmt numFmtId="1" formatCode="0"/>
      <alignment horizontal="center" vertical="center" textRotation="0" indent="0" justifyLastLine="0" shrinkToFit="0" readingOrder="0"/>
    </dxf>
    <dxf>
      <font>
        <strike val="0"/>
        <outline val="0"/>
        <shadow val="0"/>
        <u val="none"/>
        <vertAlign val="baseline"/>
        <sz val="12"/>
        <color rgb="FF00B050"/>
        <name val="Calibri"/>
        <family val="2"/>
        <scheme val="minor"/>
      </font>
      <numFmt numFmtId="1" formatCode="0"/>
      <alignment horizontal="center" vertical="center" textRotation="0" indent="0" justifyLastLine="0" shrinkToFit="0" readingOrder="0"/>
    </dxf>
    <dxf>
      <font>
        <b val="0"/>
        <i val="0"/>
        <strike val="0"/>
        <condense val="0"/>
        <extend val="0"/>
        <outline val="0"/>
        <shadow val="0"/>
        <u val="none"/>
        <vertAlign val="baseline"/>
        <sz val="12"/>
        <color rgb="FFFF0000"/>
        <name val="Calibri"/>
        <family val="2"/>
        <scheme val="minor"/>
      </font>
      <numFmt numFmtId="1" formatCode="0"/>
      <alignment horizontal="center" vertical="center" textRotation="0" wrapText="0" indent="0" justifyLastLine="0" shrinkToFit="0" readingOrder="0"/>
    </dxf>
    <dxf>
      <font>
        <b val="0"/>
        <i val="0"/>
        <strike val="0"/>
        <condense val="0"/>
        <extend val="0"/>
        <outline val="0"/>
        <shadow val="0"/>
        <u val="none"/>
        <vertAlign val="baseline"/>
        <sz val="12"/>
        <color rgb="FFFF0000"/>
        <name val="Calibri"/>
        <family val="2"/>
        <scheme val="minor"/>
      </font>
      <numFmt numFmtId="1" formatCode="0"/>
      <alignment horizontal="center" vertical="center" textRotation="0" wrapText="0" indent="0" justifyLastLine="0" shrinkToFit="0" readingOrder="0"/>
    </dxf>
    <dxf>
      <font>
        <b val="0"/>
        <i val="0"/>
        <strike val="0"/>
        <condense val="0"/>
        <extend val="0"/>
        <outline val="0"/>
        <shadow val="0"/>
        <u val="none"/>
        <vertAlign val="baseline"/>
        <sz val="12"/>
        <color rgb="FFFF0000"/>
        <name val="Calibri"/>
        <family val="2"/>
        <scheme val="minor"/>
      </font>
      <numFmt numFmtId="1" formatCode="0"/>
      <alignment horizontal="center" vertical="center" textRotation="0" wrapText="0" indent="0" justifyLastLine="0" shrinkToFit="0" readingOrder="0"/>
    </dxf>
    <dxf>
      <numFmt numFmtId="1" formatCode="0"/>
      <alignment horizontal="center" vertical="center" textRotation="0" wrapText="0" indent="0" justifyLastLine="0" shrinkToFit="0" readingOrder="0"/>
    </dxf>
    <dxf>
      <font>
        <strike val="0"/>
        <outline val="0"/>
        <shadow val="0"/>
        <u val="none"/>
        <vertAlign val="baseline"/>
        <sz val="12"/>
        <color theme="1"/>
        <name val="Calibri"/>
        <family val="2"/>
        <scheme val="minor"/>
      </font>
      <numFmt numFmtId="1" formatCode="0"/>
      <alignment horizontal="center" vertical="center" textRotation="0" indent="0" justifyLastLine="0" shrinkToFit="0" readingOrder="0"/>
    </dxf>
    <dxf>
      <numFmt numFmtId="1" formatCode="0"/>
      <alignment horizontal="center" vertical="center" textRotation="0" wrapText="0" indent="0" justifyLastLine="0" shrinkToFit="0" readingOrder="0"/>
    </dxf>
    <dxf>
      <numFmt numFmtId="1" formatCode="0"/>
      <alignment horizontal="center" vertical="center" textRotation="0" indent="0" justifyLastLine="0" shrinkToFit="0" readingOrder="0"/>
    </dxf>
    <dxf>
      <alignment horizontal="center" vertical="center" textRotation="0" indent="0" justifyLastLine="0" shrinkToFit="0" readingOrder="0"/>
    </dxf>
    <dxf>
      <alignment horizontal="center" vertical="center" textRotation="0" indent="0" justifyLastLine="0" shrinkToFit="0" readingOrder="0"/>
    </dxf>
    <dxf>
      <alignment horizontal="center" vertical="center" textRotation="0" indent="0" justifyLastLine="0" shrinkToFit="0" readingOrder="0"/>
    </dxf>
    <dxf>
      <numFmt numFmtId="1" formatCode="0"/>
      <alignment horizontal="center" vertical="center" textRotation="0" wrapText="0" indent="0" justifyLastLine="0" shrinkToFit="0" readingOrder="0"/>
    </dxf>
    <dxf>
      <numFmt numFmtId="1" formatCode="0"/>
      <alignment horizontal="center" vertical="center" textRotation="0" wrapText="0" indent="0" justifyLastLine="0" shrinkToFit="0" readingOrder="0"/>
    </dxf>
    <dxf>
      <numFmt numFmtId="1" formatCode="0"/>
      <alignment horizontal="center" vertical="center" textRotation="0" wrapText="0" indent="0" justifyLastLine="0" shrinkToFit="0" readingOrder="0"/>
    </dxf>
    <dxf>
      <alignment horizontal="center" vertical="center" textRotation="0" indent="0" justifyLastLine="0" shrinkToFit="0" readingOrder="0"/>
    </dxf>
    <dxf>
      <alignment horizontal="center" vertical="center" textRotation="0" indent="0" justifyLastLine="0" shrinkToFit="0" readingOrder="0"/>
    </dxf>
    <dxf>
      <alignment horizontal="center" vertical="center" textRotation="0" indent="0" justifyLastLine="0" shrinkToFit="0" readingOrder="0"/>
    </dxf>
    <dxf>
      <numFmt numFmtId="1" formatCode="0"/>
      <alignment horizontal="center" vertical="center" textRotation="0" wrapText="0" indent="0" justifyLastLine="0" shrinkToFit="0" readingOrder="0"/>
    </dxf>
    <dxf>
      <numFmt numFmtId="1" formatCode="0"/>
      <alignment horizontal="center" vertical="center" textRotation="0" wrapText="0" indent="0" justifyLastLine="0" shrinkToFit="0" readingOrder="0"/>
    </dxf>
    <dxf>
      <numFmt numFmtId="1" formatCode="0"/>
      <alignment horizontal="center" vertical="center" textRotation="0" wrapText="0" indent="0" justifyLastLine="0" shrinkToFit="0" readingOrder="0"/>
    </dxf>
    <dxf>
      <numFmt numFmtId="1" formatCode="0"/>
      <alignment horizontal="center" vertical="center" textRotation="0" wrapText="0" indent="0" justifyLastLine="0" shrinkToFit="0" readingOrder="0"/>
    </dxf>
    <dxf>
      <numFmt numFmtId="1" formatCode="0"/>
      <alignment horizontal="center" vertical="center" textRotation="0" wrapText="0" indent="0" justifyLastLine="0" shrinkToFit="0" readingOrder="0"/>
    </dxf>
    <dxf>
      <numFmt numFmtId="1" formatCode="0"/>
      <alignment horizontal="center" vertical="center" textRotation="0" wrapText="0" indent="0" justifyLastLine="0" shrinkToFit="0" readingOrder="0"/>
    </dxf>
    <dxf>
      <numFmt numFmtId="1" formatCode="0"/>
      <alignment horizontal="center" vertical="center" textRotation="0" wrapText="0" indent="0" justifyLastLine="0" shrinkToFit="0" readingOrder="0"/>
    </dxf>
    <dxf>
      <alignment horizontal="center" vertical="center" textRotation="0" indent="0" justifyLastLine="0" shrinkToFit="0" readingOrder="0"/>
    </dxf>
    <dxf>
      <alignment horizontal="center" vertical="center" textRotation="0" indent="0" justifyLastLine="0" shrinkToFit="0" readingOrder="0"/>
    </dxf>
    <dxf>
      <alignment horizontal="center" vertic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indent="0" justifyLastLine="0" shrinkToFit="0" readingOrder="0"/>
    </dxf>
    <dxf>
      <alignment horizontal="center" vertical="center" textRotation="0" indent="0" justifyLastLine="0" shrinkToFit="0" readingOrder="0"/>
    </dxf>
    <dxf>
      <alignment horizontal="center" vertical="center" textRotation="0" indent="0" justifyLastLine="0" shrinkToFit="0" readingOrder="0"/>
    </dxf>
    <dxf>
      <alignment horizontal="center" vertic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indent="0" justifyLastLine="0" shrinkToFit="0" readingOrder="0"/>
    </dxf>
    <dxf>
      <alignment horizontal="center" vertical="center" textRotation="0" indent="0" justifyLastLine="0" shrinkToFit="0" readingOrder="0"/>
    </dxf>
    <dxf>
      <alignment horizontal="center" vertical="center" textRotation="0" indent="0" justifyLastLine="0" shrinkToFit="0" readingOrder="0"/>
    </dxf>
    <dxf>
      <alignment horizontal="center" vertic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indent="0" justifyLastLine="0" shrinkToFit="0" readingOrder="0"/>
    </dxf>
    <dxf>
      <alignment horizontal="center" vertical="center" textRotation="0" indent="0" justifyLastLine="0" shrinkToFit="0" readingOrder="0"/>
    </dxf>
    <dxf>
      <alignment horizontal="center" vertical="center" textRotation="0" indent="0" justifyLastLine="0" shrinkToFit="0" readingOrder="0"/>
    </dxf>
    <dxf>
      <alignment horizontal="center" vertic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wrapText="0" indent="0" justifyLastLine="0" shrinkToFit="0" readingOrder="0"/>
    </dxf>
    <dxf>
      <numFmt numFmtId="1" formatCode="0"/>
      <alignment horizontal="center" vertical="center" textRotation="0" indent="0" justifyLastLine="0" shrinkToFit="0" readingOrder="0"/>
    </dxf>
    <dxf>
      <alignment horizontal="center" vertical="center" textRotation="0" indent="0" justifyLastLine="0" shrinkToFit="0" readingOrder="0"/>
    </dxf>
    <dxf>
      <alignment horizontal="center" vertical="center" textRotation="0" indent="0" justifyLastLine="0" shrinkToFit="0" readingOrder="0"/>
    </dxf>
    <dxf>
      <alignment horizontal="center" vertic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indent="0" justifyLastLine="0" shrinkToFit="0" readingOrder="0"/>
    </dxf>
    <dxf>
      <alignment horizontal="center" vertical="center" textRotation="0" indent="0" justifyLastLine="0" shrinkToFit="0" readingOrder="0"/>
    </dxf>
    <dxf>
      <alignment horizontal="center" vertical="center" textRotation="0" indent="0" justifyLastLine="0" shrinkToFit="0" readingOrder="0"/>
    </dxf>
    <dxf>
      <alignment horizontal="center" vertic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indent="0" justifyLastLine="0" shrinkToFit="0" readingOrder="0"/>
    </dxf>
    <dxf>
      <alignment horizontal="center" vertical="center" textRotation="0" indent="0" justifyLastLine="0" shrinkToFit="0" readingOrder="0"/>
    </dxf>
    <dxf>
      <alignment horizontal="center" vertical="center" textRotation="0" indent="0" justifyLastLine="0" shrinkToFit="0" readingOrder="0"/>
    </dxf>
    <dxf>
      <alignment horizontal="center" vertic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indent="0" justifyLastLine="0" shrinkToFit="0" readingOrder="0"/>
    </dxf>
    <dxf>
      <alignment horizontal="center" vertical="center" textRotation="0" indent="0" justifyLastLine="0" shrinkToFit="0" readingOrder="0"/>
    </dxf>
    <dxf>
      <alignment horizontal="center" vertical="center" textRotation="0" indent="0" justifyLastLine="0" shrinkToFit="0" readingOrder="0"/>
    </dxf>
    <dxf>
      <alignment horizontal="center" vertical="center" textRotation="0" indent="0" justifyLastLine="0" shrinkToFit="0" readingOrder="0"/>
    </dxf>
    <dxf>
      <numFmt numFmtId="3" formatCode="#,##0"/>
      <alignment horizontal="center" vertical="center" textRotation="0" wrapText="0" indent="0" justifyLastLine="0" shrinkToFit="0" readingOrder="0"/>
    </dxf>
    <dxf>
      <numFmt numFmtId="3" formatCode="#,##0"/>
      <alignment horizontal="center" vertical="center" textRotation="0" wrapText="0" indent="0" justifyLastLine="0" shrinkToFit="0" readingOrder="0"/>
    </dxf>
    <dxf>
      <numFmt numFmtId="3" formatCode="#,##0"/>
      <alignment horizontal="center" vertical="center" textRotation="0" wrapText="0" indent="0" justifyLastLine="0" shrinkToFit="0" readingOrder="0"/>
    </dxf>
    <dxf>
      <numFmt numFmtId="3" formatCode="#,##0"/>
      <alignment horizontal="center" vertical="center" textRotation="0" wrapText="0" indent="0" justifyLastLine="0" shrinkToFit="0" readingOrder="0"/>
    </dxf>
    <dxf>
      <numFmt numFmtId="3" formatCode="#,##0"/>
      <alignment horizontal="center" vertical="center" textRotation="0" wrapText="0" indent="0" justifyLastLine="0" shrinkToFit="0" readingOrder="0"/>
    </dxf>
    <dxf>
      <numFmt numFmtId="3" formatCode="#,##0"/>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left" vertical="center" textRotation="0" wrapText="0" indent="0" justifyLastLine="0" shrinkToFit="0" readingOrder="0"/>
    </dxf>
    <dxf>
      <numFmt numFmtId="1" formatCode="0"/>
      <alignment horizontal="center" vertical="center" textRotation="0" wrapText="0" indent="0" justifyLastLine="0" shrinkToFit="0" readingOrder="0"/>
    </dxf>
    <dxf>
      <numFmt numFmtId="1" formatCode="0"/>
      <alignment horizontal="center" vertical="center" textRotation="0" wrapText="0" indent="0" justifyLastLine="0" shrinkToFit="0" readingOrder="0"/>
    </dxf>
    <dxf>
      <numFmt numFmtId="1" formatCode="0"/>
      <alignment horizontal="center" vertical="center" textRotation="0" wrapText="0" indent="0" justifyLastLine="0" shrinkToFit="0" readingOrder="0"/>
    </dxf>
    <dxf>
      <numFmt numFmtId="1" formatCode="0"/>
      <alignment horizontal="center" vertical="center" textRotation="0" wrapText="0" indent="0" justifyLastLine="0" shrinkToFit="0" readingOrder="0"/>
    </dxf>
    <dxf>
      <numFmt numFmtId="1" formatCode="0"/>
      <alignment horizontal="center" vertical="center" textRotation="0" wrapText="0" indent="0" justifyLastLine="0" shrinkToFit="0" readingOrder="0"/>
    </dxf>
    <dxf>
      <numFmt numFmtId="1" formatCode="0"/>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bottom" textRotation="0" wrapText="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indent="0" justifyLastLine="0" shrinkToFit="0" readingOrder="0"/>
    </dxf>
    <dxf>
      <alignment horizontal="center" vertical="center" textRotation="0" indent="0" justifyLastLine="0" shrinkToFit="0" readingOrder="0"/>
    </dxf>
    <dxf>
      <alignment horizontal="center" vertical="center" textRotation="0" indent="0" justifyLastLine="0" shrinkToFit="0" readingOrder="0"/>
    </dxf>
    <dxf>
      <alignment horizontal="center" vertical="center" textRotation="0" indent="0" justifyLastLine="0" shrinkToFit="0" readingOrder="0"/>
    </dxf>
    <dxf>
      <font>
        <b val="0"/>
        <i val="0"/>
        <strike val="0"/>
        <condense val="0"/>
        <extend val="0"/>
        <outline val="0"/>
        <shadow val="0"/>
        <u val="none"/>
        <vertAlign val="baseline"/>
        <sz val="12"/>
        <color theme="1"/>
        <name val="Calibri"/>
        <family val="2"/>
        <scheme val="minor"/>
      </font>
      <numFmt numFmtId="3" formatCode="#,##0"/>
      <alignment horizontal="center" vertical="center" textRotation="0" wrapText="0" indent="0" justifyLastLine="0" shrinkToFit="0" readingOrder="0"/>
      <border diagonalUp="0" diagonalDown="0">
        <left style="thin">
          <color theme="7" tint="0.39997558519241921"/>
        </left>
        <right/>
        <top style="thin">
          <color theme="7" tint="0.39997558519241921"/>
        </top>
        <bottom style="thin">
          <color theme="7" tint="0.39997558519241921"/>
        </bottom>
        <vertical/>
        <horizontal/>
      </border>
    </dxf>
    <dxf>
      <font>
        <b val="0"/>
        <i val="0"/>
        <strike val="0"/>
        <condense val="0"/>
        <extend val="0"/>
        <outline val="0"/>
        <shadow val="0"/>
        <u val="none"/>
        <vertAlign val="baseline"/>
        <sz val="12"/>
        <color theme="1"/>
        <name val="Calibri"/>
        <family val="2"/>
        <scheme val="minor"/>
      </font>
      <alignment horizontal="center" vertical="center" textRotation="0" wrapText="0" indent="0" justifyLastLine="0" shrinkToFit="0" readingOrder="0"/>
      <border diagonalUp="0" diagonalDown="0">
        <left style="thin">
          <color theme="7" tint="0.39997558519241921"/>
        </left>
        <right/>
        <top style="thin">
          <color theme="7" tint="0.39997558519241921"/>
        </top>
        <bottom style="thin">
          <color theme="7" tint="0.39997558519241921"/>
        </bottom>
        <vertical/>
        <horizontal/>
      </border>
    </dxf>
    <dxf>
      <border outline="0">
        <bottom style="thin">
          <color rgb="FFFFD966"/>
        </bottom>
      </border>
    </dxf>
    <dxf>
      <font>
        <b val="0"/>
        <i val="0"/>
        <strike val="0"/>
        <condense val="0"/>
        <extend val="0"/>
        <outline val="0"/>
        <shadow val="0"/>
        <u val="none"/>
        <vertAlign val="baseline"/>
        <sz val="12"/>
        <color rgb="FF000000"/>
        <name val="Calibri"/>
        <family val="2"/>
        <scheme val="none"/>
      </font>
      <alignment horizontal="center" vertical="center" textRotation="0" wrapText="0" indent="0" justifyLastLine="0" shrinkToFit="0" readingOrder="0"/>
    </dxf>
    <dxf>
      <alignment horizontal="center" vertical="center" textRotation="0" wrapText="0" indent="0" justifyLastLine="0" shrinkToFit="0" readingOrder="0"/>
    </dxf>
    <dxf>
      <font>
        <b val="0"/>
        <i val="0"/>
        <strike val="0"/>
        <condense val="0"/>
        <extend val="0"/>
        <outline val="0"/>
        <shadow val="0"/>
        <u val="none"/>
        <vertAlign val="baseline"/>
        <sz val="12"/>
        <color theme="1"/>
        <name val="Calibri"/>
        <family val="2"/>
        <scheme val="minor"/>
      </font>
      <numFmt numFmtId="3" formatCode="#,##0"/>
      <alignment horizontal="center" vertical="center" textRotation="0" wrapText="0" indent="0" justifyLastLine="0" shrinkToFit="0" readingOrder="0"/>
      <border diagonalUp="0" diagonalDown="0">
        <left style="thin">
          <color theme="7" tint="0.39997558519241921"/>
        </left>
        <right/>
        <top style="thin">
          <color theme="7" tint="0.39997558519241921"/>
        </top>
        <bottom style="thin">
          <color theme="7" tint="0.39997558519241921"/>
        </bottom>
        <vertical/>
        <horizontal/>
      </border>
    </dxf>
    <dxf>
      <font>
        <b val="0"/>
        <i val="0"/>
        <strike val="0"/>
        <condense val="0"/>
        <extend val="0"/>
        <outline val="0"/>
        <shadow val="0"/>
        <u val="none"/>
        <vertAlign val="baseline"/>
        <sz val="12"/>
        <color theme="1"/>
        <name val="Calibri"/>
        <family val="2"/>
        <scheme val="minor"/>
      </font>
      <alignment horizontal="center" vertical="center" textRotation="0" wrapText="0" indent="0" justifyLastLine="0" shrinkToFit="0" readingOrder="0"/>
      <border diagonalUp="0" diagonalDown="0">
        <left style="thin">
          <color theme="7" tint="0.39997558519241921"/>
        </left>
        <right/>
        <top style="thin">
          <color theme="7" tint="0.39997558519241921"/>
        </top>
        <bottom style="thin">
          <color theme="7" tint="0.39997558519241921"/>
        </bottom>
        <vertical/>
        <horizontal/>
      </border>
    </dxf>
    <dxf>
      <border outline="0">
        <bottom style="thin">
          <color rgb="FFFFD966"/>
        </bottom>
      </border>
    </dxf>
    <dxf>
      <font>
        <b val="0"/>
        <i val="0"/>
        <strike val="0"/>
        <condense val="0"/>
        <extend val="0"/>
        <outline val="0"/>
        <shadow val="0"/>
        <u val="none"/>
        <vertAlign val="baseline"/>
        <sz val="12"/>
        <color rgb="FF000000"/>
        <name val="Calibri"/>
        <family val="2"/>
        <scheme val="none"/>
      </font>
      <alignment horizontal="center" vertical="center" textRotation="0" wrapText="0" indent="0" justifyLastLine="0" shrinkToFit="0" readingOrder="0"/>
    </dxf>
    <dxf>
      <alignment horizontal="center" vertical="center" textRotation="0" wrapText="0" indent="0" justifyLastLine="0" shrinkToFit="0" readingOrder="0"/>
    </dxf>
    <dxf>
      <numFmt numFmtId="3" formatCode="#,##0"/>
      <alignment horizontal="center" vertical="center" textRotation="0" wrapText="0" indent="0" justifyLastLine="0" shrinkToFit="0" readingOrder="0"/>
    </dxf>
    <dxf>
      <numFmt numFmtId="3" formatCode="#,##0"/>
      <alignment horizontal="center" vertical="center" textRotation="0" wrapText="0" indent="0" justifyLastLine="0" shrinkToFit="0" readingOrder="0"/>
    </dxf>
    <dxf>
      <numFmt numFmtId="3" formatCode="#,##0"/>
      <alignment horizontal="center" vertical="center" textRotation="0" wrapText="0" indent="0" justifyLastLine="0" shrinkToFit="0" readingOrder="0"/>
    </dxf>
    <dxf>
      <numFmt numFmtId="3" formatCode="#,##0"/>
      <alignment horizontal="center" vertical="center" textRotation="0" wrapText="0" indent="0" justifyLastLine="0" shrinkToFit="0" readingOrder="0"/>
    </dxf>
    <dxf>
      <numFmt numFmtId="3" formatCode="#,##0"/>
      <alignment horizontal="center" vertical="center" textRotation="0" wrapText="0" indent="0" justifyLastLine="0" shrinkToFit="0" readingOrder="0"/>
    </dxf>
    <dxf>
      <numFmt numFmtId="3" formatCode="#,##0"/>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left" vertical="center" textRotation="0" wrapText="0" indent="0" justifyLastLine="0" shrinkToFit="0" readingOrder="0"/>
    </dxf>
    <dxf>
      <numFmt numFmtId="3" formatCode="#,##0"/>
      <alignment horizontal="center" vertical="center" textRotation="0" wrapText="0" indent="0" justifyLastLine="0" shrinkToFit="0" readingOrder="0"/>
    </dxf>
    <dxf>
      <numFmt numFmtId="3" formatCode="#,##0"/>
      <alignment horizontal="center" vertical="center" textRotation="0" wrapText="0" indent="0" justifyLastLine="0" shrinkToFit="0" readingOrder="0"/>
    </dxf>
    <dxf>
      <numFmt numFmtId="3" formatCode="#,##0"/>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numFmt numFmtId="3" formatCode="#,##0"/>
      <alignment horizontal="center" vertical="center" textRotation="0" wrapText="0" indent="0" justifyLastLine="0" shrinkToFit="0" readingOrder="0"/>
    </dxf>
    <dxf>
      <numFmt numFmtId="3" formatCode="#,##0"/>
      <alignment horizontal="center" vertical="center" textRotation="0" wrapText="0" indent="0" justifyLastLine="0" shrinkToFit="0" readingOrder="0"/>
    </dxf>
    <dxf>
      <numFmt numFmtId="3" formatCode="#,##0"/>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numFmt numFmtId="1" formatCode="0"/>
      <alignment horizontal="center" vertical="center" textRotation="0" wrapText="0" indent="0" justifyLastLine="0" shrinkToFit="0" readingOrder="0"/>
    </dxf>
    <dxf>
      <numFmt numFmtId="1" formatCode="0"/>
      <alignment horizontal="center" vertical="center" textRotation="0" wrapText="0" indent="0" justifyLastLine="0" shrinkToFit="0" readingOrder="0"/>
    </dxf>
    <dxf>
      <numFmt numFmtId="1" formatCode="0"/>
      <alignment horizontal="center" vertical="center" textRotation="0" wrapText="0" indent="0" justifyLastLine="0" shrinkToFit="0" readingOrder="0"/>
    </dxf>
    <dxf>
      <numFmt numFmtId="1" formatCode="0"/>
      <alignment horizontal="center" vertical="center" textRotation="0" wrapText="0" indent="0" justifyLastLine="0" shrinkToFit="0" readingOrder="0"/>
    </dxf>
    <dxf>
      <numFmt numFmtId="1" formatCode="0"/>
      <alignment horizontal="center" vertical="center" textRotation="0" wrapText="0" indent="0" justifyLastLine="0" shrinkToFit="0" readingOrder="0"/>
    </dxf>
    <dxf>
      <numFmt numFmtId="1" formatCode="0"/>
      <alignment horizontal="center" vertical="center" textRotation="0" wrapText="0" indent="0" justifyLastLine="0" shrinkToFit="0" readingOrder="0"/>
    </dxf>
    <dxf>
      <alignment horizontal="center" vertical="center" textRotation="0" indent="0" justifyLastLine="0" shrinkToFit="0" readingOrder="0"/>
    </dxf>
    <dxf>
      <alignment horizontal="center" vertical="center" textRotation="0" indent="0" justifyLastLine="0" shrinkToFit="0" readingOrder="0"/>
    </dxf>
    <dxf>
      <alignment horizontal="center" vertical="center" textRotation="0" indent="0" justifyLastLine="0" shrinkToFit="0" readingOrder="0"/>
    </dxf>
    <dxf>
      <numFmt numFmtId="1" formatCode="0"/>
      <alignment horizontal="center" vertical="center" textRotation="0" wrapText="0" indent="0" justifyLastLine="0" shrinkToFit="0" readingOrder="0"/>
    </dxf>
    <dxf>
      <numFmt numFmtId="1" formatCode="0"/>
      <alignment horizontal="center" vertical="center" textRotation="0" wrapText="0" indent="0" justifyLastLine="0" shrinkToFit="0" readingOrder="0"/>
    </dxf>
    <dxf>
      <numFmt numFmtId="1" formatCode="0"/>
      <alignment horizontal="center" vertical="center" textRotation="0" wrapText="0" indent="0" justifyLastLine="0" shrinkToFit="0" readingOrder="0"/>
    </dxf>
    <dxf>
      <numFmt numFmtId="1" formatCode="0"/>
      <alignment horizontal="center" vertical="center" textRotation="0" wrapText="0" indent="0" justifyLastLine="0" shrinkToFit="0" readingOrder="0"/>
    </dxf>
    <dxf>
      <numFmt numFmtId="1" formatCode="0"/>
      <alignment horizontal="center" vertical="center" textRotation="0" wrapText="0" indent="0" justifyLastLine="0" shrinkToFit="0" readingOrder="0"/>
    </dxf>
    <dxf>
      <numFmt numFmtId="1" formatCode="0"/>
      <alignment horizontal="center" vertical="center" textRotation="0" wrapText="0" indent="0" justifyLastLine="0" shrinkToFit="0" readingOrder="0"/>
    </dxf>
    <dxf>
      <alignment horizontal="center" vertical="center" textRotation="0" indent="0" justifyLastLine="0" shrinkToFit="0" readingOrder="0"/>
    </dxf>
    <dxf>
      <alignment horizontal="center" vertical="center" textRotation="0" indent="0" justifyLastLine="0" shrinkToFit="0" readingOrder="0"/>
    </dxf>
    <dxf>
      <alignment horizontal="center" vertical="center" textRotation="0" indent="0" justifyLastLine="0" shrinkToFit="0" readingOrder="0"/>
    </dxf>
    <dxf>
      <numFmt numFmtId="1" formatCode="0"/>
      <alignment horizontal="center" vertical="center" textRotation="0" wrapText="0" indent="0" justifyLastLine="0" shrinkToFit="0" readingOrder="0"/>
    </dxf>
    <dxf>
      <numFmt numFmtId="1" formatCode="0"/>
      <alignment horizontal="center" vertical="center" textRotation="0" wrapText="0" indent="0" justifyLastLine="0" shrinkToFit="0" readingOrder="0"/>
    </dxf>
    <dxf>
      <numFmt numFmtId="1" formatCode="0"/>
      <alignment horizontal="center" vertical="center" textRotation="0" wrapText="0" indent="0" justifyLastLine="0" shrinkToFit="0" readingOrder="0"/>
    </dxf>
    <dxf>
      <numFmt numFmtId="1" formatCode="0"/>
      <alignment horizontal="center" vertical="center" textRotation="0" wrapText="0" indent="0" justifyLastLine="0" shrinkToFit="0" readingOrder="0"/>
    </dxf>
    <dxf>
      <numFmt numFmtId="1" formatCode="0"/>
      <alignment horizontal="center" vertical="center" textRotation="0" wrapText="0" indent="0" justifyLastLine="0" shrinkToFit="0" readingOrder="0"/>
    </dxf>
    <dxf>
      <numFmt numFmtId="1" formatCode="0"/>
      <alignment horizontal="center" vertical="center" textRotation="0" wrapText="0" indent="0" justifyLastLine="0" shrinkToFit="0" readingOrder="0"/>
    </dxf>
    <dxf>
      <alignment horizontal="center" vertical="center" textRotation="0" indent="0" justifyLastLine="0" shrinkToFit="0" readingOrder="0"/>
    </dxf>
    <dxf>
      <alignment horizontal="center" vertical="center" textRotation="0" indent="0" justifyLastLine="0" shrinkToFit="0" readingOrder="0"/>
    </dxf>
    <dxf>
      <alignment horizontal="center" vertical="center" textRotation="0" indent="0" justifyLastLine="0" shrinkToFit="0" readingOrder="0"/>
    </dxf>
    <dxf>
      <numFmt numFmtId="1" formatCode="0"/>
      <alignment horizontal="center" vertical="center" textRotation="0" wrapText="0" indent="0" justifyLastLine="0" shrinkToFit="0" readingOrder="0"/>
    </dxf>
    <dxf>
      <numFmt numFmtId="1" formatCode="0"/>
      <alignment horizontal="center" vertical="center" textRotation="0" wrapText="0" indent="0" justifyLastLine="0" shrinkToFit="0" readingOrder="0"/>
    </dxf>
    <dxf>
      <numFmt numFmtId="1" formatCode="0"/>
      <alignment horizontal="center" vertical="center" textRotation="0" wrapText="0" indent="0" justifyLastLine="0" shrinkToFit="0" readingOrder="0"/>
    </dxf>
    <dxf>
      <numFmt numFmtId="1" formatCode="0"/>
      <alignment horizontal="center" vertical="center" textRotation="0" wrapText="0" indent="0" justifyLastLine="0" shrinkToFit="0" readingOrder="0"/>
    </dxf>
    <dxf>
      <numFmt numFmtId="1" formatCode="0"/>
      <alignment horizontal="center" vertical="center" textRotation="0" wrapText="0" indent="0" justifyLastLine="0" shrinkToFit="0" readingOrder="0"/>
    </dxf>
    <dxf>
      <numFmt numFmtId="1" formatCode="0"/>
      <alignment horizontal="center" vertical="center" textRotation="0" wrapText="0" indent="0" justifyLastLine="0" shrinkToFit="0" readingOrder="0"/>
    </dxf>
    <dxf>
      <alignment horizontal="center" vertical="center" textRotation="0" indent="0" justifyLastLine="0" shrinkToFit="0" readingOrder="0"/>
    </dxf>
    <dxf>
      <alignment horizontal="center" vertical="center" textRotation="0" indent="0" justifyLastLine="0" shrinkToFit="0" readingOrder="0"/>
    </dxf>
    <dxf>
      <alignment horizontal="center" vertical="center" textRotation="0" indent="0" justifyLastLine="0" shrinkToFit="0" readingOrder="0"/>
    </dxf>
    <dxf>
      <numFmt numFmtId="1" formatCode="0"/>
      <alignment horizontal="center" vertical="center" textRotation="0" wrapText="0" indent="0" justifyLastLine="0" shrinkToFit="0" readingOrder="0"/>
    </dxf>
    <dxf>
      <numFmt numFmtId="1" formatCode="0"/>
      <alignment horizontal="center" vertical="center" textRotation="0" wrapText="0" indent="0" justifyLastLine="0" shrinkToFit="0" readingOrder="0"/>
    </dxf>
    <dxf>
      <numFmt numFmtId="1" formatCode="0"/>
      <alignment horizontal="center" vertical="center" textRotation="0" wrapText="0" indent="0" justifyLastLine="0" shrinkToFit="0" readingOrder="0"/>
    </dxf>
    <dxf>
      <numFmt numFmtId="1" formatCode="0"/>
      <alignment horizontal="center" vertical="center" textRotation="0" wrapText="0" indent="0" justifyLastLine="0" shrinkToFit="0" readingOrder="0"/>
    </dxf>
    <dxf>
      <numFmt numFmtId="1" formatCode="0"/>
      <alignment horizontal="center" vertical="center" textRotation="0" wrapText="0" indent="0" justifyLastLine="0" shrinkToFit="0" readingOrder="0"/>
    </dxf>
    <dxf>
      <numFmt numFmtId="1" formatCode="0"/>
      <alignment horizontal="center" vertical="center" textRotation="0" wrapText="0" indent="0" justifyLastLine="0" shrinkToFit="0" readingOrder="0"/>
    </dxf>
    <dxf>
      <alignment horizontal="center" vertical="center" textRotation="0" indent="0" justifyLastLine="0" shrinkToFit="0" readingOrder="0"/>
    </dxf>
    <dxf>
      <alignment horizontal="center" vertical="center" textRotation="0" indent="0" justifyLastLine="0" shrinkToFit="0" readingOrder="0"/>
    </dxf>
    <dxf>
      <alignment horizontal="center" vertic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wrapText="0" indent="0" justifyLastLine="0" shrinkToFit="0" readingOrder="0"/>
    </dxf>
    <dxf>
      <alignment horizontal="center" vertical="center" textRotation="0" indent="0" justifyLastLine="0" shrinkToFit="0" readingOrder="0"/>
    </dxf>
    <dxf>
      <alignment horizontal="center" vertical="center" textRotation="0" indent="0" justifyLastLine="0" shrinkToFit="0" readingOrder="0"/>
    </dxf>
    <dxf>
      <alignment horizontal="center" vertical="center" textRotation="0" indent="0" justifyLastLine="0" shrinkToFit="0" readingOrder="0"/>
    </dxf>
    <dxf>
      <alignment horizontal="center" vertical="center" textRotation="0" indent="0" justifyLastLine="0" shrinkToFit="0" readingOrder="0"/>
    </dxf>
    <dxf>
      <numFmt numFmtId="2" formatCode="0.00"/>
      <alignment horizontal="center" vertical="bottom" textRotation="0" wrapText="0" indent="0" justifyLastLine="0" shrinkToFit="0" readingOrder="0"/>
    </dxf>
    <dxf>
      <numFmt numFmtId="2" formatCode="0.00"/>
      <alignment horizontal="center" vertical="bottom" textRotation="0" wrapText="0" indent="0" justifyLastLine="0" shrinkToFit="0" readingOrder="0"/>
    </dxf>
    <dxf>
      <numFmt numFmtId="2" formatCode="0.00"/>
      <alignment horizontal="center" vertical="bottom" textRotation="0" wrapText="0" indent="0" justifyLastLine="0" shrinkToFit="0" readingOrder="0"/>
    </dxf>
    <dxf>
      <alignment horizontal="center" textRotation="0" indent="0" justifyLastLine="0" shrinkToFit="0" readingOrder="0"/>
    </dxf>
    <dxf>
      <alignment horizontal="center" textRotation="0" indent="0" justifyLastLine="0" shrinkToFit="0" readingOrder="0"/>
    </dxf>
    <dxf>
      <alignment horizontal="center" textRotation="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textRotation="0" indent="0" justifyLastLine="0" shrinkToFit="0" readingOrder="0"/>
    </dxf>
    <dxf>
      <numFmt numFmtId="13" formatCode="0%"/>
      <alignment horizontal="center" textRotation="0" indent="0" justifyLastLine="0" shrinkToFit="0" readingOrder="0"/>
    </dxf>
    <dxf>
      <alignment horizontal="center" textRotation="0" indent="0" justifyLastLine="0" shrinkToFit="0" readingOrder="0"/>
    </dxf>
    <dxf>
      <alignment horizontal="center" textRotation="0" indent="0" justifyLastLine="0" shrinkToFit="0" readingOrder="0"/>
    </dxf>
    <dxf>
      <alignment horizontal="center" textRotation="0" indent="0" justifyLastLine="0" shrinkToFit="0" readingOrder="0"/>
    </dxf>
    <dxf>
      <numFmt numFmtId="3" formatCode="#,##0"/>
      <alignment horizontal="center" vertical="center" textRotation="0" wrapText="0" indent="0" justifyLastLine="0" shrinkToFit="0" readingOrder="0"/>
    </dxf>
    <dxf>
      <numFmt numFmtId="3" formatCode="#,##0"/>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font>
        <color auto="1"/>
      </font>
      <numFmt numFmtId="3" formatCode="#,##0"/>
      <alignment horizontal="center" vertical="bottom" textRotation="0" wrapText="0" indent="0" justifyLastLine="0" shrinkToFit="0" readingOrder="0"/>
    </dxf>
    <dxf>
      <numFmt numFmtId="0" formatCode="General"/>
      <alignment horizontal="center" textRotation="0" indent="0" justifyLastLine="0" shrinkToFit="0" readingOrder="0"/>
    </dxf>
    <dxf>
      <alignment horizontal="center" textRotation="0" indent="0" justifyLastLine="0" shrinkToFit="0" readingOrder="0"/>
    </dxf>
    <dxf>
      <alignment horizontal="center" textRotation="0" indent="0" justifyLastLine="0" shrinkToFit="0" readingOrder="0"/>
    </dxf>
    <dxf>
      <alignment horizont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wrapText="0" indent="0" justifyLastLine="0" shrinkToFit="0" readingOrder="0"/>
    </dxf>
    <dxf>
      <alignment horizontal="center" vertical="center" textRotation="0" indent="0" justifyLastLine="0" shrinkToFit="0" readingOrder="0"/>
    </dxf>
    <dxf>
      <alignment horizontal="center" vertical="center" textRotation="0" indent="0" justifyLastLine="0" shrinkToFit="0" readingOrder="0"/>
    </dxf>
    <dxf>
      <alignment horizontal="center" vertical="center" textRotation="0" indent="0" justifyLastLine="0" shrinkToFit="0" readingOrder="0"/>
    </dxf>
    <dxf>
      <alignment horizontal="center" vertical="center" textRotation="0" indent="0" justifyLastLine="0" shrinkToFit="0" readingOrder="0"/>
    </dxf>
    <dxf>
      <numFmt numFmtId="164" formatCode="0.0%"/>
      <alignment horizontal="center" vertical="center" textRotation="0" wrapText="0" indent="0" justifyLastLine="0" shrinkToFit="0" readingOrder="0"/>
    </dxf>
    <dxf>
      <numFmt numFmtId="164" formatCode="0.0%"/>
      <alignment horizontal="center" vertical="center" textRotation="0" wrapText="0" indent="0" justifyLastLine="0" shrinkToFit="0" readingOrder="0"/>
    </dxf>
    <dxf>
      <numFmt numFmtId="1" formatCode="0"/>
      <alignment horizontal="center" vertical="center" textRotation="0" wrapText="0" indent="0" justifyLastLine="0" shrinkToFit="0" readingOrder="0"/>
    </dxf>
    <dxf>
      <alignment horizontal="center" vertical="center" textRotation="0" indent="0" justifyLastLine="0" shrinkToFit="0" readingOrder="0"/>
    </dxf>
    <dxf>
      <alignment horizontal="center" vertical="center" textRotation="0" indent="0" justifyLastLine="0" shrinkToFit="0" readingOrder="0"/>
    </dxf>
    <dxf>
      <alignment horizontal="center" vertical="center" textRotation="0" indent="0" justifyLastLine="0" shrinkToFit="0" readingOrder="0"/>
    </dxf>
    <dxf>
      <numFmt numFmtId="1" formatCode="0"/>
      <alignment horizontal="center" vertical="center" textRotation="0" wrapText="0" indent="0" justifyLastLine="0" shrinkToFit="0" readingOrder="0"/>
    </dxf>
    <dxf>
      <numFmt numFmtId="1" formatCode="0"/>
      <alignment horizontal="center" vertical="center" textRotation="0" wrapText="0" indent="0" justifyLastLine="0" shrinkToFit="0" readingOrder="0"/>
    </dxf>
    <dxf>
      <numFmt numFmtId="1" formatCode="0"/>
      <alignment horizontal="center" vertical="center" textRotation="0" wrapText="0" indent="0" justifyLastLine="0" shrinkToFit="0" readingOrder="0"/>
    </dxf>
    <dxf>
      <numFmt numFmtId="1" formatCode="0"/>
      <alignment horizontal="center" vertical="center" textRotation="0" wrapText="0" indent="0" justifyLastLine="0" shrinkToFit="0" readingOrder="0"/>
    </dxf>
    <dxf>
      <numFmt numFmtId="1" formatCode="0"/>
      <alignment horizontal="center" vertical="center" textRotation="0" wrapText="0" indent="0" justifyLastLine="0" shrinkToFit="0" readingOrder="0"/>
    </dxf>
    <dxf>
      <numFmt numFmtId="1" formatCode="0"/>
      <alignment horizontal="center" vertical="center" textRotation="0" wrapText="0" indent="0" justifyLastLine="0" shrinkToFit="0" readingOrder="0"/>
    </dxf>
    <dxf>
      <numFmt numFmtId="1" formatCode="0"/>
      <alignment horizontal="center" vertical="center" textRotation="0" wrapText="0" indent="0" justifyLastLine="0" shrinkToFit="0" readingOrder="0"/>
    </dxf>
    <dxf>
      <alignment horizontal="center" vertical="center" textRotation="0" indent="0" justifyLastLine="0" shrinkToFit="0" readingOrder="0"/>
    </dxf>
    <dxf>
      <alignment horizontal="center" vertical="center" textRotation="0" indent="0" justifyLastLine="0" shrinkToFit="0" readingOrder="0"/>
    </dxf>
    <dxf>
      <alignment horizontal="center" vertical="center" textRotation="0" indent="0" justifyLastLine="0" shrinkToFit="0" readingOrder="0"/>
    </dxf>
    <dxf>
      <numFmt numFmtId="1" formatCode="0"/>
      <alignment horizontal="center" vertical="center" textRotation="0" wrapText="0" indent="0" justifyLastLine="0" shrinkToFit="0" readingOrder="0"/>
    </dxf>
    <dxf>
      <numFmt numFmtId="1" formatCode="0"/>
      <alignment horizontal="center" vertical="center" textRotation="0" wrapText="0" indent="0" justifyLastLine="0" shrinkToFit="0" readingOrder="0"/>
    </dxf>
    <dxf>
      <numFmt numFmtId="1" formatCode="0"/>
      <alignment horizontal="center" vertical="center" textRotation="0" wrapText="0" indent="0" justifyLastLine="0" shrinkToFit="0" readingOrder="0"/>
    </dxf>
    <dxf>
      <numFmt numFmtId="1" formatCode="0"/>
      <alignment horizontal="center" vertical="center" textRotation="0" wrapText="0" indent="0" justifyLastLine="0" shrinkToFit="0" readingOrder="0"/>
    </dxf>
    <dxf>
      <numFmt numFmtId="1" formatCode="0"/>
      <alignment horizontal="center" vertical="center" textRotation="0" wrapText="0" indent="0" justifyLastLine="0" shrinkToFit="0" readingOrder="0"/>
    </dxf>
    <dxf>
      <numFmt numFmtId="1" formatCode="0"/>
      <alignment horizontal="center" vertical="center" textRotation="0" wrapText="0" indent="0" justifyLastLine="0" shrinkToFit="0" readingOrder="0"/>
    </dxf>
    <dxf>
      <numFmt numFmtId="1" formatCode="0"/>
      <alignment horizontal="center" vertical="center" textRotation="0" wrapText="0" indent="0" justifyLastLine="0" shrinkToFit="0" readingOrder="0"/>
    </dxf>
    <dxf>
      <alignment horizontal="center" vertical="center" textRotation="0" indent="0" justifyLastLine="0" shrinkToFit="0" readingOrder="0"/>
    </dxf>
    <dxf>
      <alignment horizontal="center" vertical="center" textRotation="0" indent="0" justifyLastLine="0" shrinkToFit="0" readingOrder="0"/>
    </dxf>
    <dxf>
      <alignment horizontal="center" vertical="center" textRotation="0" indent="0" justifyLastLine="0" shrinkToFit="0" readingOrder="0"/>
    </dxf>
    <dxf>
      <numFmt numFmtId="1" formatCode="0"/>
      <alignment horizontal="center" vertical="center" textRotation="0" wrapText="0" indent="0" justifyLastLine="0" shrinkToFit="0" readingOrder="0"/>
    </dxf>
    <dxf>
      <numFmt numFmtId="1" formatCode="0"/>
      <alignment horizontal="center" vertical="center" textRotation="0" wrapText="0" indent="0" justifyLastLine="0" shrinkToFit="0" readingOrder="0"/>
    </dxf>
    <dxf>
      <numFmt numFmtId="1" formatCode="0"/>
      <alignment horizontal="center" vertical="center" textRotation="0" wrapText="0" indent="0" justifyLastLine="0" shrinkToFit="0" readingOrder="0"/>
    </dxf>
    <dxf>
      <numFmt numFmtId="1" formatCode="0"/>
      <alignment horizontal="center" vertical="center" textRotation="0" wrapText="0" indent="0" justifyLastLine="0" shrinkToFit="0" readingOrder="0"/>
    </dxf>
    <dxf>
      <numFmt numFmtId="1" formatCode="0"/>
      <alignment horizontal="center" vertical="center" textRotation="0" wrapText="0" indent="0" justifyLastLine="0" shrinkToFit="0" readingOrder="0"/>
    </dxf>
    <dxf>
      <numFmt numFmtId="1" formatCode="0"/>
      <alignment horizontal="center" vertical="center" textRotation="0" wrapText="0" indent="0" justifyLastLine="0" shrinkToFit="0" readingOrder="0"/>
    </dxf>
    <dxf>
      <numFmt numFmtId="1" formatCode="0"/>
      <alignment horizontal="center" vertical="center" textRotation="0" wrapText="0" indent="0" justifyLastLine="0" shrinkToFit="0" readingOrder="0"/>
    </dxf>
    <dxf>
      <alignment horizontal="center" vertical="center" textRotation="0" indent="0" justifyLastLine="0" shrinkToFit="0" readingOrder="0"/>
    </dxf>
    <dxf>
      <alignment horizontal="center" vertical="center" textRotation="0" indent="0" justifyLastLine="0" shrinkToFit="0" readingOrder="0"/>
    </dxf>
    <dxf>
      <alignment horizontal="center" vertical="center" textRotation="0" indent="0" justifyLastLine="0" shrinkToFit="0" readingOrder="0"/>
    </dxf>
    <dxf>
      <numFmt numFmtId="1" formatCode="0"/>
      <alignment horizontal="center" vertical="center" textRotation="0" wrapText="0" indent="0" justifyLastLine="0" shrinkToFit="0" readingOrder="0"/>
    </dxf>
    <dxf>
      <numFmt numFmtId="1" formatCode="0"/>
      <alignment horizontal="center" vertical="center" textRotation="0" wrapText="0" indent="0" justifyLastLine="0" shrinkToFit="0" readingOrder="0"/>
    </dxf>
    <dxf>
      <numFmt numFmtId="1" formatCode="0"/>
      <alignment horizontal="center" vertical="center" textRotation="0" wrapText="0" indent="0" justifyLastLine="0" shrinkToFit="0" readingOrder="0"/>
    </dxf>
    <dxf>
      <numFmt numFmtId="1" formatCode="0"/>
      <alignment horizontal="center" vertical="center" textRotation="0" wrapText="0" indent="0" justifyLastLine="0" shrinkToFit="0" readingOrder="0"/>
    </dxf>
    <dxf>
      <numFmt numFmtId="1" formatCode="0"/>
      <alignment horizontal="center" vertical="center" textRotation="0" wrapText="0" indent="0" justifyLastLine="0" shrinkToFit="0" readingOrder="0"/>
    </dxf>
    <dxf>
      <numFmt numFmtId="1" formatCode="0"/>
      <alignment horizontal="center" vertical="center" textRotation="0" wrapText="0" indent="0" justifyLastLine="0" shrinkToFit="0" readingOrder="0"/>
    </dxf>
    <dxf>
      <numFmt numFmtId="1" formatCode="0"/>
      <alignment horizontal="center" vertical="center" textRotation="0" wrapText="0" indent="0" justifyLastLine="0" shrinkToFit="0" readingOrder="0"/>
    </dxf>
    <dxf>
      <alignment horizontal="center" vertical="center" textRotation="0" indent="0" justifyLastLine="0" shrinkToFit="0" readingOrder="0"/>
    </dxf>
    <dxf>
      <alignment horizontal="center" vertical="center" textRotation="0" indent="0" justifyLastLine="0" shrinkToFit="0" readingOrder="0"/>
    </dxf>
    <dxf>
      <alignment horizontal="center" vertical="center" textRotation="0" indent="0" justifyLastLine="0" shrinkToFit="0" readingOrder="0"/>
    </dxf>
    <dxf>
      <numFmt numFmtId="1" formatCode="0"/>
      <alignment horizontal="center" vertical="center" textRotation="0" wrapText="0" indent="0" justifyLastLine="0" shrinkToFit="0" readingOrder="0"/>
    </dxf>
    <dxf>
      <numFmt numFmtId="1" formatCode="0"/>
      <alignment horizontal="center" vertical="center" textRotation="0" wrapText="0" indent="0" justifyLastLine="0" shrinkToFit="0" readingOrder="0"/>
    </dxf>
    <dxf>
      <numFmt numFmtId="1" formatCode="0"/>
      <alignment horizontal="center" vertical="center" textRotation="0" wrapText="0" indent="0" justifyLastLine="0" shrinkToFit="0" readingOrder="0"/>
    </dxf>
    <dxf>
      <numFmt numFmtId="1" formatCode="0"/>
      <alignment horizontal="center" vertical="center" textRotation="0" wrapText="0" indent="0" justifyLastLine="0" shrinkToFit="0" readingOrder="0"/>
    </dxf>
    <dxf>
      <numFmt numFmtId="1" formatCode="0"/>
      <alignment horizontal="center" vertical="center" textRotation="0" wrapText="0" indent="0" justifyLastLine="0" shrinkToFit="0" readingOrder="0"/>
    </dxf>
    <dxf>
      <numFmt numFmtId="1" formatCode="0"/>
      <alignment horizontal="center" vertical="center" textRotation="0" wrapText="0" indent="0" justifyLastLine="0" shrinkToFit="0" readingOrder="0"/>
    </dxf>
    <dxf>
      <numFmt numFmtId="1" formatCode="0"/>
      <alignment horizontal="center" vertical="center" textRotation="0" wrapText="0" indent="0" justifyLastLine="0" shrinkToFit="0" readingOrder="0"/>
    </dxf>
    <dxf>
      <alignment horizontal="center" vertical="center" textRotation="0" indent="0" justifyLastLine="0" shrinkToFit="0" readingOrder="0"/>
    </dxf>
    <dxf>
      <alignment horizontal="center" vertical="center" textRotation="0" indent="0" justifyLastLine="0" shrinkToFit="0" readingOrder="0"/>
    </dxf>
    <dxf>
      <alignment horizontal="center" vertical="center" textRotation="0" indent="0" justifyLastLine="0" shrinkToFit="0" readingOrder="0"/>
    </dxf>
    <dxf>
      <numFmt numFmtId="1" formatCode="0"/>
      <alignment horizontal="center" vertical="center" textRotation="0" wrapText="0" indent="0" justifyLastLine="0" shrinkToFit="0" readingOrder="0"/>
    </dxf>
    <dxf>
      <numFmt numFmtId="1" formatCode="0"/>
      <alignment horizontal="center" vertical="center" textRotation="0" wrapText="0" indent="0" justifyLastLine="0" shrinkToFit="0" readingOrder="0"/>
    </dxf>
    <dxf>
      <numFmt numFmtId="1" formatCode="0"/>
      <alignment horizontal="center" vertical="center" textRotation="0" wrapText="0" indent="0" justifyLastLine="0" shrinkToFit="0" readingOrder="0"/>
    </dxf>
    <dxf>
      <numFmt numFmtId="1" formatCode="0"/>
      <alignment horizontal="center" vertical="center" textRotation="0" wrapText="0" indent="0" justifyLastLine="0" shrinkToFit="0" readingOrder="0"/>
    </dxf>
    <dxf>
      <numFmt numFmtId="1" formatCode="0"/>
      <alignment horizontal="center" vertical="center" textRotation="0" wrapText="0" indent="0" justifyLastLine="0" shrinkToFit="0" readingOrder="0"/>
    </dxf>
    <dxf>
      <numFmt numFmtId="1" formatCode="0"/>
      <alignment horizontal="center" vertical="center" textRotation="0" wrapText="0" indent="0" justifyLastLine="0" shrinkToFit="0" readingOrder="0"/>
    </dxf>
    <dxf>
      <numFmt numFmtId="1" formatCode="0"/>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indent="0" justifyLastLine="0" shrinkToFit="0" readingOrder="0"/>
    </dxf>
    <dxf>
      <numFmt numFmtId="164" formatCode="0.0%"/>
      <alignment horizontal="center" vertical="center" textRotation="0" indent="0" justifyLastLine="0" shrinkToFit="0" readingOrder="0"/>
    </dxf>
    <dxf>
      <numFmt numFmtId="164" formatCode="0.0%"/>
      <alignment horizontal="center" vertical="center" textRotation="0" wrapText="0" indent="0" justifyLastLine="0" shrinkToFit="0" readingOrder="0"/>
    </dxf>
    <dxf>
      <numFmt numFmtId="1" formatCode="0"/>
      <alignment horizontal="center" vertical="center" textRotation="0" indent="0" justifyLastLine="0" shrinkToFit="0" readingOrder="0"/>
    </dxf>
    <dxf>
      <alignment horizontal="center" vertical="center" textRotation="0" indent="0" justifyLastLine="0" shrinkToFit="0" readingOrder="0"/>
    </dxf>
    <dxf>
      <alignment horizontal="center" vertical="center" textRotation="0" indent="0" justifyLastLine="0" shrinkToFit="0" readingOrder="0"/>
    </dxf>
    <dxf>
      <alignment horizontal="center" vertic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indent="0" justifyLastLine="0" shrinkToFit="0" readingOrder="0"/>
    </dxf>
    <dxf>
      <alignment horizontal="center" vertical="center" textRotation="0" indent="0" justifyLastLine="0" shrinkToFit="0" readingOrder="0"/>
    </dxf>
    <dxf>
      <alignment horizontal="center" vertical="center" textRotation="0" indent="0" justifyLastLine="0" shrinkToFit="0" readingOrder="0"/>
    </dxf>
    <dxf>
      <alignment horizontal="center" vertical="center" textRotation="0" indent="0" justifyLastLine="0" shrinkToFit="0" readingOrder="0"/>
    </dxf>
    <dxf>
      <font>
        <strike val="0"/>
        <outline val="0"/>
        <shadow val="0"/>
        <u val="none"/>
        <vertAlign val="baseline"/>
        <sz val="12"/>
        <color rgb="FF00B050"/>
        <name val="Calibri"/>
        <family val="2"/>
        <scheme val="minor"/>
      </font>
      <numFmt numFmtId="1" formatCode="0"/>
      <alignment horizontal="center" vertical="center" textRotation="0" indent="0" justifyLastLine="0" shrinkToFit="0" readingOrder="0"/>
    </dxf>
    <dxf>
      <font>
        <strike val="0"/>
        <outline val="0"/>
        <shadow val="0"/>
        <u val="none"/>
        <vertAlign val="baseline"/>
        <sz val="12"/>
        <color rgb="FF00B050"/>
        <name val="Calibri"/>
        <family val="2"/>
        <scheme val="minor"/>
      </font>
      <numFmt numFmtId="1" formatCode="0"/>
      <alignment horizontal="center" vertical="center" textRotation="0" indent="0" justifyLastLine="0" shrinkToFit="0" readingOrder="0"/>
    </dxf>
    <dxf>
      <font>
        <b val="0"/>
        <i val="0"/>
        <strike val="0"/>
        <condense val="0"/>
        <extend val="0"/>
        <outline val="0"/>
        <shadow val="0"/>
        <u val="none"/>
        <vertAlign val="baseline"/>
        <sz val="12"/>
        <color rgb="FFFF0000"/>
        <name val="Calibri"/>
        <family val="2"/>
        <scheme val="minor"/>
      </font>
      <numFmt numFmtId="1" formatCode="0"/>
      <alignment horizontal="center" vertical="center" textRotation="0" wrapText="0" indent="0" justifyLastLine="0" shrinkToFit="0" readingOrder="0"/>
    </dxf>
    <dxf>
      <font>
        <b val="0"/>
        <i val="0"/>
        <strike val="0"/>
        <condense val="0"/>
        <extend val="0"/>
        <outline val="0"/>
        <shadow val="0"/>
        <u val="none"/>
        <vertAlign val="baseline"/>
        <sz val="12"/>
        <color rgb="FFFF0000"/>
        <name val="Calibri"/>
        <family val="2"/>
        <scheme val="minor"/>
      </font>
      <numFmt numFmtId="1" formatCode="0"/>
      <alignment horizontal="center" vertical="center" textRotation="0" wrapText="0" indent="0" justifyLastLine="0" shrinkToFit="0" readingOrder="0"/>
    </dxf>
    <dxf>
      <font>
        <b val="0"/>
        <i val="0"/>
        <strike val="0"/>
        <condense val="0"/>
        <extend val="0"/>
        <outline val="0"/>
        <shadow val="0"/>
        <u val="none"/>
        <vertAlign val="baseline"/>
        <sz val="12"/>
        <color rgb="FFFF0000"/>
        <name val="Calibri"/>
        <family val="2"/>
        <scheme val="minor"/>
      </font>
      <numFmt numFmtId="1" formatCode="0"/>
      <alignment horizontal="center" vertical="center" textRotation="0" wrapText="0" indent="0" justifyLastLine="0" shrinkToFit="0" readingOrder="0"/>
    </dxf>
    <dxf>
      <numFmt numFmtId="1" formatCode="0"/>
      <alignment horizontal="center" vertical="center" textRotation="0" wrapText="0" indent="0" justifyLastLine="0" shrinkToFit="0" readingOrder="0"/>
    </dxf>
    <dxf>
      <font>
        <strike val="0"/>
        <outline val="0"/>
        <shadow val="0"/>
        <u val="none"/>
        <vertAlign val="baseline"/>
        <sz val="12"/>
        <color theme="1"/>
        <name val="Calibri"/>
        <family val="2"/>
        <scheme val="minor"/>
      </font>
      <numFmt numFmtId="1" formatCode="0"/>
      <alignment horizontal="center" vertical="center" textRotation="0" indent="0" justifyLastLine="0" shrinkToFit="0" readingOrder="0"/>
    </dxf>
    <dxf>
      <numFmt numFmtId="1" formatCode="0"/>
      <alignment horizontal="center" vertical="center" textRotation="0" wrapText="0" indent="0" justifyLastLine="0" shrinkToFit="0" readingOrder="0"/>
    </dxf>
    <dxf>
      <numFmt numFmtId="1" formatCode="0"/>
      <alignment horizontal="center" vertical="center" textRotation="0" indent="0" justifyLastLine="0" shrinkToFit="0" readingOrder="0"/>
    </dxf>
    <dxf>
      <alignment horizontal="center" vertical="center" textRotation="0" indent="0" justifyLastLine="0" shrinkToFit="0" readingOrder="0"/>
    </dxf>
    <dxf>
      <alignment horizontal="center" vertical="center" textRotation="0" indent="0" justifyLastLine="0" shrinkToFit="0" readingOrder="0"/>
    </dxf>
    <dxf>
      <alignment horizontal="center" vertical="center" textRotation="0" indent="0" justifyLastLine="0" shrinkToFit="0" readingOrder="0"/>
    </dxf>
    <dxf>
      <numFmt numFmtId="1" formatCode="0"/>
      <alignment horizontal="center" vertical="center" textRotation="0" wrapText="0" indent="0" justifyLastLine="0" shrinkToFit="0" readingOrder="0"/>
    </dxf>
    <dxf>
      <numFmt numFmtId="1" formatCode="0"/>
      <alignment horizontal="center" vertical="center" textRotation="0" wrapText="0" indent="0" justifyLastLine="0" shrinkToFit="0" readingOrder="0"/>
    </dxf>
    <dxf>
      <numFmt numFmtId="1" formatCode="0"/>
      <alignment horizontal="center" vertical="center" textRotation="0" wrapText="0" indent="0" justifyLastLine="0" shrinkToFit="0" readingOrder="0"/>
    </dxf>
    <dxf>
      <alignment horizontal="center" vertical="center" textRotation="0" indent="0" justifyLastLine="0" shrinkToFit="0" readingOrder="0"/>
    </dxf>
    <dxf>
      <alignment horizontal="center" vertical="center" textRotation="0" indent="0" justifyLastLine="0" shrinkToFit="0" readingOrder="0"/>
    </dxf>
    <dxf>
      <alignment horizontal="center" vertical="center" textRotation="0" indent="0" justifyLastLine="0" shrinkToFit="0" readingOrder="0"/>
    </dxf>
    <dxf>
      <numFmt numFmtId="1" formatCode="0"/>
      <alignment horizontal="center" vertical="center" textRotation="0" wrapText="0" indent="0" justifyLastLine="0" shrinkToFit="0" readingOrder="0"/>
    </dxf>
    <dxf>
      <numFmt numFmtId="1" formatCode="0"/>
      <alignment horizontal="center" vertical="center" textRotation="0" wrapText="0" indent="0" justifyLastLine="0" shrinkToFit="0" readingOrder="0"/>
    </dxf>
    <dxf>
      <numFmt numFmtId="1" formatCode="0"/>
      <alignment horizontal="center" vertical="center" textRotation="0" wrapText="0" indent="0" justifyLastLine="0" shrinkToFit="0" readingOrder="0"/>
    </dxf>
    <dxf>
      <numFmt numFmtId="1" formatCode="0"/>
      <alignment horizontal="center" vertical="center" textRotation="0" wrapText="0" indent="0" justifyLastLine="0" shrinkToFit="0" readingOrder="0"/>
    </dxf>
    <dxf>
      <numFmt numFmtId="1" formatCode="0"/>
      <alignment horizontal="center" vertical="center" textRotation="0" wrapText="0" indent="0" justifyLastLine="0" shrinkToFit="0" readingOrder="0"/>
    </dxf>
    <dxf>
      <numFmt numFmtId="1" formatCode="0"/>
      <alignment horizontal="center" vertical="center" textRotation="0" wrapText="0" indent="0" justifyLastLine="0" shrinkToFit="0" readingOrder="0"/>
    </dxf>
    <dxf>
      <numFmt numFmtId="1" formatCode="0"/>
      <alignment horizontal="center" vertical="center" textRotation="0" wrapText="0" indent="0" justifyLastLine="0" shrinkToFit="0" readingOrder="0"/>
    </dxf>
    <dxf>
      <alignment horizontal="center" vertical="center" textRotation="0" indent="0" justifyLastLine="0" shrinkToFit="0" readingOrder="0"/>
    </dxf>
    <dxf>
      <alignment horizontal="center" vertical="center" textRotation="0" indent="0" justifyLastLine="0" shrinkToFit="0" readingOrder="0"/>
    </dxf>
    <dxf>
      <alignment horizontal="center" vertic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indent="0" justifyLastLine="0" shrinkToFit="0" readingOrder="0"/>
    </dxf>
    <dxf>
      <alignment horizontal="center" vertical="center" textRotation="0" indent="0" justifyLastLine="0" shrinkToFit="0" readingOrder="0"/>
    </dxf>
    <dxf>
      <alignment horizontal="center" vertical="center" textRotation="0" indent="0" justifyLastLine="0" shrinkToFit="0" readingOrder="0"/>
    </dxf>
    <dxf>
      <alignment horizontal="center" vertic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indent="0" justifyLastLine="0" shrinkToFit="0" readingOrder="0"/>
    </dxf>
    <dxf>
      <alignment horizontal="center" vertical="center" textRotation="0" indent="0" justifyLastLine="0" shrinkToFit="0" readingOrder="0"/>
    </dxf>
    <dxf>
      <alignment horizontal="center" vertical="center" textRotation="0" indent="0" justifyLastLine="0" shrinkToFit="0" readingOrder="0"/>
    </dxf>
    <dxf>
      <alignment horizontal="center" vertic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indent="0" justifyLastLine="0" shrinkToFit="0" readingOrder="0"/>
    </dxf>
    <dxf>
      <alignment horizontal="center" vertical="center" textRotation="0" indent="0" justifyLastLine="0" shrinkToFit="0" readingOrder="0"/>
    </dxf>
    <dxf>
      <alignment horizontal="center" vertical="center" textRotation="0" indent="0" justifyLastLine="0" shrinkToFit="0" readingOrder="0"/>
    </dxf>
    <dxf>
      <alignment horizontal="center" vertic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wrapText="0" indent="0" justifyLastLine="0" shrinkToFit="0" readingOrder="0"/>
    </dxf>
    <dxf>
      <numFmt numFmtId="1" formatCode="0"/>
      <alignment horizontal="center" vertical="center" textRotation="0" indent="0" justifyLastLine="0" shrinkToFit="0" readingOrder="0"/>
    </dxf>
    <dxf>
      <alignment horizontal="center" vertical="center" textRotation="0" indent="0" justifyLastLine="0" shrinkToFit="0" readingOrder="0"/>
    </dxf>
    <dxf>
      <alignment horizontal="center" vertical="center" textRotation="0" indent="0" justifyLastLine="0" shrinkToFit="0" readingOrder="0"/>
    </dxf>
    <dxf>
      <alignment horizontal="center" vertic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indent="0" justifyLastLine="0" shrinkToFit="0" readingOrder="0"/>
    </dxf>
    <dxf>
      <alignment horizontal="center" vertical="center" textRotation="0" indent="0" justifyLastLine="0" shrinkToFit="0" readingOrder="0"/>
    </dxf>
    <dxf>
      <alignment horizontal="center" vertical="center" textRotation="0" indent="0" justifyLastLine="0" shrinkToFit="0" readingOrder="0"/>
    </dxf>
    <dxf>
      <alignment horizontal="center" vertic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indent="0" justifyLastLine="0" shrinkToFit="0" readingOrder="0"/>
    </dxf>
    <dxf>
      <alignment horizontal="center" vertical="center" textRotation="0" indent="0" justifyLastLine="0" shrinkToFit="0" readingOrder="0"/>
    </dxf>
    <dxf>
      <alignment horizontal="center" vertical="center" textRotation="0" indent="0" justifyLastLine="0" shrinkToFit="0" readingOrder="0"/>
    </dxf>
    <dxf>
      <alignment horizontal="center" vertic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indent="0" justifyLastLine="0" shrinkToFit="0" readingOrder="0"/>
    </dxf>
    <dxf>
      <alignment horizontal="center" vertical="center" textRotation="0" indent="0" justifyLastLine="0" shrinkToFit="0" readingOrder="0"/>
    </dxf>
    <dxf>
      <alignment horizontal="center" vertical="center" textRotation="0" indent="0" justifyLastLine="0" shrinkToFit="0" readingOrder="0"/>
    </dxf>
    <dxf>
      <alignment horizontal="center" vertical="center" textRotation="0" indent="0" justifyLastLine="0" shrinkToFit="0" readingOrder="0"/>
    </dxf>
    <dxf>
      <numFmt numFmtId="3" formatCode="#,##0"/>
      <alignment horizontal="center" vertical="center" textRotation="0" wrapText="0" indent="0" justifyLastLine="0" shrinkToFit="0" readingOrder="0"/>
    </dxf>
    <dxf>
      <numFmt numFmtId="3" formatCode="#,##0"/>
      <alignment horizontal="center" vertical="center" textRotation="0" wrapText="0" indent="0" justifyLastLine="0" shrinkToFit="0" readingOrder="0"/>
    </dxf>
    <dxf>
      <numFmt numFmtId="3" formatCode="#,##0"/>
      <alignment horizontal="center" vertical="center" textRotation="0" wrapText="0" indent="0" justifyLastLine="0" shrinkToFit="0" readingOrder="0"/>
    </dxf>
    <dxf>
      <numFmt numFmtId="3" formatCode="#,##0"/>
      <alignment horizontal="center" vertical="center" textRotation="0" wrapText="0" indent="0" justifyLastLine="0" shrinkToFit="0" readingOrder="0"/>
    </dxf>
    <dxf>
      <numFmt numFmtId="3" formatCode="#,##0"/>
      <alignment horizontal="center" vertical="center" textRotation="0" wrapText="0" indent="0" justifyLastLine="0" shrinkToFit="0" readingOrder="0"/>
    </dxf>
    <dxf>
      <numFmt numFmtId="3" formatCode="#,##0"/>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left" vertical="center" textRotation="0" wrapText="0" indent="0" justifyLastLine="0" shrinkToFit="0" readingOrder="0"/>
    </dxf>
    <dxf>
      <numFmt numFmtId="1" formatCode="0"/>
      <alignment horizontal="center" vertical="center" textRotation="0" wrapText="0" indent="0" justifyLastLine="0" shrinkToFit="0" readingOrder="0"/>
    </dxf>
    <dxf>
      <numFmt numFmtId="1" formatCode="0"/>
      <alignment horizontal="center" vertical="center" textRotation="0" wrapText="0" indent="0" justifyLastLine="0" shrinkToFit="0" readingOrder="0"/>
    </dxf>
    <dxf>
      <numFmt numFmtId="1" formatCode="0"/>
      <alignment horizontal="center" vertical="center" textRotation="0" wrapText="0" indent="0" justifyLastLine="0" shrinkToFit="0" readingOrder="0"/>
    </dxf>
    <dxf>
      <numFmt numFmtId="1" formatCode="0"/>
      <alignment horizontal="center" vertical="center" textRotation="0" wrapText="0" indent="0" justifyLastLine="0" shrinkToFit="0" readingOrder="0"/>
    </dxf>
    <dxf>
      <numFmt numFmtId="1" formatCode="0"/>
      <alignment horizontal="center" vertical="center" textRotation="0" wrapText="0" indent="0" justifyLastLine="0" shrinkToFit="0" readingOrder="0"/>
    </dxf>
    <dxf>
      <numFmt numFmtId="1" formatCode="0"/>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bottom" textRotation="0" wrapText="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indent="0" justifyLastLine="0" shrinkToFit="0" readingOrder="0"/>
    </dxf>
    <dxf>
      <alignment horizontal="center" vertical="center" textRotation="0" indent="0" justifyLastLine="0" shrinkToFit="0" readingOrder="0"/>
    </dxf>
    <dxf>
      <alignment horizontal="center" vertical="center" textRotation="0" indent="0" justifyLastLine="0" shrinkToFit="0" readingOrder="0"/>
    </dxf>
    <dxf>
      <alignment horizontal="center" vertical="center" textRotation="0" indent="0" justifyLastLine="0" shrinkToFit="0" readingOrder="0"/>
    </dxf>
    <dxf>
      <font>
        <b val="0"/>
        <i val="0"/>
        <strike val="0"/>
        <condense val="0"/>
        <extend val="0"/>
        <outline val="0"/>
        <shadow val="0"/>
        <u val="none"/>
        <vertAlign val="baseline"/>
        <sz val="12"/>
        <color theme="1"/>
        <name val="Calibri"/>
        <family val="2"/>
        <scheme val="minor"/>
      </font>
      <numFmt numFmtId="3" formatCode="#,##0"/>
      <alignment horizontal="center" vertical="center" textRotation="0" wrapText="0" indent="0" justifyLastLine="0" shrinkToFit="0" readingOrder="0"/>
      <border diagonalUp="0" diagonalDown="0">
        <left style="thin">
          <color theme="7" tint="0.39997558519241921"/>
        </left>
        <right/>
        <top style="thin">
          <color theme="7" tint="0.39997558519241921"/>
        </top>
        <bottom style="thin">
          <color theme="7" tint="0.39997558519241921"/>
        </bottom>
        <vertical/>
        <horizontal/>
      </border>
    </dxf>
    <dxf>
      <font>
        <b val="0"/>
        <i val="0"/>
        <strike val="0"/>
        <condense val="0"/>
        <extend val="0"/>
        <outline val="0"/>
        <shadow val="0"/>
        <u val="none"/>
        <vertAlign val="baseline"/>
        <sz val="12"/>
        <color theme="1"/>
        <name val="Calibri"/>
        <family val="2"/>
        <scheme val="minor"/>
      </font>
      <alignment horizontal="center" vertical="center" textRotation="0" wrapText="0" indent="0" justifyLastLine="0" shrinkToFit="0" readingOrder="0"/>
      <border diagonalUp="0" diagonalDown="0">
        <left style="thin">
          <color theme="7" tint="0.39997558519241921"/>
        </left>
        <right/>
        <top style="thin">
          <color theme="7" tint="0.39997558519241921"/>
        </top>
        <bottom style="thin">
          <color theme="7" tint="0.39997558519241921"/>
        </bottom>
        <vertical/>
        <horizontal/>
      </border>
    </dxf>
    <dxf>
      <border outline="0">
        <bottom style="thin">
          <color rgb="FFFFD966"/>
        </bottom>
      </border>
    </dxf>
    <dxf>
      <font>
        <b val="0"/>
        <i val="0"/>
        <strike val="0"/>
        <condense val="0"/>
        <extend val="0"/>
        <outline val="0"/>
        <shadow val="0"/>
        <u val="none"/>
        <vertAlign val="baseline"/>
        <sz val="12"/>
        <color rgb="FF000000"/>
        <name val="Calibri"/>
        <family val="2"/>
        <scheme val="none"/>
      </font>
      <alignment horizontal="center" vertical="center" textRotation="0" wrapText="0" indent="0" justifyLastLine="0" shrinkToFit="0" readingOrder="0"/>
    </dxf>
    <dxf>
      <alignment horizontal="center" vertical="center" textRotation="0" wrapText="0" indent="0" justifyLastLine="0" shrinkToFit="0" readingOrder="0"/>
    </dxf>
    <dxf>
      <font>
        <b val="0"/>
        <i val="0"/>
        <strike val="0"/>
        <condense val="0"/>
        <extend val="0"/>
        <outline val="0"/>
        <shadow val="0"/>
        <u val="none"/>
        <vertAlign val="baseline"/>
        <sz val="12"/>
        <color theme="1"/>
        <name val="Calibri"/>
        <family val="2"/>
        <scheme val="minor"/>
      </font>
      <numFmt numFmtId="3" formatCode="#,##0"/>
      <alignment horizontal="center" vertical="center" textRotation="0" wrapText="0" indent="0" justifyLastLine="0" shrinkToFit="0" readingOrder="0"/>
      <border diagonalUp="0" diagonalDown="0">
        <left style="thin">
          <color theme="7" tint="0.39997558519241921"/>
        </left>
        <right/>
        <top style="thin">
          <color theme="7" tint="0.39997558519241921"/>
        </top>
        <bottom style="thin">
          <color theme="7" tint="0.39997558519241921"/>
        </bottom>
        <vertical/>
        <horizontal/>
      </border>
    </dxf>
    <dxf>
      <font>
        <b val="0"/>
        <i val="0"/>
        <strike val="0"/>
        <condense val="0"/>
        <extend val="0"/>
        <outline val="0"/>
        <shadow val="0"/>
        <u val="none"/>
        <vertAlign val="baseline"/>
        <sz val="12"/>
        <color theme="1"/>
        <name val="Calibri"/>
        <family val="2"/>
        <scheme val="minor"/>
      </font>
      <alignment horizontal="center" vertical="center" textRotation="0" wrapText="0" indent="0" justifyLastLine="0" shrinkToFit="0" readingOrder="0"/>
      <border diagonalUp="0" diagonalDown="0">
        <left style="thin">
          <color theme="7" tint="0.39997558519241921"/>
        </left>
        <right/>
        <top style="thin">
          <color theme="7" tint="0.39997558519241921"/>
        </top>
        <bottom style="thin">
          <color theme="7" tint="0.39997558519241921"/>
        </bottom>
        <vertical/>
        <horizontal/>
      </border>
    </dxf>
    <dxf>
      <border outline="0">
        <bottom style="thin">
          <color rgb="FFFFD966"/>
        </bottom>
      </border>
    </dxf>
    <dxf>
      <font>
        <b val="0"/>
        <i val="0"/>
        <strike val="0"/>
        <condense val="0"/>
        <extend val="0"/>
        <outline val="0"/>
        <shadow val="0"/>
        <u val="none"/>
        <vertAlign val="baseline"/>
        <sz val="12"/>
        <color rgb="FF000000"/>
        <name val="Calibri"/>
        <family val="2"/>
        <scheme val="none"/>
      </font>
      <alignment horizontal="center" vertical="center" textRotation="0" wrapText="0" indent="0" justifyLastLine="0" shrinkToFit="0" readingOrder="0"/>
    </dxf>
    <dxf>
      <alignment horizontal="center" vertical="center" textRotation="0" wrapText="0" indent="0" justifyLastLine="0" shrinkToFit="0" readingOrder="0"/>
    </dxf>
    <dxf>
      <numFmt numFmtId="3" formatCode="#,##0"/>
      <alignment horizontal="center" vertical="center" textRotation="0" wrapText="0" indent="0" justifyLastLine="0" shrinkToFit="0" readingOrder="0"/>
    </dxf>
    <dxf>
      <numFmt numFmtId="3" formatCode="#,##0"/>
      <alignment horizontal="center" vertical="center" textRotation="0" wrapText="0" indent="0" justifyLastLine="0" shrinkToFit="0" readingOrder="0"/>
    </dxf>
    <dxf>
      <numFmt numFmtId="3" formatCode="#,##0"/>
      <alignment horizontal="center" vertical="center" textRotation="0" wrapText="0" indent="0" justifyLastLine="0" shrinkToFit="0" readingOrder="0"/>
    </dxf>
    <dxf>
      <numFmt numFmtId="3" formatCode="#,##0"/>
      <alignment horizontal="center" vertical="center" textRotation="0" wrapText="0" indent="0" justifyLastLine="0" shrinkToFit="0" readingOrder="0"/>
    </dxf>
    <dxf>
      <numFmt numFmtId="3" formatCode="#,##0"/>
      <alignment horizontal="center" vertical="center" textRotation="0" wrapText="0" indent="0" justifyLastLine="0" shrinkToFit="0" readingOrder="0"/>
    </dxf>
    <dxf>
      <numFmt numFmtId="3" formatCode="#,##0"/>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left" vertical="center" textRotation="0" wrapText="0" indent="0" justifyLastLine="0" shrinkToFit="0" readingOrder="0"/>
    </dxf>
    <dxf>
      <numFmt numFmtId="3" formatCode="#,##0"/>
      <alignment horizontal="center" vertical="center" textRotation="0" wrapText="0" indent="0" justifyLastLine="0" shrinkToFit="0" readingOrder="0"/>
    </dxf>
    <dxf>
      <numFmt numFmtId="3" formatCode="#,##0"/>
      <alignment horizontal="center" vertical="center" textRotation="0" wrapText="0" indent="0" justifyLastLine="0" shrinkToFit="0" readingOrder="0"/>
    </dxf>
    <dxf>
      <numFmt numFmtId="3" formatCode="#,##0"/>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numFmt numFmtId="3" formatCode="#,##0"/>
      <alignment horizontal="center" vertical="center" textRotation="0" wrapText="0" indent="0" justifyLastLine="0" shrinkToFit="0" readingOrder="0"/>
    </dxf>
    <dxf>
      <numFmt numFmtId="3" formatCode="#,##0"/>
      <alignment horizontal="center" vertical="center" textRotation="0" wrapText="0" indent="0" justifyLastLine="0" shrinkToFit="0" readingOrder="0"/>
    </dxf>
    <dxf>
      <numFmt numFmtId="3" formatCode="#,##0"/>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numFmt numFmtId="1" formatCode="0"/>
      <alignment horizontal="center" vertical="center" textRotation="0" wrapText="0" indent="0" justifyLastLine="0" shrinkToFit="0" readingOrder="0"/>
    </dxf>
    <dxf>
      <numFmt numFmtId="1" formatCode="0"/>
      <alignment horizontal="center" vertical="center" textRotation="0" wrapText="0" indent="0" justifyLastLine="0" shrinkToFit="0" readingOrder="0"/>
    </dxf>
    <dxf>
      <numFmt numFmtId="1" formatCode="0"/>
      <alignment horizontal="center" vertical="center" textRotation="0" wrapText="0" indent="0" justifyLastLine="0" shrinkToFit="0" readingOrder="0"/>
    </dxf>
    <dxf>
      <numFmt numFmtId="1" formatCode="0"/>
      <alignment horizontal="center" vertical="center" textRotation="0" wrapText="0" indent="0" justifyLastLine="0" shrinkToFit="0" readingOrder="0"/>
    </dxf>
    <dxf>
      <numFmt numFmtId="1" formatCode="0"/>
      <alignment horizontal="center" vertical="center" textRotation="0" wrapText="0" indent="0" justifyLastLine="0" shrinkToFit="0" readingOrder="0"/>
    </dxf>
    <dxf>
      <numFmt numFmtId="1" formatCode="0"/>
      <alignment horizontal="center" vertical="center" textRotation="0" wrapText="0" indent="0" justifyLastLine="0" shrinkToFit="0" readingOrder="0"/>
    </dxf>
    <dxf>
      <alignment horizontal="center" vertical="center" textRotation="0" indent="0" justifyLastLine="0" shrinkToFit="0" readingOrder="0"/>
    </dxf>
    <dxf>
      <alignment horizontal="center" vertical="center" textRotation="0" indent="0" justifyLastLine="0" shrinkToFit="0" readingOrder="0"/>
    </dxf>
    <dxf>
      <alignment horizontal="center" vertical="center" textRotation="0" indent="0" justifyLastLine="0" shrinkToFit="0" readingOrder="0"/>
    </dxf>
    <dxf>
      <numFmt numFmtId="1" formatCode="0"/>
      <alignment horizontal="center" vertical="center" textRotation="0" wrapText="0" indent="0" justifyLastLine="0" shrinkToFit="0" readingOrder="0"/>
    </dxf>
    <dxf>
      <numFmt numFmtId="1" formatCode="0"/>
      <alignment horizontal="center" vertical="center" textRotation="0" wrapText="0" indent="0" justifyLastLine="0" shrinkToFit="0" readingOrder="0"/>
    </dxf>
    <dxf>
      <numFmt numFmtId="1" formatCode="0"/>
      <alignment horizontal="center" vertical="center" textRotation="0" wrapText="0" indent="0" justifyLastLine="0" shrinkToFit="0" readingOrder="0"/>
    </dxf>
    <dxf>
      <numFmt numFmtId="1" formatCode="0"/>
      <alignment horizontal="center" vertical="center" textRotation="0" wrapText="0" indent="0" justifyLastLine="0" shrinkToFit="0" readingOrder="0"/>
    </dxf>
    <dxf>
      <numFmt numFmtId="1" formatCode="0"/>
      <alignment horizontal="center" vertical="center" textRotation="0" wrapText="0" indent="0" justifyLastLine="0" shrinkToFit="0" readingOrder="0"/>
    </dxf>
    <dxf>
      <numFmt numFmtId="1" formatCode="0"/>
      <alignment horizontal="center" vertical="center" textRotation="0" wrapText="0" indent="0" justifyLastLine="0" shrinkToFit="0" readingOrder="0"/>
    </dxf>
    <dxf>
      <alignment horizontal="center" vertical="center" textRotation="0" indent="0" justifyLastLine="0" shrinkToFit="0" readingOrder="0"/>
    </dxf>
    <dxf>
      <alignment horizontal="center" vertical="center" textRotation="0" indent="0" justifyLastLine="0" shrinkToFit="0" readingOrder="0"/>
    </dxf>
    <dxf>
      <alignment horizontal="center" vertical="center" textRotation="0" indent="0" justifyLastLine="0" shrinkToFit="0" readingOrder="0"/>
    </dxf>
    <dxf>
      <numFmt numFmtId="1" formatCode="0"/>
      <alignment horizontal="center" vertical="center" textRotation="0" wrapText="0" indent="0" justifyLastLine="0" shrinkToFit="0" readingOrder="0"/>
    </dxf>
    <dxf>
      <numFmt numFmtId="1" formatCode="0"/>
      <alignment horizontal="center" vertical="center" textRotation="0" wrapText="0" indent="0" justifyLastLine="0" shrinkToFit="0" readingOrder="0"/>
    </dxf>
    <dxf>
      <numFmt numFmtId="1" formatCode="0"/>
      <alignment horizontal="center" vertical="center" textRotation="0" wrapText="0" indent="0" justifyLastLine="0" shrinkToFit="0" readingOrder="0"/>
    </dxf>
    <dxf>
      <numFmt numFmtId="1" formatCode="0"/>
      <alignment horizontal="center" vertical="center" textRotation="0" wrapText="0" indent="0" justifyLastLine="0" shrinkToFit="0" readingOrder="0"/>
    </dxf>
    <dxf>
      <numFmt numFmtId="1" formatCode="0"/>
      <alignment horizontal="center" vertical="center" textRotation="0" wrapText="0" indent="0" justifyLastLine="0" shrinkToFit="0" readingOrder="0"/>
    </dxf>
    <dxf>
      <numFmt numFmtId="1" formatCode="0"/>
      <alignment horizontal="center" vertical="center" textRotation="0" wrapText="0" indent="0" justifyLastLine="0" shrinkToFit="0" readingOrder="0"/>
    </dxf>
    <dxf>
      <alignment horizontal="center" vertical="center" textRotation="0" indent="0" justifyLastLine="0" shrinkToFit="0" readingOrder="0"/>
    </dxf>
    <dxf>
      <alignment horizontal="center" vertical="center" textRotation="0" indent="0" justifyLastLine="0" shrinkToFit="0" readingOrder="0"/>
    </dxf>
    <dxf>
      <alignment horizontal="center" vertical="center" textRotation="0" indent="0" justifyLastLine="0" shrinkToFit="0" readingOrder="0"/>
    </dxf>
    <dxf>
      <numFmt numFmtId="1" formatCode="0"/>
      <alignment horizontal="center" vertical="center" textRotation="0" wrapText="0" indent="0" justifyLastLine="0" shrinkToFit="0" readingOrder="0"/>
    </dxf>
    <dxf>
      <numFmt numFmtId="1" formatCode="0"/>
      <alignment horizontal="center" vertical="center" textRotation="0" wrapText="0" indent="0" justifyLastLine="0" shrinkToFit="0" readingOrder="0"/>
    </dxf>
    <dxf>
      <numFmt numFmtId="1" formatCode="0"/>
      <alignment horizontal="center" vertical="center" textRotation="0" wrapText="0" indent="0" justifyLastLine="0" shrinkToFit="0" readingOrder="0"/>
    </dxf>
    <dxf>
      <numFmt numFmtId="1" formatCode="0"/>
      <alignment horizontal="center" vertical="center" textRotation="0" wrapText="0" indent="0" justifyLastLine="0" shrinkToFit="0" readingOrder="0"/>
    </dxf>
    <dxf>
      <numFmt numFmtId="1" formatCode="0"/>
      <alignment horizontal="center" vertical="center" textRotation="0" wrapText="0" indent="0" justifyLastLine="0" shrinkToFit="0" readingOrder="0"/>
    </dxf>
    <dxf>
      <numFmt numFmtId="1" formatCode="0"/>
      <alignment horizontal="center" vertical="center" textRotation="0" wrapText="0" indent="0" justifyLastLine="0" shrinkToFit="0" readingOrder="0"/>
    </dxf>
    <dxf>
      <alignment horizontal="center" vertical="center" textRotation="0" indent="0" justifyLastLine="0" shrinkToFit="0" readingOrder="0"/>
    </dxf>
    <dxf>
      <alignment horizontal="center" vertical="center" textRotation="0" indent="0" justifyLastLine="0" shrinkToFit="0" readingOrder="0"/>
    </dxf>
    <dxf>
      <alignment horizontal="center" vertical="center" textRotation="0" indent="0" justifyLastLine="0" shrinkToFit="0" readingOrder="0"/>
    </dxf>
    <dxf>
      <numFmt numFmtId="1" formatCode="0"/>
      <alignment horizontal="center" vertical="center" textRotation="0" wrapText="0" indent="0" justifyLastLine="0" shrinkToFit="0" readingOrder="0"/>
    </dxf>
    <dxf>
      <numFmt numFmtId="1" formatCode="0"/>
      <alignment horizontal="center" vertical="center" textRotation="0" wrapText="0" indent="0" justifyLastLine="0" shrinkToFit="0" readingOrder="0"/>
    </dxf>
    <dxf>
      <numFmt numFmtId="1" formatCode="0"/>
      <alignment horizontal="center" vertical="center" textRotation="0" wrapText="0" indent="0" justifyLastLine="0" shrinkToFit="0" readingOrder="0"/>
    </dxf>
    <dxf>
      <numFmt numFmtId="1" formatCode="0"/>
      <alignment horizontal="center" vertical="center" textRotation="0" wrapText="0" indent="0" justifyLastLine="0" shrinkToFit="0" readingOrder="0"/>
    </dxf>
    <dxf>
      <numFmt numFmtId="1" formatCode="0"/>
      <alignment horizontal="center" vertical="center" textRotation="0" wrapText="0" indent="0" justifyLastLine="0" shrinkToFit="0" readingOrder="0"/>
    </dxf>
    <dxf>
      <numFmt numFmtId="1" formatCode="0"/>
      <alignment horizontal="center" vertical="center" textRotation="0" wrapText="0" indent="0" justifyLastLine="0" shrinkToFit="0" readingOrder="0"/>
    </dxf>
    <dxf>
      <alignment horizontal="center" vertical="center" textRotation="0" indent="0" justifyLastLine="0" shrinkToFit="0" readingOrder="0"/>
    </dxf>
    <dxf>
      <alignment horizontal="center" vertical="center" textRotation="0" indent="0" justifyLastLine="0" shrinkToFit="0" readingOrder="0"/>
    </dxf>
    <dxf>
      <alignment horizontal="center" vertic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wrapText="0" indent="0" justifyLastLine="0" shrinkToFit="0" readingOrder="0"/>
    </dxf>
    <dxf>
      <alignment horizontal="center" vertical="center" textRotation="0" indent="0" justifyLastLine="0" shrinkToFit="0" readingOrder="0"/>
    </dxf>
    <dxf>
      <alignment horizontal="center" vertical="center" textRotation="0" indent="0" justifyLastLine="0" shrinkToFit="0" readingOrder="0"/>
    </dxf>
    <dxf>
      <alignment horizontal="center" vertical="center" textRotation="0" indent="0" justifyLastLine="0" shrinkToFit="0" readingOrder="0"/>
    </dxf>
    <dxf>
      <alignment horizontal="center" vertical="center" textRotation="0" indent="0" justifyLastLine="0" shrinkToFit="0" readingOrder="0"/>
    </dxf>
    <dxf>
      <numFmt numFmtId="2" formatCode="0.00"/>
      <alignment horizontal="center" vertical="bottom" textRotation="0" wrapText="0" indent="0" justifyLastLine="0" shrinkToFit="0" readingOrder="0"/>
    </dxf>
    <dxf>
      <numFmt numFmtId="2" formatCode="0.00"/>
      <alignment horizontal="center" vertical="bottom" textRotation="0" wrapText="0" indent="0" justifyLastLine="0" shrinkToFit="0" readingOrder="0"/>
    </dxf>
    <dxf>
      <numFmt numFmtId="2" formatCode="0.00"/>
      <alignment horizontal="center" vertical="bottom" textRotation="0" wrapText="0" indent="0" justifyLastLine="0" shrinkToFit="0" readingOrder="0"/>
    </dxf>
    <dxf>
      <alignment horizontal="center" textRotation="0" indent="0" justifyLastLine="0" shrinkToFit="0" readingOrder="0"/>
    </dxf>
    <dxf>
      <alignment horizontal="center" textRotation="0" indent="0" justifyLastLine="0" shrinkToFit="0" readingOrder="0"/>
    </dxf>
    <dxf>
      <alignment horizontal="center" textRotation="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textRotation="0" indent="0" justifyLastLine="0" shrinkToFit="0" readingOrder="0"/>
    </dxf>
    <dxf>
      <numFmt numFmtId="13" formatCode="0%"/>
      <alignment horizontal="center" textRotation="0" indent="0" justifyLastLine="0" shrinkToFit="0" readingOrder="0"/>
    </dxf>
    <dxf>
      <alignment horizontal="center" textRotation="0" indent="0" justifyLastLine="0" shrinkToFit="0" readingOrder="0"/>
    </dxf>
    <dxf>
      <alignment horizontal="center" textRotation="0" indent="0" justifyLastLine="0" shrinkToFit="0" readingOrder="0"/>
    </dxf>
    <dxf>
      <alignment horizontal="center" textRotation="0" indent="0" justifyLastLine="0" shrinkToFit="0" readingOrder="0"/>
    </dxf>
    <dxf>
      <numFmt numFmtId="3" formatCode="#,##0"/>
      <alignment horizontal="center" vertical="center" textRotation="0" wrapText="0" indent="0" justifyLastLine="0" shrinkToFit="0" readingOrder="0"/>
    </dxf>
    <dxf>
      <numFmt numFmtId="3" formatCode="#,##0"/>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font>
        <color auto="1"/>
      </font>
      <numFmt numFmtId="3" formatCode="#,##0"/>
      <alignment horizontal="center" vertical="bottom" textRotation="0" wrapText="0" indent="0" justifyLastLine="0" shrinkToFit="0" readingOrder="0"/>
    </dxf>
    <dxf>
      <numFmt numFmtId="0" formatCode="General"/>
      <alignment horizontal="center" textRotation="0" indent="0" justifyLastLine="0" shrinkToFit="0" readingOrder="0"/>
    </dxf>
    <dxf>
      <alignment horizontal="center" textRotation="0" indent="0" justifyLastLine="0" shrinkToFit="0" readingOrder="0"/>
    </dxf>
    <dxf>
      <alignment horizontal="center" textRotation="0" indent="0" justifyLastLine="0" shrinkToFit="0" readingOrder="0"/>
    </dxf>
    <dxf>
      <alignment horizont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wrapText="0" indent="0" justifyLastLine="0" shrinkToFit="0" readingOrder="0"/>
    </dxf>
    <dxf>
      <alignment horizontal="center" vertical="center" textRotation="0" indent="0" justifyLastLine="0" shrinkToFit="0" readingOrder="0"/>
    </dxf>
    <dxf>
      <alignment horizontal="center" vertical="center" textRotation="0" indent="0" justifyLastLine="0" shrinkToFit="0" readingOrder="0"/>
    </dxf>
    <dxf>
      <alignment horizontal="center" vertical="center" textRotation="0" indent="0" justifyLastLine="0" shrinkToFit="0" readingOrder="0"/>
    </dxf>
    <dxf>
      <alignment horizontal="center" vertical="center" textRotation="0" indent="0" justifyLastLine="0" shrinkToFit="0" readingOrder="0"/>
    </dxf>
    <dxf>
      <numFmt numFmtId="164" formatCode="0.0%"/>
      <alignment horizontal="center" vertical="center" textRotation="0" wrapText="0" indent="0" justifyLastLine="0" shrinkToFit="0" readingOrder="0"/>
    </dxf>
    <dxf>
      <numFmt numFmtId="164" formatCode="0.0%"/>
      <alignment horizontal="center" vertical="center" textRotation="0" wrapText="0" indent="0" justifyLastLine="0" shrinkToFit="0" readingOrder="0"/>
    </dxf>
    <dxf>
      <numFmt numFmtId="1" formatCode="0"/>
      <alignment horizontal="center" vertical="center" textRotation="0" wrapText="0" indent="0" justifyLastLine="0" shrinkToFit="0" readingOrder="0"/>
    </dxf>
    <dxf>
      <alignment horizontal="center" vertical="center" textRotation="0" indent="0" justifyLastLine="0" shrinkToFit="0" readingOrder="0"/>
    </dxf>
    <dxf>
      <alignment horizontal="center" vertical="center" textRotation="0" indent="0" justifyLastLine="0" shrinkToFit="0" readingOrder="0"/>
    </dxf>
    <dxf>
      <alignment horizontal="center" vertical="center" textRotation="0" indent="0" justifyLastLine="0" shrinkToFit="0" readingOrder="0"/>
    </dxf>
    <dxf>
      <numFmt numFmtId="1" formatCode="0"/>
      <alignment horizontal="center" vertical="center" textRotation="0" wrapText="0" indent="0" justifyLastLine="0" shrinkToFit="0" readingOrder="0"/>
    </dxf>
    <dxf>
      <numFmt numFmtId="1" formatCode="0"/>
      <alignment horizontal="center" vertical="center" textRotation="0" wrapText="0" indent="0" justifyLastLine="0" shrinkToFit="0" readingOrder="0"/>
    </dxf>
    <dxf>
      <numFmt numFmtId="1" formatCode="0"/>
      <alignment horizontal="center" vertical="center" textRotation="0" wrapText="0" indent="0" justifyLastLine="0" shrinkToFit="0" readingOrder="0"/>
    </dxf>
    <dxf>
      <numFmt numFmtId="1" formatCode="0"/>
      <alignment horizontal="center" vertical="center" textRotation="0" wrapText="0" indent="0" justifyLastLine="0" shrinkToFit="0" readingOrder="0"/>
    </dxf>
    <dxf>
      <numFmt numFmtId="1" formatCode="0"/>
      <alignment horizontal="center" vertical="center" textRotation="0" wrapText="0" indent="0" justifyLastLine="0" shrinkToFit="0" readingOrder="0"/>
    </dxf>
    <dxf>
      <numFmt numFmtId="1" formatCode="0"/>
      <alignment horizontal="center" vertical="center" textRotation="0" wrapText="0" indent="0" justifyLastLine="0" shrinkToFit="0" readingOrder="0"/>
    </dxf>
    <dxf>
      <numFmt numFmtId="1" formatCode="0"/>
      <alignment horizontal="center" vertical="center" textRotation="0" wrapText="0" indent="0" justifyLastLine="0" shrinkToFit="0" readingOrder="0"/>
    </dxf>
    <dxf>
      <alignment horizontal="center" vertical="center" textRotation="0" indent="0" justifyLastLine="0" shrinkToFit="0" readingOrder="0"/>
    </dxf>
    <dxf>
      <alignment horizontal="center" vertical="center" textRotation="0" indent="0" justifyLastLine="0" shrinkToFit="0" readingOrder="0"/>
    </dxf>
    <dxf>
      <alignment horizontal="center" vertical="center" textRotation="0" indent="0" justifyLastLine="0" shrinkToFit="0" readingOrder="0"/>
    </dxf>
    <dxf>
      <numFmt numFmtId="1" formatCode="0"/>
      <alignment horizontal="center" vertical="center" textRotation="0" wrapText="0" indent="0" justifyLastLine="0" shrinkToFit="0" readingOrder="0"/>
    </dxf>
    <dxf>
      <numFmt numFmtId="1" formatCode="0"/>
      <alignment horizontal="center" vertical="center" textRotation="0" wrapText="0" indent="0" justifyLastLine="0" shrinkToFit="0" readingOrder="0"/>
    </dxf>
    <dxf>
      <numFmt numFmtId="1" formatCode="0"/>
      <alignment horizontal="center" vertical="center" textRotation="0" wrapText="0" indent="0" justifyLastLine="0" shrinkToFit="0" readingOrder="0"/>
    </dxf>
    <dxf>
      <numFmt numFmtId="1" formatCode="0"/>
      <alignment horizontal="center" vertical="center" textRotation="0" wrapText="0" indent="0" justifyLastLine="0" shrinkToFit="0" readingOrder="0"/>
    </dxf>
    <dxf>
      <numFmt numFmtId="1" formatCode="0"/>
      <alignment horizontal="center" vertical="center" textRotation="0" wrapText="0" indent="0" justifyLastLine="0" shrinkToFit="0" readingOrder="0"/>
    </dxf>
    <dxf>
      <numFmt numFmtId="1" formatCode="0"/>
      <alignment horizontal="center" vertical="center" textRotation="0" wrapText="0" indent="0" justifyLastLine="0" shrinkToFit="0" readingOrder="0"/>
    </dxf>
    <dxf>
      <numFmt numFmtId="1" formatCode="0"/>
      <alignment horizontal="center" vertical="center" textRotation="0" wrapText="0" indent="0" justifyLastLine="0" shrinkToFit="0" readingOrder="0"/>
    </dxf>
    <dxf>
      <alignment horizontal="center" vertical="center" textRotation="0" indent="0" justifyLastLine="0" shrinkToFit="0" readingOrder="0"/>
    </dxf>
    <dxf>
      <alignment horizontal="center" vertical="center" textRotation="0" indent="0" justifyLastLine="0" shrinkToFit="0" readingOrder="0"/>
    </dxf>
    <dxf>
      <alignment horizontal="center" vertical="center" textRotation="0" indent="0" justifyLastLine="0" shrinkToFit="0" readingOrder="0"/>
    </dxf>
    <dxf>
      <numFmt numFmtId="1" formatCode="0"/>
      <alignment horizontal="center" vertical="center" textRotation="0" wrapText="0" indent="0" justifyLastLine="0" shrinkToFit="0" readingOrder="0"/>
    </dxf>
    <dxf>
      <numFmt numFmtId="1" formatCode="0"/>
      <alignment horizontal="center" vertical="center" textRotation="0" wrapText="0" indent="0" justifyLastLine="0" shrinkToFit="0" readingOrder="0"/>
    </dxf>
    <dxf>
      <numFmt numFmtId="1" formatCode="0"/>
      <alignment horizontal="center" vertical="center" textRotation="0" wrapText="0" indent="0" justifyLastLine="0" shrinkToFit="0" readingOrder="0"/>
    </dxf>
    <dxf>
      <numFmt numFmtId="1" formatCode="0"/>
      <alignment horizontal="center" vertical="center" textRotation="0" wrapText="0" indent="0" justifyLastLine="0" shrinkToFit="0" readingOrder="0"/>
    </dxf>
    <dxf>
      <numFmt numFmtId="1" formatCode="0"/>
      <alignment horizontal="center" vertical="center" textRotation="0" wrapText="0" indent="0" justifyLastLine="0" shrinkToFit="0" readingOrder="0"/>
    </dxf>
    <dxf>
      <numFmt numFmtId="1" formatCode="0"/>
      <alignment horizontal="center" vertical="center" textRotation="0" wrapText="0" indent="0" justifyLastLine="0" shrinkToFit="0" readingOrder="0"/>
    </dxf>
    <dxf>
      <numFmt numFmtId="1" formatCode="0"/>
      <alignment horizontal="center" vertical="center" textRotation="0" wrapText="0" indent="0" justifyLastLine="0" shrinkToFit="0" readingOrder="0"/>
    </dxf>
    <dxf>
      <alignment horizontal="center" vertical="center" textRotation="0" indent="0" justifyLastLine="0" shrinkToFit="0" readingOrder="0"/>
    </dxf>
    <dxf>
      <alignment horizontal="center" vertical="center" textRotation="0" indent="0" justifyLastLine="0" shrinkToFit="0" readingOrder="0"/>
    </dxf>
    <dxf>
      <alignment horizontal="center" vertical="center" textRotation="0" indent="0" justifyLastLine="0" shrinkToFit="0" readingOrder="0"/>
    </dxf>
    <dxf>
      <numFmt numFmtId="1" formatCode="0"/>
      <alignment horizontal="center" vertical="center" textRotation="0" wrapText="0" indent="0" justifyLastLine="0" shrinkToFit="0" readingOrder="0"/>
    </dxf>
    <dxf>
      <numFmt numFmtId="1" formatCode="0"/>
      <alignment horizontal="center" vertical="center" textRotation="0" wrapText="0" indent="0" justifyLastLine="0" shrinkToFit="0" readingOrder="0"/>
    </dxf>
    <dxf>
      <numFmt numFmtId="1" formatCode="0"/>
      <alignment horizontal="center" vertical="center" textRotation="0" wrapText="0" indent="0" justifyLastLine="0" shrinkToFit="0" readingOrder="0"/>
    </dxf>
    <dxf>
      <numFmt numFmtId="1" formatCode="0"/>
      <alignment horizontal="center" vertical="center" textRotation="0" wrapText="0" indent="0" justifyLastLine="0" shrinkToFit="0" readingOrder="0"/>
    </dxf>
    <dxf>
      <numFmt numFmtId="1" formatCode="0"/>
      <alignment horizontal="center" vertical="center" textRotation="0" wrapText="0" indent="0" justifyLastLine="0" shrinkToFit="0" readingOrder="0"/>
    </dxf>
    <dxf>
      <numFmt numFmtId="1" formatCode="0"/>
      <alignment horizontal="center" vertical="center" textRotation="0" wrapText="0" indent="0" justifyLastLine="0" shrinkToFit="0" readingOrder="0"/>
    </dxf>
    <dxf>
      <numFmt numFmtId="1" formatCode="0"/>
      <alignment horizontal="center" vertical="center" textRotation="0" wrapText="0" indent="0" justifyLastLine="0" shrinkToFit="0" readingOrder="0"/>
    </dxf>
    <dxf>
      <alignment horizontal="center" vertical="center" textRotation="0" indent="0" justifyLastLine="0" shrinkToFit="0" readingOrder="0"/>
    </dxf>
    <dxf>
      <alignment horizontal="center" vertical="center" textRotation="0" indent="0" justifyLastLine="0" shrinkToFit="0" readingOrder="0"/>
    </dxf>
    <dxf>
      <alignment horizontal="center" vertical="center" textRotation="0" indent="0" justifyLastLine="0" shrinkToFit="0" readingOrder="0"/>
    </dxf>
    <dxf>
      <numFmt numFmtId="1" formatCode="0"/>
      <alignment horizontal="center" vertical="center" textRotation="0" wrapText="0" indent="0" justifyLastLine="0" shrinkToFit="0" readingOrder="0"/>
    </dxf>
    <dxf>
      <numFmt numFmtId="1" formatCode="0"/>
      <alignment horizontal="center" vertical="center" textRotation="0" wrapText="0" indent="0" justifyLastLine="0" shrinkToFit="0" readingOrder="0"/>
    </dxf>
    <dxf>
      <numFmt numFmtId="1" formatCode="0"/>
      <alignment horizontal="center" vertical="center" textRotation="0" wrapText="0" indent="0" justifyLastLine="0" shrinkToFit="0" readingOrder="0"/>
    </dxf>
    <dxf>
      <numFmt numFmtId="1" formatCode="0"/>
      <alignment horizontal="center" vertical="center" textRotation="0" wrapText="0" indent="0" justifyLastLine="0" shrinkToFit="0" readingOrder="0"/>
    </dxf>
    <dxf>
      <numFmt numFmtId="1" formatCode="0"/>
      <alignment horizontal="center" vertical="center" textRotation="0" wrapText="0" indent="0" justifyLastLine="0" shrinkToFit="0" readingOrder="0"/>
    </dxf>
    <dxf>
      <numFmt numFmtId="1" formatCode="0"/>
      <alignment horizontal="center" vertical="center" textRotation="0" wrapText="0" indent="0" justifyLastLine="0" shrinkToFit="0" readingOrder="0"/>
    </dxf>
    <dxf>
      <numFmt numFmtId="1" formatCode="0"/>
      <alignment horizontal="center" vertical="center" textRotation="0" wrapText="0" indent="0" justifyLastLine="0" shrinkToFit="0" readingOrder="0"/>
    </dxf>
    <dxf>
      <alignment horizontal="center" vertical="center" textRotation="0" indent="0" justifyLastLine="0" shrinkToFit="0" readingOrder="0"/>
    </dxf>
    <dxf>
      <alignment horizontal="center" vertical="center" textRotation="0" indent="0" justifyLastLine="0" shrinkToFit="0" readingOrder="0"/>
    </dxf>
    <dxf>
      <alignment horizontal="center" vertical="center" textRotation="0" indent="0" justifyLastLine="0" shrinkToFit="0" readingOrder="0"/>
    </dxf>
    <dxf>
      <numFmt numFmtId="1" formatCode="0"/>
      <alignment horizontal="center" vertical="center" textRotation="0" wrapText="0" indent="0" justifyLastLine="0" shrinkToFit="0" readingOrder="0"/>
    </dxf>
    <dxf>
      <numFmt numFmtId="1" formatCode="0"/>
      <alignment horizontal="center" vertical="center" textRotation="0" wrapText="0" indent="0" justifyLastLine="0" shrinkToFit="0" readingOrder="0"/>
    </dxf>
    <dxf>
      <numFmt numFmtId="1" formatCode="0"/>
      <alignment horizontal="center" vertical="center" textRotation="0" wrapText="0" indent="0" justifyLastLine="0" shrinkToFit="0" readingOrder="0"/>
    </dxf>
    <dxf>
      <numFmt numFmtId="1" formatCode="0"/>
      <alignment horizontal="center" vertical="center" textRotation="0" wrapText="0" indent="0" justifyLastLine="0" shrinkToFit="0" readingOrder="0"/>
    </dxf>
    <dxf>
      <numFmt numFmtId="1" formatCode="0"/>
      <alignment horizontal="center" vertical="center" textRotation="0" wrapText="0" indent="0" justifyLastLine="0" shrinkToFit="0" readingOrder="0"/>
    </dxf>
    <dxf>
      <numFmt numFmtId="1" formatCode="0"/>
      <alignment horizontal="center" vertical="center" textRotation="0" wrapText="0" indent="0" justifyLastLine="0" shrinkToFit="0" readingOrder="0"/>
    </dxf>
    <dxf>
      <numFmt numFmtId="1" formatCode="0"/>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indent="0" justifyLastLine="0" shrinkToFit="0" readingOrder="0"/>
    </dxf>
    <dxf>
      <numFmt numFmtId="164" formatCode="0.0%"/>
      <alignment horizontal="center" vertical="center" textRotation="0" indent="0" justifyLastLine="0" shrinkToFit="0" readingOrder="0"/>
    </dxf>
    <dxf>
      <numFmt numFmtId="164" formatCode="0.0%"/>
      <alignment horizontal="center" vertical="center" textRotation="0" wrapText="0" indent="0" justifyLastLine="0" shrinkToFit="0" readingOrder="0"/>
    </dxf>
    <dxf>
      <numFmt numFmtId="1" formatCode="0"/>
      <alignment horizontal="center" vertical="center" textRotation="0" indent="0" justifyLastLine="0" shrinkToFit="0" readingOrder="0"/>
    </dxf>
    <dxf>
      <alignment horizontal="center" vertical="center" textRotation="0" indent="0" justifyLastLine="0" shrinkToFit="0" readingOrder="0"/>
    </dxf>
    <dxf>
      <alignment horizontal="center" vertical="center" textRotation="0" indent="0" justifyLastLine="0" shrinkToFit="0" readingOrder="0"/>
    </dxf>
    <dxf>
      <alignment horizontal="center" vertic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indent="0" justifyLastLine="0" shrinkToFit="0" readingOrder="0"/>
    </dxf>
    <dxf>
      <alignment horizontal="center" vertical="center" textRotation="0" indent="0" justifyLastLine="0" shrinkToFit="0" readingOrder="0"/>
    </dxf>
    <dxf>
      <alignment horizontal="center" vertical="center" textRotation="0" indent="0" justifyLastLine="0" shrinkToFit="0" readingOrder="0"/>
    </dxf>
    <dxf>
      <alignment horizontal="center" vertical="center" textRotation="0" indent="0" justifyLastLine="0" shrinkToFit="0" readingOrder="0"/>
    </dxf>
    <dxf>
      <font>
        <strike val="0"/>
        <outline val="0"/>
        <shadow val="0"/>
        <u val="none"/>
        <vertAlign val="baseline"/>
        <sz val="12"/>
        <color rgb="FF00B050"/>
        <name val="Calibri"/>
        <family val="2"/>
        <scheme val="minor"/>
      </font>
      <numFmt numFmtId="1" formatCode="0"/>
      <alignment horizontal="center" vertical="center" textRotation="0" indent="0" justifyLastLine="0" shrinkToFit="0" readingOrder="0"/>
    </dxf>
    <dxf>
      <font>
        <strike val="0"/>
        <outline val="0"/>
        <shadow val="0"/>
        <u val="none"/>
        <vertAlign val="baseline"/>
        <sz val="12"/>
        <color rgb="FF00B050"/>
        <name val="Calibri"/>
        <family val="2"/>
        <scheme val="minor"/>
      </font>
      <numFmt numFmtId="1" formatCode="0"/>
      <alignment horizontal="center" vertical="center" textRotation="0" indent="0" justifyLastLine="0" shrinkToFit="0" readingOrder="0"/>
    </dxf>
    <dxf>
      <font>
        <b val="0"/>
        <i val="0"/>
        <strike val="0"/>
        <condense val="0"/>
        <extend val="0"/>
        <outline val="0"/>
        <shadow val="0"/>
        <u val="none"/>
        <vertAlign val="baseline"/>
        <sz val="12"/>
        <color rgb="FFFF0000"/>
        <name val="Calibri"/>
        <family val="2"/>
        <scheme val="minor"/>
      </font>
      <numFmt numFmtId="1" formatCode="0"/>
      <alignment horizontal="center" vertical="center" textRotation="0" wrapText="0" indent="0" justifyLastLine="0" shrinkToFit="0" readingOrder="0"/>
    </dxf>
    <dxf>
      <font>
        <b val="0"/>
        <i val="0"/>
        <strike val="0"/>
        <condense val="0"/>
        <extend val="0"/>
        <outline val="0"/>
        <shadow val="0"/>
        <u val="none"/>
        <vertAlign val="baseline"/>
        <sz val="12"/>
        <color rgb="FFFF0000"/>
        <name val="Calibri"/>
        <family val="2"/>
        <scheme val="minor"/>
      </font>
      <numFmt numFmtId="1" formatCode="0"/>
      <alignment horizontal="center" vertical="center" textRotation="0" wrapText="0" indent="0" justifyLastLine="0" shrinkToFit="0" readingOrder="0"/>
    </dxf>
    <dxf>
      <font>
        <b val="0"/>
        <i val="0"/>
        <strike val="0"/>
        <condense val="0"/>
        <extend val="0"/>
        <outline val="0"/>
        <shadow val="0"/>
        <u val="none"/>
        <vertAlign val="baseline"/>
        <sz val="12"/>
        <color rgb="FFFF0000"/>
        <name val="Calibri"/>
        <family val="2"/>
        <scheme val="minor"/>
      </font>
      <numFmt numFmtId="1" formatCode="0"/>
      <alignment horizontal="center" vertical="center" textRotation="0" wrapText="0" indent="0" justifyLastLine="0" shrinkToFit="0" readingOrder="0"/>
    </dxf>
    <dxf>
      <numFmt numFmtId="1" formatCode="0"/>
      <alignment horizontal="center" vertical="center" textRotation="0" wrapText="0" indent="0" justifyLastLine="0" shrinkToFit="0" readingOrder="0"/>
    </dxf>
    <dxf>
      <font>
        <strike val="0"/>
        <outline val="0"/>
        <shadow val="0"/>
        <u val="none"/>
        <vertAlign val="baseline"/>
        <sz val="12"/>
        <color theme="1"/>
        <name val="Calibri"/>
        <family val="2"/>
        <scheme val="minor"/>
      </font>
      <numFmt numFmtId="1" formatCode="0"/>
      <alignment horizontal="center" vertical="center" textRotation="0" indent="0" justifyLastLine="0" shrinkToFit="0" readingOrder="0"/>
    </dxf>
    <dxf>
      <numFmt numFmtId="1" formatCode="0"/>
      <alignment horizontal="center" vertical="center" textRotation="0" wrapText="0" indent="0" justifyLastLine="0" shrinkToFit="0" readingOrder="0"/>
    </dxf>
    <dxf>
      <numFmt numFmtId="1" formatCode="0"/>
      <alignment horizontal="center" vertical="center" textRotation="0" indent="0" justifyLastLine="0" shrinkToFit="0" readingOrder="0"/>
    </dxf>
    <dxf>
      <alignment horizontal="center" vertical="center" textRotation="0" indent="0" justifyLastLine="0" shrinkToFit="0" readingOrder="0"/>
    </dxf>
    <dxf>
      <alignment horizontal="center" vertical="center" textRotation="0" indent="0" justifyLastLine="0" shrinkToFit="0" readingOrder="0"/>
    </dxf>
    <dxf>
      <alignment horizontal="center" vertical="center" textRotation="0" indent="0" justifyLastLine="0" shrinkToFit="0" readingOrder="0"/>
    </dxf>
    <dxf>
      <numFmt numFmtId="1" formatCode="0"/>
      <alignment horizontal="center" vertical="center" textRotation="0" wrapText="0" indent="0" justifyLastLine="0" shrinkToFit="0" readingOrder="0"/>
    </dxf>
    <dxf>
      <numFmt numFmtId="1" formatCode="0"/>
      <alignment horizontal="center" vertical="center" textRotation="0" wrapText="0" indent="0" justifyLastLine="0" shrinkToFit="0" readingOrder="0"/>
    </dxf>
    <dxf>
      <numFmt numFmtId="1" formatCode="0"/>
      <alignment horizontal="center" vertical="center" textRotation="0" wrapText="0" indent="0" justifyLastLine="0" shrinkToFit="0" readingOrder="0"/>
    </dxf>
    <dxf>
      <alignment horizontal="center" vertical="center" textRotation="0" indent="0" justifyLastLine="0" shrinkToFit="0" readingOrder="0"/>
    </dxf>
    <dxf>
      <alignment horizontal="center" vertical="center" textRotation="0" indent="0" justifyLastLine="0" shrinkToFit="0" readingOrder="0"/>
    </dxf>
    <dxf>
      <alignment horizontal="center" vertical="center" textRotation="0" indent="0" justifyLastLine="0" shrinkToFit="0" readingOrder="0"/>
    </dxf>
    <dxf>
      <numFmt numFmtId="1" formatCode="0"/>
      <alignment horizontal="center" vertical="center" textRotation="0" wrapText="0" indent="0" justifyLastLine="0" shrinkToFit="0" readingOrder="0"/>
    </dxf>
    <dxf>
      <numFmt numFmtId="1" formatCode="0"/>
      <alignment horizontal="center" vertical="center" textRotation="0" wrapText="0" indent="0" justifyLastLine="0" shrinkToFit="0" readingOrder="0"/>
    </dxf>
    <dxf>
      <numFmt numFmtId="1" formatCode="0"/>
      <alignment horizontal="center" vertical="center" textRotation="0" wrapText="0" indent="0" justifyLastLine="0" shrinkToFit="0" readingOrder="0"/>
    </dxf>
    <dxf>
      <numFmt numFmtId="1" formatCode="0"/>
      <alignment horizontal="center" vertical="center" textRotation="0" wrapText="0" indent="0" justifyLastLine="0" shrinkToFit="0" readingOrder="0"/>
    </dxf>
    <dxf>
      <numFmt numFmtId="1" formatCode="0"/>
      <alignment horizontal="center" vertical="center" textRotation="0" wrapText="0" indent="0" justifyLastLine="0" shrinkToFit="0" readingOrder="0"/>
    </dxf>
    <dxf>
      <numFmt numFmtId="1" formatCode="0"/>
      <alignment horizontal="center" vertical="center" textRotation="0" wrapText="0" indent="0" justifyLastLine="0" shrinkToFit="0" readingOrder="0"/>
    </dxf>
    <dxf>
      <numFmt numFmtId="1" formatCode="0"/>
      <alignment horizontal="center" vertical="center" textRotation="0" wrapText="0" indent="0" justifyLastLine="0" shrinkToFit="0" readingOrder="0"/>
    </dxf>
    <dxf>
      <alignment horizontal="center" vertical="center" textRotation="0" indent="0" justifyLastLine="0" shrinkToFit="0" readingOrder="0"/>
    </dxf>
    <dxf>
      <alignment horizontal="center" vertical="center" textRotation="0" indent="0" justifyLastLine="0" shrinkToFit="0" readingOrder="0"/>
    </dxf>
    <dxf>
      <alignment horizontal="center" vertic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indent="0" justifyLastLine="0" shrinkToFit="0" readingOrder="0"/>
    </dxf>
    <dxf>
      <alignment horizontal="center" vertical="center" textRotation="0" indent="0" justifyLastLine="0" shrinkToFit="0" readingOrder="0"/>
    </dxf>
    <dxf>
      <alignment horizontal="center" vertical="center" textRotation="0" indent="0" justifyLastLine="0" shrinkToFit="0" readingOrder="0"/>
    </dxf>
    <dxf>
      <alignment horizontal="center" vertic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indent="0" justifyLastLine="0" shrinkToFit="0" readingOrder="0"/>
    </dxf>
    <dxf>
      <alignment horizontal="center" vertical="center" textRotation="0" indent="0" justifyLastLine="0" shrinkToFit="0" readingOrder="0"/>
    </dxf>
    <dxf>
      <alignment horizontal="center" vertical="center" textRotation="0" indent="0" justifyLastLine="0" shrinkToFit="0" readingOrder="0"/>
    </dxf>
    <dxf>
      <alignment horizontal="center" vertic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indent="0" justifyLastLine="0" shrinkToFit="0" readingOrder="0"/>
    </dxf>
    <dxf>
      <alignment horizontal="center" vertical="center" textRotation="0" indent="0" justifyLastLine="0" shrinkToFit="0" readingOrder="0"/>
    </dxf>
    <dxf>
      <alignment horizontal="center" vertical="center" textRotation="0" indent="0" justifyLastLine="0" shrinkToFit="0" readingOrder="0"/>
    </dxf>
    <dxf>
      <alignment horizontal="center" vertic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wrapText="0" indent="0" justifyLastLine="0" shrinkToFit="0" readingOrder="0"/>
    </dxf>
    <dxf>
      <numFmt numFmtId="1" formatCode="0"/>
      <alignment horizontal="center" vertical="center" textRotation="0" indent="0" justifyLastLine="0" shrinkToFit="0" readingOrder="0"/>
    </dxf>
    <dxf>
      <alignment horizontal="center" vertical="center" textRotation="0" indent="0" justifyLastLine="0" shrinkToFit="0" readingOrder="0"/>
    </dxf>
    <dxf>
      <alignment horizontal="center" vertical="center" textRotation="0" indent="0" justifyLastLine="0" shrinkToFit="0" readingOrder="0"/>
    </dxf>
    <dxf>
      <alignment horizontal="center" vertic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indent="0" justifyLastLine="0" shrinkToFit="0" readingOrder="0"/>
    </dxf>
    <dxf>
      <alignment horizontal="center" vertical="center" textRotation="0" indent="0" justifyLastLine="0" shrinkToFit="0" readingOrder="0"/>
    </dxf>
    <dxf>
      <alignment horizontal="center" vertical="center" textRotation="0" indent="0" justifyLastLine="0" shrinkToFit="0" readingOrder="0"/>
    </dxf>
    <dxf>
      <alignment horizontal="center" vertic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indent="0" justifyLastLine="0" shrinkToFit="0" readingOrder="0"/>
    </dxf>
    <dxf>
      <alignment horizontal="center" vertical="center" textRotation="0" indent="0" justifyLastLine="0" shrinkToFit="0" readingOrder="0"/>
    </dxf>
    <dxf>
      <alignment horizontal="center" vertical="center" textRotation="0" indent="0" justifyLastLine="0" shrinkToFit="0" readingOrder="0"/>
    </dxf>
    <dxf>
      <alignment horizontal="center" vertic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indent="0" justifyLastLine="0" shrinkToFit="0" readingOrder="0"/>
    </dxf>
    <dxf>
      <alignment horizontal="center" vertical="center" textRotation="0" indent="0" justifyLastLine="0" shrinkToFit="0" readingOrder="0"/>
    </dxf>
    <dxf>
      <alignment horizontal="center" vertical="center" textRotation="0" indent="0" justifyLastLine="0" shrinkToFit="0" readingOrder="0"/>
    </dxf>
    <dxf>
      <alignment horizontal="center" vertical="center" textRotation="0" indent="0" justifyLastLine="0" shrinkToFit="0" readingOrder="0"/>
    </dxf>
    <dxf>
      <numFmt numFmtId="3" formatCode="#,##0"/>
      <alignment horizontal="center" vertical="center" textRotation="0" wrapText="0" indent="0" justifyLastLine="0" shrinkToFit="0" readingOrder="0"/>
    </dxf>
    <dxf>
      <numFmt numFmtId="3" formatCode="#,##0"/>
      <alignment horizontal="center" vertical="center" textRotation="0" wrapText="0" indent="0" justifyLastLine="0" shrinkToFit="0" readingOrder="0"/>
    </dxf>
    <dxf>
      <numFmt numFmtId="3" formatCode="#,##0"/>
      <alignment horizontal="center" vertical="center" textRotation="0" wrapText="0" indent="0" justifyLastLine="0" shrinkToFit="0" readingOrder="0"/>
    </dxf>
    <dxf>
      <numFmt numFmtId="3" formatCode="#,##0"/>
      <alignment horizontal="center" vertical="center" textRotation="0" wrapText="0" indent="0" justifyLastLine="0" shrinkToFit="0" readingOrder="0"/>
    </dxf>
    <dxf>
      <numFmt numFmtId="3" formatCode="#,##0"/>
      <alignment horizontal="center" vertical="center" textRotation="0" wrapText="0" indent="0" justifyLastLine="0" shrinkToFit="0" readingOrder="0"/>
    </dxf>
    <dxf>
      <numFmt numFmtId="3" formatCode="#,##0"/>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left" vertical="center" textRotation="0" wrapText="0" indent="0" justifyLastLine="0" shrinkToFit="0" readingOrder="0"/>
    </dxf>
    <dxf>
      <numFmt numFmtId="1" formatCode="0"/>
      <alignment horizontal="center" vertical="center" textRotation="0" wrapText="0" indent="0" justifyLastLine="0" shrinkToFit="0" readingOrder="0"/>
    </dxf>
    <dxf>
      <numFmt numFmtId="1" formatCode="0"/>
      <alignment horizontal="center" vertical="center" textRotation="0" wrapText="0" indent="0" justifyLastLine="0" shrinkToFit="0" readingOrder="0"/>
    </dxf>
    <dxf>
      <numFmt numFmtId="1" formatCode="0"/>
      <alignment horizontal="center" vertical="center" textRotation="0" wrapText="0" indent="0" justifyLastLine="0" shrinkToFit="0" readingOrder="0"/>
    </dxf>
    <dxf>
      <numFmt numFmtId="1" formatCode="0"/>
      <alignment horizontal="center" vertical="center" textRotation="0" wrapText="0" indent="0" justifyLastLine="0" shrinkToFit="0" readingOrder="0"/>
    </dxf>
    <dxf>
      <numFmt numFmtId="1" formatCode="0"/>
      <alignment horizontal="center" vertical="center" textRotation="0" wrapText="0" indent="0" justifyLastLine="0" shrinkToFit="0" readingOrder="0"/>
    </dxf>
    <dxf>
      <numFmt numFmtId="1" formatCode="0"/>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bottom" textRotation="0" wrapText="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indent="0" justifyLastLine="0" shrinkToFit="0" readingOrder="0"/>
    </dxf>
    <dxf>
      <alignment horizontal="center" vertical="center" textRotation="0" indent="0" justifyLastLine="0" shrinkToFit="0" readingOrder="0"/>
    </dxf>
    <dxf>
      <alignment horizontal="center" vertical="center" textRotation="0" indent="0" justifyLastLine="0" shrinkToFit="0" readingOrder="0"/>
    </dxf>
    <dxf>
      <alignment horizontal="center" vertical="center" textRotation="0" indent="0" justifyLastLine="0" shrinkToFit="0" readingOrder="0"/>
    </dxf>
    <dxf>
      <font>
        <b val="0"/>
        <i val="0"/>
        <strike val="0"/>
        <condense val="0"/>
        <extend val="0"/>
        <outline val="0"/>
        <shadow val="0"/>
        <u val="none"/>
        <vertAlign val="baseline"/>
        <sz val="12"/>
        <color theme="1"/>
        <name val="Calibri"/>
        <family val="2"/>
        <scheme val="minor"/>
      </font>
      <numFmt numFmtId="3" formatCode="#,##0"/>
      <alignment horizontal="center" vertical="center" textRotation="0" wrapText="0" indent="0" justifyLastLine="0" shrinkToFit="0" readingOrder="0"/>
      <border diagonalUp="0" diagonalDown="0">
        <left style="thin">
          <color theme="7" tint="0.39997558519241921"/>
        </left>
        <right/>
        <top style="thin">
          <color theme="7" tint="0.39997558519241921"/>
        </top>
        <bottom style="thin">
          <color theme="7" tint="0.39997558519241921"/>
        </bottom>
        <vertical/>
        <horizontal/>
      </border>
    </dxf>
    <dxf>
      <font>
        <b val="0"/>
        <i val="0"/>
        <strike val="0"/>
        <condense val="0"/>
        <extend val="0"/>
        <outline val="0"/>
        <shadow val="0"/>
        <u val="none"/>
        <vertAlign val="baseline"/>
        <sz val="12"/>
        <color theme="1"/>
        <name val="Calibri"/>
        <family val="2"/>
        <scheme val="minor"/>
      </font>
      <alignment horizontal="center" vertical="center" textRotation="0" wrapText="0" indent="0" justifyLastLine="0" shrinkToFit="0" readingOrder="0"/>
      <border diagonalUp="0" diagonalDown="0">
        <left style="thin">
          <color theme="7" tint="0.39997558519241921"/>
        </left>
        <right/>
        <top style="thin">
          <color theme="7" tint="0.39997558519241921"/>
        </top>
        <bottom style="thin">
          <color theme="7" tint="0.39997558519241921"/>
        </bottom>
        <vertical/>
        <horizontal/>
      </border>
    </dxf>
    <dxf>
      <border outline="0">
        <bottom style="thin">
          <color theme="7" tint="0.39997558519241921"/>
        </bottom>
      </border>
    </dxf>
    <dxf>
      <font>
        <b val="0"/>
        <i val="0"/>
        <strike val="0"/>
        <condense val="0"/>
        <extend val="0"/>
        <outline val="0"/>
        <shadow val="0"/>
        <u val="none"/>
        <vertAlign val="baseline"/>
        <sz val="12"/>
        <color theme="1"/>
        <name val="Calibri"/>
        <family val="2"/>
        <scheme val="minor"/>
      </font>
      <alignment horizontal="center" vertical="center" textRotation="0" wrapText="0" indent="0" justifyLastLine="0" shrinkToFit="0" readingOrder="0"/>
    </dxf>
    <dxf>
      <alignment horizontal="center" vertical="center" textRotation="0" wrapText="0" indent="0" justifyLastLine="0" shrinkToFit="0" readingOrder="0"/>
    </dxf>
    <dxf>
      <font>
        <b val="0"/>
        <i val="0"/>
        <strike val="0"/>
        <condense val="0"/>
        <extend val="0"/>
        <outline val="0"/>
        <shadow val="0"/>
        <u val="none"/>
        <vertAlign val="baseline"/>
        <sz val="12"/>
        <color theme="1"/>
        <name val="Calibri"/>
        <family val="2"/>
        <scheme val="minor"/>
      </font>
      <numFmt numFmtId="3" formatCode="#,##0"/>
      <alignment horizontal="center" vertical="center" textRotation="0" wrapText="0" indent="0" justifyLastLine="0" shrinkToFit="0" readingOrder="0"/>
      <border diagonalUp="0" diagonalDown="0">
        <left style="thin">
          <color theme="7" tint="0.39997558519241921"/>
        </left>
        <right/>
        <top style="thin">
          <color theme="7" tint="0.39997558519241921"/>
        </top>
        <bottom style="thin">
          <color theme="7" tint="0.39997558519241921"/>
        </bottom>
        <vertical/>
        <horizontal/>
      </border>
    </dxf>
    <dxf>
      <font>
        <b val="0"/>
        <i val="0"/>
        <strike val="0"/>
        <condense val="0"/>
        <extend val="0"/>
        <outline val="0"/>
        <shadow val="0"/>
        <u val="none"/>
        <vertAlign val="baseline"/>
        <sz val="12"/>
        <color theme="1"/>
        <name val="Calibri"/>
        <family val="2"/>
        <scheme val="minor"/>
      </font>
      <alignment horizontal="center" vertical="center" textRotation="0" wrapText="0" indent="0" justifyLastLine="0" shrinkToFit="0" readingOrder="0"/>
      <border diagonalUp="0" diagonalDown="0">
        <left style="thin">
          <color theme="7" tint="0.39997558519241921"/>
        </left>
        <right/>
        <top style="thin">
          <color theme="7" tint="0.39997558519241921"/>
        </top>
        <bottom style="thin">
          <color theme="7" tint="0.39997558519241921"/>
        </bottom>
        <vertical/>
        <horizontal/>
      </border>
    </dxf>
    <dxf>
      <border outline="0">
        <bottom style="thin">
          <color theme="7" tint="0.39997558519241921"/>
        </bottom>
      </border>
    </dxf>
    <dxf>
      <font>
        <b val="0"/>
        <i val="0"/>
        <strike val="0"/>
        <condense val="0"/>
        <extend val="0"/>
        <outline val="0"/>
        <shadow val="0"/>
        <u val="none"/>
        <vertAlign val="baseline"/>
        <sz val="12"/>
        <color theme="1"/>
        <name val="Calibri"/>
        <family val="2"/>
        <scheme val="minor"/>
      </font>
      <alignment horizontal="center" vertical="center" textRotation="0" wrapText="0" indent="0" justifyLastLine="0" shrinkToFit="0" readingOrder="0"/>
    </dxf>
    <dxf>
      <alignment horizontal="center" vertical="center" textRotation="0" wrapText="0" indent="0" justifyLastLine="0" shrinkToFit="0" readingOrder="0"/>
    </dxf>
    <dxf>
      <numFmt numFmtId="3" formatCode="#,##0"/>
      <alignment horizontal="center" vertical="center" textRotation="0" wrapText="0" indent="0" justifyLastLine="0" shrinkToFit="0" readingOrder="0"/>
    </dxf>
    <dxf>
      <numFmt numFmtId="3" formatCode="#,##0"/>
      <alignment horizontal="center" vertical="center" textRotation="0" wrapText="0" indent="0" justifyLastLine="0" shrinkToFit="0" readingOrder="0"/>
    </dxf>
    <dxf>
      <numFmt numFmtId="3" formatCode="#,##0"/>
      <alignment horizontal="center" vertical="center" textRotation="0" wrapText="0" indent="0" justifyLastLine="0" shrinkToFit="0" readingOrder="0"/>
    </dxf>
    <dxf>
      <numFmt numFmtId="3" formatCode="#,##0"/>
      <alignment horizontal="center" vertical="center" textRotation="0" wrapText="0" indent="0" justifyLastLine="0" shrinkToFit="0" readingOrder="0"/>
    </dxf>
    <dxf>
      <numFmt numFmtId="3" formatCode="#,##0"/>
      <alignment horizontal="center" vertical="center" textRotation="0" wrapText="0" indent="0" justifyLastLine="0" shrinkToFit="0" readingOrder="0"/>
    </dxf>
    <dxf>
      <numFmt numFmtId="3" formatCode="#,##0"/>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left" vertical="center" textRotation="0" wrapText="0" indent="0" justifyLastLine="0" shrinkToFit="0" readingOrder="0"/>
    </dxf>
    <dxf>
      <numFmt numFmtId="3" formatCode="#,##0"/>
      <alignment horizontal="center" vertical="center" textRotation="0" wrapText="0" indent="0" justifyLastLine="0" shrinkToFit="0" readingOrder="0"/>
    </dxf>
    <dxf>
      <numFmt numFmtId="3" formatCode="#,##0"/>
      <alignment horizontal="center" vertical="center" textRotation="0" wrapText="0" indent="0" justifyLastLine="0" shrinkToFit="0" readingOrder="0"/>
    </dxf>
    <dxf>
      <numFmt numFmtId="3" formatCode="#,##0"/>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numFmt numFmtId="3" formatCode="#,##0"/>
      <alignment horizontal="center" vertical="center" textRotation="0" wrapText="0" indent="0" justifyLastLine="0" shrinkToFit="0" readingOrder="0"/>
    </dxf>
    <dxf>
      <numFmt numFmtId="3" formatCode="#,##0"/>
      <alignment horizontal="center" vertical="center" textRotation="0" wrapText="0" indent="0" justifyLastLine="0" shrinkToFit="0" readingOrder="0"/>
    </dxf>
    <dxf>
      <numFmt numFmtId="3" formatCode="#,##0"/>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numFmt numFmtId="1" formatCode="0"/>
      <alignment horizontal="center" vertical="center" textRotation="0" wrapText="0" indent="0" justifyLastLine="0" shrinkToFit="0" readingOrder="0"/>
    </dxf>
    <dxf>
      <numFmt numFmtId="1" formatCode="0"/>
      <alignment horizontal="center" vertical="center" textRotation="0" wrapText="0" indent="0" justifyLastLine="0" shrinkToFit="0" readingOrder="0"/>
    </dxf>
    <dxf>
      <numFmt numFmtId="1" formatCode="0"/>
      <alignment horizontal="center" vertical="center" textRotation="0" wrapText="0" indent="0" justifyLastLine="0" shrinkToFit="0" readingOrder="0"/>
    </dxf>
    <dxf>
      <numFmt numFmtId="1" formatCode="0"/>
      <alignment horizontal="center" vertical="center" textRotation="0" wrapText="0" indent="0" justifyLastLine="0" shrinkToFit="0" readingOrder="0"/>
    </dxf>
    <dxf>
      <numFmt numFmtId="1" formatCode="0"/>
      <alignment horizontal="center" vertical="center" textRotation="0" wrapText="0" indent="0" justifyLastLine="0" shrinkToFit="0" readingOrder="0"/>
    </dxf>
    <dxf>
      <numFmt numFmtId="1" formatCode="0"/>
      <alignment horizontal="center" vertical="center" textRotation="0" wrapText="0" indent="0" justifyLastLine="0" shrinkToFit="0" readingOrder="0"/>
    </dxf>
    <dxf>
      <alignment horizontal="center" vertical="center" textRotation="0" indent="0" justifyLastLine="0" shrinkToFit="0" readingOrder="0"/>
    </dxf>
    <dxf>
      <alignment horizontal="center" vertical="center" textRotation="0" indent="0" justifyLastLine="0" shrinkToFit="0" readingOrder="0"/>
    </dxf>
    <dxf>
      <alignment horizontal="center" vertical="center" textRotation="0" indent="0" justifyLastLine="0" shrinkToFit="0" readingOrder="0"/>
    </dxf>
    <dxf>
      <numFmt numFmtId="1" formatCode="0"/>
      <alignment horizontal="center" vertical="center" textRotation="0" wrapText="0" indent="0" justifyLastLine="0" shrinkToFit="0" readingOrder="0"/>
    </dxf>
    <dxf>
      <numFmt numFmtId="1" formatCode="0"/>
      <alignment horizontal="center" vertical="center" textRotation="0" wrapText="0" indent="0" justifyLastLine="0" shrinkToFit="0" readingOrder="0"/>
    </dxf>
    <dxf>
      <numFmt numFmtId="1" formatCode="0"/>
      <alignment horizontal="center" vertical="center" textRotation="0" wrapText="0" indent="0" justifyLastLine="0" shrinkToFit="0" readingOrder="0"/>
    </dxf>
    <dxf>
      <numFmt numFmtId="1" formatCode="0"/>
      <alignment horizontal="center" vertical="center" textRotation="0" wrapText="0" indent="0" justifyLastLine="0" shrinkToFit="0" readingOrder="0"/>
    </dxf>
    <dxf>
      <numFmt numFmtId="1" formatCode="0"/>
      <alignment horizontal="center" vertical="center" textRotation="0" wrapText="0" indent="0" justifyLastLine="0" shrinkToFit="0" readingOrder="0"/>
    </dxf>
    <dxf>
      <numFmt numFmtId="1" formatCode="0"/>
      <alignment horizontal="center" vertical="center" textRotation="0" wrapText="0" indent="0" justifyLastLine="0" shrinkToFit="0" readingOrder="0"/>
    </dxf>
    <dxf>
      <alignment horizontal="center" vertical="center" textRotation="0" indent="0" justifyLastLine="0" shrinkToFit="0" readingOrder="0"/>
    </dxf>
    <dxf>
      <alignment horizontal="center" vertical="center" textRotation="0" indent="0" justifyLastLine="0" shrinkToFit="0" readingOrder="0"/>
    </dxf>
    <dxf>
      <alignment horizontal="center" vertical="center" textRotation="0" indent="0" justifyLastLine="0" shrinkToFit="0" readingOrder="0"/>
    </dxf>
    <dxf>
      <numFmt numFmtId="1" formatCode="0"/>
      <alignment horizontal="center" vertical="center" textRotation="0" wrapText="0" indent="0" justifyLastLine="0" shrinkToFit="0" readingOrder="0"/>
    </dxf>
    <dxf>
      <numFmt numFmtId="1" formatCode="0"/>
      <alignment horizontal="center" vertical="center" textRotation="0" wrapText="0" indent="0" justifyLastLine="0" shrinkToFit="0" readingOrder="0"/>
    </dxf>
    <dxf>
      <numFmt numFmtId="1" formatCode="0"/>
      <alignment horizontal="center" vertical="center" textRotation="0" wrapText="0" indent="0" justifyLastLine="0" shrinkToFit="0" readingOrder="0"/>
    </dxf>
    <dxf>
      <numFmt numFmtId="1" formatCode="0"/>
      <alignment horizontal="center" vertical="center" textRotation="0" wrapText="0" indent="0" justifyLastLine="0" shrinkToFit="0" readingOrder="0"/>
    </dxf>
    <dxf>
      <numFmt numFmtId="1" formatCode="0"/>
      <alignment horizontal="center" vertical="center" textRotation="0" wrapText="0" indent="0" justifyLastLine="0" shrinkToFit="0" readingOrder="0"/>
    </dxf>
    <dxf>
      <numFmt numFmtId="1" formatCode="0"/>
      <alignment horizontal="center" vertical="center" textRotation="0" wrapText="0" indent="0" justifyLastLine="0" shrinkToFit="0" readingOrder="0"/>
    </dxf>
    <dxf>
      <alignment horizontal="center" vertical="center" textRotation="0" indent="0" justifyLastLine="0" shrinkToFit="0" readingOrder="0"/>
    </dxf>
    <dxf>
      <alignment horizontal="center" vertical="center" textRotation="0" indent="0" justifyLastLine="0" shrinkToFit="0" readingOrder="0"/>
    </dxf>
    <dxf>
      <alignment horizontal="center" vertical="center" textRotation="0" indent="0" justifyLastLine="0" shrinkToFit="0" readingOrder="0"/>
    </dxf>
    <dxf>
      <numFmt numFmtId="1" formatCode="0"/>
      <alignment horizontal="center" vertical="center" textRotation="0" wrapText="0" indent="0" justifyLastLine="0" shrinkToFit="0" readingOrder="0"/>
    </dxf>
    <dxf>
      <numFmt numFmtId="1" formatCode="0"/>
      <alignment horizontal="center" vertical="center" textRotation="0" wrapText="0" indent="0" justifyLastLine="0" shrinkToFit="0" readingOrder="0"/>
    </dxf>
    <dxf>
      <numFmt numFmtId="1" formatCode="0"/>
      <alignment horizontal="center" vertical="center" textRotation="0" wrapText="0" indent="0" justifyLastLine="0" shrinkToFit="0" readingOrder="0"/>
    </dxf>
    <dxf>
      <numFmt numFmtId="1" formatCode="0"/>
      <alignment horizontal="center" vertical="center" textRotation="0" wrapText="0" indent="0" justifyLastLine="0" shrinkToFit="0" readingOrder="0"/>
    </dxf>
    <dxf>
      <numFmt numFmtId="1" formatCode="0"/>
      <alignment horizontal="center" vertical="center" textRotation="0" wrapText="0" indent="0" justifyLastLine="0" shrinkToFit="0" readingOrder="0"/>
    </dxf>
    <dxf>
      <numFmt numFmtId="1" formatCode="0"/>
      <alignment horizontal="center" vertical="center" textRotation="0" wrapText="0" indent="0" justifyLastLine="0" shrinkToFit="0" readingOrder="0"/>
    </dxf>
    <dxf>
      <alignment horizontal="center" vertical="center" textRotation="0" indent="0" justifyLastLine="0" shrinkToFit="0" readingOrder="0"/>
    </dxf>
    <dxf>
      <alignment horizontal="center" vertical="center" textRotation="0" indent="0" justifyLastLine="0" shrinkToFit="0" readingOrder="0"/>
    </dxf>
    <dxf>
      <alignment horizontal="center" vertical="center" textRotation="0" indent="0" justifyLastLine="0" shrinkToFit="0" readingOrder="0"/>
    </dxf>
    <dxf>
      <numFmt numFmtId="1" formatCode="0"/>
      <alignment horizontal="center" vertical="center" textRotation="0" wrapText="0" indent="0" justifyLastLine="0" shrinkToFit="0" readingOrder="0"/>
    </dxf>
    <dxf>
      <numFmt numFmtId="1" formatCode="0"/>
      <alignment horizontal="center" vertical="center" textRotation="0" wrapText="0" indent="0" justifyLastLine="0" shrinkToFit="0" readingOrder="0"/>
    </dxf>
    <dxf>
      <numFmt numFmtId="1" formatCode="0"/>
      <alignment horizontal="center" vertical="center" textRotation="0" wrapText="0" indent="0" justifyLastLine="0" shrinkToFit="0" readingOrder="0"/>
    </dxf>
    <dxf>
      <numFmt numFmtId="1" formatCode="0"/>
      <alignment horizontal="center" vertical="center" textRotation="0" wrapText="0" indent="0" justifyLastLine="0" shrinkToFit="0" readingOrder="0"/>
    </dxf>
    <dxf>
      <numFmt numFmtId="1" formatCode="0"/>
      <alignment horizontal="center" vertical="center" textRotation="0" wrapText="0" indent="0" justifyLastLine="0" shrinkToFit="0" readingOrder="0"/>
    </dxf>
    <dxf>
      <numFmt numFmtId="1" formatCode="0"/>
      <alignment horizontal="center" vertical="center" textRotation="0" wrapText="0" indent="0" justifyLastLine="0" shrinkToFit="0" readingOrder="0"/>
    </dxf>
    <dxf>
      <alignment horizontal="center" vertical="center" textRotation="0" indent="0" justifyLastLine="0" shrinkToFit="0" readingOrder="0"/>
    </dxf>
    <dxf>
      <alignment horizontal="center" vertical="center" textRotation="0" indent="0" justifyLastLine="0" shrinkToFit="0" readingOrder="0"/>
    </dxf>
    <dxf>
      <alignment horizontal="center" vertic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wrapText="0" indent="0" justifyLastLine="0" shrinkToFit="0" readingOrder="0"/>
    </dxf>
    <dxf>
      <alignment horizontal="center" vertical="center" textRotation="0" indent="0" justifyLastLine="0" shrinkToFit="0" readingOrder="0"/>
    </dxf>
    <dxf>
      <alignment horizontal="center" vertical="center" textRotation="0" indent="0" justifyLastLine="0" shrinkToFit="0" readingOrder="0"/>
    </dxf>
    <dxf>
      <alignment horizontal="center" vertical="center" textRotation="0" indent="0" justifyLastLine="0" shrinkToFit="0" readingOrder="0"/>
    </dxf>
    <dxf>
      <alignment horizontal="center" vertical="center" textRotation="0" indent="0" justifyLastLine="0" shrinkToFit="0" readingOrder="0"/>
    </dxf>
    <dxf>
      <numFmt numFmtId="2" formatCode="0.00"/>
      <alignment horizontal="center" vertical="bottom" textRotation="0" wrapText="0" indent="0" justifyLastLine="0" shrinkToFit="0" readingOrder="0"/>
    </dxf>
    <dxf>
      <numFmt numFmtId="2" formatCode="0.00"/>
      <alignment horizontal="center" vertical="bottom" textRotation="0" wrapText="0" indent="0" justifyLastLine="0" shrinkToFit="0" readingOrder="0"/>
    </dxf>
    <dxf>
      <numFmt numFmtId="2" formatCode="0.00"/>
      <alignment horizontal="center" vertical="bottom" textRotation="0" wrapText="0" indent="0" justifyLastLine="0" shrinkToFit="0" readingOrder="0"/>
    </dxf>
    <dxf>
      <alignment horizontal="center" textRotation="0" indent="0" justifyLastLine="0" shrinkToFit="0" readingOrder="0"/>
    </dxf>
    <dxf>
      <alignment horizontal="center" textRotation="0" indent="0" justifyLastLine="0" shrinkToFit="0" readingOrder="0"/>
    </dxf>
    <dxf>
      <alignment horizontal="center" textRotation="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textRotation="0" indent="0" justifyLastLine="0" shrinkToFit="0" readingOrder="0"/>
    </dxf>
    <dxf>
      <numFmt numFmtId="13" formatCode="0%"/>
      <alignment horizontal="center" textRotation="0" indent="0" justifyLastLine="0" shrinkToFit="0" readingOrder="0"/>
    </dxf>
    <dxf>
      <alignment horizontal="center" textRotation="0" indent="0" justifyLastLine="0" shrinkToFit="0" readingOrder="0"/>
    </dxf>
    <dxf>
      <alignment horizontal="center" textRotation="0" indent="0" justifyLastLine="0" shrinkToFit="0" readingOrder="0"/>
    </dxf>
    <dxf>
      <alignment horizontal="center" textRotation="0" indent="0" justifyLastLine="0" shrinkToFit="0" readingOrder="0"/>
    </dxf>
    <dxf>
      <numFmt numFmtId="3" formatCode="#,##0"/>
      <alignment horizontal="center" textRotation="0" indent="0" justifyLastLine="0" shrinkToFit="0" readingOrder="0"/>
    </dxf>
    <dxf>
      <numFmt numFmtId="3" formatCode="#,##0"/>
      <alignment horizontal="center" textRotation="0" indent="0" justifyLastLine="0" shrinkToFit="0" readingOrder="0"/>
    </dxf>
    <dxf>
      <numFmt numFmtId="3" formatCode="#,##0"/>
      <alignment horizontal="center" textRotation="0" indent="0" justifyLastLine="0" shrinkToFit="0" readingOrder="0"/>
    </dxf>
    <dxf>
      <numFmt numFmtId="3" formatCode="#,##0"/>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numFmt numFmtId="3" formatCode="#,##0"/>
      <alignment horizontal="center" textRotation="0" indent="0" justifyLastLine="0" shrinkToFit="0" readingOrder="0"/>
    </dxf>
    <dxf>
      <numFmt numFmtId="3" formatCode="#,##0"/>
      <alignment horizontal="center" textRotation="0" indent="0" justifyLastLine="0" shrinkToFit="0" readingOrder="0"/>
    </dxf>
    <dxf>
      <numFmt numFmtId="3" formatCode="#,##0"/>
      <alignment horizontal="center" textRotation="0" indent="0" justifyLastLine="0" shrinkToFit="0" readingOrder="0"/>
    </dxf>
    <dxf>
      <numFmt numFmtId="3" formatCode="#,##0"/>
      <alignment horizontal="center" textRotation="0" indent="0" justifyLastLine="0" shrinkToFit="0" readingOrder="0"/>
    </dxf>
    <dxf>
      <numFmt numFmtId="0" formatCode="General"/>
      <alignment horizontal="center" textRotation="0" indent="0" justifyLastLine="0" shrinkToFit="0" readingOrder="0"/>
    </dxf>
    <dxf>
      <alignment horizontal="center" textRotation="0" indent="0" justifyLastLine="0" shrinkToFit="0" readingOrder="0"/>
    </dxf>
    <dxf>
      <alignment horizontal="center" textRotation="0" indent="0" justifyLastLine="0" shrinkToFit="0" readingOrder="0"/>
    </dxf>
    <dxf>
      <alignment horizontal="left" textRotation="0" wrapText="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wrapText="0" indent="0" justifyLastLine="0" shrinkToFit="0" readingOrder="0"/>
    </dxf>
    <dxf>
      <alignment horizontal="center" vertical="center" textRotation="0" indent="0" justifyLastLine="0" shrinkToFit="0" readingOrder="0"/>
    </dxf>
    <dxf>
      <alignment horizontal="center" vertical="center" textRotation="0" indent="0" justifyLastLine="0" shrinkToFit="0" readingOrder="0"/>
    </dxf>
    <dxf>
      <alignment horizontal="center" vertical="center" textRotation="0" indent="0" justifyLastLine="0" shrinkToFit="0" readingOrder="0"/>
    </dxf>
    <dxf>
      <alignment horizontal="center" vertical="center" textRotation="0" indent="0" justifyLastLine="0" shrinkToFit="0" readingOrder="0"/>
    </dxf>
    <dxf>
      <numFmt numFmtId="164" formatCode="0.0%"/>
      <alignment horizontal="center" vertical="center" textRotation="0" wrapText="0" indent="0" justifyLastLine="0" shrinkToFit="0" readingOrder="0"/>
    </dxf>
    <dxf>
      <numFmt numFmtId="164" formatCode="0.0%"/>
      <alignment horizontal="center" vertical="center" textRotation="0" wrapText="0" indent="0" justifyLastLine="0" shrinkToFit="0" readingOrder="0"/>
    </dxf>
    <dxf>
      <numFmt numFmtId="1" formatCode="0"/>
      <alignment horizontal="center" vertical="center" textRotation="0" wrapText="0" indent="0" justifyLastLine="0" shrinkToFit="0" readingOrder="0"/>
    </dxf>
    <dxf>
      <alignment horizontal="center" vertical="center" textRotation="0" indent="0" justifyLastLine="0" shrinkToFit="0" readingOrder="0"/>
    </dxf>
    <dxf>
      <alignment horizontal="center" vertical="center" textRotation="0" indent="0" justifyLastLine="0" shrinkToFit="0" readingOrder="0"/>
    </dxf>
    <dxf>
      <alignment horizontal="center" vertical="center" textRotation="0" indent="0" justifyLastLine="0" shrinkToFit="0" readingOrder="0"/>
    </dxf>
    <dxf>
      <numFmt numFmtId="1" formatCode="0"/>
      <alignment horizontal="center" vertical="center" textRotation="0" wrapText="0" indent="0" justifyLastLine="0" shrinkToFit="0" readingOrder="0"/>
    </dxf>
    <dxf>
      <numFmt numFmtId="1" formatCode="0"/>
      <alignment horizontal="center" vertical="center" textRotation="0" wrapText="0" indent="0" justifyLastLine="0" shrinkToFit="0" readingOrder="0"/>
    </dxf>
    <dxf>
      <numFmt numFmtId="1" formatCode="0"/>
      <alignment horizontal="center" vertical="center" textRotation="0" wrapText="0" indent="0" justifyLastLine="0" shrinkToFit="0" readingOrder="0"/>
    </dxf>
    <dxf>
      <numFmt numFmtId="1" formatCode="0"/>
      <alignment horizontal="center" vertical="center" textRotation="0" wrapText="0" indent="0" justifyLastLine="0" shrinkToFit="0" readingOrder="0"/>
    </dxf>
    <dxf>
      <numFmt numFmtId="1" formatCode="0"/>
      <alignment horizontal="center" vertical="center" textRotation="0" wrapText="0" indent="0" justifyLastLine="0" shrinkToFit="0" readingOrder="0"/>
    </dxf>
    <dxf>
      <numFmt numFmtId="1" formatCode="0"/>
      <alignment horizontal="center" vertical="center" textRotation="0" wrapText="0" indent="0" justifyLastLine="0" shrinkToFit="0" readingOrder="0"/>
    </dxf>
    <dxf>
      <numFmt numFmtId="1" formatCode="0"/>
      <alignment horizontal="center" vertical="center" textRotation="0" wrapText="0" indent="0" justifyLastLine="0" shrinkToFit="0" readingOrder="0"/>
    </dxf>
    <dxf>
      <alignment horizontal="center" vertical="center" textRotation="0" indent="0" justifyLastLine="0" shrinkToFit="0" readingOrder="0"/>
    </dxf>
    <dxf>
      <alignment horizontal="center" vertical="center" textRotation="0" indent="0" justifyLastLine="0" shrinkToFit="0" readingOrder="0"/>
    </dxf>
    <dxf>
      <alignment horizontal="center" vertical="center" textRotation="0" indent="0" justifyLastLine="0" shrinkToFit="0" readingOrder="0"/>
    </dxf>
    <dxf>
      <numFmt numFmtId="1" formatCode="0"/>
      <alignment horizontal="center" vertical="center" textRotation="0" wrapText="0" indent="0" justifyLastLine="0" shrinkToFit="0" readingOrder="0"/>
    </dxf>
    <dxf>
      <numFmt numFmtId="1" formatCode="0"/>
      <alignment horizontal="center" vertical="center" textRotation="0" wrapText="0" indent="0" justifyLastLine="0" shrinkToFit="0" readingOrder="0"/>
    </dxf>
    <dxf>
      <numFmt numFmtId="1" formatCode="0"/>
      <alignment horizontal="center" vertical="center" textRotation="0" wrapText="0" indent="0" justifyLastLine="0" shrinkToFit="0" readingOrder="0"/>
    </dxf>
    <dxf>
      <numFmt numFmtId="1" formatCode="0"/>
      <alignment horizontal="center" vertical="center" textRotation="0" wrapText="0" indent="0" justifyLastLine="0" shrinkToFit="0" readingOrder="0"/>
    </dxf>
    <dxf>
      <numFmt numFmtId="1" formatCode="0"/>
      <alignment horizontal="center" vertical="center" textRotation="0" wrapText="0" indent="0" justifyLastLine="0" shrinkToFit="0" readingOrder="0"/>
    </dxf>
    <dxf>
      <numFmt numFmtId="1" formatCode="0"/>
      <alignment horizontal="center" vertical="center" textRotation="0" wrapText="0" indent="0" justifyLastLine="0" shrinkToFit="0" readingOrder="0"/>
    </dxf>
    <dxf>
      <numFmt numFmtId="1" formatCode="0"/>
      <alignment horizontal="center" vertical="center" textRotation="0" wrapText="0" indent="0" justifyLastLine="0" shrinkToFit="0" readingOrder="0"/>
    </dxf>
    <dxf>
      <alignment horizontal="center" vertical="center" textRotation="0" indent="0" justifyLastLine="0" shrinkToFit="0" readingOrder="0"/>
    </dxf>
    <dxf>
      <alignment horizontal="center" vertical="center" textRotation="0" indent="0" justifyLastLine="0" shrinkToFit="0" readingOrder="0"/>
    </dxf>
    <dxf>
      <alignment horizontal="center" vertical="center" textRotation="0" indent="0" justifyLastLine="0" shrinkToFit="0" readingOrder="0"/>
    </dxf>
    <dxf>
      <numFmt numFmtId="1" formatCode="0"/>
      <alignment horizontal="center" vertical="center" textRotation="0" wrapText="0" indent="0" justifyLastLine="0" shrinkToFit="0" readingOrder="0"/>
    </dxf>
    <dxf>
      <numFmt numFmtId="1" formatCode="0"/>
      <alignment horizontal="center" vertical="center" textRotation="0" wrapText="0" indent="0" justifyLastLine="0" shrinkToFit="0" readingOrder="0"/>
    </dxf>
    <dxf>
      <numFmt numFmtId="1" formatCode="0"/>
      <alignment horizontal="center" vertical="center" textRotation="0" wrapText="0" indent="0" justifyLastLine="0" shrinkToFit="0" readingOrder="0"/>
    </dxf>
    <dxf>
      <numFmt numFmtId="1" formatCode="0"/>
      <alignment horizontal="center" vertical="center" textRotation="0" wrapText="0" indent="0" justifyLastLine="0" shrinkToFit="0" readingOrder="0"/>
    </dxf>
    <dxf>
      <numFmt numFmtId="1" formatCode="0"/>
      <alignment horizontal="center" vertical="center" textRotation="0" wrapText="0" indent="0" justifyLastLine="0" shrinkToFit="0" readingOrder="0"/>
    </dxf>
    <dxf>
      <numFmt numFmtId="1" formatCode="0"/>
      <alignment horizontal="center" vertical="center" textRotation="0" wrapText="0" indent="0" justifyLastLine="0" shrinkToFit="0" readingOrder="0"/>
    </dxf>
    <dxf>
      <numFmt numFmtId="1" formatCode="0"/>
      <alignment horizontal="center" vertical="center" textRotation="0" wrapText="0" indent="0" justifyLastLine="0" shrinkToFit="0" readingOrder="0"/>
    </dxf>
    <dxf>
      <alignment horizontal="center" vertical="center" textRotation="0" indent="0" justifyLastLine="0" shrinkToFit="0" readingOrder="0"/>
    </dxf>
    <dxf>
      <alignment horizontal="center" vertical="center" textRotation="0" indent="0" justifyLastLine="0" shrinkToFit="0" readingOrder="0"/>
    </dxf>
    <dxf>
      <alignment horizontal="center" vertical="center" textRotation="0" indent="0" justifyLastLine="0" shrinkToFit="0" readingOrder="0"/>
    </dxf>
    <dxf>
      <numFmt numFmtId="1" formatCode="0"/>
      <alignment horizontal="center" vertical="center" textRotation="0" wrapText="0" indent="0" justifyLastLine="0" shrinkToFit="0" readingOrder="0"/>
    </dxf>
    <dxf>
      <numFmt numFmtId="1" formatCode="0"/>
      <alignment horizontal="center" vertical="center" textRotation="0" wrapText="0" indent="0" justifyLastLine="0" shrinkToFit="0" readingOrder="0"/>
    </dxf>
    <dxf>
      <numFmt numFmtId="1" formatCode="0"/>
      <alignment horizontal="center" vertical="center" textRotation="0" wrapText="0" indent="0" justifyLastLine="0" shrinkToFit="0" readingOrder="0"/>
    </dxf>
    <dxf>
      <numFmt numFmtId="1" formatCode="0"/>
      <alignment horizontal="center" vertical="center" textRotation="0" wrapText="0" indent="0" justifyLastLine="0" shrinkToFit="0" readingOrder="0"/>
    </dxf>
    <dxf>
      <numFmt numFmtId="1" formatCode="0"/>
      <alignment horizontal="center" vertical="center" textRotation="0" wrapText="0" indent="0" justifyLastLine="0" shrinkToFit="0" readingOrder="0"/>
    </dxf>
    <dxf>
      <numFmt numFmtId="1" formatCode="0"/>
      <alignment horizontal="center" vertical="center" textRotation="0" wrapText="0" indent="0" justifyLastLine="0" shrinkToFit="0" readingOrder="0"/>
    </dxf>
    <dxf>
      <numFmt numFmtId="1" formatCode="0"/>
      <alignment horizontal="center" vertical="center" textRotation="0" wrapText="0" indent="0" justifyLastLine="0" shrinkToFit="0" readingOrder="0"/>
    </dxf>
    <dxf>
      <alignment horizontal="center" vertical="center" textRotation="0" indent="0" justifyLastLine="0" shrinkToFit="0" readingOrder="0"/>
    </dxf>
    <dxf>
      <alignment horizontal="center" vertical="center" textRotation="0" indent="0" justifyLastLine="0" shrinkToFit="0" readingOrder="0"/>
    </dxf>
    <dxf>
      <alignment horizontal="center" vertical="center" textRotation="0" indent="0" justifyLastLine="0" shrinkToFit="0" readingOrder="0"/>
    </dxf>
    <dxf>
      <numFmt numFmtId="1" formatCode="0"/>
      <alignment horizontal="center" vertical="center" textRotation="0" wrapText="0" indent="0" justifyLastLine="0" shrinkToFit="0" readingOrder="0"/>
    </dxf>
    <dxf>
      <numFmt numFmtId="1" formatCode="0"/>
      <alignment horizontal="center" vertical="center" textRotation="0" wrapText="0" indent="0" justifyLastLine="0" shrinkToFit="0" readingOrder="0"/>
    </dxf>
    <dxf>
      <numFmt numFmtId="1" formatCode="0"/>
      <alignment horizontal="center" vertical="center" textRotation="0" wrapText="0" indent="0" justifyLastLine="0" shrinkToFit="0" readingOrder="0"/>
    </dxf>
    <dxf>
      <numFmt numFmtId="1" formatCode="0"/>
      <alignment horizontal="center" vertical="center" textRotation="0" wrapText="0" indent="0" justifyLastLine="0" shrinkToFit="0" readingOrder="0"/>
    </dxf>
    <dxf>
      <numFmt numFmtId="1" formatCode="0"/>
      <alignment horizontal="center" vertical="center" textRotation="0" wrapText="0" indent="0" justifyLastLine="0" shrinkToFit="0" readingOrder="0"/>
    </dxf>
    <dxf>
      <numFmt numFmtId="1" formatCode="0"/>
      <alignment horizontal="center" vertical="center" textRotation="0" wrapText="0" indent="0" justifyLastLine="0" shrinkToFit="0" readingOrder="0"/>
    </dxf>
    <dxf>
      <numFmt numFmtId="1" formatCode="0"/>
      <alignment horizontal="center" vertical="center" textRotation="0" wrapText="0" indent="0" justifyLastLine="0" shrinkToFit="0" readingOrder="0"/>
    </dxf>
    <dxf>
      <alignment horizontal="center" vertical="center" textRotation="0" indent="0" justifyLastLine="0" shrinkToFit="0" readingOrder="0"/>
    </dxf>
    <dxf>
      <alignment horizontal="center" vertical="center" textRotation="0" indent="0" justifyLastLine="0" shrinkToFit="0" readingOrder="0"/>
    </dxf>
    <dxf>
      <alignment horizontal="center" vertical="center" textRotation="0" indent="0" justifyLastLine="0" shrinkToFit="0" readingOrder="0"/>
    </dxf>
    <dxf>
      <numFmt numFmtId="1" formatCode="0"/>
      <alignment horizontal="center" vertical="center" textRotation="0" wrapText="0" indent="0" justifyLastLine="0" shrinkToFit="0" readingOrder="0"/>
    </dxf>
    <dxf>
      <numFmt numFmtId="1" formatCode="0"/>
      <alignment horizontal="center" vertical="center" textRotation="0" wrapText="0" indent="0" justifyLastLine="0" shrinkToFit="0" readingOrder="0"/>
    </dxf>
    <dxf>
      <numFmt numFmtId="1" formatCode="0"/>
      <alignment horizontal="center" vertical="center" textRotation="0" wrapText="0" indent="0" justifyLastLine="0" shrinkToFit="0" readingOrder="0"/>
    </dxf>
    <dxf>
      <numFmt numFmtId="1" formatCode="0"/>
      <alignment horizontal="center" vertical="center" textRotation="0" wrapText="0" indent="0" justifyLastLine="0" shrinkToFit="0" readingOrder="0"/>
    </dxf>
    <dxf>
      <numFmt numFmtId="1" formatCode="0"/>
      <alignment horizontal="center" vertical="center" textRotation="0" wrapText="0" indent="0" justifyLastLine="0" shrinkToFit="0" readingOrder="0"/>
    </dxf>
    <dxf>
      <numFmt numFmtId="1" formatCode="0"/>
      <alignment horizontal="center" vertical="center" textRotation="0" wrapText="0" indent="0" justifyLastLine="0" shrinkToFit="0" readingOrder="0"/>
    </dxf>
    <dxf>
      <numFmt numFmtId="1" formatCode="0"/>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indent="0" justifyLastLine="0" shrinkToFit="0" readingOrder="0"/>
    </dxf>
    <dxf>
      <numFmt numFmtId="164" formatCode="0.0%"/>
      <alignment horizontal="center" vertical="center" textRotation="0" indent="0" justifyLastLine="0" shrinkToFit="0" readingOrder="0"/>
    </dxf>
    <dxf>
      <numFmt numFmtId="164" formatCode="0.0%"/>
      <alignment horizontal="center" vertical="center" textRotation="0" wrapText="0" indent="0" justifyLastLine="0" shrinkToFit="0" readingOrder="0"/>
    </dxf>
    <dxf>
      <numFmt numFmtId="1" formatCode="0"/>
      <alignment horizontal="center" vertical="center" textRotation="0" indent="0" justifyLastLine="0" shrinkToFit="0" readingOrder="0"/>
    </dxf>
    <dxf>
      <alignment horizontal="center" vertical="center" textRotation="0" indent="0" justifyLastLine="0" shrinkToFit="0" readingOrder="0"/>
    </dxf>
    <dxf>
      <alignment horizontal="center" vertical="center" textRotation="0" indent="0" justifyLastLine="0" shrinkToFit="0" readingOrder="0"/>
    </dxf>
    <dxf>
      <alignment horizontal="center" vertic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indent="0" justifyLastLine="0" shrinkToFit="0" readingOrder="0"/>
    </dxf>
    <dxf>
      <alignment horizontal="center" vertical="center" textRotation="0" indent="0" justifyLastLine="0" shrinkToFit="0" readingOrder="0"/>
    </dxf>
    <dxf>
      <alignment horizontal="center" vertical="center" textRotation="0" indent="0" justifyLastLine="0" shrinkToFit="0" readingOrder="0"/>
    </dxf>
    <dxf>
      <alignment horizontal="center" vertical="center" textRotation="0" indent="0" justifyLastLine="0" shrinkToFit="0" readingOrder="0"/>
    </dxf>
    <dxf>
      <font>
        <strike val="0"/>
        <outline val="0"/>
        <shadow val="0"/>
        <u val="none"/>
        <vertAlign val="baseline"/>
        <sz val="12"/>
        <color rgb="FF00B050"/>
        <name val="Calibri"/>
        <family val="2"/>
        <scheme val="minor"/>
      </font>
      <numFmt numFmtId="1" formatCode="0"/>
      <alignment horizontal="center" vertical="center" textRotation="0" indent="0" justifyLastLine="0" shrinkToFit="0" readingOrder="0"/>
    </dxf>
    <dxf>
      <font>
        <strike val="0"/>
        <outline val="0"/>
        <shadow val="0"/>
        <u val="none"/>
        <vertAlign val="baseline"/>
        <sz val="12"/>
        <color rgb="FF00B050"/>
        <name val="Calibri"/>
        <family val="2"/>
        <scheme val="minor"/>
      </font>
      <numFmt numFmtId="1" formatCode="0"/>
      <alignment horizontal="center" vertical="center" textRotation="0" indent="0" justifyLastLine="0" shrinkToFit="0" readingOrder="0"/>
    </dxf>
    <dxf>
      <font>
        <b val="0"/>
        <i val="0"/>
        <strike val="0"/>
        <condense val="0"/>
        <extend val="0"/>
        <outline val="0"/>
        <shadow val="0"/>
        <u val="none"/>
        <vertAlign val="baseline"/>
        <sz val="12"/>
        <color rgb="FFFF0000"/>
        <name val="Calibri"/>
        <family val="2"/>
        <scheme val="minor"/>
      </font>
      <numFmt numFmtId="1" formatCode="0"/>
      <alignment horizontal="center" vertical="center" textRotation="0" wrapText="0" indent="0" justifyLastLine="0" shrinkToFit="0" readingOrder="0"/>
    </dxf>
    <dxf>
      <font>
        <b val="0"/>
        <i val="0"/>
        <strike val="0"/>
        <condense val="0"/>
        <extend val="0"/>
        <outline val="0"/>
        <shadow val="0"/>
        <u val="none"/>
        <vertAlign val="baseline"/>
        <sz val="12"/>
        <color rgb="FFFF0000"/>
        <name val="Calibri"/>
        <family val="2"/>
        <scheme val="minor"/>
      </font>
      <numFmt numFmtId="1" formatCode="0"/>
      <alignment horizontal="center" vertical="center" textRotation="0" wrapText="0" indent="0" justifyLastLine="0" shrinkToFit="0" readingOrder="0"/>
    </dxf>
    <dxf>
      <font>
        <b val="0"/>
        <i val="0"/>
        <strike val="0"/>
        <condense val="0"/>
        <extend val="0"/>
        <outline val="0"/>
        <shadow val="0"/>
        <u val="none"/>
        <vertAlign val="baseline"/>
        <sz val="12"/>
        <color rgb="FFFF0000"/>
        <name val="Calibri"/>
        <family val="2"/>
        <scheme val="minor"/>
      </font>
      <numFmt numFmtId="1" formatCode="0"/>
      <alignment horizontal="center" vertical="center" textRotation="0" wrapText="0" indent="0" justifyLastLine="0" shrinkToFit="0" readingOrder="0"/>
    </dxf>
    <dxf>
      <numFmt numFmtId="1" formatCode="0"/>
      <alignment horizontal="center" vertical="center" textRotation="0" wrapText="0" indent="0" justifyLastLine="0" shrinkToFit="0" readingOrder="0"/>
    </dxf>
    <dxf>
      <font>
        <strike val="0"/>
        <outline val="0"/>
        <shadow val="0"/>
        <u val="none"/>
        <vertAlign val="baseline"/>
        <sz val="12"/>
        <color theme="1"/>
        <name val="Calibri"/>
        <family val="2"/>
        <scheme val="minor"/>
      </font>
      <numFmt numFmtId="1" formatCode="0"/>
      <alignment horizontal="center" vertical="center" textRotation="0" indent="0" justifyLastLine="0" shrinkToFit="0" readingOrder="0"/>
    </dxf>
    <dxf>
      <numFmt numFmtId="1" formatCode="0"/>
      <alignment horizontal="center" vertical="center" textRotation="0" wrapText="0" indent="0" justifyLastLine="0" shrinkToFit="0" readingOrder="0"/>
    </dxf>
    <dxf>
      <numFmt numFmtId="1" formatCode="0"/>
      <alignment horizontal="center" vertical="center" textRotation="0" indent="0" justifyLastLine="0" shrinkToFit="0" readingOrder="0"/>
    </dxf>
    <dxf>
      <alignment horizontal="center" vertical="center" textRotation="0" indent="0" justifyLastLine="0" shrinkToFit="0" readingOrder="0"/>
    </dxf>
    <dxf>
      <alignment horizontal="center" vertical="center" textRotation="0" indent="0" justifyLastLine="0" shrinkToFit="0" readingOrder="0"/>
    </dxf>
    <dxf>
      <alignment horizontal="center" vertic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indent="0" justifyLastLine="0" shrinkToFit="0" readingOrder="0"/>
    </dxf>
    <dxf>
      <alignment horizontal="center" vertical="center" textRotation="0" indent="0" justifyLastLine="0" shrinkToFit="0" readingOrder="0"/>
    </dxf>
    <dxf>
      <alignment horizontal="center" vertical="center" textRotation="0" indent="0" justifyLastLine="0" shrinkToFit="0" readingOrder="0"/>
    </dxf>
    <dxf>
      <alignment horizontal="center" vertic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indent="0" justifyLastLine="0" shrinkToFit="0" readingOrder="0"/>
    </dxf>
    <dxf>
      <alignment horizontal="center" vertical="center" textRotation="0" indent="0" justifyLastLine="0" shrinkToFit="0" readingOrder="0"/>
    </dxf>
    <dxf>
      <alignment horizontal="center" vertical="center" textRotation="0" indent="0" justifyLastLine="0" shrinkToFit="0" readingOrder="0"/>
    </dxf>
    <dxf>
      <alignment horizontal="center" vertic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indent="0" justifyLastLine="0" shrinkToFit="0" readingOrder="0"/>
    </dxf>
    <dxf>
      <alignment horizontal="center" vertical="center" textRotation="0" indent="0" justifyLastLine="0" shrinkToFit="0" readingOrder="0"/>
    </dxf>
    <dxf>
      <alignment horizontal="center" vertical="center" textRotation="0" indent="0" justifyLastLine="0" shrinkToFit="0" readingOrder="0"/>
    </dxf>
    <dxf>
      <alignment horizontal="center" vertic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indent="0" justifyLastLine="0" shrinkToFit="0" readingOrder="0"/>
    </dxf>
    <dxf>
      <alignment horizontal="center" vertical="center" textRotation="0" indent="0" justifyLastLine="0" shrinkToFit="0" readingOrder="0"/>
    </dxf>
    <dxf>
      <alignment horizontal="center" vertical="center" textRotation="0" indent="0" justifyLastLine="0" shrinkToFit="0" readingOrder="0"/>
    </dxf>
    <dxf>
      <alignment horizontal="center" vertic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indent="0" justifyLastLine="0" shrinkToFit="0" readingOrder="0"/>
    </dxf>
    <dxf>
      <alignment horizontal="center" vertical="center" textRotation="0" indent="0" justifyLastLine="0" shrinkToFit="0" readingOrder="0"/>
    </dxf>
    <dxf>
      <alignment horizontal="center" vertical="center" textRotation="0" indent="0" justifyLastLine="0" shrinkToFit="0" readingOrder="0"/>
    </dxf>
    <dxf>
      <alignment horizontal="center" vertic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wrapText="0" indent="0" justifyLastLine="0" shrinkToFit="0" readingOrder="0"/>
    </dxf>
    <dxf>
      <numFmt numFmtId="1" formatCode="0"/>
      <alignment horizontal="center" vertical="center" textRotation="0" indent="0" justifyLastLine="0" shrinkToFit="0" readingOrder="0"/>
    </dxf>
    <dxf>
      <alignment horizontal="center" vertical="center" textRotation="0" indent="0" justifyLastLine="0" shrinkToFit="0" readingOrder="0"/>
    </dxf>
    <dxf>
      <alignment horizontal="center" vertical="center" textRotation="0" indent="0" justifyLastLine="0" shrinkToFit="0" readingOrder="0"/>
    </dxf>
    <dxf>
      <alignment horizontal="center" vertic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indent="0" justifyLastLine="0" shrinkToFit="0" readingOrder="0"/>
    </dxf>
    <dxf>
      <alignment horizontal="center" vertical="center" textRotation="0" indent="0" justifyLastLine="0" shrinkToFit="0" readingOrder="0"/>
    </dxf>
    <dxf>
      <alignment horizontal="center" vertical="center" textRotation="0" indent="0" justifyLastLine="0" shrinkToFit="0" readingOrder="0"/>
    </dxf>
    <dxf>
      <alignment horizontal="center" vertic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indent="0" justifyLastLine="0" shrinkToFit="0" readingOrder="0"/>
    </dxf>
    <dxf>
      <alignment horizontal="center" vertical="center" textRotation="0" indent="0" justifyLastLine="0" shrinkToFit="0" readingOrder="0"/>
    </dxf>
    <dxf>
      <alignment horizontal="center" vertical="center" textRotation="0" indent="0" justifyLastLine="0" shrinkToFit="0" readingOrder="0"/>
    </dxf>
    <dxf>
      <alignment horizontal="center" vertic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indent="0" justifyLastLine="0" shrinkToFit="0" readingOrder="0"/>
    </dxf>
    <dxf>
      <alignment horizontal="center" vertical="center" textRotation="0" indent="0" justifyLastLine="0" shrinkToFit="0" readingOrder="0"/>
    </dxf>
    <dxf>
      <alignment horizontal="center" vertical="center" textRotation="0" indent="0" justifyLastLine="0" shrinkToFit="0" readingOrder="0"/>
    </dxf>
    <dxf>
      <alignment horizontal="center" vertical="center" textRotation="0" indent="0" justifyLastLine="0" shrinkToFit="0" readingOrder="0"/>
    </dxf>
    <dxf>
      <fill>
        <patternFill patternType="none">
          <fgColor indexed="64"/>
          <bgColor auto="1"/>
        </patternFill>
      </fill>
      <alignment horizontal="center" vertical="bottom" textRotation="0" wrapText="0" indent="0" justifyLastLine="0" shrinkToFit="0" readingOrder="0"/>
      <protection locked="1" hidden="0"/>
    </dxf>
    <dxf>
      <fill>
        <patternFill patternType="none">
          <fgColor indexed="64"/>
          <bgColor auto="1"/>
        </patternFill>
      </fill>
      <alignment horizontal="center" vertical="bottom" textRotation="0" wrapText="0" indent="0" justifyLastLine="0" shrinkToFit="0" readingOrder="0"/>
      <protection locked="1" hidden="0"/>
    </dxf>
    <dxf>
      <fill>
        <patternFill patternType="none">
          <fgColor indexed="64"/>
          <bgColor auto="1"/>
        </patternFill>
      </fill>
      <protection locked="1" hidden="0"/>
    </dxf>
    <dxf>
      <font>
        <b/>
        <i val="0"/>
        <strike val="0"/>
        <condense val="0"/>
        <extend val="0"/>
        <outline val="0"/>
        <shadow val="0"/>
        <u val="none"/>
        <vertAlign val="baseline"/>
        <sz val="12"/>
        <color theme="0"/>
        <name val="Calibri"/>
        <family val="2"/>
        <scheme val="minor"/>
      </font>
      <fill>
        <patternFill patternType="none">
          <fgColor indexed="64"/>
          <bgColor auto="1"/>
        </patternFill>
      </fill>
      <alignment horizontal="center" vertical="bottom" textRotation="0" wrapText="0" indent="0" justifyLastLine="0" shrinkToFit="0" readingOrder="0"/>
      <protection locked="1" hidden="0"/>
    </dxf>
    <dxf>
      <protection locked="1" hidden="0"/>
    </dxf>
    <dxf>
      <alignment horizontal="center" vertical="center" textRotation="0" wrapText="1" indent="0" justifyLastLine="0" shrinkToFit="0" readingOrder="0"/>
      <protection locked="1" hidden="0"/>
    </dxf>
    <dxf>
      <alignment horizontal="center" vertical="bottom" textRotation="0" wrapText="0" indent="0" justifyLastLine="0" shrinkToFit="0" readingOrder="0"/>
      <protection locked="1" hidden="0"/>
    </dxf>
    <dxf>
      <alignment horizontal="center" vertical="bottom" textRotation="0" wrapText="0" indent="0" justifyLastLine="0" shrinkToFit="0" readingOrder="0"/>
      <protection locked="1" hidden="0"/>
    </dxf>
    <dxf>
      <alignment horizontal="center" vertical="bottom" textRotation="0" wrapText="0" indent="0" justifyLastLine="0" shrinkToFit="0" readingOrder="0"/>
      <protection locked="1" hidden="0"/>
    </dxf>
    <dxf>
      <alignment horizontal="center" vertical="bottom" textRotation="0" wrapText="0" indent="0" justifyLastLine="0" shrinkToFit="0" readingOrder="0"/>
      <protection locked="1" hidden="0"/>
    </dxf>
    <dxf>
      <alignment horizontal="center" vertical="bottom" textRotation="0" wrapText="0" indent="0" justifyLastLine="0" shrinkToFit="0" readingOrder="0"/>
      <protection locked="1" hidden="0"/>
    </dxf>
    <dxf>
      <numFmt numFmtId="3" formatCode="#,##0"/>
      <alignment horizontal="center" textRotation="0" indent="0" justifyLastLine="0" shrinkToFit="0" readingOrder="0"/>
      <protection locked="1" hidden="0"/>
    </dxf>
    <dxf>
      <numFmt numFmtId="3" formatCode="#,##0"/>
      <alignment horizontal="center" textRotation="0" indent="0" justifyLastLine="0" shrinkToFit="0" readingOrder="0"/>
      <protection locked="1" hidden="0"/>
    </dxf>
    <dxf>
      <font>
        <b val="0"/>
        <i val="0"/>
        <strike val="0"/>
        <condense val="0"/>
        <extend val="0"/>
        <outline val="0"/>
        <shadow val="0"/>
        <u val="none"/>
        <vertAlign val="baseline"/>
        <sz val="12"/>
        <color theme="1"/>
        <name val="Calibri"/>
        <family val="2"/>
        <scheme val="minor"/>
      </font>
      <numFmt numFmtId="3" formatCode="#,##0"/>
      <alignment horizontal="center" vertical="bottom" textRotation="0" wrapText="0" indent="0" justifyLastLine="0" shrinkToFit="0" readingOrder="0"/>
      <protection locked="1" hidden="0"/>
    </dxf>
    <dxf>
      <font>
        <b val="0"/>
        <i val="0"/>
        <strike val="0"/>
        <condense val="0"/>
        <extend val="0"/>
        <outline val="0"/>
        <shadow val="0"/>
        <u val="none"/>
        <vertAlign val="baseline"/>
        <sz val="12"/>
        <color theme="1"/>
        <name val="Calibri"/>
        <family val="2"/>
        <scheme val="minor"/>
      </font>
      <numFmt numFmtId="3" formatCode="#,##0"/>
      <alignment horizontal="center" vertical="bottom" textRotation="0" wrapText="0" indent="0" justifyLastLine="0" shrinkToFit="0" readingOrder="0"/>
      <protection locked="1" hidden="0"/>
    </dxf>
    <dxf>
      <font>
        <b val="0"/>
        <i val="0"/>
        <strike val="0"/>
        <condense val="0"/>
        <extend val="0"/>
        <outline val="0"/>
        <shadow val="0"/>
        <u val="none"/>
        <vertAlign val="baseline"/>
        <sz val="12"/>
        <color theme="1"/>
        <name val="Calibri"/>
        <family val="2"/>
        <scheme val="minor"/>
      </font>
      <numFmt numFmtId="3" formatCode="#,##0"/>
      <alignment horizontal="center" vertical="bottom" textRotation="0" wrapText="0" indent="0" justifyLastLine="0" shrinkToFit="0" readingOrder="0"/>
      <protection locked="1" hidden="0"/>
    </dxf>
    <dxf>
      <font>
        <b val="0"/>
        <i val="0"/>
        <strike val="0"/>
        <condense val="0"/>
        <extend val="0"/>
        <outline val="0"/>
        <shadow val="0"/>
        <u val="none"/>
        <vertAlign val="baseline"/>
        <sz val="12"/>
        <color theme="1"/>
        <name val="Calibri"/>
        <family val="2"/>
        <scheme val="minor"/>
      </font>
      <numFmt numFmtId="3" formatCode="#,##0"/>
      <alignment horizontal="center" vertical="bottom" textRotation="0" wrapText="0" indent="0" justifyLastLine="0" shrinkToFit="0" readingOrder="0"/>
      <protection locked="1" hidden="0"/>
    </dxf>
    <dxf>
      <font>
        <b val="0"/>
        <i val="0"/>
        <strike val="0"/>
        <condense val="0"/>
        <extend val="0"/>
        <outline val="0"/>
        <shadow val="0"/>
        <u val="none"/>
        <vertAlign val="baseline"/>
        <sz val="12"/>
        <color theme="1"/>
        <name val="Calibri"/>
        <family val="2"/>
        <scheme val="minor"/>
      </font>
      <numFmt numFmtId="3" formatCode="#,##0"/>
      <alignment horizontal="center" vertical="bottom" textRotation="0" wrapText="0" indent="0" justifyLastLine="0" shrinkToFit="0" readingOrder="0"/>
      <protection locked="1" hidden="0"/>
    </dxf>
    <dxf>
      <font>
        <b val="0"/>
        <i val="0"/>
        <strike val="0"/>
        <condense val="0"/>
        <extend val="0"/>
        <outline val="0"/>
        <shadow val="0"/>
        <u val="none"/>
        <vertAlign val="baseline"/>
        <sz val="12"/>
        <color theme="1"/>
        <name val="Calibri"/>
        <family val="2"/>
        <scheme val="minor"/>
      </font>
      <numFmt numFmtId="13" formatCode="0%"/>
      <alignment horizontal="center" vertical="bottom" textRotation="0" wrapText="0" indent="0" justifyLastLine="0" shrinkToFit="0" readingOrder="0"/>
      <protection locked="1" hidden="0"/>
    </dxf>
    <dxf>
      <numFmt numFmtId="13" formatCode="0%"/>
      <alignment horizontal="center" vertical="bottom" textRotation="0" wrapText="0" indent="0" justifyLastLine="0" shrinkToFit="0" readingOrder="0"/>
      <protection locked="1" hidden="0"/>
    </dxf>
    <dxf>
      <font>
        <b val="0"/>
        <i val="0"/>
        <strike val="0"/>
        <condense val="0"/>
        <extend val="0"/>
        <outline val="0"/>
        <shadow val="0"/>
        <u val="none"/>
        <vertAlign val="baseline"/>
        <sz val="12"/>
        <color theme="1"/>
        <name val="Calibri"/>
        <family val="2"/>
        <scheme val="minor"/>
      </font>
      <numFmt numFmtId="0" formatCode="General"/>
      <alignment horizontal="center" vertical="bottom" textRotation="0" wrapText="0" indent="0" justifyLastLine="0" shrinkToFit="0" readingOrder="0"/>
      <protection locked="1" hidden="0"/>
    </dxf>
    <dxf>
      <font>
        <b val="0"/>
        <i val="0"/>
        <strike val="0"/>
        <condense val="0"/>
        <extend val="0"/>
        <outline val="0"/>
        <shadow val="0"/>
        <u val="none"/>
        <vertAlign val="baseline"/>
        <sz val="12"/>
        <color theme="1"/>
        <name val="Calibri"/>
        <family val="2"/>
        <scheme val="minor"/>
      </font>
      <numFmt numFmtId="165" formatCode="0.0"/>
      <alignment horizontal="center" vertical="bottom" textRotation="0" wrapText="0" indent="0" justifyLastLine="0" shrinkToFit="0" readingOrder="0"/>
      <protection locked="1" hidden="0"/>
    </dxf>
    <dxf>
      <numFmt numFmtId="0" formatCode="General"/>
      <alignment horizontal="center" vertical="bottom" textRotation="0" wrapText="0" indent="0" justifyLastLine="0" shrinkToFit="0" readingOrder="0"/>
      <protection locked="1" hidden="0"/>
    </dxf>
    <dxf>
      <font>
        <b val="0"/>
        <i val="0"/>
        <strike val="0"/>
        <condense val="0"/>
        <extend val="0"/>
        <outline val="0"/>
        <shadow val="0"/>
        <u val="none"/>
        <vertAlign val="baseline"/>
        <sz val="12"/>
        <color theme="1"/>
        <name val="Calibri"/>
        <scheme val="minor"/>
      </font>
      <numFmt numFmtId="0" formatCode="General"/>
      <fill>
        <patternFill patternType="none">
          <fgColor indexed="64"/>
          <bgColor auto="1"/>
        </patternFill>
      </fill>
      <alignment horizontal="center" textRotation="0" indent="0" justifyLastLine="0" shrinkToFit="0" readingOrder="0"/>
      <protection locked="1" hidden="0"/>
    </dxf>
    <dxf>
      <numFmt numFmtId="0" formatCode="General"/>
      <alignment horizontal="center" vertical="bottom" textRotation="0" wrapText="0" indent="0" justifyLastLine="0" shrinkToFit="0" readingOrder="0"/>
      <protection locked="1" hidden="0"/>
    </dxf>
    <dxf>
      <numFmt numFmtId="0" formatCode="General"/>
      <alignment horizontal="center" vertical="bottom" textRotation="0" wrapText="0" indent="0" justifyLastLine="0" shrinkToFit="0" readingOrder="0"/>
      <protection locked="1" hidden="0"/>
    </dxf>
    <dxf>
      <font>
        <b val="0"/>
        <i val="0"/>
        <strike val="0"/>
        <condense val="0"/>
        <extend val="0"/>
        <outline val="0"/>
        <shadow val="0"/>
        <u val="none"/>
        <vertAlign val="baseline"/>
        <sz val="12"/>
        <color theme="1"/>
        <name val="Calibri"/>
        <scheme val="minor"/>
      </font>
      <numFmt numFmtId="0" formatCode="General"/>
      <fill>
        <patternFill patternType="none">
          <fgColor indexed="64"/>
          <bgColor auto="1"/>
        </patternFill>
      </fill>
      <alignment horizontal="center" textRotation="0" indent="0" justifyLastLine="0" shrinkToFit="0" readingOrder="0"/>
      <protection locked="1" hidden="0"/>
    </dxf>
    <dxf>
      <alignment horizontal="center" textRotation="0" indent="0" justifyLastLine="0" shrinkToFit="0" readingOrder="0"/>
      <protection locked="1" hidden="0"/>
    </dxf>
    <dxf>
      <font>
        <b/>
        <i val="0"/>
        <strike val="0"/>
        <condense val="0"/>
        <extend val="0"/>
        <outline val="0"/>
        <shadow val="0"/>
        <u val="none"/>
        <vertAlign val="baseline"/>
        <sz val="12"/>
        <color theme="0"/>
        <name val="Calibri"/>
        <scheme val="minor"/>
      </font>
      <fill>
        <patternFill patternType="none">
          <fgColor indexed="64"/>
          <bgColor auto="1"/>
        </patternFill>
      </fill>
      <alignment horizontal="left" vertical="bottom" textRotation="0" wrapText="0" indent="0" justifyLastLine="0" shrinkToFit="0" readingOrder="0"/>
      <protection locked="1" hidden="0"/>
    </dxf>
    <dxf>
      <font>
        <b val="0"/>
        <i val="0"/>
        <strike val="0"/>
        <condense val="0"/>
        <extend val="0"/>
        <outline val="0"/>
        <shadow val="0"/>
        <u val="none"/>
        <vertAlign val="baseline"/>
        <sz val="12"/>
        <color theme="1"/>
        <name val="Calibri"/>
        <family val="2"/>
        <scheme val="minor"/>
      </font>
      <numFmt numFmtId="3" formatCode="#,##0"/>
      <fill>
        <patternFill patternType="none">
          <fgColor indexed="64"/>
          <bgColor auto="1"/>
        </patternFill>
      </fill>
      <alignment horizontal="center" vertical="bottom" textRotation="0" wrapText="0" indent="0" justifyLastLine="0" shrinkToFit="0" readingOrder="0"/>
      <protection locked="1" hidden="0"/>
    </dxf>
    <dxf>
      <font>
        <b val="0"/>
        <i val="0"/>
        <strike val="0"/>
        <condense val="0"/>
        <extend val="0"/>
        <outline val="0"/>
        <shadow val="0"/>
        <u val="none"/>
        <vertAlign val="baseline"/>
        <sz val="12"/>
        <color theme="1"/>
        <name val="Calibri"/>
        <family val="2"/>
        <scheme val="minor"/>
      </font>
      <numFmt numFmtId="3" formatCode="#,##0"/>
      <fill>
        <patternFill patternType="none">
          <fgColor indexed="64"/>
          <bgColor auto="1"/>
        </patternFill>
      </fill>
      <alignment horizontal="center" vertical="bottom" textRotation="0" wrapText="0" indent="0" justifyLastLine="0" shrinkToFit="0" readingOrder="0"/>
      <protection locked="1" hidden="0"/>
    </dxf>
    <dxf>
      <font>
        <b val="0"/>
        <i val="0"/>
        <strike val="0"/>
        <condense val="0"/>
        <extend val="0"/>
        <outline val="0"/>
        <shadow val="0"/>
        <u val="none"/>
        <vertAlign val="baseline"/>
        <sz val="12"/>
        <color theme="1"/>
        <name val="Calibri"/>
        <family val="2"/>
        <scheme val="minor"/>
      </font>
      <numFmt numFmtId="3" formatCode="#,##0"/>
      <fill>
        <patternFill patternType="none">
          <fgColor indexed="64"/>
          <bgColor auto="1"/>
        </patternFill>
      </fill>
      <alignment horizontal="center" vertical="bottom" textRotation="0" wrapText="0" indent="0" justifyLastLine="0" shrinkToFit="0" readingOrder="0"/>
      <protection locked="1" hidden="0"/>
    </dxf>
    <dxf>
      <font>
        <b val="0"/>
        <i val="0"/>
        <strike val="0"/>
        <condense val="0"/>
        <extend val="0"/>
        <outline val="0"/>
        <shadow val="0"/>
        <u val="none"/>
        <vertAlign val="baseline"/>
        <sz val="12"/>
        <color theme="1"/>
        <name val="Calibri"/>
        <family val="2"/>
        <scheme val="minor"/>
      </font>
      <numFmt numFmtId="3" formatCode="#,##0"/>
      <fill>
        <patternFill patternType="none">
          <fgColor indexed="64"/>
          <bgColor auto="1"/>
        </patternFill>
      </fill>
      <alignment horizontal="center" vertical="bottom" textRotation="0" wrapText="0" indent="0" justifyLastLine="0" shrinkToFit="0" readingOrder="0"/>
      <protection locked="1" hidden="0"/>
    </dxf>
    <dxf>
      <font>
        <b val="0"/>
        <i val="0"/>
        <strike val="0"/>
        <condense val="0"/>
        <extend val="0"/>
        <outline val="0"/>
        <shadow val="0"/>
        <u val="none"/>
        <vertAlign val="baseline"/>
        <sz val="12"/>
        <color theme="1"/>
        <name val="Calibri"/>
        <family val="2"/>
        <scheme val="minor"/>
      </font>
      <numFmt numFmtId="3" formatCode="#,##0"/>
      <fill>
        <patternFill patternType="none">
          <fgColor indexed="64"/>
          <bgColor auto="1"/>
        </patternFill>
      </fill>
      <alignment horizontal="center" vertical="bottom" textRotation="0" wrapText="0" indent="0" justifyLastLine="0" shrinkToFit="0" readingOrder="0"/>
      <protection locked="1" hidden="0"/>
    </dxf>
    <dxf>
      <font>
        <b val="0"/>
        <i val="0"/>
        <strike val="0"/>
        <condense val="0"/>
        <extend val="0"/>
        <outline val="0"/>
        <shadow val="0"/>
        <u val="none"/>
        <vertAlign val="baseline"/>
        <sz val="12"/>
        <color theme="1"/>
        <name val="Calibri"/>
        <family val="2"/>
        <scheme val="minor"/>
      </font>
      <numFmt numFmtId="3" formatCode="#,##0"/>
      <fill>
        <patternFill patternType="none">
          <fgColor indexed="64"/>
          <bgColor auto="1"/>
        </patternFill>
      </fill>
      <alignment horizontal="center" vertical="bottom" textRotation="0" wrapText="0" indent="0" justifyLastLine="0" shrinkToFit="0" readingOrder="0"/>
      <protection locked="1" hidden="0"/>
    </dxf>
    <dxf>
      <font>
        <b val="0"/>
        <i val="0"/>
        <strike val="0"/>
        <condense val="0"/>
        <extend val="0"/>
        <outline val="0"/>
        <shadow val="0"/>
        <u val="none"/>
        <vertAlign val="baseline"/>
        <sz val="12"/>
        <color theme="1"/>
        <name val="Calibri"/>
        <family val="2"/>
        <scheme val="minor"/>
      </font>
      <numFmt numFmtId="3" formatCode="#,##0"/>
      <fill>
        <patternFill patternType="none">
          <fgColor indexed="64"/>
          <bgColor auto="1"/>
        </patternFill>
      </fill>
      <alignment horizontal="center" vertical="bottom" textRotation="0" wrapText="0" indent="0" justifyLastLine="0" shrinkToFit="0" readingOrder="0"/>
      <protection locked="1" hidden="0"/>
    </dxf>
    <dxf>
      <font>
        <b val="0"/>
        <i val="0"/>
        <strike val="0"/>
        <condense val="0"/>
        <extend val="0"/>
        <outline val="0"/>
        <shadow val="0"/>
        <u val="none"/>
        <vertAlign val="baseline"/>
        <sz val="12"/>
        <color theme="1"/>
        <name val="Calibri"/>
        <family val="2"/>
        <scheme val="minor"/>
      </font>
      <numFmt numFmtId="3" formatCode="#,##0"/>
      <fill>
        <patternFill patternType="none">
          <fgColor indexed="64"/>
          <bgColor auto="1"/>
        </patternFill>
      </fill>
      <alignment horizontal="center" vertical="bottom" textRotation="0" wrapText="0" indent="0" justifyLastLine="0" shrinkToFit="0" readingOrder="0"/>
      <protection locked="1" hidden="0"/>
    </dxf>
    <dxf>
      <font>
        <b val="0"/>
        <i val="0"/>
        <strike val="0"/>
        <condense val="0"/>
        <extend val="0"/>
        <outline val="0"/>
        <shadow val="0"/>
        <u val="none"/>
        <vertAlign val="baseline"/>
        <sz val="12"/>
        <color theme="1"/>
        <name val="Calibri"/>
        <family val="2"/>
        <scheme val="minor"/>
      </font>
      <numFmt numFmtId="3" formatCode="#,##0"/>
      <fill>
        <patternFill patternType="none">
          <fgColor indexed="64"/>
          <bgColor auto="1"/>
        </patternFill>
      </fill>
      <alignment horizontal="center" vertical="bottom" textRotation="0" wrapText="0" indent="0" justifyLastLine="0" shrinkToFit="0" readingOrder="0"/>
      <protection locked="1" hidden="0"/>
    </dxf>
    <dxf>
      <font>
        <b val="0"/>
        <i val="0"/>
        <strike val="0"/>
        <condense val="0"/>
        <extend val="0"/>
        <outline val="0"/>
        <shadow val="0"/>
        <u val="none"/>
        <vertAlign val="baseline"/>
        <sz val="12"/>
        <color theme="1"/>
        <name val="Calibri"/>
        <family val="2"/>
        <scheme val="minor"/>
      </font>
      <numFmt numFmtId="3" formatCode="#,##0"/>
      <fill>
        <patternFill patternType="none">
          <fgColor indexed="64"/>
          <bgColor auto="1"/>
        </patternFill>
      </fill>
      <alignment horizontal="center" vertical="bottom" textRotation="0" wrapText="0" indent="0" justifyLastLine="0" shrinkToFit="0" readingOrder="0"/>
      <protection locked="1" hidden="0"/>
    </dxf>
    <dxf>
      <font>
        <b val="0"/>
        <i val="0"/>
        <strike val="0"/>
        <condense val="0"/>
        <extend val="0"/>
        <outline val="0"/>
        <shadow val="0"/>
        <u val="none"/>
        <vertAlign val="baseline"/>
        <sz val="12"/>
        <color theme="1"/>
        <name val="Calibri"/>
        <family val="2"/>
        <scheme val="minor"/>
      </font>
      <numFmt numFmtId="3" formatCode="#,##0"/>
      <fill>
        <patternFill patternType="none">
          <fgColor indexed="64"/>
          <bgColor auto="1"/>
        </patternFill>
      </fill>
      <alignment horizontal="center" vertical="bottom" textRotation="0" wrapText="0" indent="0" justifyLastLine="0" shrinkToFit="0" readingOrder="0"/>
      <protection locked="1" hidden="0"/>
    </dxf>
    <dxf>
      <font>
        <b val="0"/>
        <i val="0"/>
        <strike val="0"/>
        <condense val="0"/>
        <extend val="0"/>
        <outline val="0"/>
        <shadow val="0"/>
        <u val="none"/>
        <vertAlign val="baseline"/>
        <sz val="12"/>
        <color theme="1"/>
        <name val="Calibri"/>
        <family val="2"/>
        <scheme val="minor"/>
      </font>
      <numFmt numFmtId="3" formatCode="#,##0"/>
      <fill>
        <patternFill patternType="none">
          <fgColor indexed="64"/>
          <bgColor auto="1"/>
        </patternFill>
      </fill>
      <alignment horizontal="center" vertical="bottom" textRotation="0" wrapText="0" indent="0" justifyLastLine="0" shrinkToFit="0" readingOrder="0"/>
      <protection locked="1" hidden="0"/>
    </dxf>
    <dxf>
      <font>
        <b val="0"/>
        <i val="0"/>
        <strike val="0"/>
        <condense val="0"/>
        <extend val="0"/>
        <outline val="0"/>
        <shadow val="0"/>
        <u val="none"/>
        <vertAlign val="baseline"/>
        <sz val="12"/>
        <color theme="1"/>
        <name val="Calibri"/>
        <family val="2"/>
        <scheme val="minor"/>
      </font>
      <numFmt numFmtId="3" formatCode="#,##0"/>
      <fill>
        <patternFill patternType="none">
          <fgColor indexed="64"/>
          <bgColor auto="1"/>
        </patternFill>
      </fill>
      <alignment horizontal="center" vertical="bottom" textRotation="0" wrapText="0" indent="0" justifyLastLine="0" shrinkToFit="0" readingOrder="0"/>
      <protection locked="1" hidden="0"/>
    </dxf>
    <dxf>
      <font>
        <b val="0"/>
        <i val="0"/>
        <strike val="0"/>
        <condense val="0"/>
        <extend val="0"/>
        <outline val="0"/>
        <shadow val="0"/>
        <u val="none"/>
        <vertAlign val="baseline"/>
        <sz val="12"/>
        <color theme="1"/>
        <name val="Calibri"/>
        <family val="2"/>
        <scheme val="minor"/>
      </font>
      <numFmt numFmtId="3" formatCode="#,##0"/>
      <fill>
        <patternFill patternType="none">
          <fgColor indexed="64"/>
          <bgColor auto="1"/>
        </patternFill>
      </fill>
      <alignment horizontal="center" vertical="bottom" textRotation="0" wrapText="0" indent="0" justifyLastLine="0" shrinkToFit="0" readingOrder="0"/>
      <protection locked="1" hidden="0"/>
    </dxf>
    <dxf>
      <font>
        <b val="0"/>
        <i val="0"/>
        <strike val="0"/>
        <condense val="0"/>
        <extend val="0"/>
        <outline val="0"/>
        <shadow val="0"/>
        <u val="none"/>
        <vertAlign val="baseline"/>
        <sz val="12"/>
        <color theme="1"/>
        <name val="Calibri"/>
        <family val="2"/>
        <scheme val="minor"/>
      </font>
      <numFmt numFmtId="3" formatCode="#,##0"/>
      <fill>
        <patternFill patternType="none">
          <fgColor indexed="64"/>
          <bgColor auto="1"/>
        </patternFill>
      </fill>
      <alignment horizontal="center" vertical="bottom" textRotation="0" wrapText="0" indent="0" justifyLastLine="0" shrinkToFit="0" readingOrder="0"/>
      <protection locked="1" hidden="0"/>
    </dxf>
    <dxf>
      <font>
        <b val="0"/>
        <i val="0"/>
        <strike val="0"/>
        <condense val="0"/>
        <extend val="0"/>
        <outline val="0"/>
        <shadow val="0"/>
        <u val="none"/>
        <vertAlign val="baseline"/>
        <sz val="12"/>
        <color theme="1"/>
        <name val="Calibri"/>
        <family val="2"/>
        <scheme val="minor"/>
      </font>
      <numFmt numFmtId="3" formatCode="#,##0"/>
      <fill>
        <patternFill patternType="none">
          <fgColor indexed="64"/>
          <bgColor auto="1"/>
        </patternFill>
      </fill>
      <alignment horizontal="center" vertical="bottom" textRotation="0" wrapText="0" indent="0" justifyLastLine="0" shrinkToFit="0" readingOrder="0"/>
      <protection locked="1" hidden="0"/>
    </dxf>
    <dxf>
      <font>
        <b val="0"/>
        <i val="0"/>
        <strike val="0"/>
        <condense val="0"/>
        <extend val="0"/>
        <outline val="0"/>
        <shadow val="0"/>
        <u val="none"/>
        <vertAlign val="baseline"/>
        <sz val="12"/>
        <color theme="1"/>
        <name val="Calibri"/>
        <family val="2"/>
        <scheme val="minor"/>
      </font>
      <numFmt numFmtId="3" formatCode="#,##0"/>
      <fill>
        <patternFill patternType="none">
          <fgColor indexed="64"/>
          <bgColor auto="1"/>
        </patternFill>
      </fill>
      <alignment horizontal="center" vertical="bottom" textRotation="0" wrapText="0" indent="0" justifyLastLine="0" shrinkToFit="0" readingOrder="0"/>
      <protection locked="1" hidden="0"/>
    </dxf>
    <dxf>
      <font>
        <b val="0"/>
        <i val="0"/>
        <strike val="0"/>
        <condense val="0"/>
        <extend val="0"/>
        <outline val="0"/>
        <shadow val="0"/>
        <u val="none"/>
        <vertAlign val="baseline"/>
        <sz val="12"/>
        <color theme="1"/>
        <name val="Calibri"/>
        <family val="2"/>
        <scheme val="minor"/>
      </font>
      <numFmt numFmtId="3" formatCode="#,##0"/>
      <fill>
        <patternFill patternType="none">
          <fgColor indexed="64"/>
          <bgColor auto="1"/>
        </patternFill>
      </fill>
      <alignment horizontal="center" vertical="bottom" textRotation="0" wrapText="0" indent="0" justifyLastLine="0" shrinkToFit="0" readingOrder="0"/>
      <protection locked="1" hidden="0"/>
    </dxf>
    <dxf>
      <font>
        <b val="0"/>
        <i val="0"/>
        <strike val="0"/>
        <condense val="0"/>
        <extend val="0"/>
        <outline val="0"/>
        <shadow val="0"/>
        <u val="none"/>
        <vertAlign val="baseline"/>
        <sz val="12"/>
        <color theme="1"/>
        <name val="Calibri"/>
        <family val="2"/>
        <scheme val="minor"/>
      </font>
      <numFmt numFmtId="3" formatCode="#,##0"/>
      <fill>
        <patternFill patternType="none">
          <fgColor indexed="64"/>
          <bgColor auto="1"/>
        </patternFill>
      </fill>
      <alignment horizontal="center" vertical="bottom" textRotation="0" wrapText="0" indent="0" justifyLastLine="0" shrinkToFit="0" readingOrder="0"/>
      <protection locked="1" hidden="0"/>
    </dxf>
    <dxf>
      <font>
        <b val="0"/>
        <i val="0"/>
        <strike val="0"/>
        <condense val="0"/>
        <extend val="0"/>
        <outline val="0"/>
        <shadow val="0"/>
        <u val="none"/>
        <vertAlign val="baseline"/>
        <sz val="12"/>
        <color theme="1"/>
        <name val="Calibri"/>
        <family val="2"/>
        <scheme val="minor"/>
      </font>
      <numFmt numFmtId="3" formatCode="#,##0"/>
      <fill>
        <patternFill patternType="none">
          <fgColor indexed="64"/>
          <bgColor auto="1"/>
        </patternFill>
      </fill>
      <alignment horizontal="center" vertical="bottom" textRotation="0" wrapText="0" indent="0" justifyLastLine="0" shrinkToFit="0" readingOrder="0"/>
      <protection locked="1" hidden="0"/>
    </dxf>
    <dxf>
      <font>
        <b val="0"/>
        <i val="0"/>
        <strike val="0"/>
        <condense val="0"/>
        <extend val="0"/>
        <outline val="0"/>
        <shadow val="0"/>
        <u val="none"/>
        <vertAlign val="baseline"/>
        <sz val="12"/>
        <color theme="1"/>
        <name val="Calibri"/>
        <family val="2"/>
        <scheme val="minor"/>
      </font>
      <numFmt numFmtId="3" formatCode="#,##0"/>
      <fill>
        <patternFill patternType="none">
          <fgColor indexed="64"/>
          <bgColor auto="1"/>
        </patternFill>
      </fill>
      <alignment horizontal="center" vertical="bottom" textRotation="0" wrapText="0" indent="0" justifyLastLine="0" shrinkToFit="0" readingOrder="0"/>
      <protection locked="1" hidden="0"/>
    </dxf>
    <dxf>
      <font>
        <b val="0"/>
        <i val="0"/>
        <strike val="0"/>
        <condense val="0"/>
        <extend val="0"/>
        <outline val="0"/>
        <shadow val="0"/>
        <u val="none"/>
        <vertAlign val="baseline"/>
        <sz val="12"/>
        <color theme="1"/>
        <name val="Calibri"/>
        <family val="2"/>
        <scheme val="minor"/>
      </font>
      <numFmt numFmtId="3" formatCode="#,##0"/>
      <fill>
        <patternFill patternType="none">
          <fgColor indexed="64"/>
          <bgColor auto="1"/>
        </patternFill>
      </fill>
      <alignment horizontal="center" vertical="bottom" textRotation="0" wrapText="0" indent="0" justifyLastLine="0" shrinkToFit="0" readingOrder="0"/>
      <protection locked="1" hidden="0"/>
    </dxf>
    <dxf>
      <font>
        <b val="0"/>
        <i val="0"/>
        <strike val="0"/>
        <condense val="0"/>
        <extend val="0"/>
        <outline val="0"/>
        <shadow val="0"/>
        <u val="none"/>
        <vertAlign val="baseline"/>
        <sz val="12"/>
        <color theme="1"/>
        <name val="Calibri"/>
        <family val="2"/>
        <scheme val="minor"/>
      </font>
      <numFmt numFmtId="3" formatCode="#,##0"/>
      <fill>
        <patternFill patternType="none">
          <fgColor indexed="64"/>
          <bgColor auto="1"/>
        </patternFill>
      </fill>
      <alignment horizontal="center" vertical="bottom" textRotation="0" wrapText="0" indent="0" justifyLastLine="0" shrinkToFit="0" readingOrder="0"/>
      <protection locked="1" hidden="0"/>
    </dxf>
    <dxf>
      <font>
        <b val="0"/>
        <i val="0"/>
        <strike val="0"/>
        <condense val="0"/>
        <extend val="0"/>
        <outline val="0"/>
        <shadow val="0"/>
        <u val="none"/>
        <vertAlign val="baseline"/>
        <sz val="12"/>
        <color theme="1"/>
        <name val="Calibri"/>
        <family val="2"/>
        <scheme val="minor"/>
      </font>
      <numFmt numFmtId="3" formatCode="#,##0"/>
      <fill>
        <patternFill patternType="none">
          <fgColor indexed="64"/>
          <bgColor auto="1"/>
        </patternFill>
      </fill>
      <alignment horizontal="center" vertical="bottom" textRotation="0" wrapText="0" indent="0" justifyLastLine="0" shrinkToFit="0" readingOrder="0"/>
      <protection locked="1" hidden="0"/>
    </dxf>
    <dxf>
      <font>
        <b val="0"/>
        <i val="0"/>
        <strike val="0"/>
        <condense val="0"/>
        <extend val="0"/>
        <outline val="0"/>
        <shadow val="0"/>
        <u val="none"/>
        <vertAlign val="baseline"/>
        <sz val="12"/>
        <color theme="1"/>
        <name val="Calibri"/>
        <family val="2"/>
        <scheme val="minor"/>
      </font>
      <numFmt numFmtId="3" formatCode="#,##0"/>
      <fill>
        <patternFill patternType="none">
          <fgColor indexed="64"/>
          <bgColor auto="1"/>
        </patternFill>
      </fill>
      <alignment horizontal="center" vertical="bottom" textRotation="0" wrapText="0" indent="0" justifyLastLine="0" shrinkToFit="0" readingOrder="0"/>
      <protection locked="1" hidden="0"/>
    </dxf>
    <dxf>
      <font>
        <b val="0"/>
        <i val="0"/>
        <strike val="0"/>
        <condense val="0"/>
        <extend val="0"/>
        <outline val="0"/>
        <shadow val="0"/>
        <u val="none"/>
        <vertAlign val="baseline"/>
        <sz val="12"/>
        <color theme="1"/>
        <name val="Calibri"/>
        <family val="2"/>
        <scheme val="minor"/>
      </font>
      <numFmt numFmtId="3" formatCode="#,##0"/>
      <fill>
        <patternFill patternType="none">
          <fgColor indexed="64"/>
          <bgColor auto="1"/>
        </patternFill>
      </fill>
      <alignment horizontal="center" vertical="bottom" textRotation="0" wrapText="0" indent="0" justifyLastLine="0" shrinkToFit="0" readingOrder="0"/>
      <protection locked="1" hidden="0"/>
    </dxf>
    <dxf>
      <font>
        <b val="0"/>
        <i val="0"/>
        <strike val="0"/>
        <condense val="0"/>
        <extend val="0"/>
        <outline val="0"/>
        <shadow val="0"/>
        <u val="none"/>
        <vertAlign val="baseline"/>
        <sz val="12"/>
        <color theme="1"/>
        <name val="Calibri"/>
        <family val="2"/>
        <scheme val="minor"/>
      </font>
      <numFmt numFmtId="3" formatCode="#,##0"/>
      <fill>
        <patternFill patternType="none">
          <fgColor indexed="64"/>
          <bgColor auto="1"/>
        </patternFill>
      </fill>
      <alignment horizontal="center" vertical="bottom" textRotation="0" wrapText="0" indent="0" justifyLastLine="0" shrinkToFit="0" readingOrder="0"/>
      <protection locked="1" hidden="0"/>
    </dxf>
    <dxf>
      <font>
        <b val="0"/>
        <i val="0"/>
        <strike val="0"/>
        <condense val="0"/>
        <extend val="0"/>
        <outline val="0"/>
        <shadow val="0"/>
        <u val="none"/>
        <vertAlign val="baseline"/>
        <sz val="12"/>
        <color theme="1"/>
        <name val="Calibri"/>
        <family val="2"/>
        <scheme val="minor"/>
      </font>
      <numFmt numFmtId="3" formatCode="#,##0"/>
      <fill>
        <patternFill patternType="none">
          <fgColor indexed="64"/>
          <bgColor auto="1"/>
        </patternFill>
      </fill>
      <alignment horizontal="center" vertical="bottom" textRotation="0" wrapText="0" indent="0" justifyLastLine="0" shrinkToFit="0" readingOrder="0"/>
      <protection locked="1" hidden="0"/>
    </dxf>
    <dxf>
      <font>
        <b val="0"/>
        <i val="0"/>
        <strike val="0"/>
        <condense val="0"/>
        <extend val="0"/>
        <outline val="0"/>
        <shadow val="0"/>
        <u val="none"/>
        <vertAlign val="baseline"/>
        <sz val="12"/>
        <color theme="1"/>
        <name val="Calibri"/>
        <family val="2"/>
        <scheme val="minor"/>
      </font>
      <numFmt numFmtId="3" formatCode="#,##0"/>
      <fill>
        <patternFill patternType="none">
          <fgColor indexed="64"/>
          <bgColor auto="1"/>
        </patternFill>
      </fill>
      <alignment horizontal="center" vertical="bottom" textRotation="0" wrapText="0" indent="0" justifyLastLine="0" shrinkToFit="0" readingOrder="0"/>
      <protection locked="1" hidden="0"/>
    </dxf>
    <dxf>
      <font>
        <b val="0"/>
        <i val="0"/>
        <strike val="0"/>
        <condense val="0"/>
        <extend val="0"/>
        <outline val="0"/>
        <shadow val="0"/>
        <u val="none"/>
        <vertAlign val="baseline"/>
        <sz val="12"/>
        <color theme="1"/>
        <name val="Calibri"/>
        <family val="2"/>
        <scheme val="minor"/>
      </font>
      <numFmt numFmtId="0" formatCode="General"/>
      <fill>
        <patternFill patternType="none">
          <fgColor indexed="64"/>
          <bgColor indexed="65"/>
        </patternFill>
      </fill>
      <alignment horizontal="center" vertical="bottom" textRotation="0" wrapText="0" indent="0" justifyLastLine="0" shrinkToFit="0" readingOrder="0"/>
      <protection locked="1" hidden="0"/>
    </dxf>
    <dxf>
      <font>
        <b val="0"/>
        <i val="0"/>
        <strike val="0"/>
        <condense val="0"/>
        <extend val="0"/>
        <outline val="0"/>
        <shadow val="0"/>
        <u val="none"/>
        <vertAlign val="baseline"/>
        <sz val="12"/>
        <color theme="1"/>
        <name val="Calibri"/>
        <family val="2"/>
        <scheme val="minor"/>
      </font>
      <numFmt numFmtId="0" formatCode="General"/>
      <fill>
        <patternFill patternType="none">
          <fgColor indexed="64"/>
          <bgColor auto="1"/>
        </patternFill>
      </fill>
      <alignment horizontal="center" vertical="bottom" textRotation="0" wrapText="0" indent="0" justifyLastLine="0" shrinkToFit="0" readingOrder="0"/>
      <protection locked="1" hidden="0"/>
    </dxf>
    <dxf>
      <font>
        <b val="0"/>
        <i val="0"/>
        <strike val="0"/>
        <condense val="0"/>
        <extend val="0"/>
        <outline val="0"/>
        <shadow val="0"/>
        <u val="none"/>
        <vertAlign val="baseline"/>
        <sz val="12"/>
        <color theme="1"/>
        <name val="Calibri"/>
        <family val="2"/>
        <scheme val="minor"/>
      </font>
      <fill>
        <patternFill patternType="none">
          <fgColor indexed="64"/>
          <bgColor auto="1"/>
        </patternFill>
      </fill>
      <alignment horizontal="center" vertical="bottom" textRotation="0" wrapText="0" indent="0" justifyLastLine="0" shrinkToFit="0" readingOrder="0"/>
      <protection locked="1" hidden="0"/>
    </dxf>
    <dxf>
      <font>
        <b val="0"/>
        <i val="0"/>
        <strike val="0"/>
        <condense val="0"/>
        <extend val="0"/>
        <outline val="0"/>
        <shadow val="0"/>
        <u val="none"/>
        <vertAlign val="baseline"/>
        <sz val="12"/>
        <color theme="1"/>
        <name val="Calibri"/>
        <family val="2"/>
        <scheme val="minor"/>
      </font>
      <fill>
        <patternFill patternType="none">
          <fgColor indexed="64"/>
          <bgColor auto="1"/>
        </patternFill>
      </fill>
      <alignment horizontal="center" vertical="bottom" textRotation="0" wrapText="0" indent="0" justifyLastLine="0" shrinkToFit="0" readingOrder="0"/>
      <protection locked="1" hidden="0"/>
    </dxf>
    <dxf>
      <font>
        <b/>
        <i val="0"/>
        <strike val="0"/>
        <condense val="0"/>
        <extend val="0"/>
        <outline val="0"/>
        <shadow val="0"/>
        <u val="none"/>
        <vertAlign val="baseline"/>
        <sz val="12"/>
        <color theme="0"/>
        <name val="Calibri"/>
        <family val="2"/>
        <scheme val="minor"/>
      </font>
      <fill>
        <patternFill patternType="none">
          <fgColor indexed="64"/>
          <bgColor auto="1"/>
        </patternFill>
      </fill>
      <alignment horizontal="center" vertical="bottom" textRotation="0" wrapText="0" indent="0" justifyLastLine="0" shrinkToFit="0" readingOrder="0"/>
      <protection locked="1" hidden="0"/>
    </dxf>
    <dxf>
      <alignment horizontal="center" textRotation="0" indent="0" justifyLastLine="0" shrinkToFit="0" readingOrder="0"/>
      <protection locked="1" hidden="0"/>
    </dxf>
    <dxf>
      <alignment horizontal="center" textRotation="0" indent="0" justifyLastLine="0" shrinkToFit="0" readingOrder="0"/>
      <protection locked="1" hidden="0"/>
    </dxf>
    <dxf>
      <alignment horizontal="center" textRotation="0" indent="0" justifyLastLine="0" shrinkToFit="0" readingOrder="0"/>
      <protection locked="1" hidden="0"/>
    </dxf>
    <dxf>
      <alignment horizontal="center" textRotation="0" indent="0" justifyLastLine="0" shrinkToFit="0" readingOrder="0"/>
      <protection locked="1" hidden="0"/>
    </dxf>
    <dxf>
      <alignment horizontal="center" vertical="bottom" textRotation="0" wrapText="0" indent="0" justifyLastLine="0" shrinkToFit="0" readingOrder="0"/>
      <protection locked="1" hidden="0"/>
    </dxf>
    <dxf>
      <alignment horizontal="center" vertical="bottom" textRotation="0" wrapText="0" indent="0" justifyLastLine="0" shrinkToFit="0" readingOrder="0"/>
      <protection locked="1" hidden="0"/>
    </dxf>
    <dxf>
      <alignment horizontal="center" vertical="bottom" textRotation="0" wrapText="0" indent="0" justifyLastLine="0" shrinkToFit="0" readingOrder="0"/>
      <protection locked="1" hidden="0"/>
    </dxf>
    <dxf>
      <alignment horizontal="center" vertical="bottom" textRotation="0" wrapText="0" indent="0" justifyLastLine="0" shrinkToFit="0" readingOrder="0"/>
      <protection locked="1" hidden="0"/>
    </dxf>
    <dxf>
      <numFmt numFmtId="1" formatCode="0"/>
      <fill>
        <patternFill patternType="none">
          <fgColor indexed="64"/>
          <bgColor auto="1"/>
        </patternFill>
      </fill>
      <alignment horizontal="center" vertical="bottom" textRotation="0" wrapText="0" indent="0" justifyLastLine="0" shrinkToFit="0" readingOrder="0"/>
      <protection locked="1" hidden="0"/>
    </dxf>
    <dxf>
      <numFmt numFmtId="1" formatCode="0"/>
      <fill>
        <patternFill patternType="none">
          <fgColor indexed="64"/>
          <bgColor auto="1"/>
        </patternFill>
      </fill>
      <alignment horizontal="center" vertical="bottom" textRotation="0" wrapText="0" indent="0" justifyLastLine="0" shrinkToFit="0" readingOrder="0"/>
      <protection locked="1" hidden="0"/>
    </dxf>
    <dxf>
      <numFmt numFmtId="164" formatCode="0.0%"/>
      <fill>
        <patternFill patternType="none">
          <fgColor indexed="64"/>
          <bgColor auto="1"/>
        </patternFill>
      </fill>
      <alignment horizontal="center" vertical="bottom" textRotation="0" wrapText="0" indent="0" justifyLastLine="0" shrinkToFit="0" readingOrder="0"/>
      <protection locked="1" hidden="0"/>
    </dxf>
    <dxf>
      <numFmt numFmtId="13" formatCode="0%"/>
      <fill>
        <patternFill patternType="none">
          <fgColor indexed="64"/>
          <bgColor auto="1"/>
        </patternFill>
      </fill>
      <alignment horizontal="center" vertical="bottom" textRotation="0" wrapText="0" indent="0" justifyLastLine="0" shrinkToFit="0" readingOrder="0"/>
      <protection locked="1" hidden="0"/>
    </dxf>
    <dxf>
      <fill>
        <patternFill patternType="none">
          <fgColor indexed="64"/>
          <bgColor auto="1"/>
        </patternFill>
      </fill>
      <alignment horizontal="center" textRotation="0" indent="0" justifyLastLine="0" shrinkToFit="0" readingOrder="0"/>
      <protection locked="1" hidden="0"/>
    </dxf>
    <dxf>
      <font>
        <b/>
        <i val="0"/>
        <strike val="0"/>
        <condense val="0"/>
        <extend val="0"/>
        <outline val="0"/>
        <shadow val="0"/>
        <u val="none"/>
        <vertAlign val="baseline"/>
        <sz val="12"/>
        <color theme="0"/>
        <name val="Calibri"/>
        <scheme val="minor"/>
      </font>
      <fill>
        <patternFill patternType="none">
          <fgColor indexed="64"/>
          <bgColor auto="1"/>
        </patternFill>
      </fill>
      <alignment horizontal="left" vertical="bottom" textRotation="0" wrapText="0" indent="0" justifyLastLine="0" shrinkToFit="0" readingOrder="0"/>
      <protection locked="1" hidden="0"/>
    </dxf>
    <dxf>
      <numFmt numFmtId="2" formatCode="0.00"/>
      <alignment horizontal="center" vertical="bottom" textRotation="0" wrapText="0" indent="0" justifyLastLine="0" shrinkToFit="0" readingOrder="0"/>
      <protection locked="1" hidden="0"/>
    </dxf>
    <dxf>
      <numFmt numFmtId="2" formatCode="0.00"/>
      <alignment horizontal="center" vertical="bottom" textRotation="0" wrapText="0" indent="0" justifyLastLine="0" shrinkToFit="0" readingOrder="0"/>
      <protection locked="1" hidden="0"/>
    </dxf>
    <dxf>
      <numFmt numFmtId="2" formatCode="0.00"/>
      <alignment horizontal="center" vertical="bottom" textRotation="0" wrapText="0" indent="0" justifyLastLine="0" shrinkToFit="0" readingOrder="0"/>
      <protection locked="1" hidden="0"/>
    </dxf>
    <dxf>
      <numFmt numFmtId="2" formatCode="0.00"/>
      <alignment horizontal="center" vertical="bottom" textRotation="0" wrapText="0" indent="0" justifyLastLine="0" shrinkToFit="0" readingOrder="0"/>
      <protection locked="1" hidden="0"/>
    </dxf>
    <dxf>
      <numFmt numFmtId="2" formatCode="0.00"/>
      <alignment horizontal="center" vertical="bottom" textRotation="0" wrapText="0" indent="0" justifyLastLine="0" shrinkToFit="0" readingOrder="0"/>
      <protection locked="1" hidden="0"/>
    </dxf>
    <dxf>
      <numFmt numFmtId="2" formatCode="0.00"/>
      <alignment horizontal="center" vertical="bottom" textRotation="0" wrapText="0" indent="0" justifyLastLine="0" shrinkToFit="0" readingOrder="0"/>
      <protection locked="1" hidden="0"/>
    </dxf>
    <dxf>
      <numFmt numFmtId="2" formatCode="0.00"/>
      <alignment horizontal="center" vertical="bottom" textRotation="0" wrapText="0" indent="0" justifyLastLine="0" shrinkToFit="0" readingOrder="0"/>
      <protection locked="1" hidden="0"/>
    </dxf>
    <dxf>
      <numFmt numFmtId="2" formatCode="0.00"/>
      <alignment horizontal="center" textRotation="0" wrapText="0" indent="0" justifyLastLine="0" shrinkToFit="0" readingOrder="0"/>
      <protection locked="1" hidden="0"/>
    </dxf>
    <dxf>
      <numFmt numFmtId="2" formatCode="0.00"/>
      <alignment horizontal="center" vertical="bottom" textRotation="0" wrapText="0" indent="0" justifyLastLine="0" shrinkToFit="0" readingOrder="0"/>
      <protection locked="1" hidden="0"/>
    </dxf>
    <dxf>
      <numFmt numFmtId="2" formatCode="0.00"/>
      <alignment horizontal="center" vertical="bottom" textRotation="0" wrapText="0" indent="0" justifyLastLine="0" shrinkToFit="0" readingOrder="0"/>
      <protection locked="1" hidden="0"/>
    </dxf>
    <dxf>
      <numFmt numFmtId="2" formatCode="0.00"/>
      <alignment horizontal="center" vertical="bottom" textRotation="0" wrapText="0" indent="0" justifyLastLine="0" shrinkToFit="0" readingOrder="0"/>
      <protection locked="1" hidden="0"/>
    </dxf>
    <dxf>
      <numFmt numFmtId="2" formatCode="0.00"/>
      <alignment horizontal="center" vertical="bottom" textRotation="0" wrapText="0" indent="0" justifyLastLine="0" shrinkToFit="0" readingOrder="0"/>
      <protection locked="1" hidden="0"/>
    </dxf>
    <dxf>
      <numFmt numFmtId="2" formatCode="0.00"/>
      <alignment horizontal="center" vertical="bottom" textRotation="0" wrapText="0" indent="0" justifyLastLine="0" shrinkToFit="0" readingOrder="0"/>
      <protection locked="1" hidden="0"/>
    </dxf>
    <dxf>
      <numFmt numFmtId="2" formatCode="0.00"/>
      <alignment horizontal="center" vertical="bottom" textRotation="0" wrapText="0" indent="0" justifyLastLine="0" shrinkToFit="0" readingOrder="0"/>
      <protection locked="1" hidden="0"/>
    </dxf>
    <dxf>
      <numFmt numFmtId="2" formatCode="0.00"/>
      <alignment horizontal="center" vertical="bottom" textRotation="0" wrapText="0" indent="0" justifyLastLine="0" shrinkToFit="0" readingOrder="0"/>
      <protection locked="1" hidden="0"/>
    </dxf>
    <dxf>
      <numFmt numFmtId="2" formatCode="0.00"/>
      <alignment horizontal="center" vertical="bottom" textRotation="0" wrapText="0" indent="0" justifyLastLine="0" shrinkToFit="0" readingOrder="0"/>
      <protection locked="1" hidden="0"/>
    </dxf>
    <dxf>
      <numFmt numFmtId="2" formatCode="0.00"/>
      <alignment horizontal="center" vertical="bottom" textRotation="0" wrapText="0" indent="0" justifyLastLine="0" shrinkToFit="0" readingOrder="0"/>
      <protection locked="1" hidden="0"/>
    </dxf>
    <dxf>
      <numFmt numFmtId="2" formatCode="0.00"/>
      <alignment horizontal="center" vertical="bottom" textRotation="0" wrapText="0" indent="0" justifyLastLine="0" shrinkToFit="0" readingOrder="0"/>
      <protection locked="1" hidden="0"/>
    </dxf>
    <dxf>
      <numFmt numFmtId="2" formatCode="0.00"/>
      <alignment horizontal="center" vertical="bottom" textRotation="0" wrapText="0" indent="0" justifyLastLine="0" shrinkToFit="0" readingOrder="0"/>
      <protection locked="1" hidden="0"/>
    </dxf>
    <dxf>
      <numFmt numFmtId="2" formatCode="0.00"/>
      <alignment horizontal="center" vertical="bottom" textRotation="0" wrapText="0" indent="0" justifyLastLine="0" shrinkToFit="0" readingOrder="0"/>
      <protection locked="1" hidden="0"/>
    </dxf>
    <dxf>
      <numFmt numFmtId="2" formatCode="0.00"/>
      <alignment horizontal="center" vertical="bottom" textRotation="0" wrapText="0" indent="0" justifyLastLine="0" shrinkToFit="0" readingOrder="0"/>
      <protection locked="1" hidden="0"/>
    </dxf>
    <dxf>
      <numFmt numFmtId="2" formatCode="0.00"/>
      <alignment horizontal="center" vertical="bottom" textRotation="0" wrapText="0" indent="0" justifyLastLine="0" shrinkToFit="0" readingOrder="0"/>
      <protection locked="1" hidden="0"/>
    </dxf>
    <dxf>
      <numFmt numFmtId="2" formatCode="0.00"/>
      <alignment horizontal="center" vertical="bottom" textRotation="0" wrapText="0" indent="0" justifyLastLine="0" shrinkToFit="0" readingOrder="0"/>
      <protection locked="1" hidden="0"/>
    </dxf>
    <dxf>
      <numFmt numFmtId="2" formatCode="0.00"/>
      <alignment horizontal="center" vertical="bottom" textRotation="0" wrapText="0" indent="0" justifyLastLine="0" shrinkToFit="0" readingOrder="0"/>
      <protection locked="1" hidden="0"/>
    </dxf>
    <dxf>
      <numFmt numFmtId="2" formatCode="0.00"/>
      <alignment horizontal="center" vertical="bottom" textRotation="0" wrapText="0" indent="0" justifyLastLine="0" shrinkToFit="0" readingOrder="0"/>
      <protection locked="1" hidden="0"/>
    </dxf>
    <dxf>
      <numFmt numFmtId="2" formatCode="0.00"/>
      <alignment horizontal="center" vertical="bottom" textRotation="0" wrapText="0" indent="0" justifyLastLine="0" shrinkToFit="0" readingOrder="0"/>
      <protection locked="1" hidden="0"/>
    </dxf>
    <dxf>
      <numFmt numFmtId="2" formatCode="0.00"/>
      <alignment horizontal="center" vertical="bottom" textRotation="0" wrapText="0" indent="0" justifyLastLine="0" shrinkToFit="0" readingOrder="0"/>
      <protection locked="1" hidden="0"/>
    </dxf>
    <dxf>
      <numFmt numFmtId="2" formatCode="0.00"/>
      <alignment horizontal="center" vertical="bottom" textRotation="0" wrapText="0" indent="0" justifyLastLine="0" shrinkToFit="0" readingOrder="0"/>
      <protection locked="1" hidden="0"/>
    </dxf>
    <dxf>
      <numFmt numFmtId="2" formatCode="0.00"/>
      <alignment horizontal="center" vertical="bottom" textRotation="0" wrapText="0" indent="0" justifyLastLine="0" shrinkToFit="0" readingOrder="0"/>
      <protection locked="1" hidden="0"/>
    </dxf>
    <dxf>
      <numFmt numFmtId="2" formatCode="0.00"/>
      <alignment horizontal="center" textRotation="0" wrapText="0" indent="0" justifyLastLine="0" shrinkToFit="0" readingOrder="0"/>
      <protection locked="1" hidden="0"/>
    </dxf>
    <dxf>
      <numFmt numFmtId="0" formatCode="General"/>
      <fill>
        <patternFill patternType="none">
          <fgColor indexed="64"/>
          <bgColor auto="1"/>
        </patternFill>
      </fill>
      <alignment horizontal="center" vertical="bottom" textRotation="0" wrapText="0" indent="0" justifyLastLine="0" shrinkToFit="0" readingOrder="0"/>
      <protection locked="1" hidden="0"/>
    </dxf>
    <dxf>
      <numFmt numFmtId="0" formatCode="General"/>
      <alignment horizontal="center" textRotation="0" wrapText="0" indent="0" justifyLastLine="0" shrinkToFit="0" readingOrder="0"/>
      <protection locked="1" hidden="0"/>
    </dxf>
    <dxf>
      <alignment horizontal="center" textRotation="0" wrapText="0" indent="0" justifyLastLine="0" shrinkToFit="0" readingOrder="0"/>
      <protection locked="1" hidden="0"/>
    </dxf>
    <dxf>
      <alignment horizontal="center" textRotation="0" wrapText="0" indent="0" justifyLastLine="0" shrinkToFit="0" readingOrder="0"/>
      <protection locked="1" hidden="0"/>
    </dxf>
    <dxf>
      <alignment horizontal="center" textRotation="0" wrapText="0" indent="0" justifyLastLine="0" shrinkToFit="0" readingOrder="0"/>
      <protection locked="1" hidden="0"/>
    </dxf>
    <dxf>
      <numFmt numFmtId="14" formatCode="0.00%"/>
      <fill>
        <patternFill patternType="none">
          <fgColor indexed="64"/>
          <bgColor indexed="65"/>
        </patternFill>
      </fill>
      <alignment horizontal="center" vertical="bottom" textRotation="0" wrapText="0" indent="0" justifyLastLine="0" shrinkToFit="0" readingOrder="0"/>
      <protection locked="1" hidden="0"/>
    </dxf>
    <dxf>
      <numFmt numFmtId="0" formatCode="General"/>
      <fill>
        <patternFill patternType="none">
          <fgColor indexed="64"/>
          <bgColor auto="1"/>
        </patternFill>
      </fill>
      <alignment horizontal="center" vertical="bottom" textRotation="0" wrapText="0" indent="0" justifyLastLine="0" shrinkToFit="0" readingOrder="0"/>
      <protection locked="1" hidden="0"/>
    </dxf>
    <dxf>
      <numFmt numFmtId="0" formatCode="General"/>
      <fill>
        <patternFill patternType="none">
          <fgColor indexed="64"/>
          <bgColor auto="1"/>
        </patternFill>
      </fill>
      <alignment horizontal="center" textRotation="0" wrapText="0" indent="0" justifyLastLine="0" shrinkToFit="0" readingOrder="0"/>
      <protection locked="1" hidden="0"/>
    </dxf>
    <dxf>
      <numFmt numFmtId="0" formatCode="General"/>
      <fill>
        <patternFill patternType="none">
          <fgColor indexed="64"/>
          <bgColor auto="1"/>
        </patternFill>
      </fill>
      <alignment horizontal="center" vertical="bottom" textRotation="0" wrapText="0" indent="0" justifyLastLine="0" shrinkToFit="0" readingOrder="0"/>
      <protection locked="1" hidden="0"/>
    </dxf>
    <dxf>
      <fill>
        <patternFill patternType="none">
          <fgColor indexed="64"/>
          <bgColor auto="1"/>
        </patternFill>
      </fill>
      <alignment horizontal="center" textRotation="0" wrapText="0" indent="0" justifyLastLine="0" shrinkToFit="0" readingOrder="0"/>
      <protection locked="1" hidden="0"/>
    </dxf>
    <dxf>
      <fill>
        <patternFill patternType="none">
          <fgColor indexed="64"/>
          <bgColor auto="1"/>
        </patternFill>
      </fill>
      <alignment horizontal="center" textRotation="0" wrapText="0" indent="0" justifyLastLine="0" shrinkToFit="0" readingOrder="0"/>
      <protection locked="1" hidden="0"/>
    </dxf>
    <dxf>
      <fill>
        <patternFill patternType="none">
          <fgColor indexed="64"/>
          <bgColor auto="1"/>
        </patternFill>
      </fill>
      <alignment horizontal="center" textRotation="0" wrapText="0" indent="0" justifyLastLine="0" shrinkToFit="0" readingOrder="0"/>
      <protection locked="1" hidden="0"/>
    </dxf>
    <dxf>
      <numFmt numFmtId="1" formatCode="0"/>
      <alignment horizontal="center" vertical="bottom" textRotation="0" wrapText="0" indent="0" justifyLastLine="0" shrinkToFit="0" readingOrder="0"/>
      <protection locked="1" hidden="0"/>
    </dxf>
    <dxf>
      <numFmt numFmtId="1" formatCode="0"/>
      <alignment horizontal="center" vertical="bottom" textRotation="0" wrapText="0" indent="0" justifyLastLine="0" shrinkToFit="0" readingOrder="0"/>
      <protection locked="1" hidden="0"/>
    </dxf>
    <dxf>
      <numFmt numFmtId="1" formatCode="0"/>
      <alignment horizontal="center" vertical="bottom" textRotation="0" wrapText="0" indent="0" justifyLastLine="0" shrinkToFit="0" readingOrder="0"/>
      <protection locked="1" hidden="0"/>
    </dxf>
    <dxf>
      <alignment horizontal="center" textRotation="0" indent="0" justifyLastLine="0" shrinkToFit="0" readingOrder="0"/>
      <protection locked="1" hidden="0"/>
    </dxf>
    <dxf>
      <alignment horizontal="center" textRotation="0" indent="0" justifyLastLine="0" shrinkToFit="0" readingOrder="0"/>
      <protection locked="1" hidden="0"/>
    </dxf>
    <dxf>
      <alignment horizontal="center" textRotation="0" indent="0" justifyLastLine="0" shrinkToFit="0" readingOrder="0"/>
      <protection locked="1" hidden="0"/>
    </dxf>
    <dxf>
      <numFmt numFmtId="1" formatCode="0"/>
      <alignment horizontal="center" vertical="bottom" textRotation="0" wrapText="0" indent="0" justifyLastLine="0" shrinkToFit="0" readingOrder="0"/>
      <protection locked="1" hidden="0"/>
    </dxf>
    <dxf>
      <numFmt numFmtId="1" formatCode="0"/>
      <alignment horizontal="center" vertical="bottom" textRotation="0" wrapText="0" indent="0" justifyLastLine="0" shrinkToFit="0" readingOrder="0"/>
      <protection locked="1" hidden="0"/>
    </dxf>
    <dxf>
      <numFmt numFmtId="1" formatCode="0"/>
      <alignment horizontal="center" vertical="bottom" textRotation="0" wrapText="0" indent="0" justifyLastLine="0" shrinkToFit="0" readingOrder="0"/>
      <protection locked="1" hidden="0"/>
    </dxf>
    <dxf>
      <alignment horizontal="center" textRotation="0" indent="0" justifyLastLine="0" shrinkToFit="0" readingOrder="0"/>
      <protection locked="1" hidden="0"/>
    </dxf>
    <dxf>
      <alignment horizontal="center" textRotation="0" indent="0" justifyLastLine="0" shrinkToFit="0" readingOrder="0"/>
      <protection locked="1" hidden="0"/>
    </dxf>
    <dxf>
      <alignment horizontal="center" textRotation="0" indent="0" justifyLastLine="0" shrinkToFit="0" readingOrder="0"/>
      <protection locked="1" hidden="0"/>
    </dxf>
    <dxf>
      <numFmt numFmtId="1" formatCode="0"/>
      <alignment horizontal="center" vertical="bottom" textRotation="0" wrapText="0" indent="0" justifyLastLine="0" shrinkToFit="0" readingOrder="0"/>
      <protection locked="1" hidden="0"/>
    </dxf>
    <dxf>
      <numFmt numFmtId="1" formatCode="0"/>
      <alignment horizontal="center" vertical="bottom" textRotation="0" wrapText="0" indent="0" justifyLastLine="0" shrinkToFit="0" readingOrder="0"/>
      <protection locked="1" hidden="0"/>
    </dxf>
    <dxf>
      <numFmt numFmtId="1" formatCode="0"/>
      <alignment horizontal="center" vertical="bottom" textRotation="0" wrapText="0" indent="0" justifyLastLine="0" shrinkToFit="0" readingOrder="0"/>
      <protection locked="1" hidden="0"/>
    </dxf>
    <dxf>
      <alignment horizontal="center" textRotation="0" indent="0" justifyLastLine="0" shrinkToFit="0" readingOrder="0"/>
      <protection locked="1" hidden="0"/>
    </dxf>
    <dxf>
      <alignment horizontal="center" textRotation="0" indent="0" justifyLastLine="0" shrinkToFit="0" readingOrder="0"/>
      <protection locked="1" hidden="0"/>
    </dxf>
    <dxf>
      <alignment horizontal="center" textRotation="0" indent="0" justifyLastLine="0" shrinkToFit="0" readingOrder="0"/>
      <protection locked="1" hidden="0"/>
    </dxf>
    <dxf>
      <numFmt numFmtId="1" formatCode="0"/>
      <alignment horizontal="center" vertical="bottom" textRotation="0" wrapText="0" indent="0" justifyLastLine="0" shrinkToFit="0" readingOrder="0"/>
      <protection locked="1" hidden="0"/>
    </dxf>
    <dxf>
      <numFmt numFmtId="1" formatCode="0"/>
      <alignment horizontal="center" vertical="bottom" textRotation="0" wrapText="0" indent="0" justifyLastLine="0" shrinkToFit="0" readingOrder="0"/>
      <protection locked="1" hidden="0"/>
    </dxf>
    <dxf>
      <numFmt numFmtId="1" formatCode="0"/>
      <alignment horizontal="center" vertical="bottom" textRotation="0" wrapText="0" indent="0" justifyLastLine="0" shrinkToFit="0" readingOrder="0"/>
      <protection locked="1" hidden="0"/>
    </dxf>
    <dxf>
      <alignment horizontal="center" textRotation="0" indent="0" justifyLastLine="0" shrinkToFit="0" readingOrder="0"/>
      <protection locked="1" hidden="0"/>
    </dxf>
    <dxf>
      <alignment horizontal="center" textRotation="0" indent="0" justifyLastLine="0" shrinkToFit="0" readingOrder="0"/>
      <protection locked="1" hidden="0"/>
    </dxf>
    <dxf>
      <alignment horizontal="center" textRotation="0" indent="0" justifyLastLine="0" shrinkToFit="0" readingOrder="0"/>
      <protection locked="1" hidden="0"/>
    </dxf>
    <dxf>
      <numFmt numFmtId="0" formatCode="General"/>
      <alignment horizontal="center" vertical="bottom" textRotation="0" wrapText="0" indent="0" justifyLastLine="0" shrinkToFit="0" readingOrder="0"/>
    </dxf>
    <dxf>
      <numFmt numFmtId="4" formatCode="#,##0.00"/>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numFmt numFmtId="0" formatCode="General"/>
      <fill>
        <patternFill patternType="none">
          <fgColor indexed="64"/>
          <bgColor auto="1"/>
        </patternFill>
      </fill>
      <alignment horizontal="center" vertical="bottom" textRotation="0" wrapText="0" indent="0" justifyLastLine="0" shrinkToFit="0" readingOrder="0"/>
    </dxf>
    <dxf>
      <numFmt numFmtId="0" formatCode="General"/>
      <fill>
        <patternFill patternType="none">
          <fgColor indexed="64"/>
          <bgColor auto="1"/>
        </patternFill>
      </fill>
      <alignment horizontal="center" vertical="bottom" textRotation="0" wrapText="0" indent="0" justifyLastLine="0" shrinkToFit="0" readingOrder="0"/>
    </dxf>
    <dxf>
      <numFmt numFmtId="0" formatCode="General"/>
      <fill>
        <patternFill patternType="none">
          <fgColor indexed="64"/>
          <bgColor auto="1"/>
        </patternFill>
      </fill>
      <alignment horizontal="center" vertical="bottom" textRotation="0" wrapText="0" indent="0" justifyLastLine="0" shrinkToFit="0" readingOrder="0"/>
    </dxf>
    <dxf>
      <numFmt numFmtId="0" formatCode="General"/>
      <fill>
        <patternFill patternType="none">
          <fgColor indexed="64"/>
          <bgColor auto="1"/>
        </patternFill>
      </fill>
      <alignment horizontal="center" vertical="bottom" textRotation="0" wrapText="0" indent="0" justifyLastLine="0" shrinkToFit="0" readingOrder="0"/>
    </dxf>
    <dxf>
      <numFmt numFmtId="0" formatCode="General"/>
      <fill>
        <patternFill patternType="none">
          <fgColor indexed="64"/>
          <bgColor auto="1"/>
        </patternFill>
      </fill>
      <alignment horizontal="center" vertical="bottom" textRotation="0" wrapText="0" indent="0" justifyLastLine="0" shrinkToFit="0" readingOrder="0"/>
    </dxf>
    <dxf>
      <numFmt numFmtId="0" formatCode="General"/>
      <fill>
        <patternFill patternType="none">
          <fgColor indexed="64"/>
          <bgColor auto="1"/>
        </patternFill>
      </fill>
      <alignment horizontal="center" vertical="bottom" textRotation="0" wrapText="0" indent="0" justifyLastLine="0" shrinkToFit="0" readingOrder="0"/>
    </dxf>
    <dxf>
      <numFmt numFmtId="0" formatCode="General"/>
      <fill>
        <patternFill patternType="none">
          <fgColor indexed="64"/>
          <bgColor auto="1"/>
        </patternFill>
      </fill>
      <alignment horizontal="center" vertical="bottom" textRotation="0" wrapText="0" indent="0" justifyLastLine="0" shrinkToFit="0" readingOrder="0"/>
    </dxf>
    <dxf>
      <numFmt numFmtId="0" formatCode="General"/>
      <fill>
        <patternFill patternType="none">
          <fgColor indexed="64"/>
          <bgColor auto="1"/>
        </patternFill>
      </fill>
      <alignment horizontal="center" vertical="bottom" textRotation="0" wrapText="0" indent="0" justifyLastLine="0" shrinkToFit="0" readingOrder="0"/>
    </dxf>
    <dxf>
      <numFmt numFmtId="0" formatCode="General"/>
      <fill>
        <patternFill patternType="none">
          <fgColor indexed="64"/>
          <bgColor auto="1"/>
        </patternFill>
      </fill>
      <alignment horizontal="center" vertical="bottom" textRotation="0" wrapText="0" indent="0" justifyLastLine="0" shrinkToFit="0" readingOrder="0"/>
    </dxf>
    <dxf>
      <numFmt numFmtId="0" formatCode="General"/>
      <fill>
        <patternFill patternType="none">
          <fgColor indexed="64"/>
          <bgColor auto="1"/>
        </patternFill>
      </fill>
      <alignment horizontal="center" vertical="bottom" textRotation="0" wrapText="0" indent="0" justifyLastLine="0" shrinkToFit="0" readingOrder="0"/>
    </dxf>
    <dxf>
      <numFmt numFmtId="0" formatCode="General"/>
      <fill>
        <patternFill patternType="none">
          <fgColor indexed="64"/>
          <bgColor auto="1"/>
        </patternFill>
      </fill>
      <alignment horizontal="center" vertical="bottom" textRotation="0" wrapText="0" indent="0" justifyLastLine="0" shrinkToFit="0" readingOrder="0"/>
    </dxf>
    <dxf>
      <numFmt numFmtId="0" formatCode="General"/>
      <fill>
        <patternFill patternType="none">
          <fgColor indexed="64"/>
          <bgColor auto="1"/>
        </patternFill>
      </fill>
      <alignment horizontal="center" vertical="bottom" textRotation="0" wrapText="0" indent="0" justifyLastLine="0" shrinkToFit="0" readingOrder="0"/>
    </dxf>
    <dxf>
      <numFmt numFmtId="0" formatCode="General"/>
      <fill>
        <patternFill patternType="none">
          <fgColor indexed="64"/>
          <bgColor auto="1"/>
        </patternFill>
      </fill>
      <alignment horizontal="center" vertical="bottom" textRotation="0" wrapText="0" indent="0" justifyLastLine="0" shrinkToFit="0" readingOrder="0"/>
    </dxf>
    <dxf>
      <numFmt numFmtId="0" formatCode="General"/>
      <fill>
        <patternFill patternType="none">
          <fgColor indexed="64"/>
          <bgColor auto="1"/>
        </patternFill>
      </fill>
      <alignment horizontal="center" vertical="bottom" textRotation="0" wrapText="0" indent="0" justifyLastLine="0" shrinkToFit="0" readingOrder="0"/>
    </dxf>
    <dxf>
      <numFmt numFmtId="0" formatCode="General"/>
      <fill>
        <patternFill patternType="none">
          <fgColor indexed="64"/>
          <bgColor auto="1"/>
        </patternFill>
      </fill>
      <alignment horizontal="center" vertical="bottom" textRotation="0" wrapText="0" indent="0" justifyLastLine="0" shrinkToFit="0" readingOrder="0"/>
    </dxf>
    <dxf>
      <numFmt numFmtId="0" formatCode="General"/>
      <fill>
        <patternFill patternType="none">
          <fgColor indexed="64"/>
          <bgColor auto="1"/>
        </patternFill>
      </fill>
      <alignment horizontal="center" vertical="bottom" textRotation="0" wrapText="0" indent="0" justifyLastLine="0" shrinkToFit="0" readingOrder="0"/>
    </dxf>
    <dxf>
      <numFmt numFmtId="0" formatCode="General"/>
      <fill>
        <patternFill patternType="none">
          <fgColor indexed="64"/>
          <bgColor auto="1"/>
        </patternFill>
      </fill>
      <alignment horizontal="center" vertical="bottom" textRotation="0" wrapText="0" indent="0" justifyLastLine="0" shrinkToFit="0" readingOrder="0"/>
    </dxf>
    <dxf>
      <numFmt numFmtId="0" formatCode="General"/>
      <fill>
        <patternFill patternType="none">
          <fgColor indexed="64"/>
          <bgColor auto="1"/>
        </patternFill>
      </fill>
      <alignment horizontal="center" vertical="bottom" textRotation="0" wrapText="0" indent="0" justifyLastLine="0" shrinkToFit="0" readingOrder="0"/>
    </dxf>
    <dxf>
      <numFmt numFmtId="0" formatCode="General"/>
      <fill>
        <patternFill patternType="none">
          <fgColor indexed="64"/>
          <bgColor auto="1"/>
        </patternFill>
      </fill>
      <alignment horizontal="center" vertical="bottom" textRotation="0" wrapText="0" indent="0" justifyLastLine="0" shrinkToFit="0" readingOrder="0"/>
    </dxf>
    <dxf>
      <numFmt numFmtId="0" formatCode="General"/>
      <fill>
        <patternFill patternType="none">
          <fgColor indexed="64"/>
          <bgColor auto="1"/>
        </patternFill>
      </fill>
      <alignment horizontal="center" vertical="bottom" textRotation="0" wrapText="0" indent="0" justifyLastLine="0" shrinkToFit="0" readingOrder="0"/>
    </dxf>
    <dxf>
      <numFmt numFmtId="0" formatCode="General"/>
      <fill>
        <patternFill patternType="none">
          <fgColor indexed="64"/>
          <bgColor auto="1"/>
        </patternFill>
      </fill>
      <alignment horizontal="center" vertical="bottom" textRotation="0" wrapText="0" indent="0" justifyLastLine="0" shrinkToFit="0" readingOrder="0"/>
    </dxf>
    <dxf>
      <numFmt numFmtId="0" formatCode="General"/>
      <fill>
        <patternFill patternType="none">
          <fgColor indexed="64"/>
          <bgColor auto="1"/>
        </patternFill>
      </fill>
      <alignment horizontal="center" vertical="bottom" textRotation="0" wrapText="0" indent="0" justifyLastLine="0" shrinkToFit="0" readingOrder="0"/>
    </dxf>
    <dxf>
      <numFmt numFmtId="0" formatCode="General"/>
      <fill>
        <patternFill patternType="none">
          <fgColor indexed="64"/>
          <bgColor auto="1"/>
        </patternFill>
      </fill>
      <alignment horizontal="center" vertical="bottom" textRotation="0" wrapText="0" indent="0" justifyLastLine="0" shrinkToFit="0" readingOrder="0"/>
    </dxf>
    <dxf>
      <numFmt numFmtId="0" formatCode="General"/>
      <fill>
        <patternFill patternType="none">
          <fgColor indexed="64"/>
          <bgColor auto="1"/>
        </patternFill>
      </fill>
      <alignment horizontal="center" vertical="bottom" textRotation="0" wrapText="0" indent="0" justifyLastLine="0" shrinkToFit="0" readingOrder="0"/>
    </dxf>
    <dxf>
      <numFmt numFmtId="0" formatCode="General"/>
      <fill>
        <patternFill patternType="none">
          <fgColor indexed="64"/>
          <bgColor auto="1"/>
        </patternFill>
      </fill>
      <alignment horizontal="center" vertical="bottom" textRotation="0" wrapText="0" indent="0" justifyLastLine="0" shrinkToFit="0" readingOrder="0"/>
    </dxf>
    <dxf>
      <numFmt numFmtId="0" formatCode="General"/>
      <fill>
        <patternFill patternType="none">
          <fgColor indexed="64"/>
          <bgColor auto="1"/>
        </patternFill>
      </fill>
      <alignment horizontal="center" vertical="bottom" textRotation="0" wrapText="0" indent="0" justifyLastLine="0" shrinkToFit="0" readingOrder="0"/>
    </dxf>
    <dxf>
      <numFmt numFmtId="0" formatCode="General"/>
      <fill>
        <patternFill patternType="none">
          <fgColor indexed="64"/>
          <bgColor auto="1"/>
        </patternFill>
      </fill>
      <alignment horizontal="center" vertical="bottom" textRotation="0" wrapText="0" indent="0" justifyLastLine="0" shrinkToFit="0" readingOrder="0"/>
    </dxf>
    <dxf>
      <numFmt numFmtId="0" formatCode="General"/>
      <fill>
        <patternFill patternType="none">
          <fgColor indexed="64"/>
          <bgColor auto="1"/>
        </patternFill>
      </fill>
      <alignment horizontal="center" vertical="bottom" textRotation="0" wrapText="0" indent="0" justifyLastLine="0" shrinkToFit="0" readingOrder="0"/>
    </dxf>
    <dxf>
      <numFmt numFmtId="0" formatCode="General"/>
      <fill>
        <patternFill patternType="none">
          <fgColor indexed="64"/>
          <bgColor auto="1"/>
        </patternFill>
      </fill>
      <alignment horizontal="center" vertical="bottom" textRotation="0" wrapText="0" indent="0" justifyLastLine="0" shrinkToFit="0" readingOrder="0"/>
    </dxf>
    <dxf>
      <numFmt numFmtId="0" formatCode="General"/>
      <fill>
        <patternFill patternType="none">
          <fgColor indexed="64"/>
          <bgColor auto="1"/>
        </patternFill>
      </fill>
      <alignment horizontal="center" vertical="bottom" textRotation="0" wrapText="0" indent="0" justifyLastLine="0" shrinkToFit="0" readingOrder="0"/>
    </dxf>
    <dxf>
      <numFmt numFmtId="0" formatCode="General"/>
      <fill>
        <patternFill patternType="none">
          <fgColor indexed="64"/>
          <bgColor auto="1"/>
        </patternFill>
      </fill>
      <alignment horizontal="center" vertical="bottom" textRotation="0" wrapText="0" indent="0" justifyLastLine="0" shrinkToFit="0" readingOrder="0"/>
    </dxf>
    <dxf>
      <fill>
        <patternFill patternType="none">
          <fgColor indexed="64"/>
          <bgColor auto="1"/>
        </patternFill>
      </fill>
      <alignment horizontal="center" vertical="bottom" textRotation="0" wrapText="0" indent="0" justifyLastLine="0" shrinkToFit="0" readingOrder="0"/>
    </dxf>
    <dxf>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2"/>
        <color theme="0"/>
        <name val="Calibri"/>
        <family val="2"/>
        <scheme val="minor"/>
      </font>
      <fill>
        <patternFill patternType="none">
          <fgColor indexed="64"/>
          <bgColor auto="1"/>
        </patternFill>
      </fill>
      <alignment horizontal="center" vertical="bottom" textRotation="0" wrapText="0" indent="0" justifyLastLine="0" shrinkToFit="0" readingOrder="0"/>
    </dxf>
  </dxfs>
  <tableStyles count="0" defaultTableStyle="TableStyleMedium2" defaultPivotStyle="PivotStyleLight16"/>
  <colors>
    <mruColors>
      <color rgb="FFFFC4B9"/>
      <color rgb="FFC0FFB7"/>
      <color rgb="FF7C56B5"/>
      <color rgb="FFCCB4D9"/>
      <color rgb="FF00A81F"/>
      <color rgb="FF5A5C5E"/>
      <color rgb="FF006C4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microsoft.com/office/2017/10/relationships/person" Target="persons/perso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4.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5.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6.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7.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48.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49.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1.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2.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Stockage Produits</a:t>
            </a:r>
            <a:r>
              <a:rPr lang="fr-FR" baseline="0"/>
              <a:t> bois</a:t>
            </a:r>
            <a:endParaRPr lang="fr-F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lineChart>
        <c:grouping val="standard"/>
        <c:varyColors val="0"/>
        <c:ser>
          <c:idx val="0"/>
          <c:order val="0"/>
          <c:tx>
            <c:strRef>
              <c:f>StrateA!$E$284</c:f>
              <c:strCache>
                <c:ptCount val="1"/>
                <c:pt idx="0">
                  <c:v>ST_REF_CO2e</c:v>
                </c:pt>
              </c:strCache>
            </c:strRef>
          </c:tx>
          <c:spPr>
            <a:ln w="28575" cap="rnd">
              <a:solidFill>
                <a:srgbClr val="5A5C5E"/>
              </a:solidFill>
              <a:round/>
            </a:ln>
            <a:effectLst/>
          </c:spPr>
          <c:marker>
            <c:symbol val="none"/>
          </c:marker>
          <c:val>
            <c:numRef>
              <c:f>StrateA!$E$285:$E$304</c:f>
              <c:numCache>
                <c:formatCode>0</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c:ext xmlns:c16="http://schemas.microsoft.com/office/drawing/2014/chart" uri="{C3380CC4-5D6E-409C-BE32-E72D297353CC}">
              <c16:uniqueId val="{00000000-26EF-CC49-9365-90ADB7662BA0}"/>
            </c:ext>
          </c:extLst>
        </c:ser>
        <c:ser>
          <c:idx val="1"/>
          <c:order val="1"/>
          <c:tx>
            <c:strRef>
              <c:f>StrateA!$H$284</c:f>
              <c:strCache>
                <c:ptCount val="1"/>
                <c:pt idx="0">
                  <c:v>ST_PRJ_CO2e</c:v>
                </c:pt>
              </c:strCache>
            </c:strRef>
          </c:tx>
          <c:spPr>
            <a:ln w="28575" cap="rnd">
              <a:solidFill>
                <a:srgbClr val="00A81F"/>
              </a:solidFill>
              <a:round/>
            </a:ln>
            <a:effectLst/>
          </c:spPr>
          <c:marker>
            <c:symbol val="none"/>
          </c:marker>
          <c:val>
            <c:numRef>
              <c:f>StrateA!$H$285:$H$304</c:f>
              <c:numCache>
                <c:formatCode>0</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c:ext xmlns:c16="http://schemas.microsoft.com/office/drawing/2014/chart" uri="{C3380CC4-5D6E-409C-BE32-E72D297353CC}">
              <c16:uniqueId val="{00000001-26EF-CC49-9365-90ADB7662BA0}"/>
            </c:ext>
          </c:extLst>
        </c:ser>
        <c:dLbls>
          <c:showLegendKey val="0"/>
          <c:showVal val="0"/>
          <c:showCatName val="0"/>
          <c:showSerName val="0"/>
          <c:showPercent val="0"/>
          <c:showBubbleSize val="0"/>
        </c:dLbls>
        <c:smooth val="0"/>
        <c:axId val="2012705504"/>
        <c:axId val="2012710400"/>
      </c:lineChart>
      <c:catAx>
        <c:axId val="20127055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2012710400"/>
        <c:crosses val="autoZero"/>
        <c:auto val="1"/>
        <c:lblAlgn val="ctr"/>
        <c:lblOffset val="100"/>
        <c:noMultiLvlLbl val="0"/>
      </c:catAx>
      <c:valAx>
        <c:axId val="201271040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20127055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spPr>
            <a:ln w="28575" cap="rnd">
              <a:solidFill>
                <a:schemeClr val="accent1"/>
              </a:solidFill>
              <a:round/>
            </a:ln>
            <a:effectLst/>
          </c:spPr>
          <c:marker>
            <c:symbol val="none"/>
          </c:marker>
          <c:val>
            <c:numRef>
              <c:f>StrateA!$AS$61:$AS$80</c:f>
              <c:numCache>
                <c:formatCode>#,##0</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c:ext xmlns:c16="http://schemas.microsoft.com/office/drawing/2014/chart" uri="{C3380CC4-5D6E-409C-BE32-E72D297353CC}">
              <c16:uniqueId val="{00000000-88FE-474D-BFE2-579004D5CE1A}"/>
            </c:ext>
          </c:extLst>
        </c:ser>
        <c:dLbls>
          <c:showLegendKey val="0"/>
          <c:showVal val="0"/>
          <c:showCatName val="0"/>
          <c:showSerName val="0"/>
          <c:showPercent val="0"/>
          <c:showBubbleSize val="0"/>
        </c:dLbls>
        <c:smooth val="0"/>
        <c:axId val="1670208960"/>
        <c:axId val="1670210688"/>
      </c:lineChart>
      <c:catAx>
        <c:axId val="16702089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670210688"/>
        <c:crosses val="autoZero"/>
        <c:auto val="1"/>
        <c:lblAlgn val="ctr"/>
        <c:lblOffset val="100"/>
        <c:noMultiLvlLbl val="0"/>
      </c:catAx>
      <c:valAx>
        <c:axId val="167021068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67020896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spPr>
            <a:ln w="28575" cap="rnd">
              <a:solidFill>
                <a:schemeClr val="accent1"/>
              </a:solidFill>
              <a:round/>
            </a:ln>
            <a:effectLst/>
          </c:spPr>
          <c:marker>
            <c:symbol val="none"/>
          </c:marker>
          <c:val>
            <c:numRef>
              <c:f>StrateA!$AS$177:$AS$196</c:f>
              <c:numCache>
                <c:formatCode>#,##0</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c:ext xmlns:c16="http://schemas.microsoft.com/office/drawing/2014/chart" uri="{C3380CC4-5D6E-409C-BE32-E72D297353CC}">
              <c16:uniqueId val="{00000000-3410-C04B-B89A-494C356E2BEC}"/>
            </c:ext>
          </c:extLst>
        </c:ser>
        <c:dLbls>
          <c:showLegendKey val="0"/>
          <c:showVal val="0"/>
          <c:showCatName val="0"/>
          <c:showSerName val="0"/>
          <c:showPercent val="0"/>
          <c:showBubbleSize val="0"/>
        </c:dLbls>
        <c:smooth val="0"/>
        <c:axId val="1200068848"/>
        <c:axId val="1200079408"/>
      </c:lineChart>
      <c:catAx>
        <c:axId val="12000688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200079408"/>
        <c:crosses val="autoZero"/>
        <c:auto val="1"/>
        <c:lblAlgn val="ctr"/>
        <c:lblOffset val="100"/>
        <c:noMultiLvlLbl val="0"/>
      </c:catAx>
      <c:valAx>
        <c:axId val="12000794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20006884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lineChart>
        <c:grouping val="standard"/>
        <c:varyColors val="0"/>
        <c:ser>
          <c:idx val="0"/>
          <c:order val="0"/>
          <c:tx>
            <c:strRef>
              <c:f>StrateA!$B$345</c:f>
              <c:strCache>
                <c:ptCount val="1"/>
                <c:pt idx="0">
                  <c:v>C02e_REF</c:v>
                </c:pt>
              </c:strCache>
            </c:strRef>
          </c:tx>
          <c:spPr>
            <a:ln w="28575" cap="rnd">
              <a:solidFill>
                <a:srgbClr val="5A5C5E"/>
              </a:solidFill>
              <a:round/>
            </a:ln>
            <a:effectLst/>
          </c:spPr>
          <c:marker>
            <c:symbol val="none"/>
          </c:marker>
          <c:cat>
            <c:numRef>
              <c:f>StrateA!$A$346:$A$366</c:f>
              <c:numCache>
                <c:formatCode>General</c:formatCode>
                <c:ptCount val="2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numCache>
            </c:numRef>
          </c:cat>
          <c:val>
            <c:numRef>
              <c:f>StrateA!$B$346:$B$366</c:f>
              <c:numCache>
                <c:formatCode>#,##0</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smooth val="0"/>
          <c:extLst>
            <c:ext xmlns:c16="http://schemas.microsoft.com/office/drawing/2014/chart" uri="{C3380CC4-5D6E-409C-BE32-E72D297353CC}">
              <c16:uniqueId val="{00000000-3EA5-824C-9701-29B282323980}"/>
            </c:ext>
          </c:extLst>
        </c:ser>
        <c:ser>
          <c:idx val="1"/>
          <c:order val="1"/>
          <c:tx>
            <c:strRef>
              <c:f>StrateA!$C$345</c:f>
              <c:strCache>
                <c:ptCount val="1"/>
                <c:pt idx="0">
                  <c:v>CO2e_PRJ</c:v>
                </c:pt>
              </c:strCache>
            </c:strRef>
          </c:tx>
          <c:spPr>
            <a:ln w="28575" cap="rnd">
              <a:solidFill>
                <a:srgbClr val="00A81F"/>
              </a:solidFill>
              <a:round/>
            </a:ln>
            <a:effectLst/>
          </c:spPr>
          <c:marker>
            <c:symbol val="none"/>
          </c:marker>
          <c:cat>
            <c:numRef>
              <c:f>StrateA!$A$346:$A$366</c:f>
              <c:numCache>
                <c:formatCode>General</c:formatCode>
                <c:ptCount val="2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numCache>
            </c:numRef>
          </c:cat>
          <c:val>
            <c:numRef>
              <c:f>StrateA!$C$346:$C$366</c:f>
              <c:numCache>
                <c:formatCode>#,##0</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smooth val="0"/>
          <c:extLst>
            <c:ext xmlns:c16="http://schemas.microsoft.com/office/drawing/2014/chart" uri="{C3380CC4-5D6E-409C-BE32-E72D297353CC}">
              <c16:uniqueId val="{00000001-3EA5-824C-9701-29B282323980}"/>
            </c:ext>
          </c:extLst>
        </c:ser>
        <c:dLbls>
          <c:showLegendKey val="0"/>
          <c:showVal val="0"/>
          <c:showCatName val="0"/>
          <c:showSerName val="0"/>
          <c:showPercent val="0"/>
          <c:showBubbleSize val="0"/>
        </c:dLbls>
        <c:smooth val="0"/>
        <c:axId val="748323087"/>
        <c:axId val="748557759"/>
      </c:lineChart>
      <c:catAx>
        <c:axId val="74832308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748557759"/>
        <c:crosses val="autoZero"/>
        <c:auto val="1"/>
        <c:lblAlgn val="ctr"/>
        <c:lblOffset val="100"/>
        <c:noMultiLvlLbl val="0"/>
      </c:catAx>
      <c:valAx>
        <c:axId val="74855775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74832308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Evolution de la quantité de bois (m3/ha) dans le</a:t>
            </a:r>
            <a:r>
              <a:rPr lang="fr-FR" baseline="0"/>
              <a:t> ppt adulte</a:t>
            </a:r>
            <a:endParaRPr lang="fr-F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lineChart>
        <c:grouping val="standard"/>
        <c:varyColors val="0"/>
        <c:ser>
          <c:idx val="0"/>
          <c:order val="0"/>
          <c:tx>
            <c:strRef>
              <c:f>StrateA!$F$393</c:f>
              <c:strCache>
                <c:ptCount val="1"/>
                <c:pt idx="0">
                  <c:v>Vol_tot_Référence</c:v>
                </c:pt>
              </c:strCache>
            </c:strRef>
          </c:tx>
          <c:spPr>
            <a:ln w="28575" cap="rnd">
              <a:solidFill>
                <a:srgbClr val="5A5C5E"/>
              </a:solidFill>
              <a:round/>
            </a:ln>
            <a:effectLst/>
          </c:spPr>
          <c:marker>
            <c:symbol val="none"/>
          </c:marker>
          <c:cat>
            <c:numRef>
              <c:f>StrateA!$A$417:$A$436</c:f>
              <c:numCache>
                <c:formatCode>General</c:formatCode>
                <c:ptCount val="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numCache>
            </c:numRef>
          </c:cat>
          <c:val>
            <c:numRef>
              <c:f>StrateA!$F$417:$F$436</c:f>
              <c:numCache>
                <c:formatCode>#,##0</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c:ext xmlns:c16="http://schemas.microsoft.com/office/drawing/2014/chart" uri="{C3380CC4-5D6E-409C-BE32-E72D297353CC}">
              <c16:uniqueId val="{00000000-3B08-5F47-8087-75885C0CE1AD}"/>
            </c:ext>
          </c:extLst>
        </c:ser>
        <c:ser>
          <c:idx val="1"/>
          <c:order val="1"/>
          <c:tx>
            <c:strRef>
              <c:f>StrateA!$G$393</c:f>
              <c:strCache>
                <c:ptCount val="1"/>
                <c:pt idx="0">
                  <c:v>Vol_tot_Projet</c:v>
                </c:pt>
              </c:strCache>
            </c:strRef>
          </c:tx>
          <c:spPr>
            <a:ln w="28575" cap="rnd">
              <a:solidFill>
                <a:srgbClr val="00A81F"/>
              </a:solidFill>
              <a:round/>
            </a:ln>
            <a:effectLst/>
          </c:spPr>
          <c:marker>
            <c:symbol val="none"/>
          </c:marker>
          <c:cat>
            <c:numRef>
              <c:f>StrateA!$A$417:$A$436</c:f>
              <c:numCache>
                <c:formatCode>General</c:formatCode>
                <c:ptCount val="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numCache>
            </c:numRef>
          </c:cat>
          <c:val>
            <c:numRef>
              <c:f>StrateA!$G$417:$G$436</c:f>
              <c:numCache>
                <c:formatCode>#,##0</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c:ext xmlns:c16="http://schemas.microsoft.com/office/drawing/2014/chart" uri="{C3380CC4-5D6E-409C-BE32-E72D297353CC}">
              <c16:uniqueId val="{00000001-3B08-5F47-8087-75885C0CE1AD}"/>
            </c:ext>
          </c:extLst>
        </c:ser>
        <c:ser>
          <c:idx val="2"/>
          <c:order val="2"/>
          <c:tx>
            <c:strRef>
              <c:f>StrateA!$B$393</c:f>
              <c:strCache>
                <c:ptCount val="1"/>
                <c:pt idx="0">
                  <c:v>Vol_non récoltable</c:v>
                </c:pt>
              </c:strCache>
            </c:strRef>
          </c:tx>
          <c:spPr>
            <a:ln w="28575" cap="rnd">
              <a:solidFill>
                <a:schemeClr val="accent3"/>
              </a:solidFill>
              <a:prstDash val="sysDot"/>
              <a:round/>
            </a:ln>
            <a:effectLst/>
          </c:spPr>
          <c:marker>
            <c:symbol val="none"/>
          </c:marker>
          <c:cat>
            <c:numRef>
              <c:f>StrateA!$A$417:$A$436</c:f>
              <c:numCache>
                <c:formatCode>General</c:formatCode>
                <c:ptCount val="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numCache>
            </c:numRef>
          </c:cat>
          <c:val>
            <c:numRef>
              <c:f>StrateA!$B$417:$B$436</c:f>
              <c:numCache>
                <c:formatCode>#,##0</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c:ext xmlns:c16="http://schemas.microsoft.com/office/drawing/2014/chart" uri="{C3380CC4-5D6E-409C-BE32-E72D297353CC}">
              <c16:uniqueId val="{00000002-3B08-5F47-8087-75885C0CE1AD}"/>
            </c:ext>
          </c:extLst>
        </c:ser>
        <c:ser>
          <c:idx val="3"/>
          <c:order val="3"/>
          <c:tx>
            <c:strRef>
              <c:f>StrateA!$C$393</c:f>
              <c:strCache>
                <c:ptCount val="1"/>
                <c:pt idx="0">
                  <c:v>Vol_non prélevable</c:v>
                </c:pt>
              </c:strCache>
            </c:strRef>
          </c:tx>
          <c:spPr>
            <a:ln w="28575" cap="rnd">
              <a:solidFill>
                <a:schemeClr val="accent4"/>
              </a:solidFill>
              <a:prstDash val="sysDot"/>
              <a:round/>
            </a:ln>
            <a:effectLst/>
          </c:spPr>
          <c:marker>
            <c:symbol val="none"/>
          </c:marker>
          <c:cat>
            <c:numRef>
              <c:f>StrateA!$A$417:$A$436</c:f>
              <c:numCache>
                <c:formatCode>General</c:formatCode>
                <c:ptCount val="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numCache>
            </c:numRef>
          </c:cat>
          <c:val>
            <c:numRef>
              <c:f>StrateA!$C$417:$C$436</c:f>
              <c:numCache>
                <c:formatCode>#,##0</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c:ext xmlns:c16="http://schemas.microsoft.com/office/drawing/2014/chart" uri="{C3380CC4-5D6E-409C-BE32-E72D297353CC}">
              <c16:uniqueId val="{00000003-3B08-5F47-8087-75885C0CE1AD}"/>
            </c:ext>
          </c:extLst>
        </c:ser>
        <c:dLbls>
          <c:showLegendKey val="0"/>
          <c:showVal val="0"/>
          <c:showCatName val="0"/>
          <c:showSerName val="0"/>
          <c:showPercent val="0"/>
          <c:showBubbleSize val="0"/>
        </c:dLbls>
        <c:smooth val="0"/>
        <c:axId val="1289389792"/>
        <c:axId val="1574646720"/>
      </c:lineChart>
      <c:catAx>
        <c:axId val="12893897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574646720"/>
        <c:crosses val="autoZero"/>
        <c:auto val="1"/>
        <c:lblAlgn val="ctr"/>
        <c:lblOffset val="100"/>
        <c:noMultiLvlLbl val="0"/>
      </c:catAx>
      <c:valAx>
        <c:axId val="157464672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2893897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Stockage Produits</a:t>
            </a:r>
            <a:r>
              <a:rPr lang="fr-FR" baseline="0"/>
              <a:t> bois</a:t>
            </a:r>
            <a:endParaRPr lang="fr-F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lineChart>
        <c:grouping val="standard"/>
        <c:varyColors val="0"/>
        <c:ser>
          <c:idx val="0"/>
          <c:order val="0"/>
          <c:tx>
            <c:strRef>
              <c:f>StrateB!$E$284</c:f>
              <c:strCache>
                <c:ptCount val="1"/>
                <c:pt idx="0">
                  <c:v>ST_REF_CO2e</c:v>
                </c:pt>
              </c:strCache>
            </c:strRef>
          </c:tx>
          <c:spPr>
            <a:ln w="28575" cap="rnd">
              <a:solidFill>
                <a:srgbClr val="5A5C5E"/>
              </a:solidFill>
              <a:round/>
            </a:ln>
            <a:effectLst/>
          </c:spPr>
          <c:marker>
            <c:symbol val="none"/>
          </c:marker>
          <c:val>
            <c:numRef>
              <c:f>StrateB!$E$285:$E$304</c:f>
              <c:numCache>
                <c:formatCode>0</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c:ext xmlns:c16="http://schemas.microsoft.com/office/drawing/2014/chart" uri="{C3380CC4-5D6E-409C-BE32-E72D297353CC}">
              <c16:uniqueId val="{00000000-83A7-1A46-BEA4-D93F79061A45}"/>
            </c:ext>
          </c:extLst>
        </c:ser>
        <c:ser>
          <c:idx val="1"/>
          <c:order val="1"/>
          <c:tx>
            <c:strRef>
              <c:f>StrateB!$H$284</c:f>
              <c:strCache>
                <c:ptCount val="1"/>
                <c:pt idx="0">
                  <c:v>ST_PRJ_CO2e</c:v>
                </c:pt>
              </c:strCache>
            </c:strRef>
          </c:tx>
          <c:spPr>
            <a:ln w="28575" cap="rnd">
              <a:solidFill>
                <a:srgbClr val="00A81F"/>
              </a:solidFill>
              <a:round/>
            </a:ln>
            <a:effectLst/>
          </c:spPr>
          <c:marker>
            <c:symbol val="none"/>
          </c:marker>
          <c:val>
            <c:numRef>
              <c:f>StrateB!$H$285:$H$304</c:f>
              <c:numCache>
                <c:formatCode>0</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c:ext xmlns:c16="http://schemas.microsoft.com/office/drawing/2014/chart" uri="{C3380CC4-5D6E-409C-BE32-E72D297353CC}">
              <c16:uniqueId val="{00000001-83A7-1A46-BEA4-D93F79061A45}"/>
            </c:ext>
          </c:extLst>
        </c:ser>
        <c:dLbls>
          <c:showLegendKey val="0"/>
          <c:showVal val="0"/>
          <c:showCatName val="0"/>
          <c:showSerName val="0"/>
          <c:showPercent val="0"/>
          <c:showBubbleSize val="0"/>
        </c:dLbls>
        <c:smooth val="0"/>
        <c:axId val="2012705504"/>
        <c:axId val="2012710400"/>
      </c:lineChart>
      <c:catAx>
        <c:axId val="20127055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2012710400"/>
        <c:crosses val="autoZero"/>
        <c:auto val="1"/>
        <c:lblAlgn val="ctr"/>
        <c:lblOffset val="100"/>
        <c:noMultiLvlLbl val="0"/>
      </c:catAx>
      <c:valAx>
        <c:axId val="201271040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20127055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Séquestration Peuplements matures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lineChart>
        <c:grouping val="standard"/>
        <c:varyColors val="0"/>
        <c:ser>
          <c:idx val="0"/>
          <c:order val="0"/>
          <c:tx>
            <c:strRef>
              <c:f>StrateB!$C$284</c:f>
              <c:strCache>
                <c:ptCount val="1"/>
                <c:pt idx="0">
                  <c:v>SQ_REF_CO2e</c:v>
                </c:pt>
              </c:strCache>
            </c:strRef>
          </c:tx>
          <c:spPr>
            <a:ln w="28575" cap="rnd">
              <a:solidFill>
                <a:srgbClr val="5A5C5E"/>
              </a:solidFill>
              <a:round/>
            </a:ln>
            <a:effectLst/>
          </c:spPr>
          <c:marker>
            <c:symbol val="none"/>
          </c:marker>
          <c:val>
            <c:numRef>
              <c:f>StrateB!$C$285:$C$304</c:f>
              <c:numCache>
                <c:formatCode>0</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c:ext xmlns:c16="http://schemas.microsoft.com/office/drawing/2014/chart" uri="{C3380CC4-5D6E-409C-BE32-E72D297353CC}">
              <c16:uniqueId val="{00000000-DB4D-5F42-875F-2BB27D452A7E}"/>
            </c:ext>
          </c:extLst>
        </c:ser>
        <c:ser>
          <c:idx val="1"/>
          <c:order val="1"/>
          <c:tx>
            <c:strRef>
              <c:f>StrateB!$F$284</c:f>
              <c:strCache>
                <c:ptCount val="1"/>
                <c:pt idx="0">
                  <c:v>SQ_PRJ_CO2e</c:v>
                </c:pt>
              </c:strCache>
            </c:strRef>
          </c:tx>
          <c:spPr>
            <a:ln w="28575" cap="rnd">
              <a:solidFill>
                <a:srgbClr val="00A81F"/>
              </a:solidFill>
              <a:round/>
            </a:ln>
            <a:effectLst/>
          </c:spPr>
          <c:marker>
            <c:symbol val="none"/>
          </c:marker>
          <c:val>
            <c:numRef>
              <c:f>StrateB!$F$285:$F$304</c:f>
              <c:numCache>
                <c:formatCode>0</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c:ext xmlns:c16="http://schemas.microsoft.com/office/drawing/2014/chart" uri="{C3380CC4-5D6E-409C-BE32-E72D297353CC}">
              <c16:uniqueId val="{00000001-DB4D-5F42-875F-2BB27D452A7E}"/>
            </c:ext>
          </c:extLst>
        </c:ser>
        <c:dLbls>
          <c:showLegendKey val="0"/>
          <c:showVal val="0"/>
          <c:showCatName val="0"/>
          <c:showSerName val="0"/>
          <c:showPercent val="0"/>
          <c:showBubbleSize val="0"/>
        </c:dLbls>
        <c:smooth val="0"/>
        <c:axId val="2012712032"/>
        <c:axId val="1852773392"/>
      </c:lineChart>
      <c:catAx>
        <c:axId val="20127120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852773392"/>
        <c:crosses val="autoZero"/>
        <c:auto val="1"/>
        <c:lblAlgn val="ctr"/>
        <c:lblOffset val="100"/>
        <c:noMultiLvlLbl val="0"/>
      </c:catAx>
      <c:valAx>
        <c:axId val="18527733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201271203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spPr>
            <a:ln w="28575" cap="rnd">
              <a:solidFill>
                <a:schemeClr val="accent1"/>
              </a:solidFill>
              <a:round/>
            </a:ln>
            <a:effectLst/>
          </c:spPr>
          <c:marker>
            <c:symbol val="none"/>
          </c:marker>
          <c:val>
            <c:numRef>
              <c:f>StrateB!$Z$92:$Z$111</c:f>
              <c:numCache>
                <c:formatCode>0</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c:ext xmlns:c16="http://schemas.microsoft.com/office/drawing/2014/chart" uri="{C3380CC4-5D6E-409C-BE32-E72D297353CC}">
              <c16:uniqueId val="{00000000-6B9C-2947-85F3-23AB5310F5E4}"/>
            </c:ext>
          </c:extLst>
        </c:ser>
        <c:dLbls>
          <c:showLegendKey val="0"/>
          <c:showVal val="0"/>
          <c:showCatName val="0"/>
          <c:showSerName val="0"/>
          <c:showPercent val="0"/>
          <c:showBubbleSize val="0"/>
        </c:dLbls>
        <c:smooth val="0"/>
        <c:axId val="1852329952"/>
        <c:axId val="2076501744"/>
      </c:lineChart>
      <c:catAx>
        <c:axId val="18523299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2076501744"/>
        <c:crosses val="autoZero"/>
        <c:auto val="1"/>
        <c:lblAlgn val="ctr"/>
        <c:lblOffset val="100"/>
        <c:noMultiLvlLbl val="0"/>
      </c:catAx>
      <c:valAx>
        <c:axId val="207650174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85232995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spPr>
            <a:ln w="28575" cap="rnd">
              <a:solidFill>
                <a:schemeClr val="accent1"/>
              </a:solidFill>
              <a:round/>
            </a:ln>
            <a:effectLst/>
          </c:spPr>
          <c:marker>
            <c:symbol val="none"/>
          </c:marker>
          <c:val>
            <c:numRef>
              <c:f>StrateB!$Z$208:$Z$227</c:f>
              <c:numCache>
                <c:formatCode>0</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c:ext xmlns:c16="http://schemas.microsoft.com/office/drawing/2014/chart" uri="{C3380CC4-5D6E-409C-BE32-E72D297353CC}">
              <c16:uniqueId val="{00000000-1372-714B-92E2-F9ED7874954D}"/>
            </c:ext>
          </c:extLst>
        </c:ser>
        <c:dLbls>
          <c:showLegendKey val="0"/>
          <c:showVal val="0"/>
          <c:showCatName val="0"/>
          <c:showSerName val="0"/>
          <c:showPercent val="0"/>
          <c:showBubbleSize val="0"/>
        </c:dLbls>
        <c:smooth val="0"/>
        <c:axId val="2076493584"/>
        <c:axId val="2076503920"/>
      </c:lineChart>
      <c:catAx>
        <c:axId val="20764935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2076503920"/>
        <c:crosses val="autoZero"/>
        <c:auto val="1"/>
        <c:lblAlgn val="ctr"/>
        <c:lblOffset val="100"/>
        <c:noMultiLvlLbl val="0"/>
      </c:catAx>
      <c:valAx>
        <c:axId val="207650392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207649358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Delta CO2</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barChart>
        <c:barDir val="col"/>
        <c:grouping val="clustered"/>
        <c:varyColors val="0"/>
        <c:ser>
          <c:idx val="1"/>
          <c:order val="0"/>
          <c:tx>
            <c:strRef>
              <c:f>StrateB!$I$284</c:f>
              <c:strCache>
                <c:ptCount val="1"/>
                <c:pt idx="0">
                  <c:v>Delta_CO2e</c:v>
                </c:pt>
              </c:strCache>
            </c:strRef>
          </c:tx>
          <c:spPr>
            <a:solidFill>
              <a:srgbClr val="006C4D"/>
            </a:solidFill>
            <a:ln>
              <a:noFill/>
            </a:ln>
            <a:effectLst/>
          </c:spPr>
          <c:invertIfNegative val="0"/>
          <c:val>
            <c:numRef>
              <c:f>StrateB!$I$285:$I$304</c:f>
              <c:numCache>
                <c:formatCode>0</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extLst>
            <c:ext xmlns:c16="http://schemas.microsoft.com/office/drawing/2014/chart" uri="{C3380CC4-5D6E-409C-BE32-E72D297353CC}">
              <c16:uniqueId val="{00000000-9200-354F-AC30-2810C118CB9A}"/>
            </c:ext>
          </c:extLst>
        </c:ser>
        <c:dLbls>
          <c:showLegendKey val="0"/>
          <c:showVal val="0"/>
          <c:showCatName val="0"/>
          <c:showSerName val="0"/>
          <c:showPercent val="0"/>
          <c:showBubbleSize val="0"/>
        </c:dLbls>
        <c:gapWidth val="219"/>
        <c:overlap val="-27"/>
        <c:axId val="2076497392"/>
        <c:axId val="2076493040"/>
      </c:barChart>
      <c:catAx>
        <c:axId val="20764973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2076493040"/>
        <c:crosses val="autoZero"/>
        <c:auto val="1"/>
        <c:lblAlgn val="ctr"/>
        <c:lblOffset val="100"/>
        <c:noMultiLvlLbl val="0"/>
      </c:catAx>
      <c:valAx>
        <c:axId val="2076493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20764973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Quantité nette de CO2eq</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barChart>
        <c:barDir val="col"/>
        <c:grouping val="clustered"/>
        <c:varyColors val="0"/>
        <c:ser>
          <c:idx val="0"/>
          <c:order val="0"/>
          <c:tx>
            <c:strRef>
              <c:f>StrateB!$J$310</c:f>
              <c:strCache>
                <c:ptCount val="1"/>
                <c:pt idx="0">
                  <c:v>tCO2e_net_an</c:v>
                </c:pt>
              </c:strCache>
            </c:strRef>
          </c:tx>
          <c:spPr>
            <a:solidFill>
              <a:srgbClr val="006C4D"/>
            </a:solidFill>
            <a:ln>
              <a:noFill/>
            </a:ln>
            <a:effectLst/>
          </c:spPr>
          <c:invertIfNegative val="0"/>
          <c:val>
            <c:numRef>
              <c:f>StrateB!$J$311:$J$330</c:f>
              <c:numCache>
                <c:formatCode>0</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extLst>
            <c:ext xmlns:c16="http://schemas.microsoft.com/office/drawing/2014/chart" uri="{C3380CC4-5D6E-409C-BE32-E72D297353CC}">
              <c16:uniqueId val="{00000000-2583-B94A-AB29-DC7F9B32C864}"/>
            </c:ext>
          </c:extLst>
        </c:ser>
        <c:dLbls>
          <c:showLegendKey val="0"/>
          <c:showVal val="0"/>
          <c:showCatName val="0"/>
          <c:showSerName val="0"/>
          <c:showPercent val="0"/>
          <c:showBubbleSize val="0"/>
        </c:dLbls>
        <c:gapWidth val="150"/>
        <c:axId val="2076504464"/>
        <c:axId val="2076499024"/>
      </c:barChart>
      <c:lineChart>
        <c:grouping val="standard"/>
        <c:varyColors val="0"/>
        <c:ser>
          <c:idx val="1"/>
          <c:order val="1"/>
          <c:tx>
            <c:strRef>
              <c:f>StrateB!$K$310</c:f>
              <c:strCache>
                <c:ptCount val="1"/>
                <c:pt idx="0">
                  <c:v>tCO2e_net_vente</c:v>
                </c:pt>
              </c:strCache>
            </c:strRef>
          </c:tx>
          <c:spPr>
            <a:ln w="28575" cap="rnd">
              <a:solidFill>
                <a:srgbClr val="00A81F"/>
              </a:solidFill>
              <a:round/>
            </a:ln>
            <a:effectLst/>
          </c:spPr>
          <c:marker>
            <c:symbol val="none"/>
          </c:marker>
          <c:val>
            <c:numRef>
              <c:f>StrateB!$K$311:$K$330</c:f>
              <c:numCache>
                <c:formatCode>0</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c:ext xmlns:c16="http://schemas.microsoft.com/office/drawing/2014/chart" uri="{C3380CC4-5D6E-409C-BE32-E72D297353CC}">
              <c16:uniqueId val="{00000001-2583-B94A-AB29-DC7F9B32C864}"/>
            </c:ext>
          </c:extLst>
        </c:ser>
        <c:dLbls>
          <c:showLegendKey val="0"/>
          <c:showVal val="0"/>
          <c:showCatName val="0"/>
          <c:showSerName val="0"/>
          <c:showPercent val="0"/>
          <c:showBubbleSize val="0"/>
        </c:dLbls>
        <c:marker val="1"/>
        <c:smooth val="0"/>
        <c:axId val="2076504464"/>
        <c:axId val="2076499024"/>
      </c:lineChart>
      <c:catAx>
        <c:axId val="20765044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2076499024"/>
        <c:crosses val="autoZero"/>
        <c:auto val="1"/>
        <c:lblAlgn val="ctr"/>
        <c:lblOffset val="100"/>
        <c:noMultiLvlLbl val="0"/>
      </c:catAx>
      <c:valAx>
        <c:axId val="207649902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207650446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Séquestration Peuplements matures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lineChart>
        <c:grouping val="standard"/>
        <c:varyColors val="0"/>
        <c:ser>
          <c:idx val="0"/>
          <c:order val="0"/>
          <c:tx>
            <c:strRef>
              <c:f>StrateA!$C$284</c:f>
              <c:strCache>
                <c:ptCount val="1"/>
                <c:pt idx="0">
                  <c:v>SQ_REF_CO2e</c:v>
                </c:pt>
              </c:strCache>
            </c:strRef>
          </c:tx>
          <c:spPr>
            <a:ln w="28575" cap="rnd">
              <a:solidFill>
                <a:srgbClr val="5A5C5E"/>
              </a:solidFill>
              <a:round/>
            </a:ln>
            <a:effectLst/>
          </c:spPr>
          <c:marker>
            <c:symbol val="none"/>
          </c:marker>
          <c:val>
            <c:numRef>
              <c:f>StrateA!$C$285:$C$304</c:f>
              <c:numCache>
                <c:formatCode>0</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c:ext xmlns:c16="http://schemas.microsoft.com/office/drawing/2014/chart" uri="{C3380CC4-5D6E-409C-BE32-E72D297353CC}">
              <c16:uniqueId val="{00000000-2265-2A45-A56D-0886AB68B35F}"/>
            </c:ext>
          </c:extLst>
        </c:ser>
        <c:ser>
          <c:idx val="1"/>
          <c:order val="1"/>
          <c:tx>
            <c:strRef>
              <c:f>StrateA!$F$284</c:f>
              <c:strCache>
                <c:ptCount val="1"/>
                <c:pt idx="0">
                  <c:v>SQ_PRJ_CO2e</c:v>
                </c:pt>
              </c:strCache>
            </c:strRef>
          </c:tx>
          <c:spPr>
            <a:ln w="28575" cap="rnd">
              <a:solidFill>
                <a:srgbClr val="00A81F"/>
              </a:solidFill>
              <a:round/>
            </a:ln>
            <a:effectLst/>
          </c:spPr>
          <c:marker>
            <c:symbol val="none"/>
          </c:marker>
          <c:val>
            <c:numRef>
              <c:f>StrateA!$F$285:$F$304</c:f>
              <c:numCache>
                <c:formatCode>0</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c:ext xmlns:c16="http://schemas.microsoft.com/office/drawing/2014/chart" uri="{C3380CC4-5D6E-409C-BE32-E72D297353CC}">
              <c16:uniqueId val="{00000001-2265-2A45-A56D-0886AB68B35F}"/>
            </c:ext>
          </c:extLst>
        </c:ser>
        <c:dLbls>
          <c:showLegendKey val="0"/>
          <c:showVal val="0"/>
          <c:showCatName val="0"/>
          <c:showSerName val="0"/>
          <c:showPercent val="0"/>
          <c:showBubbleSize val="0"/>
        </c:dLbls>
        <c:smooth val="0"/>
        <c:axId val="2012712032"/>
        <c:axId val="1852773392"/>
      </c:lineChart>
      <c:catAx>
        <c:axId val="20127120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852773392"/>
        <c:crosses val="autoZero"/>
        <c:auto val="1"/>
        <c:lblAlgn val="ctr"/>
        <c:lblOffset val="100"/>
        <c:noMultiLvlLbl val="0"/>
      </c:catAx>
      <c:valAx>
        <c:axId val="18527733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201271203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StrateB!$X$144</c:f>
              <c:strCache>
                <c:ptCount val="1"/>
                <c:pt idx="0">
                  <c:v>CO2e_ST_tot</c:v>
                </c:pt>
              </c:strCache>
            </c:strRef>
          </c:tx>
          <c:spPr>
            <a:ln w="28575" cap="rnd">
              <a:solidFill>
                <a:srgbClr val="00B050"/>
              </a:solidFill>
              <a:round/>
            </a:ln>
            <a:effectLst/>
          </c:spPr>
          <c:marker>
            <c:symbol val="none"/>
          </c:marker>
          <c:val>
            <c:numRef>
              <c:f>StrateB!$X$145:$X$164</c:f>
              <c:numCache>
                <c:formatCode>0</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c:ext xmlns:c16="http://schemas.microsoft.com/office/drawing/2014/chart" uri="{C3380CC4-5D6E-409C-BE32-E72D297353CC}">
              <c16:uniqueId val="{00000000-2391-5F4F-9C8A-E37A78933470}"/>
            </c:ext>
          </c:extLst>
        </c:ser>
        <c:dLbls>
          <c:showLegendKey val="0"/>
          <c:showVal val="0"/>
          <c:showCatName val="0"/>
          <c:showSerName val="0"/>
          <c:showPercent val="0"/>
          <c:showBubbleSize val="0"/>
        </c:dLbls>
        <c:smooth val="0"/>
        <c:axId val="765502480"/>
        <c:axId val="765504160"/>
      </c:lineChart>
      <c:catAx>
        <c:axId val="7655024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Geomanist Regular" panose="02000503000000020004" pitchFamily="2" charset="77"/>
                <a:ea typeface="+mn-ea"/>
                <a:cs typeface="+mn-cs"/>
              </a:defRPr>
            </a:pPr>
            <a:endParaRPr lang="fr-FR"/>
          </a:p>
        </c:txPr>
        <c:crossAx val="765504160"/>
        <c:crosses val="autoZero"/>
        <c:auto val="1"/>
        <c:lblAlgn val="ctr"/>
        <c:lblOffset val="100"/>
        <c:noMultiLvlLbl val="0"/>
      </c:catAx>
      <c:valAx>
        <c:axId val="76550416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Geomanist Regular" panose="02000503000000020004" pitchFamily="2" charset="77"/>
                <a:ea typeface="+mn-ea"/>
                <a:cs typeface="+mn-cs"/>
              </a:defRPr>
            </a:pPr>
            <a:endParaRPr lang="fr-FR"/>
          </a:p>
        </c:txPr>
        <c:crossAx val="76550248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b="0" i="0">
          <a:latin typeface="Geomanist Regular" panose="02000503000000020004" pitchFamily="2" charset="77"/>
        </a:defRPr>
      </a:pPr>
      <a:endParaRPr lang="fr-FR"/>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Séquestration Jeunes peuplements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lineChart>
        <c:grouping val="standard"/>
        <c:varyColors val="0"/>
        <c:ser>
          <c:idx val="0"/>
          <c:order val="0"/>
          <c:tx>
            <c:strRef>
              <c:f>StrateB!$D$284</c:f>
              <c:strCache>
                <c:ptCount val="1"/>
                <c:pt idx="0">
                  <c:v>JP_REF_CO2e</c:v>
                </c:pt>
              </c:strCache>
            </c:strRef>
          </c:tx>
          <c:spPr>
            <a:ln w="28575" cap="rnd">
              <a:solidFill>
                <a:srgbClr val="5A5C5E"/>
              </a:solidFill>
              <a:round/>
            </a:ln>
            <a:effectLst/>
          </c:spPr>
          <c:marker>
            <c:symbol val="none"/>
          </c:marker>
          <c:val>
            <c:numRef>
              <c:f>StrateB!$D$285:$D$304</c:f>
              <c:numCache>
                <c:formatCode>0</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c:ext xmlns:c16="http://schemas.microsoft.com/office/drawing/2014/chart" uri="{C3380CC4-5D6E-409C-BE32-E72D297353CC}">
              <c16:uniqueId val="{00000000-6972-614B-A300-2C601534F951}"/>
            </c:ext>
          </c:extLst>
        </c:ser>
        <c:ser>
          <c:idx val="1"/>
          <c:order val="1"/>
          <c:tx>
            <c:strRef>
              <c:f>StrateB!$G$284</c:f>
              <c:strCache>
                <c:ptCount val="1"/>
                <c:pt idx="0">
                  <c:v>JP_PRJ_CO2e</c:v>
                </c:pt>
              </c:strCache>
            </c:strRef>
          </c:tx>
          <c:spPr>
            <a:ln w="28575" cap="rnd">
              <a:solidFill>
                <a:srgbClr val="00A81F"/>
              </a:solidFill>
              <a:round/>
            </a:ln>
            <a:effectLst/>
          </c:spPr>
          <c:marker>
            <c:symbol val="none"/>
          </c:marker>
          <c:val>
            <c:numRef>
              <c:f>StrateB!$G$285:$G$304</c:f>
              <c:numCache>
                <c:formatCode>0</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c:ext xmlns:c16="http://schemas.microsoft.com/office/drawing/2014/chart" uri="{C3380CC4-5D6E-409C-BE32-E72D297353CC}">
              <c16:uniqueId val="{00000001-6972-614B-A300-2C601534F951}"/>
            </c:ext>
          </c:extLst>
        </c:ser>
        <c:dLbls>
          <c:showLegendKey val="0"/>
          <c:showVal val="0"/>
          <c:showCatName val="0"/>
          <c:showSerName val="0"/>
          <c:showPercent val="0"/>
          <c:showBubbleSize val="0"/>
        </c:dLbls>
        <c:smooth val="0"/>
        <c:axId val="2012712032"/>
        <c:axId val="1852773392"/>
      </c:lineChart>
      <c:catAx>
        <c:axId val="20127120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852773392"/>
        <c:crosses val="autoZero"/>
        <c:auto val="1"/>
        <c:lblAlgn val="ctr"/>
        <c:lblOffset val="100"/>
        <c:noMultiLvlLbl val="0"/>
      </c:catAx>
      <c:valAx>
        <c:axId val="18527733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201271203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Evolution de la quantité de bois (m3) dans le</a:t>
            </a:r>
            <a:r>
              <a:rPr lang="fr-FR" baseline="0"/>
              <a:t> ppt adulte</a:t>
            </a:r>
            <a:endParaRPr lang="fr-F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lineChart>
        <c:grouping val="standard"/>
        <c:varyColors val="0"/>
        <c:ser>
          <c:idx val="0"/>
          <c:order val="0"/>
          <c:tx>
            <c:strRef>
              <c:f>StrateB!$F$393</c:f>
              <c:strCache>
                <c:ptCount val="1"/>
                <c:pt idx="0">
                  <c:v>Vol_tot_Référence</c:v>
                </c:pt>
              </c:strCache>
            </c:strRef>
          </c:tx>
          <c:spPr>
            <a:ln w="28575" cap="rnd">
              <a:solidFill>
                <a:srgbClr val="5A5C5E"/>
              </a:solidFill>
              <a:round/>
            </a:ln>
            <a:effectLst/>
          </c:spPr>
          <c:marker>
            <c:symbol val="none"/>
          </c:marker>
          <c:cat>
            <c:numRef>
              <c:f>StrateB!$A$394:$A$413</c:f>
              <c:numCache>
                <c:formatCode>General</c:formatCode>
                <c:ptCount val="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numCache>
            </c:numRef>
          </c:cat>
          <c:val>
            <c:numRef>
              <c:f>StrateB!$F$394:$F$413</c:f>
              <c:numCache>
                <c:formatCode>#,##0</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c:ext xmlns:c16="http://schemas.microsoft.com/office/drawing/2014/chart" uri="{C3380CC4-5D6E-409C-BE32-E72D297353CC}">
              <c16:uniqueId val="{00000001-1E7E-D243-B8C5-DDC3328062C8}"/>
            </c:ext>
          </c:extLst>
        </c:ser>
        <c:ser>
          <c:idx val="1"/>
          <c:order val="1"/>
          <c:tx>
            <c:strRef>
              <c:f>StrateB!$G$393</c:f>
              <c:strCache>
                <c:ptCount val="1"/>
                <c:pt idx="0">
                  <c:v>Vol_tot_Projet</c:v>
                </c:pt>
              </c:strCache>
            </c:strRef>
          </c:tx>
          <c:spPr>
            <a:ln w="28575" cap="rnd">
              <a:solidFill>
                <a:srgbClr val="00A81F"/>
              </a:solidFill>
              <a:round/>
            </a:ln>
            <a:effectLst/>
          </c:spPr>
          <c:marker>
            <c:symbol val="none"/>
          </c:marker>
          <c:cat>
            <c:numRef>
              <c:f>StrateB!$A$394:$A$413</c:f>
              <c:numCache>
                <c:formatCode>General</c:formatCode>
                <c:ptCount val="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numCache>
            </c:numRef>
          </c:cat>
          <c:val>
            <c:numRef>
              <c:f>StrateB!$G$394:$G$413</c:f>
              <c:numCache>
                <c:formatCode>#,##0</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c:ext xmlns:c16="http://schemas.microsoft.com/office/drawing/2014/chart" uri="{C3380CC4-5D6E-409C-BE32-E72D297353CC}">
              <c16:uniqueId val="{00000002-1E7E-D243-B8C5-DDC3328062C8}"/>
            </c:ext>
          </c:extLst>
        </c:ser>
        <c:ser>
          <c:idx val="2"/>
          <c:order val="2"/>
          <c:tx>
            <c:strRef>
              <c:f>StrateB!$B$393</c:f>
              <c:strCache>
                <c:ptCount val="1"/>
                <c:pt idx="0">
                  <c:v>Vol_non récoltable</c:v>
                </c:pt>
              </c:strCache>
            </c:strRef>
          </c:tx>
          <c:spPr>
            <a:ln w="28575" cap="rnd">
              <a:solidFill>
                <a:schemeClr val="accent3"/>
              </a:solidFill>
              <a:prstDash val="sysDot"/>
              <a:round/>
            </a:ln>
            <a:effectLst/>
          </c:spPr>
          <c:marker>
            <c:symbol val="none"/>
          </c:marker>
          <c:cat>
            <c:numRef>
              <c:f>StrateB!$A$394:$A$413</c:f>
              <c:numCache>
                <c:formatCode>General</c:formatCode>
                <c:ptCount val="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numCache>
            </c:numRef>
          </c:cat>
          <c:val>
            <c:numRef>
              <c:f>StrateB!$B$394:$B$413</c:f>
              <c:numCache>
                <c:formatCode>#,##0</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c:ext xmlns:c16="http://schemas.microsoft.com/office/drawing/2014/chart" uri="{C3380CC4-5D6E-409C-BE32-E72D297353CC}">
              <c16:uniqueId val="{00000000-1E7E-D243-B8C5-DDC3328062C8}"/>
            </c:ext>
          </c:extLst>
        </c:ser>
        <c:ser>
          <c:idx val="3"/>
          <c:order val="3"/>
          <c:tx>
            <c:strRef>
              <c:f>StrateB!$C$393</c:f>
              <c:strCache>
                <c:ptCount val="1"/>
                <c:pt idx="0">
                  <c:v>Vol_non prélevable</c:v>
                </c:pt>
              </c:strCache>
            </c:strRef>
          </c:tx>
          <c:spPr>
            <a:ln w="28575" cap="rnd">
              <a:solidFill>
                <a:schemeClr val="accent4"/>
              </a:solidFill>
              <a:prstDash val="sysDot"/>
              <a:round/>
            </a:ln>
            <a:effectLst/>
          </c:spPr>
          <c:marker>
            <c:symbol val="none"/>
          </c:marker>
          <c:val>
            <c:numRef>
              <c:f>StrateB!$C$394:$C$413</c:f>
              <c:numCache>
                <c:formatCode>#,##0</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c:ext xmlns:c16="http://schemas.microsoft.com/office/drawing/2014/chart" uri="{C3380CC4-5D6E-409C-BE32-E72D297353CC}">
              <c16:uniqueId val="{00000000-A212-7D46-B2D3-B98074F48A54}"/>
            </c:ext>
          </c:extLst>
        </c:ser>
        <c:dLbls>
          <c:showLegendKey val="0"/>
          <c:showVal val="0"/>
          <c:showCatName val="0"/>
          <c:showSerName val="0"/>
          <c:showPercent val="0"/>
          <c:showBubbleSize val="0"/>
        </c:dLbls>
        <c:smooth val="0"/>
        <c:axId val="1289389792"/>
        <c:axId val="1574646720"/>
      </c:lineChart>
      <c:catAx>
        <c:axId val="12893897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574646720"/>
        <c:crosses val="autoZero"/>
        <c:auto val="1"/>
        <c:lblAlgn val="ctr"/>
        <c:lblOffset val="100"/>
        <c:noMultiLvlLbl val="0"/>
      </c:catAx>
      <c:valAx>
        <c:axId val="157464672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2893897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spPr>
            <a:ln w="28575" cap="rnd">
              <a:solidFill>
                <a:schemeClr val="accent1"/>
              </a:solidFill>
              <a:round/>
            </a:ln>
            <a:effectLst/>
          </c:spPr>
          <c:marker>
            <c:symbol val="none"/>
          </c:marker>
          <c:val>
            <c:numRef>
              <c:f>StrateB!$AS$61:$AS$80</c:f>
              <c:numCache>
                <c:formatCode>#,##0</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c:ext xmlns:c16="http://schemas.microsoft.com/office/drawing/2014/chart" uri="{C3380CC4-5D6E-409C-BE32-E72D297353CC}">
              <c16:uniqueId val="{00000000-D596-6840-B4CF-3E5AEDF57298}"/>
            </c:ext>
          </c:extLst>
        </c:ser>
        <c:dLbls>
          <c:showLegendKey val="0"/>
          <c:showVal val="0"/>
          <c:showCatName val="0"/>
          <c:showSerName val="0"/>
          <c:showPercent val="0"/>
          <c:showBubbleSize val="0"/>
        </c:dLbls>
        <c:smooth val="0"/>
        <c:axId val="1670208960"/>
        <c:axId val="1670210688"/>
      </c:lineChart>
      <c:catAx>
        <c:axId val="16702089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670210688"/>
        <c:crosses val="autoZero"/>
        <c:auto val="1"/>
        <c:lblAlgn val="ctr"/>
        <c:lblOffset val="100"/>
        <c:noMultiLvlLbl val="0"/>
      </c:catAx>
      <c:valAx>
        <c:axId val="167021068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67020896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spPr>
            <a:ln w="28575" cap="rnd">
              <a:solidFill>
                <a:schemeClr val="accent1"/>
              </a:solidFill>
              <a:round/>
            </a:ln>
            <a:effectLst/>
          </c:spPr>
          <c:marker>
            <c:symbol val="none"/>
          </c:marker>
          <c:val>
            <c:numRef>
              <c:f>StrateB!$AS$177:$AS$196</c:f>
              <c:numCache>
                <c:formatCode>#,##0</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c:ext xmlns:c16="http://schemas.microsoft.com/office/drawing/2014/chart" uri="{C3380CC4-5D6E-409C-BE32-E72D297353CC}">
              <c16:uniqueId val="{00000000-E9AE-4C45-A6A0-249B29A9565F}"/>
            </c:ext>
          </c:extLst>
        </c:ser>
        <c:dLbls>
          <c:showLegendKey val="0"/>
          <c:showVal val="0"/>
          <c:showCatName val="0"/>
          <c:showSerName val="0"/>
          <c:showPercent val="0"/>
          <c:showBubbleSize val="0"/>
        </c:dLbls>
        <c:smooth val="0"/>
        <c:axId val="1200068848"/>
        <c:axId val="1200079408"/>
      </c:lineChart>
      <c:catAx>
        <c:axId val="12000688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200079408"/>
        <c:crosses val="autoZero"/>
        <c:auto val="1"/>
        <c:lblAlgn val="ctr"/>
        <c:lblOffset val="100"/>
        <c:noMultiLvlLbl val="0"/>
      </c:catAx>
      <c:valAx>
        <c:axId val="12000794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20006884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lineChart>
        <c:grouping val="standard"/>
        <c:varyColors val="0"/>
        <c:ser>
          <c:idx val="0"/>
          <c:order val="0"/>
          <c:tx>
            <c:strRef>
              <c:f>StrateB!$B$345</c:f>
              <c:strCache>
                <c:ptCount val="1"/>
                <c:pt idx="0">
                  <c:v>C02e_REF</c:v>
                </c:pt>
              </c:strCache>
            </c:strRef>
          </c:tx>
          <c:spPr>
            <a:ln w="28575" cap="rnd">
              <a:solidFill>
                <a:srgbClr val="5A5C5E"/>
              </a:solidFill>
              <a:round/>
            </a:ln>
            <a:effectLst/>
          </c:spPr>
          <c:marker>
            <c:symbol val="none"/>
          </c:marker>
          <c:cat>
            <c:numRef>
              <c:f>StrateB!$A$346:$A$366</c:f>
              <c:numCache>
                <c:formatCode>General</c:formatCode>
                <c:ptCount val="2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numCache>
            </c:numRef>
          </c:cat>
          <c:val>
            <c:numRef>
              <c:f>StrateB!$B$346:$B$366</c:f>
              <c:numCache>
                <c:formatCode>#,##0</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smooth val="0"/>
          <c:extLst>
            <c:ext xmlns:c16="http://schemas.microsoft.com/office/drawing/2014/chart" uri="{C3380CC4-5D6E-409C-BE32-E72D297353CC}">
              <c16:uniqueId val="{00000000-3617-5F47-9E8B-45FA95F48B4A}"/>
            </c:ext>
          </c:extLst>
        </c:ser>
        <c:ser>
          <c:idx val="1"/>
          <c:order val="1"/>
          <c:tx>
            <c:strRef>
              <c:f>StrateB!$C$345</c:f>
              <c:strCache>
                <c:ptCount val="1"/>
                <c:pt idx="0">
                  <c:v>CO2e_PRJ</c:v>
                </c:pt>
              </c:strCache>
            </c:strRef>
          </c:tx>
          <c:spPr>
            <a:ln w="28575" cap="rnd">
              <a:solidFill>
                <a:srgbClr val="00A81F"/>
              </a:solidFill>
              <a:round/>
            </a:ln>
            <a:effectLst/>
          </c:spPr>
          <c:marker>
            <c:symbol val="none"/>
          </c:marker>
          <c:cat>
            <c:numRef>
              <c:f>StrateB!$A$346:$A$366</c:f>
              <c:numCache>
                <c:formatCode>General</c:formatCode>
                <c:ptCount val="2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numCache>
            </c:numRef>
          </c:cat>
          <c:val>
            <c:numRef>
              <c:f>StrateB!$C$346:$C$366</c:f>
              <c:numCache>
                <c:formatCode>#,##0</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smooth val="0"/>
          <c:extLst>
            <c:ext xmlns:c16="http://schemas.microsoft.com/office/drawing/2014/chart" uri="{C3380CC4-5D6E-409C-BE32-E72D297353CC}">
              <c16:uniqueId val="{00000001-3617-5F47-9E8B-45FA95F48B4A}"/>
            </c:ext>
          </c:extLst>
        </c:ser>
        <c:dLbls>
          <c:showLegendKey val="0"/>
          <c:showVal val="0"/>
          <c:showCatName val="0"/>
          <c:showSerName val="0"/>
          <c:showPercent val="0"/>
          <c:showBubbleSize val="0"/>
        </c:dLbls>
        <c:smooth val="0"/>
        <c:axId val="1126790848"/>
        <c:axId val="1279245584"/>
      </c:lineChart>
      <c:catAx>
        <c:axId val="11267908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279245584"/>
        <c:crosses val="autoZero"/>
        <c:auto val="1"/>
        <c:lblAlgn val="ctr"/>
        <c:lblOffset val="100"/>
        <c:noMultiLvlLbl val="0"/>
      </c:catAx>
      <c:valAx>
        <c:axId val="127924558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1267908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Evolution de la quantité de bois (m3/ha) dans le</a:t>
            </a:r>
            <a:r>
              <a:rPr lang="fr-FR" baseline="0"/>
              <a:t> ppt adulte</a:t>
            </a:r>
            <a:endParaRPr lang="fr-F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lineChart>
        <c:grouping val="standard"/>
        <c:varyColors val="0"/>
        <c:ser>
          <c:idx val="0"/>
          <c:order val="0"/>
          <c:tx>
            <c:strRef>
              <c:f>StrateB!$F$393</c:f>
              <c:strCache>
                <c:ptCount val="1"/>
                <c:pt idx="0">
                  <c:v>Vol_tot_Référence</c:v>
                </c:pt>
              </c:strCache>
            </c:strRef>
          </c:tx>
          <c:spPr>
            <a:ln w="28575" cap="rnd">
              <a:solidFill>
                <a:srgbClr val="00A81F"/>
              </a:solidFill>
              <a:round/>
            </a:ln>
            <a:effectLst/>
          </c:spPr>
          <c:marker>
            <c:symbol val="none"/>
          </c:marker>
          <c:cat>
            <c:numRef>
              <c:f>StrateB!$A$417:$A$436</c:f>
              <c:numCache>
                <c:formatCode>General</c:formatCode>
                <c:ptCount val="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numCache>
            </c:numRef>
          </c:cat>
          <c:val>
            <c:numRef>
              <c:f>StrateB!$F$417:$F$436</c:f>
              <c:numCache>
                <c:formatCode>#,##0</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c:ext xmlns:c16="http://schemas.microsoft.com/office/drawing/2014/chart" uri="{C3380CC4-5D6E-409C-BE32-E72D297353CC}">
              <c16:uniqueId val="{00000000-7053-5E45-97E3-279A0FE64E7D}"/>
            </c:ext>
          </c:extLst>
        </c:ser>
        <c:ser>
          <c:idx val="1"/>
          <c:order val="1"/>
          <c:tx>
            <c:strRef>
              <c:f>StrateB!$G$393</c:f>
              <c:strCache>
                <c:ptCount val="1"/>
                <c:pt idx="0">
                  <c:v>Vol_tot_Projet</c:v>
                </c:pt>
              </c:strCache>
            </c:strRef>
          </c:tx>
          <c:spPr>
            <a:ln w="28575" cap="rnd">
              <a:solidFill>
                <a:srgbClr val="5A5C5E"/>
              </a:solidFill>
              <a:round/>
            </a:ln>
            <a:effectLst/>
          </c:spPr>
          <c:marker>
            <c:symbol val="none"/>
          </c:marker>
          <c:cat>
            <c:numRef>
              <c:f>StrateB!$A$417:$A$436</c:f>
              <c:numCache>
                <c:formatCode>General</c:formatCode>
                <c:ptCount val="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numCache>
            </c:numRef>
          </c:cat>
          <c:val>
            <c:numRef>
              <c:f>StrateB!$G$417:$G$436</c:f>
              <c:numCache>
                <c:formatCode>#,##0</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c:ext xmlns:c16="http://schemas.microsoft.com/office/drawing/2014/chart" uri="{C3380CC4-5D6E-409C-BE32-E72D297353CC}">
              <c16:uniqueId val="{00000001-7053-5E45-97E3-279A0FE64E7D}"/>
            </c:ext>
          </c:extLst>
        </c:ser>
        <c:ser>
          <c:idx val="2"/>
          <c:order val="2"/>
          <c:tx>
            <c:strRef>
              <c:f>StrateB!$B$393</c:f>
              <c:strCache>
                <c:ptCount val="1"/>
                <c:pt idx="0">
                  <c:v>Vol_non récoltable</c:v>
                </c:pt>
              </c:strCache>
            </c:strRef>
          </c:tx>
          <c:spPr>
            <a:ln w="28575" cap="rnd">
              <a:solidFill>
                <a:schemeClr val="accent3"/>
              </a:solidFill>
              <a:prstDash val="sysDot"/>
              <a:round/>
            </a:ln>
            <a:effectLst/>
          </c:spPr>
          <c:marker>
            <c:symbol val="none"/>
          </c:marker>
          <c:cat>
            <c:numRef>
              <c:f>StrateB!$A$417:$A$436</c:f>
              <c:numCache>
                <c:formatCode>General</c:formatCode>
                <c:ptCount val="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numCache>
            </c:numRef>
          </c:cat>
          <c:val>
            <c:numRef>
              <c:f>StrateB!$B$417:$B$436</c:f>
              <c:numCache>
                <c:formatCode>#,##0</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c:ext xmlns:c16="http://schemas.microsoft.com/office/drawing/2014/chart" uri="{C3380CC4-5D6E-409C-BE32-E72D297353CC}">
              <c16:uniqueId val="{00000002-7053-5E45-97E3-279A0FE64E7D}"/>
            </c:ext>
          </c:extLst>
        </c:ser>
        <c:ser>
          <c:idx val="3"/>
          <c:order val="3"/>
          <c:tx>
            <c:strRef>
              <c:f>StrateB!$C$393</c:f>
              <c:strCache>
                <c:ptCount val="1"/>
                <c:pt idx="0">
                  <c:v>Vol_non prélevable</c:v>
                </c:pt>
              </c:strCache>
            </c:strRef>
          </c:tx>
          <c:spPr>
            <a:ln w="28575" cap="rnd">
              <a:solidFill>
                <a:schemeClr val="accent4"/>
              </a:solidFill>
              <a:prstDash val="sysDot"/>
              <a:round/>
            </a:ln>
            <a:effectLst/>
          </c:spPr>
          <c:marker>
            <c:symbol val="none"/>
          </c:marker>
          <c:cat>
            <c:numRef>
              <c:f>StrateB!$A$417:$A$436</c:f>
              <c:numCache>
                <c:formatCode>General</c:formatCode>
                <c:ptCount val="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numCache>
            </c:numRef>
          </c:cat>
          <c:val>
            <c:numRef>
              <c:f>StrateB!$C$417:$C$436</c:f>
              <c:numCache>
                <c:formatCode>#,##0</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c:ext xmlns:c16="http://schemas.microsoft.com/office/drawing/2014/chart" uri="{C3380CC4-5D6E-409C-BE32-E72D297353CC}">
              <c16:uniqueId val="{00000003-7053-5E45-97E3-279A0FE64E7D}"/>
            </c:ext>
          </c:extLst>
        </c:ser>
        <c:dLbls>
          <c:showLegendKey val="0"/>
          <c:showVal val="0"/>
          <c:showCatName val="0"/>
          <c:showSerName val="0"/>
          <c:showPercent val="0"/>
          <c:showBubbleSize val="0"/>
        </c:dLbls>
        <c:smooth val="0"/>
        <c:axId val="1289389792"/>
        <c:axId val="1574646720"/>
      </c:lineChart>
      <c:catAx>
        <c:axId val="12893897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574646720"/>
        <c:crosses val="autoZero"/>
        <c:auto val="1"/>
        <c:lblAlgn val="ctr"/>
        <c:lblOffset val="100"/>
        <c:noMultiLvlLbl val="0"/>
      </c:catAx>
      <c:valAx>
        <c:axId val="157464672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2893897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Stockage Produits</a:t>
            </a:r>
            <a:r>
              <a:rPr lang="fr-FR" baseline="0"/>
              <a:t> bois</a:t>
            </a:r>
            <a:endParaRPr lang="fr-F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lineChart>
        <c:grouping val="standard"/>
        <c:varyColors val="0"/>
        <c:ser>
          <c:idx val="0"/>
          <c:order val="0"/>
          <c:tx>
            <c:strRef>
              <c:f>StrateC!$E$284</c:f>
              <c:strCache>
                <c:ptCount val="1"/>
                <c:pt idx="0">
                  <c:v>ST_REF_CO2e</c:v>
                </c:pt>
              </c:strCache>
            </c:strRef>
          </c:tx>
          <c:spPr>
            <a:ln w="28575" cap="rnd">
              <a:solidFill>
                <a:srgbClr val="5A5C5E"/>
              </a:solidFill>
              <a:round/>
            </a:ln>
            <a:effectLst/>
          </c:spPr>
          <c:marker>
            <c:symbol val="none"/>
          </c:marker>
          <c:val>
            <c:numRef>
              <c:f>StrateC!$E$285:$E$304</c:f>
              <c:numCache>
                <c:formatCode>0</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c:ext xmlns:c16="http://schemas.microsoft.com/office/drawing/2014/chart" uri="{C3380CC4-5D6E-409C-BE32-E72D297353CC}">
              <c16:uniqueId val="{00000000-329C-9647-8CEC-724A4A0677AD}"/>
            </c:ext>
          </c:extLst>
        </c:ser>
        <c:ser>
          <c:idx val="1"/>
          <c:order val="1"/>
          <c:tx>
            <c:strRef>
              <c:f>StrateC!$H$284</c:f>
              <c:strCache>
                <c:ptCount val="1"/>
                <c:pt idx="0">
                  <c:v>ST_PRJ_CO2e</c:v>
                </c:pt>
              </c:strCache>
            </c:strRef>
          </c:tx>
          <c:spPr>
            <a:ln w="28575" cap="rnd">
              <a:solidFill>
                <a:srgbClr val="00A81F"/>
              </a:solidFill>
              <a:round/>
            </a:ln>
            <a:effectLst/>
          </c:spPr>
          <c:marker>
            <c:symbol val="none"/>
          </c:marker>
          <c:val>
            <c:numRef>
              <c:f>StrateC!$H$285:$H$304</c:f>
              <c:numCache>
                <c:formatCode>0</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c:ext xmlns:c16="http://schemas.microsoft.com/office/drawing/2014/chart" uri="{C3380CC4-5D6E-409C-BE32-E72D297353CC}">
              <c16:uniqueId val="{00000001-329C-9647-8CEC-724A4A0677AD}"/>
            </c:ext>
          </c:extLst>
        </c:ser>
        <c:dLbls>
          <c:showLegendKey val="0"/>
          <c:showVal val="0"/>
          <c:showCatName val="0"/>
          <c:showSerName val="0"/>
          <c:showPercent val="0"/>
          <c:showBubbleSize val="0"/>
        </c:dLbls>
        <c:smooth val="0"/>
        <c:axId val="2012705504"/>
        <c:axId val="2012710400"/>
      </c:lineChart>
      <c:catAx>
        <c:axId val="20127055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2012710400"/>
        <c:crosses val="autoZero"/>
        <c:auto val="1"/>
        <c:lblAlgn val="ctr"/>
        <c:lblOffset val="100"/>
        <c:noMultiLvlLbl val="0"/>
      </c:catAx>
      <c:valAx>
        <c:axId val="201271040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20127055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Séquestration Peuplements matures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lineChart>
        <c:grouping val="standard"/>
        <c:varyColors val="0"/>
        <c:ser>
          <c:idx val="0"/>
          <c:order val="0"/>
          <c:tx>
            <c:strRef>
              <c:f>StrateC!$C$284</c:f>
              <c:strCache>
                <c:ptCount val="1"/>
                <c:pt idx="0">
                  <c:v>SQ_REF_CO2e</c:v>
                </c:pt>
              </c:strCache>
            </c:strRef>
          </c:tx>
          <c:spPr>
            <a:ln w="28575" cap="rnd">
              <a:solidFill>
                <a:srgbClr val="5A5C5E"/>
              </a:solidFill>
              <a:round/>
            </a:ln>
            <a:effectLst/>
          </c:spPr>
          <c:marker>
            <c:symbol val="none"/>
          </c:marker>
          <c:val>
            <c:numRef>
              <c:f>StrateC!$C$285:$C$304</c:f>
              <c:numCache>
                <c:formatCode>0</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c:ext xmlns:c16="http://schemas.microsoft.com/office/drawing/2014/chart" uri="{C3380CC4-5D6E-409C-BE32-E72D297353CC}">
              <c16:uniqueId val="{00000000-9135-DF45-B2BE-3C16D6A7EADC}"/>
            </c:ext>
          </c:extLst>
        </c:ser>
        <c:ser>
          <c:idx val="1"/>
          <c:order val="1"/>
          <c:tx>
            <c:strRef>
              <c:f>StrateC!$F$284</c:f>
              <c:strCache>
                <c:ptCount val="1"/>
                <c:pt idx="0">
                  <c:v>SQ_PRJ_CO2e</c:v>
                </c:pt>
              </c:strCache>
            </c:strRef>
          </c:tx>
          <c:spPr>
            <a:ln w="28575" cap="rnd">
              <a:solidFill>
                <a:srgbClr val="00A81F"/>
              </a:solidFill>
              <a:round/>
            </a:ln>
            <a:effectLst/>
          </c:spPr>
          <c:marker>
            <c:symbol val="none"/>
          </c:marker>
          <c:val>
            <c:numRef>
              <c:f>StrateC!$F$285:$F$304</c:f>
              <c:numCache>
                <c:formatCode>0</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c:ext xmlns:c16="http://schemas.microsoft.com/office/drawing/2014/chart" uri="{C3380CC4-5D6E-409C-BE32-E72D297353CC}">
              <c16:uniqueId val="{00000001-9135-DF45-B2BE-3C16D6A7EADC}"/>
            </c:ext>
          </c:extLst>
        </c:ser>
        <c:dLbls>
          <c:showLegendKey val="0"/>
          <c:showVal val="0"/>
          <c:showCatName val="0"/>
          <c:showSerName val="0"/>
          <c:showPercent val="0"/>
          <c:showBubbleSize val="0"/>
        </c:dLbls>
        <c:smooth val="0"/>
        <c:axId val="2012712032"/>
        <c:axId val="1852773392"/>
      </c:lineChart>
      <c:catAx>
        <c:axId val="20127120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852773392"/>
        <c:crosses val="autoZero"/>
        <c:auto val="1"/>
        <c:lblAlgn val="ctr"/>
        <c:lblOffset val="100"/>
        <c:noMultiLvlLbl val="0"/>
      </c:catAx>
      <c:valAx>
        <c:axId val="18527733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201271203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spPr>
            <a:ln w="28575" cap="rnd">
              <a:solidFill>
                <a:schemeClr val="accent1"/>
              </a:solidFill>
              <a:round/>
            </a:ln>
            <a:effectLst/>
          </c:spPr>
          <c:marker>
            <c:symbol val="none"/>
          </c:marker>
          <c:val>
            <c:numRef>
              <c:f>StrateC!$Z$92:$Z$111</c:f>
              <c:numCache>
                <c:formatCode>0</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c:ext xmlns:c16="http://schemas.microsoft.com/office/drawing/2014/chart" uri="{C3380CC4-5D6E-409C-BE32-E72D297353CC}">
              <c16:uniqueId val="{00000000-596F-214E-9AB2-F573EDECF1EB}"/>
            </c:ext>
          </c:extLst>
        </c:ser>
        <c:dLbls>
          <c:showLegendKey val="0"/>
          <c:showVal val="0"/>
          <c:showCatName val="0"/>
          <c:showSerName val="0"/>
          <c:showPercent val="0"/>
          <c:showBubbleSize val="0"/>
        </c:dLbls>
        <c:smooth val="0"/>
        <c:axId val="1852329952"/>
        <c:axId val="2076501744"/>
      </c:lineChart>
      <c:catAx>
        <c:axId val="18523299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2076501744"/>
        <c:crosses val="autoZero"/>
        <c:auto val="1"/>
        <c:lblAlgn val="ctr"/>
        <c:lblOffset val="100"/>
        <c:noMultiLvlLbl val="0"/>
      </c:catAx>
      <c:valAx>
        <c:axId val="207650174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85232995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spPr>
            <a:ln w="28575" cap="rnd">
              <a:solidFill>
                <a:schemeClr val="accent1"/>
              </a:solidFill>
              <a:round/>
            </a:ln>
            <a:effectLst/>
          </c:spPr>
          <c:marker>
            <c:symbol val="none"/>
          </c:marker>
          <c:val>
            <c:numRef>
              <c:f>StrateA!$Z$92:$Z$111</c:f>
              <c:numCache>
                <c:formatCode>0</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c:ext xmlns:c16="http://schemas.microsoft.com/office/drawing/2014/chart" uri="{C3380CC4-5D6E-409C-BE32-E72D297353CC}">
              <c16:uniqueId val="{00000000-F6A6-874B-92C6-4F5E23C94767}"/>
            </c:ext>
          </c:extLst>
        </c:ser>
        <c:dLbls>
          <c:showLegendKey val="0"/>
          <c:showVal val="0"/>
          <c:showCatName val="0"/>
          <c:showSerName val="0"/>
          <c:showPercent val="0"/>
          <c:showBubbleSize val="0"/>
        </c:dLbls>
        <c:smooth val="0"/>
        <c:axId val="1852329952"/>
        <c:axId val="2076501744"/>
      </c:lineChart>
      <c:catAx>
        <c:axId val="18523299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2076501744"/>
        <c:crosses val="autoZero"/>
        <c:auto val="1"/>
        <c:lblAlgn val="ctr"/>
        <c:lblOffset val="100"/>
        <c:noMultiLvlLbl val="0"/>
      </c:catAx>
      <c:valAx>
        <c:axId val="207650174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85232995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spPr>
            <a:ln w="28575" cap="rnd">
              <a:solidFill>
                <a:schemeClr val="accent1"/>
              </a:solidFill>
              <a:round/>
            </a:ln>
            <a:effectLst/>
          </c:spPr>
          <c:marker>
            <c:symbol val="none"/>
          </c:marker>
          <c:val>
            <c:numRef>
              <c:f>StrateC!$Z$208:$Z$227</c:f>
              <c:numCache>
                <c:formatCode>0</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c:ext xmlns:c16="http://schemas.microsoft.com/office/drawing/2014/chart" uri="{C3380CC4-5D6E-409C-BE32-E72D297353CC}">
              <c16:uniqueId val="{00000000-DBB8-E147-976F-7EA95298EDC2}"/>
            </c:ext>
          </c:extLst>
        </c:ser>
        <c:dLbls>
          <c:showLegendKey val="0"/>
          <c:showVal val="0"/>
          <c:showCatName val="0"/>
          <c:showSerName val="0"/>
          <c:showPercent val="0"/>
          <c:showBubbleSize val="0"/>
        </c:dLbls>
        <c:smooth val="0"/>
        <c:axId val="2076493584"/>
        <c:axId val="2076503920"/>
      </c:lineChart>
      <c:catAx>
        <c:axId val="20764935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2076503920"/>
        <c:crosses val="autoZero"/>
        <c:auto val="1"/>
        <c:lblAlgn val="ctr"/>
        <c:lblOffset val="100"/>
        <c:noMultiLvlLbl val="0"/>
      </c:catAx>
      <c:valAx>
        <c:axId val="207650392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207649358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Delta CO2</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barChart>
        <c:barDir val="col"/>
        <c:grouping val="clustered"/>
        <c:varyColors val="0"/>
        <c:ser>
          <c:idx val="1"/>
          <c:order val="0"/>
          <c:tx>
            <c:strRef>
              <c:f>StrateC!$I$284</c:f>
              <c:strCache>
                <c:ptCount val="1"/>
                <c:pt idx="0">
                  <c:v>Delta_CO2e</c:v>
                </c:pt>
              </c:strCache>
            </c:strRef>
          </c:tx>
          <c:spPr>
            <a:solidFill>
              <a:srgbClr val="006C4D"/>
            </a:solidFill>
            <a:ln>
              <a:noFill/>
            </a:ln>
            <a:effectLst/>
          </c:spPr>
          <c:invertIfNegative val="0"/>
          <c:val>
            <c:numRef>
              <c:f>StrateC!$I$285:$I$304</c:f>
              <c:numCache>
                <c:formatCode>0</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extLst>
            <c:ext xmlns:c16="http://schemas.microsoft.com/office/drawing/2014/chart" uri="{C3380CC4-5D6E-409C-BE32-E72D297353CC}">
              <c16:uniqueId val="{00000000-EEE4-A449-B981-DB21D4CB53FC}"/>
            </c:ext>
          </c:extLst>
        </c:ser>
        <c:dLbls>
          <c:showLegendKey val="0"/>
          <c:showVal val="0"/>
          <c:showCatName val="0"/>
          <c:showSerName val="0"/>
          <c:showPercent val="0"/>
          <c:showBubbleSize val="0"/>
        </c:dLbls>
        <c:gapWidth val="219"/>
        <c:overlap val="-27"/>
        <c:axId val="2076497392"/>
        <c:axId val="2076493040"/>
      </c:barChart>
      <c:catAx>
        <c:axId val="20764973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2076493040"/>
        <c:crosses val="autoZero"/>
        <c:auto val="1"/>
        <c:lblAlgn val="ctr"/>
        <c:lblOffset val="100"/>
        <c:noMultiLvlLbl val="0"/>
      </c:catAx>
      <c:valAx>
        <c:axId val="2076493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20764973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Quantité nette de CO2eq</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barChart>
        <c:barDir val="col"/>
        <c:grouping val="clustered"/>
        <c:varyColors val="0"/>
        <c:ser>
          <c:idx val="0"/>
          <c:order val="0"/>
          <c:tx>
            <c:strRef>
              <c:f>StrateC!$J$310</c:f>
              <c:strCache>
                <c:ptCount val="1"/>
                <c:pt idx="0">
                  <c:v>tCO2e_net_an</c:v>
                </c:pt>
              </c:strCache>
            </c:strRef>
          </c:tx>
          <c:spPr>
            <a:solidFill>
              <a:srgbClr val="006C4D"/>
            </a:solidFill>
            <a:ln>
              <a:noFill/>
            </a:ln>
            <a:effectLst/>
          </c:spPr>
          <c:invertIfNegative val="0"/>
          <c:val>
            <c:numRef>
              <c:f>StrateC!$J$311:$J$330</c:f>
              <c:numCache>
                <c:formatCode>0</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extLst>
            <c:ext xmlns:c16="http://schemas.microsoft.com/office/drawing/2014/chart" uri="{C3380CC4-5D6E-409C-BE32-E72D297353CC}">
              <c16:uniqueId val="{00000000-0896-244E-8A23-B7B41177E439}"/>
            </c:ext>
          </c:extLst>
        </c:ser>
        <c:dLbls>
          <c:showLegendKey val="0"/>
          <c:showVal val="0"/>
          <c:showCatName val="0"/>
          <c:showSerName val="0"/>
          <c:showPercent val="0"/>
          <c:showBubbleSize val="0"/>
        </c:dLbls>
        <c:gapWidth val="150"/>
        <c:axId val="2076504464"/>
        <c:axId val="2076499024"/>
      </c:barChart>
      <c:lineChart>
        <c:grouping val="standard"/>
        <c:varyColors val="0"/>
        <c:ser>
          <c:idx val="1"/>
          <c:order val="1"/>
          <c:tx>
            <c:strRef>
              <c:f>StrateC!$K$310</c:f>
              <c:strCache>
                <c:ptCount val="1"/>
                <c:pt idx="0">
                  <c:v>tCO2e_net_vente</c:v>
                </c:pt>
              </c:strCache>
            </c:strRef>
          </c:tx>
          <c:spPr>
            <a:ln w="28575" cap="rnd">
              <a:solidFill>
                <a:srgbClr val="00A81F"/>
              </a:solidFill>
              <a:round/>
            </a:ln>
            <a:effectLst/>
          </c:spPr>
          <c:marker>
            <c:symbol val="none"/>
          </c:marker>
          <c:val>
            <c:numRef>
              <c:f>StrateC!$K$311:$K$330</c:f>
              <c:numCache>
                <c:formatCode>0</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c:ext xmlns:c16="http://schemas.microsoft.com/office/drawing/2014/chart" uri="{C3380CC4-5D6E-409C-BE32-E72D297353CC}">
              <c16:uniqueId val="{00000001-0896-244E-8A23-B7B41177E439}"/>
            </c:ext>
          </c:extLst>
        </c:ser>
        <c:dLbls>
          <c:showLegendKey val="0"/>
          <c:showVal val="0"/>
          <c:showCatName val="0"/>
          <c:showSerName val="0"/>
          <c:showPercent val="0"/>
          <c:showBubbleSize val="0"/>
        </c:dLbls>
        <c:marker val="1"/>
        <c:smooth val="0"/>
        <c:axId val="2076504464"/>
        <c:axId val="2076499024"/>
      </c:lineChart>
      <c:catAx>
        <c:axId val="20765044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2076499024"/>
        <c:crosses val="autoZero"/>
        <c:auto val="1"/>
        <c:lblAlgn val="ctr"/>
        <c:lblOffset val="100"/>
        <c:noMultiLvlLbl val="0"/>
      </c:catAx>
      <c:valAx>
        <c:axId val="207649902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207650446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StrateC!$X$144</c:f>
              <c:strCache>
                <c:ptCount val="1"/>
                <c:pt idx="0">
                  <c:v>CO2e_ST_tot</c:v>
                </c:pt>
              </c:strCache>
            </c:strRef>
          </c:tx>
          <c:spPr>
            <a:ln w="28575" cap="rnd">
              <a:solidFill>
                <a:srgbClr val="00B050"/>
              </a:solidFill>
              <a:round/>
            </a:ln>
            <a:effectLst/>
          </c:spPr>
          <c:marker>
            <c:symbol val="none"/>
          </c:marker>
          <c:val>
            <c:numRef>
              <c:f>StrateC!$X$145:$X$164</c:f>
              <c:numCache>
                <c:formatCode>0</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c:ext xmlns:c16="http://schemas.microsoft.com/office/drawing/2014/chart" uri="{C3380CC4-5D6E-409C-BE32-E72D297353CC}">
              <c16:uniqueId val="{00000000-9810-1140-8BA4-3EBF7FF18A6B}"/>
            </c:ext>
          </c:extLst>
        </c:ser>
        <c:dLbls>
          <c:showLegendKey val="0"/>
          <c:showVal val="0"/>
          <c:showCatName val="0"/>
          <c:showSerName val="0"/>
          <c:showPercent val="0"/>
          <c:showBubbleSize val="0"/>
        </c:dLbls>
        <c:smooth val="0"/>
        <c:axId val="765502480"/>
        <c:axId val="765504160"/>
      </c:lineChart>
      <c:catAx>
        <c:axId val="7655024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Geomanist Regular" panose="02000503000000020004" pitchFamily="2" charset="77"/>
                <a:ea typeface="+mn-ea"/>
                <a:cs typeface="+mn-cs"/>
              </a:defRPr>
            </a:pPr>
            <a:endParaRPr lang="fr-FR"/>
          </a:p>
        </c:txPr>
        <c:crossAx val="765504160"/>
        <c:crosses val="autoZero"/>
        <c:auto val="1"/>
        <c:lblAlgn val="ctr"/>
        <c:lblOffset val="100"/>
        <c:noMultiLvlLbl val="0"/>
      </c:catAx>
      <c:valAx>
        <c:axId val="76550416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Geomanist Regular" panose="02000503000000020004" pitchFamily="2" charset="77"/>
                <a:ea typeface="+mn-ea"/>
                <a:cs typeface="+mn-cs"/>
              </a:defRPr>
            </a:pPr>
            <a:endParaRPr lang="fr-FR"/>
          </a:p>
        </c:txPr>
        <c:crossAx val="76550248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b="0" i="0">
          <a:latin typeface="Geomanist Regular" panose="02000503000000020004" pitchFamily="2" charset="77"/>
        </a:defRPr>
      </a:pPr>
      <a:endParaRPr lang="fr-FR"/>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Séquestration Jeunes peuplements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lineChart>
        <c:grouping val="standard"/>
        <c:varyColors val="0"/>
        <c:ser>
          <c:idx val="0"/>
          <c:order val="0"/>
          <c:tx>
            <c:strRef>
              <c:f>StrateC!$D$284</c:f>
              <c:strCache>
                <c:ptCount val="1"/>
                <c:pt idx="0">
                  <c:v>JP_REF_CO2e</c:v>
                </c:pt>
              </c:strCache>
            </c:strRef>
          </c:tx>
          <c:spPr>
            <a:ln w="28575" cap="rnd">
              <a:solidFill>
                <a:srgbClr val="5A5C5E"/>
              </a:solidFill>
              <a:round/>
            </a:ln>
            <a:effectLst/>
          </c:spPr>
          <c:marker>
            <c:symbol val="none"/>
          </c:marker>
          <c:val>
            <c:numRef>
              <c:f>StrateC!$D$285:$D$304</c:f>
              <c:numCache>
                <c:formatCode>0</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c:ext xmlns:c16="http://schemas.microsoft.com/office/drawing/2014/chart" uri="{C3380CC4-5D6E-409C-BE32-E72D297353CC}">
              <c16:uniqueId val="{00000000-0333-5848-A569-0127D83C55B7}"/>
            </c:ext>
          </c:extLst>
        </c:ser>
        <c:ser>
          <c:idx val="1"/>
          <c:order val="1"/>
          <c:tx>
            <c:strRef>
              <c:f>StrateC!$G$284</c:f>
              <c:strCache>
                <c:ptCount val="1"/>
                <c:pt idx="0">
                  <c:v>JP_PRJ_CO2e</c:v>
                </c:pt>
              </c:strCache>
            </c:strRef>
          </c:tx>
          <c:spPr>
            <a:ln w="28575" cap="rnd">
              <a:solidFill>
                <a:srgbClr val="00A81F"/>
              </a:solidFill>
              <a:round/>
            </a:ln>
            <a:effectLst/>
          </c:spPr>
          <c:marker>
            <c:symbol val="none"/>
          </c:marker>
          <c:val>
            <c:numRef>
              <c:f>StrateC!$G$285:$G$304</c:f>
              <c:numCache>
                <c:formatCode>0</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c:ext xmlns:c16="http://schemas.microsoft.com/office/drawing/2014/chart" uri="{C3380CC4-5D6E-409C-BE32-E72D297353CC}">
              <c16:uniqueId val="{00000001-0333-5848-A569-0127D83C55B7}"/>
            </c:ext>
          </c:extLst>
        </c:ser>
        <c:dLbls>
          <c:showLegendKey val="0"/>
          <c:showVal val="0"/>
          <c:showCatName val="0"/>
          <c:showSerName val="0"/>
          <c:showPercent val="0"/>
          <c:showBubbleSize val="0"/>
        </c:dLbls>
        <c:smooth val="0"/>
        <c:axId val="2012712032"/>
        <c:axId val="1852773392"/>
      </c:lineChart>
      <c:catAx>
        <c:axId val="20127120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852773392"/>
        <c:crosses val="autoZero"/>
        <c:auto val="1"/>
        <c:lblAlgn val="ctr"/>
        <c:lblOffset val="100"/>
        <c:noMultiLvlLbl val="0"/>
      </c:catAx>
      <c:valAx>
        <c:axId val="18527733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201271203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Evolution de la quantité de bois (m3) dans le</a:t>
            </a:r>
            <a:r>
              <a:rPr lang="fr-FR" baseline="0"/>
              <a:t> ppt adulte</a:t>
            </a:r>
            <a:endParaRPr lang="fr-F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lineChart>
        <c:grouping val="standard"/>
        <c:varyColors val="0"/>
        <c:ser>
          <c:idx val="0"/>
          <c:order val="0"/>
          <c:tx>
            <c:strRef>
              <c:f>StrateC!$F$393</c:f>
              <c:strCache>
                <c:ptCount val="1"/>
                <c:pt idx="0">
                  <c:v>Vol_tot_Référence</c:v>
                </c:pt>
              </c:strCache>
            </c:strRef>
          </c:tx>
          <c:spPr>
            <a:ln w="28575" cap="rnd">
              <a:solidFill>
                <a:srgbClr val="5A5C5E"/>
              </a:solidFill>
              <a:round/>
            </a:ln>
            <a:effectLst/>
          </c:spPr>
          <c:marker>
            <c:symbol val="none"/>
          </c:marker>
          <c:cat>
            <c:numRef>
              <c:f>StrateC!$A$394:$A$413</c:f>
              <c:numCache>
                <c:formatCode>General</c:formatCode>
                <c:ptCount val="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numCache>
            </c:numRef>
          </c:cat>
          <c:val>
            <c:numRef>
              <c:f>StrateC!$F$394:$F$413</c:f>
              <c:numCache>
                <c:formatCode>#,##0</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c:ext xmlns:c16="http://schemas.microsoft.com/office/drawing/2014/chart" uri="{C3380CC4-5D6E-409C-BE32-E72D297353CC}">
              <c16:uniqueId val="{00000001-47C1-0D46-9FF9-B2B9906A3AF2}"/>
            </c:ext>
          </c:extLst>
        </c:ser>
        <c:ser>
          <c:idx val="1"/>
          <c:order val="1"/>
          <c:tx>
            <c:strRef>
              <c:f>StrateC!$G$393</c:f>
              <c:strCache>
                <c:ptCount val="1"/>
                <c:pt idx="0">
                  <c:v>Vol_tot_Projet</c:v>
                </c:pt>
              </c:strCache>
            </c:strRef>
          </c:tx>
          <c:spPr>
            <a:ln w="28575" cap="rnd">
              <a:solidFill>
                <a:srgbClr val="00A81F"/>
              </a:solidFill>
              <a:round/>
            </a:ln>
            <a:effectLst/>
          </c:spPr>
          <c:marker>
            <c:symbol val="none"/>
          </c:marker>
          <c:cat>
            <c:numRef>
              <c:f>StrateC!$A$394:$A$413</c:f>
              <c:numCache>
                <c:formatCode>General</c:formatCode>
                <c:ptCount val="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numCache>
            </c:numRef>
          </c:cat>
          <c:val>
            <c:numRef>
              <c:f>StrateC!$G$394:$G$413</c:f>
              <c:numCache>
                <c:formatCode>#,##0</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c:ext xmlns:c16="http://schemas.microsoft.com/office/drawing/2014/chart" uri="{C3380CC4-5D6E-409C-BE32-E72D297353CC}">
              <c16:uniqueId val="{00000002-47C1-0D46-9FF9-B2B9906A3AF2}"/>
            </c:ext>
          </c:extLst>
        </c:ser>
        <c:ser>
          <c:idx val="2"/>
          <c:order val="2"/>
          <c:tx>
            <c:strRef>
              <c:f>StrateC!$B$393</c:f>
              <c:strCache>
                <c:ptCount val="1"/>
                <c:pt idx="0">
                  <c:v>Vol_non récoltable</c:v>
                </c:pt>
              </c:strCache>
            </c:strRef>
          </c:tx>
          <c:spPr>
            <a:ln w="28575" cap="rnd">
              <a:solidFill>
                <a:schemeClr val="accent3"/>
              </a:solidFill>
              <a:prstDash val="sysDot"/>
              <a:round/>
            </a:ln>
            <a:effectLst/>
          </c:spPr>
          <c:marker>
            <c:symbol val="none"/>
          </c:marker>
          <c:cat>
            <c:numRef>
              <c:f>StrateC!$A$394:$A$413</c:f>
              <c:numCache>
                <c:formatCode>General</c:formatCode>
                <c:ptCount val="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numCache>
            </c:numRef>
          </c:cat>
          <c:val>
            <c:numRef>
              <c:f>StrateC!$B$394:$B$413</c:f>
              <c:numCache>
                <c:formatCode>#,##0</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c:ext xmlns:c16="http://schemas.microsoft.com/office/drawing/2014/chart" uri="{C3380CC4-5D6E-409C-BE32-E72D297353CC}">
              <c16:uniqueId val="{00000000-47C1-0D46-9FF9-B2B9906A3AF2}"/>
            </c:ext>
          </c:extLst>
        </c:ser>
        <c:ser>
          <c:idx val="3"/>
          <c:order val="3"/>
          <c:tx>
            <c:strRef>
              <c:f>StrateC!$C$393</c:f>
              <c:strCache>
                <c:ptCount val="1"/>
                <c:pt idx="0">
                  <c:v>Vol_non prélevable</c:v>
                </c:pt>
              </c:strCache>
            </c:strRef>
          </c:tx>
          <c:spPr>
            <a:ln w="28575" cap="rnd">
              <a:solidFill>
                <a:schemeClr val="accent4"/>
              </a:solidFill>
              <a:prstDash val="sysDot"/>
              <a:round/>
            </a:ln>
            <a:effectLst/>
          </c:spPr>
          <c:marker>
            <c:symbol val="none"/>
          </c:marker>
          <c:val>
            <c:numRef>
              <c:f>StrateC!$C$394:$C$413</c:f>
              <c:numCache>
                <c:formatCode>#,##0</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c:ext xmlns:c16="http://schemas.microsoft.com/office/drawing/2014/chart" uri="{C3380CC4-5D6E-409C-BE32-E72D297353CC}">
              <c16:uniqueId val="{00000000-7CC1-D146-AA32-9C891DE43916}"/>
            </c:ext>
          </c:extLst>
        </c:ser>
        <c:dLbls>
          <c:showLegendKey val="0"/>
          <c:showVal val="0"/>
          <c:showCatName val="0"/>
          <c:showSerName val="0"/>
          <c:showPercent val="0"/>
          <c:showBubbleSize val="0"/>
        </c:dLbls>
        <c:smooth val="0"/>
        <c:axId val="1289389792"/>
        <c:axId val="1574646720"/>
      </c:lineChart>
      <c:catAx>
        <c:axId val="12893897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574646720"/>
        <c:crosses val="autoZero"/>
        <c:auto val="1"/>
        <c:lblAlgn val="ctr"/>
        <c:lblOffset val="100"/>
        <c:noMultiLvlLbl val="0"/>
      </c:catAx>
      <c:valAx>
        <c:axId val="157464672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2893897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spPr>
            <a:ln w="28575" cap="rnd">
              <a:solidFill>
                <a:schemeClr val="accent1"/>
              </a:solidFill>
              <a:round/>
            </a:ln>
            <a:effectLst/>
          </c:spPr>
          <c:marker>
            <c:symbol val="none"/>
          </c:marker>
          <c:val>
            <c:numRef>
              <c:f>StrateC!$AS$61:$AS$80</c:f>
              <c:numCache>
                <c:formatCode>#,##0</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c:ext xmlns:c16="http://schemas.microsoft.com/office/drawing/2014/chart" uri="{C3380CC4-5D6E-409C-BE32-E72D297353CC}">
              <c16:uniqueId val="{00000000-67C5-A943-B966-0BA5C3F7620A}"/>
            </c:ext>
          </c:extLst>
        </c:ser>
        <c:dLbls>
          <c:showLegendKey val="0"/>
          <c:showVal val="0"/>
          <c:showCatName val="0"/>
          <c:showSerName val="0"/>
          <c:showPercent val="0"/>
          <c:showBubbleSize val="0"/>
        </c:dLbls>
        <c:smooth val="0"/>
        <c:axId val="1670208960"/>
        <c:axId val="1670210688"/>
      </c:lineChart>
      <c:catAx>
        <c:axId val="16702089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670210688"/>
        <c:crosses val="autoZero"/>
        <c:auto val="1"/>
        <c:lblAlgn val="ctr"/>
        <c:lblOffset val="100"/>
        <c:noMultiLvlLbl val="0"/>
      </c:catAx>
      <c:valAx>
        <c:axId val="167021068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67020896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spPr>
            <a:ln w="28575" cap="rnd">
              <a:solidFill>
                <a:schemeClr val="accent1"/>
              </a:solidFill>
              <a:round/>
            </a:ln>
            <a:effectLst/>
          </c:spPr>
          <c:marker>
            <c:symbol val="none"/>
          </c:marker>
          <c:val>
            <c:numRef>
              <c:f>StrateC!$AS$177:$AS$196</c:f>
              <c:numCache>
                <c:formatCode>#,##0</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c:ext xmlns:c16="http://schemas.microsoft.com/office/drawing/2014/chart" uri="{C3380CC4-5D6E-409C-BE32-E72D297353CC}">
              <c16:uniqueId val="{00000000-4BAC-B441-B00F-4FF3A47B987D}"/>
            </c:ext>
          </c:extLst>
        </c:ser>
        <c:dLbls>
          <c:showLegendKey val="0"/>
          <c:showVal val="0"/>
          <c:showCatName val="0"/>
          <c:showSerName val="0"/>
          <c:showPercent val="0"/>
          <c:showBubbleSize val="0"/>
        </c:dLbls>
        <c:smooth val="0"/>
        <c:axId val="1200068848"/>
        <c:axId val="1200079408"/>
      </c:lineChart>
      <c:catAx>
        <c:axId val="12000688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200079408"/>
        <c:crosses val="autoZero"/>
        <c:auto val="1"/>
        <c:lblAlgn val="ctr"/>
        <c:lblOffset val="100"/>
        <c:noMultiLvlLbl val="0"/>
      </c:catAx>
      <c:valAx>
        <c:axId val="12000794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20006884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lineChart>
        <c:grouping val="standard"/>
        <c:varyColors val="0"/>
        <c:ser>
          <c:idx val="0"/>
          <c:order val="0"/>
          <c:tx>
            <c:strRef>
              <c:f>StrateC!$B$345</c:f>
              <c:strCache>
                <c:ptCount val="1"/>
                <c:pt idx="0">
                  <c:v>C02e_REF</c:v>
                </c:pt>
              </c:strCache>
            </c:strRef>
          </c:tx>
          <c:spPr>
            <a:ln w="28575" cap="rnd">
              <a:solidFill>
                <a:srgbClr val="5A5C5E"/>
              </a:solidFill>
              <a:round/>
            </a:ln>
            <a:effectLst/>
          </c:spPr>
          <c:marker>
            <c:symbol val="none"/>
          </c:marker>
          <c:cat>
            <c:numRef>
              <c:f>StrateC!$A$346:$A$366</c:f>
              <c:numCache>
                <c:formatCode>General</c:formatCode>
                <c:ptCount val="2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numCache>
            </c:numRef>
          </c:cat>
          <c:val>
            <c:numRef>
              <c:f>StrateC!$B$346:$B$366</c:f>
              <c:numCache>
                <c:formatCode>#,##0</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smooth val="0"/>
          <c:extLst>
            <c:ext xmlns:c16="http://schemas.microsoft.com/office/drawing/2014/chart" uri="{C3380CC4-5D6E-409C-BE32-E72D297353CC}">
              <c16:uniqueId val="{00000000-136A-D34D-95AC-5476FFEF2476}"/>
            </c:ext>
          </c:extLst>
        </c:ser>
        <c:ser>
          <c:idx val="1"/>
          <c:order val="1"/>
          <c:tx>
            <c:strRef>
              <c:f>StrateC!$C$345</c:f>
              <c:strCache>
                <c:ptCount val="1"/>
                <c:pt idx="0">
                  <c:v>CO2e_PRJ</c:v>
                </c:pt>
              </c:strCache>
            </c:strRef>
          </c:tx>
          <c:spPr>
            <a:ln w="28575" cap="rnd">
              <a:solidFill>
                <a:srgbClr val="00A81F"/>
              </a:solidFill>
              <a:round/>
            </a:ln>
            <a:effectLst/>
          </c:spPr>
          <c:marker>
            <c:symbol val="none"/>
          </c:marker>
          <c:cat>
            <c:numRef>
              <c:f>StrateC!$A$346:$A$366</c:f>
              <c:numCache>
                <c:formatCode>General</c:formatCode>
                <c:ptCount val="2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numCache>
            </c:numRef>
          </c:cat>
          <c:val>
            <c:numRef>
              <c:f>StrateC!$C$346:$C$366</c:f>
              <c:numCache>
                <c:formatCode>#,##0</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smooth val="0"/>
          <c:extLst>
            <c:ext xmlns:c16="http://schemas.microsoft.com/office/drawing/2014/chart" uri="{C3380CC4-5D6E-409C-BE32-E72D297353CC}">
              <c16:uniqueId val="{00000001-136A-D34D-95AC-5476FFEF2476}"/>
            </c:ext>
          </c:extLst>
        </c:ser>
        <c:dLbls>
          <c:showLegendKey val="0"/>
          <c:showVal val="0"/>
          <c:showCatName val="0"/>
          <c:showSerName val="0"/>
          <c:showPercent val="0"/>
          <c:showBubbleSize val="0"/>
        </c:dLbls>
        <c:smooth val="0"/>
        <c:axId val="813860303"/>
        <c:axId val="813741903"/>
      </c:lineChart>
      <c:catAx>
        <c:axId val="81386030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813741903"/>
        <c:crosses val="autoZero"/>
        <c:auto val="1"/>
        <c:lblAlgn val="ctr"/>
        <c:lblOffset val="100"/>
        <c:noMultiLvlLbl val="0"/>
      </c:catAx>
      <c:valAx>
        <c:axId val="813741903"/>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81386030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Evolution de la quantité de bois (m3/ha) dans le</a:t>
            </a:r>
            <a:r>
              <a:rPr lang="fr-FR" baseline="0"/>
              <a:t> ppt adulte</a:t>
            </a:r>
            <a:endParaRPr lang="fr-F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lineChart>
        <c:grouping val="standard"/>
        <c:varyColors val="0"/>
        <c:ser>
          <c:idx val="0"/>
          <c:order val="0"/>
          <c:tx>
            <c:strRef>
              <c:f>StrateC!$F$393</c:f>
              <c:strCache>
                <c:ptCount val="1"/>
                <c:pt idx="0">
                  <c:v>Vol_tot_Référence</c:v>
                </c:pt>
              </c:strCache>
            </c:strRef>
          </c:tx>
          <c:spPr>
            <a:ln w="28575" cap="rnd">
              <a:solidFill>
                <a:srgbClr val="5A5C5E"/>
              </a:solidFill>
              <a:round/>
            </a:ln>
            <a:effectLst/>
          </c:spPr>
          <c:marker>
            <c:symbol val="none"/>
          </c:marker>
          <c:cat>
            <c:numRef>
              <c:f>StrateC!$A$417:$A$436</c:f>
              <c:numCache>
                <c:formatCode>General</c:formatCode>
                <c:ptCount val="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numCache>
            </c:numRef>
          </c:cat>
          <c:val>
            <c:numRef>
              <c:f>StrateC!$F$417:$F$436</c:f>
              <c:numCache>
                <c:formatCode>#,##0</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c:ext xmlns:c16="http://schemas.microsoft.com/office/drawing/2014/chart" uri="{C3380CC4-5D6E-409C-BE32-E72D297353CC}">
              <c16:uniqueId val="{00000000-718F-DD4A-94A2-38E0FFA90C8F}"/>
            </c:ext>
          </c:extLst>
        </c:ser>
        <c:ser>
          <c:idx val="1"/>
          <c:order val="1"/>
          <c:tx>
            <c:strRef>
              <c:f>StrateC!$G$393</c:f>
              <c:strCache>
                <c:ptCount val="1"/>
                <c:pt idx="0">
                  <c:v>Vol_tot_Projet</c:v>
                </c:pt>
              </c:strCache>
            </c:strRef>
          </c:tx>
          <c:spPr>
            <a:ln w="28575" cap="rnd">
              <a:solidFill>
                <a:srgbClr val="00A81F"/>
              </a:solidFill>
              <a:round/>
            </a:ln>
            <a:effectLst/>
          </c:spPr>
          <c:marker>
            <c:symbol val="none"/>
          </c:marker>
          <c:cat>
            <c:numRef>
              <c:f>StrateC!$A$417:$A$436</c:f>
              <c:numCache>
                <c:formatCode>General</c:formatCode>
                <c:ptCount val="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numCache>
            </c:numRef>
          </c:cat>
          <c:val>
            <c:numRef>
              <c:f>StrateC!$G$417:$G$436</c:f>
              <c:numCache>
                <c:formatCode>#,##0</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c:ext xmlns:c16="http://schemas.microsoft.com/office/drawing/2014/chart" uri="{C3380CC4-5D6E-409C-BE32-E72D297353CC}">
              <c16:uniqueId val="{00000001-718F-DD4A-94A2-38E0FFA90C8F}"/>
            </c:ext>
          </c:extLst>
        </c:ser>
        <c:ser>
          <c:idx val="2"/>
          <c:order val="2"/>
          <c:tx>
            <c:strRef>
              <c:f>StrateC!$B$393</c:f>
              <c:strCache>
                <c:ptCount val="1"/>
                <c:pt idx="0">
                  <c:v>Vol_non récoltable</c:v>
                </c:pt>
              </c:strCache>
            </c:strRef>
          </c:tx>
          <c:spPr>
            <a:ln w="28575" cap="rnd">
              <a:solidFill>
                <a:schemeClr val="accent3"/>
              </a:solidFill>
              <a:prstDash val="sysDot"/>
              <a:round/>
            </a:ln>
            <a:effectLst/>
          </c:spPr>
          <c:marker>
            <c:symbol val="none"/>
          </c:marker>
          <c:cat>
            <c:numRef>
              <c:f>StrateC!$A$417:$A$436</c:f>
              <c:numCache>
                <c:formatCode>General</c:formatCode>
                <c:ptCount val="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numCache>
            </c:numRef>
          </c:cat>
          <c:val>
            <c:numRef>
              <c:f>StrateC!$B$417:$B$436</c:f>
              <c:numCache>
                <c:formatCode>#,##0</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c:ext xmlns:c16="http://schemas.microsoft.com/office/drawing/2014/chart" uri="{C3380CC4-5D6E-409C-BE32-E72D297353CC}">
              <c16:uniqueId val="{00000002-718F-DD4A-94A2-38E0FFA90C8F}"/>
            </c:ext>
          </c:extLst>
        </c:ser>
        <c:ser>
          <c:idx val="3"/>
          <c:order val="3"/>
          <c:tx>
            <c:strRef>
              <c:f>StrateC!$C$393</c:f>
              <c:strCache>
                <c:ptCount val="1"/>
                <c:pt idx="0">
                  <c:v>Vol_non prélevable</c:v>
                </c:pt>
              </c:strCache>
            </c:strRef>
          </c:tx>
          <c:spPr>
            <a:ln w="28575" cap="rnd">
              <a:solidFill>
                <a:schemeClr val="accent4"/>
              </a:solidFill>
              <a:prstDash val="sysDot"/>
              <a:round/>
            </a:ln>
            <a:effectLst/>
          </c:spPr>
          <c:marker>
            <c:symbol val="none"/>
          </c:marker>
          <c:cat>
            <c:numRef>
              <c:f>StrateC!$A$417:$A$436</c:f>
              <c:numCache>
                <c:formatCode>General</c:formatCode>
                <c:ptCount val="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numCache>
            </c:numRef>
          </c:cat>
          <c:val>
            <c:numRef>
              <c:f>StrateC!$C$417:$C$436</c:f>
              <c:numCache>
                <c:formatCode>#,##0</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c:ext xmlns:c16="http://schemas.microsoft.com/office/drawing/2014/chart" uri="{C3380CC4-5D6E-409C-BE32-E72D297353CC}">
              <c16:uniqueId val="{00000003-718F-DD4A-94A2-38E0FFA90C8F}"/>
            </c:ext>
          </c:extLst>
        </c:ser>
        <c:dLbls>
          <c:showLegendKey val="0"/>
          <c:showVal val="0"/>
          <c:showCatName val="0"/>
          <c:showSerName val="0"/>
          <c:showPercent val="0"/>
          <c:showBubbleSize val="0"/>
        </c:dLbls>
        <c:smooth val="0"/>
        <c:axId val="1289389792"/>
        <c:axId val="1574646720"/>
      </c:lineChart>
      <c:catAx>
        <c:axId val="12893897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574646720"/>
        <c:crosses val="autoZero"/>
        <c:auto val="1"/>
        <c:lblAlgn val="ctr"/>
        <c:lblOffset val="100"/>
        <c:noMultiLvlLbl val="0"/>
      </c:catAx>
      <c:valAx>
        <c:axId val="157464672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2893897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spPr>
            <a:ln w="28575" cap="rnd">
              <a:solidFill>
                <a:schemeClr val="accent1"/>
              </a:solidFill>
              <a:round/>
            </a:ln>
            <a:effectLst/>
          </c:spPr>
          <c:marker>
            <c:symbol val="none"/>
          </c:marker>
          <c:val>
            <c:numRef>
              <c:f>StrateA!$Z$208:$Z$227</c:f>
              <c:numCache>
                <c:formatCode>0</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c:ext xmlns:c16="http://schemas.microsoft.com/office/drawing/2014/chart" uri="{C3380CC4-5D6E-409C-BE32-E72D297353CC}">
              <c16:uniqueId val="{00000000-39EB-334F-8C48-97557B963818}"/>
            </c:ext>
          </c:extLst>
        </c:ser>
        <c:dLbls>
          <c:showLegendKey val="0"/>
          <c:showVal val="0"/>
          <c:showCatName val="0"/>
          <c:showSerName val="0"/>
          <c:showPercent val="0"/>
          <c:showBubbleSize val="0"/>
        </c:dLbls>
        <c:smooth val="0"/>
        <c:axId val="2076493584"/>
        <c:axId val="2076503920"/>
      </c:lineChart>
      <c:catAx>
        <c:axId val="20764935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2076503920"/>
        <c:crosses val="autoZero"/>
        <c:auto val="1"/>
        <c:lblAlgn val="ctr"/>
        <c:lblOffset val="100"/>
        <c:noMultiLvlLbl val="0"/>
      </c:catAx>
      <c:valAx>
        <c:axId val="207650392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207649358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Stockage Produits</a:t>
            </a:r>
            <a:r>
              <a:rPr lang="fr-FR" baseline="0"/>
              <a:t> bois</a:t>
            </a:r>
            <a:endParaRPr lang="fr-F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lineChart>
        <c:grouping val="standard"/>
        <c:varyColors val="0"/>
        <c:ser>
          <c:idx val="0"/>
          <c:order val="0"/>
          <c:tx>
            <c:strRef>
              <c:f>StrateD!$E$284</c:f>
              <c:strCache>
                <c:ptCount val="1"/>
                <c:pt idx="0">
                  <c:v>ST_REF_CO2e</c:v>
                </c:pt>
              </c:strCache>
            </c:strRef>
          </c:tx>
          <c:spPr>
            <a:ln w="28575" cap="rnd">
              <a:solidFill>
                <a:srgbClr val="5A5C5E"/>
              </a:solidFill>
              <a:round/>
            </a:ln>
            <a:effectLst/>
          </c:spPr>
          <c:marker>
            <c:symbol val="none"/>
          </c:marker>
          <c:val>
            <c:numRef>
              <c:f>StrateD!$E$285:$E$304</c:f>
              <c:numCache>
                <c:formatCode>0</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c:ext xmlns:c16="http://schemas.microsoft.com/office/drawing/2014/chart" uri="{C3380CC4-5D6E-409C-BE32-E72D297353CC}">
              <c16:uniqueId val="{00000000-4AE8-3747-8859-39207901FC47}"/>
            </c:ext>
          </c:extLst>
        </c:ser>
        <c:ser>
          <c:idx val="1"/>
          <c:order val="1"/>
          <c:tx>
            <c:strRef>
              <c:f>StrateD!$H$284</c:f>
              <c:strCache>
                <c:ptCount val="1"/>
                <c:pt idx="0">
                  <c:v>ST_PRJ_CO2e</c:v>
                </c:pt>
              </c:strCache>
            </c:strRef>
          </c:tx>
          <c:spPr>
            <a:ln w="28575" cap="rnd">
              <a:solidFill>
                <a:srgbClr val="00A81F"/>
              </a:solidFill>
              <a:round/>
            </a:ln>
            <a:effectLst/>
          </c:spPr>
          <c:marker>
            <c:symbol val="none"/>
          </c:marker>
          <c:val>
            <c:numRef>
              <c:f>StrateD!$H$285:$H$304</c:f>
              <c:numCache>
                <c:formatCode>0</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c:ext xmlns:c16="http://schemas.microsoft.com/office/drawing/2014/chart" uri="{C3380CC4-5D6E-409C-BE32-E72D297353CC}">
              <c16:uniqueId val="{00000001-4AE8-3747-8859-39207901FC47}"/>
            </c:ext>
          </c:extLst>
        </c:ser>
        <c:dLbls>
          <c:showLegendKey val="0"/>
          <c:showVal val="0"/>
          <c:showCatName val="0"/>
          <c:showSerName val="0"/>
          <c:showPercent val="0"/>
          <c:showBubbleSize val="0"/>
        </c:dLbls>
        <c:smooth val="0"/>
        <c:axId val="2012705504"/>
        <c:axId val="2012710400"/>
      </c:lineChart>
      <c:catAx>
        <c:axId val="20127055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2012710400"/>
        <c:crosses val="autoZero"/>
        <c:auto val="1"/>
        <c:lblAlgn val="ctr"/>
        <c:lblOffset val="100"/>
        <c:noMultiLvlLbl val="0"/>
      </c:catAx>
      <c:valAx>
        <c:axId val="201271040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20127055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Séquestration Peuplements matures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lineChart>
        <c:grouping val="standard"/>
        <c:varyColors val="0"/>
        <c:ser>
          <c:idx val="0"/>
          <c:order val="0"/>
          <c:tx>
            <c:strRef>
              <c:f>StrateD!$C$284</c:f>
              <c:strCache>
                <c:ptCount val="1"/>
                <c:pt idx="0">
                  <c:v>SQ_REF_CO2e</c:v>
                </c:pt>
              </c:strCache>
            </c:strRef>
          </c:tx>
          <c:spPr>
            <a:ln w="28575" cap="rnd">
              <a:solidFill>
                <a:srgbClr val="5A5C5E"/>
              </a:solidFill>
              <a:round/>
            </a:ln>
            <a:effectLst/>
          </c:spPr>
          <c:marker>
            <c:symbol val="none"/>
          </c:marker>
          <c:val>
            <c:numRef>
              <c:f>StrateD!$C$285:$C$304</c:f>
              <c:numCache>
                <c:formatCode>0</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c:ext xmlns:c16="http://schemas.microsoft.com/office/drawing/2014/chart" uri="{C3380CC4-5D6E-409C-BE32-E72D297353CC}">
              <c16:uniqueId val="{00000000-BC4D-1D47-907C-8B6D5459C7F2}"/>
            </c:ext>
          </c:extLst>
        </c:ser>
        <c:ser>
          <c:idx val="1"/>
          <c:order val="1"/>
          <c:tx>
            <c:strRef>
              <c:f>StrateD!$F$284</c:f>
              <c:strCache>
                <c:ptCount val="1"/>
                <c:pt idx="0">
                  <c:v>SQ_PRJ_CO2e</c:v>
                </c:pt>
              </c:strCache>
            </c:strRef>
          </c:tx>
          <c:spPr>
            <a:ln w="28575" cap="rnd">
              <a:solidFill>
                <a:srgbClr val="00A81F"/>
              </a:solidFill>
              <a:round/>
            </a:ln>
            <a:effectLst/>
          </c:spPr>
          <c:marker>
            <c:symbol val="none"/>
          </c:marker>
          <c:val>
            <c:numRef>
              <c:f>StrateD!$F$285:$F$304</c:f>
              <c:numCache>
                <c:formatCode>0</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c:ext xmlns:c16="http://schemas.microsoft.com/office/drawing/2014/chart" uri="{C3380CC4-5D6E-409C-BE32-E72D297353CC}">
              <c16:uniqueId val="{00000001-BC4D-1D47-907C-8B6D5459C7F2}"/>
            </c:ext>
          </c:extLst>
        </c:ser>
        <c:dLbls>
          <c:showLegendKey val="0"/>
          <c:showVal val="0"/>
          <c:showCatName val="0"/>
          <c:showSerName val="0"/>
          <c:showPercent val="0"/>
          <c:showBubbleSize val="0"/>
        </c:dLbls>
        <c:smooth val="0"/>
        <c:axId val="2012712032"/>
        <c:axId val="1852773392"/>
      </c:lineChart>
      <c:catAx>
        <c:axId val="20127120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852773392"/>
        <c:crosses val="autoZero"/>
        <c:auto val="1"/>
        <c:lblAlgn val="ctr"/>
        <c:lblOffset val="100"/>
        <c:noMultiLvlLbl val="0"/>
      </c:catAx>
      <c:valAx>
        <c:axId val="18527733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201271203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spPr>
            <a:ln w="28575" cap="rnd">
              <a:solidFill>
                <a:schemeClr val="accent1"/>
              </a:solidFill>
              <a:round/>
            </a:ln>
            <a:effectLst/>
          </c:spPr>
          <c:marker>
            <c:symbol val="none"/>
          </c:marker>
          <c:val>
            <c:numRef>
              <c:f>StrateD!$Z$92:$Z$111</c:f>
              <c:numCache>
                <c:formatCode>0</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c:ext xmlns:c16="http://schemas.microsoft.com/office/drawing/2014/chart" uri="{C3380CC4-5D6E-409C-BE32-E72D297353CC}">
              <c16:uniqueId val="{00000000-B0F2-1F47-9CC8-695BAB1BAC6D}"/>
            </c:ext>
          </c:extLst>
        </c:ser>
        <c:dLbls>
          <c:showLegendKey val="0"/>
          <c:showVal val="0"/>
          <c:showCatName val="0"/>
          <c:showSerName val="0"/>
          <c:showPercent val="0"/>
          <c:showBubbleSize val="0"/>
        </c:dLbls>
        <c:smooth val="0"/>
        <c:axId val="1852329952"/>
        <c:axId val="2076501744"/>
      </c:lineChart>
      <c:catAx>
        <c:axId val="18523299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2076501744"/>
        <c:crosses val="autoZero"/>
        <c:auto val="1"/>
        <c:lblAlgn val="ctr"/>
        <c:lblOffset val="100"/>
        <c:noMultiLvlLbl val="0"/>
      </c:catAx>
      <c:valAx>
        <c:axId val="207650174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85232995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spPr>
            <a:ln w="28575" cap="rnd">
              <a:solidFill>
                <a:schemeClr val="accent1"/>
              </a:solidFill>
              <a:round/>
            </a:ln>
            <a:effectLst/>
          </c:spPr>
          <c:marker>
            <c:symbol val="none"/>
          </c:marker>
          <c:val>
            <c:numRef>
              <c:f>StrateD!$Z$208:$Z$227</c:f>
              <c:numCache>
                <c:formatCode>0</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c:ext xmlns:c16="http://schemas.microsoft.com/office/drawing/2014/chart" uri="{C3380CC4-5D6E-409C-BE32-E72D297353CC}">
              <c16:uniqueId val="{00000000-909F-E54D-9100-5CBFF6F10D5D}"/>
            </c:ext>
          </c:extLst>
        </c:ser>
        <c:dLbls>
          <c:showLegendKey val="0"/>
          <c:showVal val="0"/>
          <c:showCatName val="0"/>
          <c:showSerName val="0"/>
          <c:showPercent val="0"/>
          <c:showBubbleSize val="0"/>
        </c:dLbls>
        <c:smooth val="0"/>
        <c:axId val="2076493584"/>
        <c:axId val="2076503920"/>
      </c:lineChart>
      <c:catAx>
        <c:axId val="20764935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2076503920"/>
        <c:crosses val="autoZero"/>
        <c:auto val="1"/>
        <c:lblAlgn val="ctr"/>
        <c:lblOffset val="100"/>
        <c:noMultiLvlLbl val="0"/>
      </c:catAx>
      <c:valAx>
        <c:axId val="207650392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207649358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Delta CO2</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barChart>
        <c:barDir val="col"/>
        <c:grouping val="clustered"/>
        <c:varyColors val="0"/>
        <c:ser>
          <c:idx val="1"/>
          <c:order val="0"/>
          <c:tx>
            <c:strRef>
              <c:f>StrateD!$I$284</c:f>
              <c:strCache>
                <c:ptCount val="1"/>
                <c:pt idx="0">
                  <c:v>Delta_CO2e</c:v>
                </c:pt>
              </c:strCache>
            </c:strRef>
          </c:tx>
          <c:spPr>
            <a:solidFill>
              <a:srgbClr val="006C4D"/>
            </a:solidFill>
            <a:ln>
              <a:noFill/>
            </a:ln>
            <a:effectLst/>
          </c:spPr>
          <c:invertIfNegative val="0"/>
          <c:val>
            <c:numRef>
              <c:f>StrateD!$I$285:$I$304</c:f>
              <c:numCache>
                <c:formatCode>0</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extLst>
            <c:ext xmlns:c16="http://schemas.microsoft.com/office/drawing/2014/chart" uri="{C3380CC4-5D6E-409C-BE32-E72D297353CC}">
              <c16:uniqueId val="{00000000-FE66-424C-9DB4-9829F7FA9B16}"/>
            </c:ext>
          </c:extLst>
        </c:ser>
        <c:dLbls>
          <c:showLegendKey val="0"/>
          <c:showVal val="0"/>
          <c:showCatName val="0"/>
          <c:showSerName val="0"/>
          <c:showPercent val="0"/>
          <c:showBubbleSize val="0"/>
        </c:dLbls>
        <c:gapWidth val="219"/>
        <c:overlap val="-27"/>
        <c:axId val="2076497392"/>
        <c:axId val="2076493040"/>
      </c:barChart>
      <c:catAx>
        <c:axId val="20764973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2076493040"/>
        <c:crosses val="autoZero"/>
        <c:auto val="1"/>
        <c:lblAlgn val="ctr"/>
        <c:lblOffset val="100"/>
        <c:noMultiLvlLbl val="0"/>
      </c:catAx>
      <c:valAx>
        <c:axId val="2076493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20764973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Quantité nette de CO2eq</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barChart>
        <c:barDir val="col"/>
        <c:grouping val="clustered"/>
        <c:varyColors val="0"/>
        <c:ser>
          <c:idx val="0"/>
          <c:order val="0"/>
          <c:tx>
            <c:strRef>
              <c:f>StrateD!$J$310</c:f>
              <c:strCache>
                <c:ptCount val="1"/>
                <c:pt idx="0">
                  <c:v>tCO2e_net_an</c:v>
                </c:pt>
              </c:strCache>
            </c:strRef>
          </c:tx>
          <c:spPr>
            <a:solidFill>
              <a:srgbClr val="006C4D"/>
            </a:solidFill>
            <a:ln>
              <a:noFill/>
            </a:ln>
            <a:effectLst/>
          </c:spPr>
          <c:invertIfNegative val="0"/>
          <c:val>
            <c:numRef>
              <c:f>StrateD!$J$311:$J$330</c:f>
              <c:numCache>
                <c:formatCode>0</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extLst>
            <c:ext xmlns:c16="http://schemas.microsoft.com/office/drawing/2014/chart" uri="{C3380CC4-5D6E-409C-BE32-E72D297353CC}">
              <c16:uniqueId val="{00000000-653F-C24C-A06E-19EDF9D8E5EC}"/>
            </c:ext>
          </c:extLst>
        </c:ser>
        <c:dLbls>
          <c:showLegendKey val="0"/>
          <c:showVal val="0"/>
          <c:showCatName val="0"/>
          <c:showSerName val="0"/>
          <c:showPercent val="0"/>
          <c:showBubbleSize val="0"/>
        </c:dLbls>
        <c:gapWidth val="150"/>
        <c:axId val="2076504464"/>
        <c:axId val="2076499024"/>
      </c:barChart>
      <c:lineChart>
        <c:grouping val="standard"/>
        <c:varyColors val="0"/>
        <c:ser>
          <c:idx val="1"/>
          <c:order val="1"/>
          <c:tx>
            <c:strRef>
              <c:f>StrateD!$K$310</c:f>
              <c:strCache>
                <c:ptCount val="1"/>
                <c:pt idx="0">
                  <c:v>tCO2e_net_vente</c:v>
                </c:pt>
              </c:strCache>
            </c:strRef>
          </c:tx>
          <c:spPr>
            <a:ln w="28575" cap="rnd">
              <a:solidFill>
                <a:srgbClr val="00A81F"/>
              </a:solidFill>
              <a:round/>
            </a:ln>
            <a:effectLst/>
          </c:spPr>
          <c:marker>
            <c:symbol val="none"/>
          </c:marker>
          <c:val>
            <c:numRef>
              <c:f>StrateD!$K$311:$K$330</c:f>
              <c:numCache>
                <c:formatCode>0</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c:ext xmlns:c16="http://schemas.microsoft.com/office/drawing/2014/chart" uri="{C3380CC4-5D6E-409C-BE32-E72D297353CC}">
              <c16:uniqueId val="{00000001-653F-C24C-A06E-19EDF9D8E5EC}"/>
            </c:ext>
          </c:extLst>
        </c:ser>
        <c:dLbls>
          <c:showLegendKey val="0"/>
          <c:showVal val="0"/>
          <c:showCatName val="0"/>
          <c:showSerName val="0"/>
          <c:showPercent val="0"/>
          <c:showBubbleSize val="0"/>
        </c:dLbls>
        <c:marker val="1"/>
        <c:smooth val="0"/>
        <c:axId val="2076504464"/>
        <c:axId val="2076499024"/>
      </c:lineChart>
      <c:catAx>
        <c:axId val="20765044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2076499024"/>
        <c:crosses val="autoZero"/>
        <c:auto val="1"/>
        <c:lblAlgn val="ctr"/>
        <c:lblOffset val="100"/>
        <c:noMultiLvlLbl val="0"/>
      </c:catAx>
      <c:valAx>
        <c:axId val="207649902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207650446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StrateD!$X$144</c:f>
              <c:strCache>
                <c:ptCount val="1"/>
                <c:pt idx="0">
                  <c:v>CO2e_ST_tot</c:v>
                </c:pt>
              </c:strCache>
            </c:strRef>
          </c:tx>
          <c:spPr>
            <a:ln w="28575" cap="rnd">
              <a:solidFill>
                <a:srgbClr val="00B050"/>
              </a:solidFill>
              <a:round/>
            </a:ln>
            <a:effectLst/>
          </c:spPr>
          <c:marker>
            <c:symbol val="none"/>
          </c:marker>
          <c:val>
            <c:numRef>
              <c:f>StrateD!$X$145:$X$164</c:f>
              <c:numCache>
                <c:formatCode>0</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c:ext xmlns:c16="http://schemas.microsoft.com/office/drawing/2014/chart" uri="{C3380CC4-5D6E-409C-BE32-E72D297353CC}">
              <c16:uniqueId val="{00000000-D4CC-824E-8CDA-D50EDE38DD48}"/>
            </c:ext>
          </c:extLst>
        </c:ser>
        <c:dLbls>
          <c:showLegendKey val="0"/>
          <c:showVal val="0"/>
          <c:showCatName val="0"/>
          <c:showSerName val="0"/>
          <c:showPercent val="0"/>
          <c:showBubbleSize val="0"/>
        </c:dLbls>
        <c:smooth val="0"/>
        <c:axId val="765502480"/>
        <c:axId val="765504160"/>
      </c:lineChart>
      <c:catAx>
        <c:axId val="7655024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Geomanist Regular" panose="02000503000000020004" pitchFamily="2" charset="77"/>
                <a:ea typeface="+mn-ea"/>
                <a:cs typeface="+mn-cs"/>
              </a:defRPr>
            </a:pPr>
            <a:endParaRPr lang="fr-FR"/>
          </a:p>
        </c:txPr>
        <c:crossAx val="765504160"/>
        <c:crosses val="autoZero"/>
        <c:auto val="1"/>
        <c:lblAlgn val="ctr"/>
        <c:lblOffset val="100"/>
        <c:noMultiLvlLbl val="0"/>
      </c:catAx>
      <c:valAx>
        <c:axId val="76550416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Geomanist Regular" panose="02000503000000020004" pitchFamily="2" charset="77"/>
                <a:ea typeface="+mn-ea"/>
                <a:cs typeface="+mn-cs"/>
              </a:defRPr>
            </a:pPr>
            <a:endParaRPr lang="fr-FR"/>
          </a:p>
        </c:txPr>
        <c:crossAx val="76550248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b="0" i="0">
          <a:latin typeface="Geomanist Regular" panose="02000503000000020004" pitchFamily="2" charset="77"/>
        </a:defRPr>
      </a:pPr>
      <a:endParaRPr lang="fr-FR"/>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Séquestration Jeunes peuplements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lineChart>
        <c:grouping val="standard"/>
        <c:varyColors val="0"/>
        <c:ser>
          <c:idx val="0"/>
          <c:order val="0"/>
          <c:tx>
            <c:strRef>
              <c:f>StrateD!$D$284</c:f>
              <c:strCache>
                <c:ptCount val="1"/>
                <c:pt idx="0">
                  <c:v>JP_REF_CO2e</c:v>
                </c:pt>
              </c:strCache>
            </c:strRef>
          </c:tx>
          <c:spPr>
            <a:ln w="28575" cap="rnd">
              <a:solidFill>
                <a:srgbClr val="5A5C5E"/>
              </a:solidFill>
              <a:round/>
            </a:ln>
            <a:effectLst/>
          </c:spPr>
          <c:marker>
            <c:symbol val="none"/>
          </c:marker>
          <c:val>
            <c:numRef>
              <c:f>StrateD!$D$285:$D$304</c:f>
              <c:numCache>
                <c:formatCode>0</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c:ext xmlns:c16="http://schemas.microsoft.com/office/drawing/2014/chart" uri="{C3380CC4-5D6E-409C-BE32-E72D297353CC}">
              <c16:uniqueId val="{00000000-0884-EC47-B0F8-0021366F644F}"/>
            </c:ext>
          </c:extLst>
        </c:ser>
        <c:ser>
          <c:idx val="1"/>
          <c:order val="1"/>
          <c:tx>
            <c:strRef>
              <c:f>StrateD!$G$284</c:f>
              <c:strCache>
                <c:ptCount val="1"/>
                <c:pt idx="0">
                  <c:v>JP_PRJ_CO2e</c:v>
                </c:pt>
              </c:strCache>
            </c:strRef>
          </c:tx>
          <c:spPr>
            <a:ln w="28575" cap="rnd">
              <a:solidFill>
                <a:srgbClr val="00A81F"/>
              </a:solidFill>
              <a:round/>
            </a:ln>
            <a:effectLst/>
          </c:spPr>
          <c:marker>
            <c:symbol val="none"/>
          </c:marker>
          <c:val>
            <c:numRef>
              <c:f>StrateD!$G$285:$G$304</c:f>
              <c:numCache>
                <c:formatCode>0</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c:ext xmlns:c16="http://schemas.microsoft.com/office/drawing/2014/chart" uri="{C3380CC4-5D6E-409C-BE32-E72D297353CC}">
              <c16:uniqueId val="{00000001-0884-EC47-B0F8-0021366F644F}"/>
            </c:ext>
          </c:extLst>
        </c:ser>
        <c:dLbls>
          <c:showLegendKey val="0"/>
          <c:showVal val="0"/>
          <c:showCatName val="0"/>
          <c:showSerName val="0"/>
          <c:showPercent val="0"/>
          <c:showBubbleSize val="0"/>
        </c:dLbls>
        <c:smooth val="0"/>
        <c:axId val="2012712032"/>
        <c:axId val="1852773392"/>
      </c:lineChart>
      <c:catAx>
        <c:axId val="20127120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852773392"/>
        <c:crosses val="autoZero"/>
        <c:auto val="1"/>
        <c:lblAlgn val="ctr"/>
        <c:lblOffset val="100"/>
        <c:noMultiLvlLbl val="0"/>
      </c:catAx>
      <c:valAx>
        <c:axId val="18527733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201271203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Evolution de la quantité de bois (m3) dans le</a:t>
            </a:r>
            <a:r>
              <a:rPr lang="fr-FR" baseline="0"/>
              <a:t> ppt adulte</a:t>
            </a:r>
            <a:endParaRPr lang="fr-F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lineChart>
        <c:grouping val="standard"/>
        <c:varyColors val="0"/>
        <c:ser>
          <c:idx val="0"/>
          <c:order val="0"/>
          <c:tx>
            <c:strRef>
              <c:f>StrateD!$F$393</c:f>
              <c:strCache>
                <c:ptCount val="1"/>
                <c:pt idx="0">
                  <c:v>Vol_tot_Référence</c:v>
                </c:pt>
              </c:strCache>
            </c:strRef>
          </c:tx>
          <c:spPr>
            <a:ln w="28575" cap="rnd">
              <a:solidFill>
                <a:srgbClr val="5A5C5E"/>
              </a:solidFill>
              <a:round/>
            </a:ln>
            <a:effectLst/>
          </c:spPr>
          <c:marker>
            <c:symbol val="none"/>
          </c:marker>
          <c:cat>
            <c:numRef>
              <c:f>StrateD!$A$394:$A$413</c:f>
              <c:numCache>
                <c:formatCode>General</c:formatCode>
                <c:ptCount val="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numCache>
            </c:numRef>
          </c:cat>
          <c:val>
            <c:numRef>
              <c:f>StrateD!$F$394:$F$413</c:f>
              <c:numCache>
                <c:formatCode>#,##0</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c:ext xmlns:c16="http://schemas.microsoft.com/office/drawing/2014/chart" uri="{C3380CC4-5D6E-409C-BE32-E72D297353CC}">
              <c16:uniqueId val="{00000001-CB39-E64D-B53C-2A0B241172C3}"/>
            </c:ext>
          </c:extLst>
        </c:ser>
        <c:ser>
          <c:idx val="1"/>
          <c:order val="1"/>
          <c:tx>
            <c:strRef>
              <c:f>StrateD!$G$393</c:f>
              <c:strCache>
                <c:ptCount val="1"/>
                <c:pt idx="0">
                  <c:v>Vol_tot_Projet</c:v>
                </c:pt>
              </c:strCache>
            </c:strRef>
          </c:tx>
          <c:spPr>
            <a:ln w="28575" cap="rnd">
              <a:solidFill>
                <a:srgbClr val="00A81F"/>
              </a:solidFill>
              <a:round/>
            </a:ln>
            <a:effectLst/>
          </c:spPr>
          <c:marker>
            <c:symbol val="none"/>
          </c:marker>
          <c:cat>
            <c:numRef>
              <c:f>StrateD!$A$394:$A$413</c:f>
              <c:numCache>
                <c:formatCode>General</c:formatCode>
                <c:ptCount val="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numCache>
            </c:numRef>
          </c:cat>
          <c:val>
            <c:numRef>
              <c:f>StrateD!$G$394:$G$413</c:f>
              <c:numCache>
                <c:formatCode>#,##0</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c:ext xmlns:c16="http://schemas.microsoft.com/office/drawing/2014/chart" uri="{C3380CC4-5D6E-409C-BE32-E72D297353CC}">
              <c16:uniqueId val="{00000002-CB39-E64D-B53C-2A0B241172C3}"/>
            </c:ext>
          </c:extLst>
        </c:ser>
        <c:ser>
          <c:idx val="2"/>
          <c:order val="2"/>
          <c:tx>
            <c:strRef>
              <c:f>StrateD!$B$393</c:f>
              <c:strCache>
                <c:ptCount val="1"/>
                <c:pt idx="0">
                  <c:v>Vol_non récoltable</c:v>
                </c:pt>
              </c:strCache>
            </c:strRef>
          </c:tx>
          <c:spPr>
            <a:ln w="28575" cap="rnd">
              <a:solidFill>
                <a:schemeClr val="accent3"/>
              </a:solidFill>
              <a:prstDash val="sysDot"/>
              <a:round/>
            </a:ln>
            <a:effectLst/>
          </c:spPr>
          <c:marker>
            <c:symbol val="none"/>
          </c:marker>
          <c:cat>
            <c:numRef>
              <c:f>StrateD!$A$394:$A$413</c:f>
              <c:numCache>
                <c:formatCode>General</c:formatCode>
                <c:ptCount val="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numCache>
            </c:numRef>
          </c:cat>
          <c:val>
            <c:numRef>
              <c:f>StrateD!$B$394:$B$413</c:f>
              <c:numCache>
                <c:formatCode>#,##0</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c:ext xmlns:c16="http://schemas.microsoft.com/office/drawing/2014/chart" uri="{C3380CC4-5D6E-409C-BE32-E72D297353CC}">
              <c16:uniqueId val="{00000000-CB39-E64D-B53C-2A0B241172C3}"/>
            </c:ext>
          </c:extLst>
        </c:ser>
        <c:ser>
          <c:idx val="3"/>
          <c:order val="3"/>
          <c:tx>
            <c:strRef>
              <c:f>StrateD!$C$393</c:f>
              <c:strCache>
                <c:ptCount val="1"/>
                <c:pt idx="0">
                  <c:v>Vol_non prélevable</c:v>
                </c:pt>
              </c:strCache>
            </c:strRef>
          </c:tx>
          <c:spPr>
            <a:ln w="28575" cap="rnd">
              <a:solidFill>
                <a:schemeClr val="accent4"/>
              </a:solidFill>
              <a:prstDash val="sysDot"/>
              <a:round/>
            </a:ln>
            <a:effectLst/>
          </c:spPr>
          <c:marker>
            <c:symbol val="none"/>
          </c:marker>
          <c:val>
            <c:numRef>
              <c:f>StrateD!$C$394:$C$413</c:f>
              <c:numCache>
                <c:formatCode>#,##0</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c:ext xmlns:c16="http://schemas.microsoft.com/office/drawing/2014/chart" uri="{C3380CC4-5D6E-409C-BE32-E72D297353CC}">
              <c16:uniqueId val="{00000000-4E6A-9B49-8DE2-6B8C7EB7F859}"/>
            </c:ext>
          </c:extLst>
        </c:ser>
        <c:dLbls>
          <c:showLegendKey val="0"/>
          <c:showVal val="0"/>
          <c:showCatName val="0"/>
          <c:showSerName val="0"/>
          <c:showPercent val="0"/>
          <c:showBubbleSize val="0"/>
        </c:dLbls>
        <c:smooth val="0"/>
        <c:axId val="1289389792"/>
        <c:axId val="1574646720"/>
      </c:lineChart>
      <c:catAx>
        <c:axId val="12893897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574646720"/>
        <c:crosses val="autoZero"/>
        <c:auto val="1"/>
        <c:lblAlgn val="ctr"/>
        <c:lblOffset val="100"/>
        <c:noMultiLvlLbl val="0"/>
      </c:catAx>
      <c:valAx>
        <c:axId val="157464672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2893897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spPr>
            <a:ln w="28575" cap="rnd">
              <a:solidFill>
                <a:schemeClr val="accent1"/>
              </a:solidFill>
              <a:round/>
            </a:ln>
            <a:effectLst/>
          </c:spPr>
          <c:marker>
            <c:symbol val="none"/>
          </c:marker>
          <c:val>
            <c:numRef>
              <c:f>StrateD!$AS$61:$AS$80</c:f>
              <c:numCache>
                <c:formatCode>#,##0</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c:ext xmlns:c16="http://schemas.microsoft.com/office/drawing/2014/chart" uri="{C3380CC4-5D6E-409C-BE32-E72D297353CC}">
              <c16:uniqueId val="{00000000-E6C6-5B41-B667-A35E529DFE55}"/>
            </c:ext>
          </c:extLst>
        </c:ser>
        <c:dLbls>
          <c:showLegendKey val="0"/>
          <c:showVal val="0"/>
          <c:showCatName val="0"/>
          <c:showSerName val="0"/>
          <c:showPercent val="0"/>
          <c:showBubbleSize val="0"/>
        </c:dLbls>
        <c:smooth val="0"/>
        <c:axId val="1670208960"/>
        <c:axId val="1670210688"/>
      </c:lineChart>
      <c:catAx>
        <c:axId val="16702089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670210688"/>
        <c:crosses val="autoZero"/>
        <c:auto val="1"/>
        <c:lblAlgn val="ctr"/>
        <c:lblOffset val="100"/>
        <c:noMultiLvlLbl val="0"/>
      </c:catAx>
      <c:valAx>
        <c:axId val="167021068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67020896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Delta CO2</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barChart>
        <c:barDir val="col"/>
        <c:grouping val="clustered"/>
        <c:varyColors val="0"/>
        <c:ser>
          <c:idx val="1"/>
          <c:order val="0"/>
          <c:tx>
            <c:strRef>
              <c:f>StrateA!$I$284</c:f>
              <c:strCache>
                <c:ptCount val="1"/>
                <c:pt idx="0">
                  <c:v>Delta_CO2e</c:v>
                </c:pt>
              </c:strCache>
            </c:strRef>
          </c:tx>
          <c:spPr>
            <a:solidFill>
              <a:srgbClr val="006C4D"/>
            </a:solidFill>
            <a:ln>
              <a:noFill/>
            </a:ln>
            <a:effectLst/>
          </c:spPr>
          <c:invertIfNegative val="0"/>
          <c:val>
            <c:numRef>
              <c:f>StrateA!$I$285:$I$304</c:f>
              <c:numCache>
                <c:formatCode>0</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extLst>
            <c:ext xmlns:c16="http://schemas.microsoft.com/office/drawing/2014/chart" uri="{C3380CC4-5D6E-409C-BE32-E72D297353CC}">
              <c16:uniqueId val="{00000001-50B0-1E43-9765-EAC1A98C0BF9}"/>
            </c:ext>
          </c:extLst>
        </c:ser>
        <c:dLbls>
          <c:showLegendKey val="0"/>
          <c:showVal val="0"/>
          <c:showCatName val="0"/>
          <c:showSerName val="0"/>
          <c:showPercent val="0"/>
          <c:showBubbleSize val="0"/>
        </c:dLbls>
        <c:gapWidth val="219"/>
        <c:overlap val="-27"/>
        <c:axId val="2076497392"/>
        <c:axId val="2076493040"/>
      </c:barChart>
      <c:catAx>
        <c:axId val="20764973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2076493040"/>
        <c:crosses val="autoZero"/>
        <c:auto val="1"/>
        <c:lblAlgn val="ctr"/>
        <c:lblOffset val="100"/>
        <c:noMultiLvlLbl val="0"/>
      </c:catAx>
      <c:valAx>
        <c:axId val="2076493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20764973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spPr>
            <a:ln w="28575" cap="rnd">
              <a:solidFill>
                <a:schemeClr val="accent1"/>
              </a:solidFill>
              <a:round/>
            </a:ln>
            <a:effectLst/>
          </c:spPr>
          <c:marker>
            <c:symbol val="none"/>
          </c:marker>
          <c:val>
            <c:numRef>
              <c:f>StrateD!$AS$177:$AS$196</c:f>
              <c:numCache>
                <c:formatCode>#,##0</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c:ext xmlns:c16="http://schemas.microsoft.com/office/drawing/2014/chart" uri="{C3380CC4-5D6E-409C-BE32-E72D297353CC}">
              <c16:uniqueId val="{00000000-1C13-9142-A40C-2C297085A6B1}"/>
            </c:ext>
          </c:extLst>
        </c:ser>
        <c:dLbls>
          <c:showLegendKey val="0"/>
          <c:showVal val="0"/>
          <c:showCatName val="0"/>
          <c:showSerName val="0"/>
          <c:showPercent val="0"/>
          <c:showBubbleSize val="0"/>
        </c:dLbls>
        <c:smooth val="0"/>
        <c:axId val="1200068848"/>
        <c:axId val="1200079408"/>
      </c:lineChart>
      <c:catAx>
        <c:axId val="12000688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200079408"/>
        <c:crosses val="autoZero"/>
        <c:auto val="1"/>
        <c:lblAlgn val="ctr"/>
        <c:lblOffset val="100"/>
        <c:noMultiLvlLbl val="0"/>
      </c:catAx>
      <c:valAx>
        <c:axId val="12000794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20006884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lineChart>
        <c:grouping val="standard"/>
        <c:varyColors val="0"/>
        <c:ser>
          <c:idx val="0"/>
          <c:order val="0"/>
          <c:tx>
            <c:strRef>
              <c:f>StrateD!$B$345</c:f>
              <c:strCache>
                <c:ptCount val="1"/>
                <c:pt idx="0">
                  <c:v>C02e_REF</c:v>
                </c:pt>
              </c:strCache>
            </c:strRef>
          </c:tx>
          <c:spPr>
            <a:ln w="28575" cap="rnd">
              <a:solidFill>
                <a:srgbClr val="5A5C5E"/>
              </a:solidFill>
              <a:round/>
            </a:ln>
            <a:effectLst/>
          </c:spPr>
          <c:marker>
            <c:symbol val="none"/>
          </c:marker>
          <c:cat>
            <c:numRef>
              <c:f>StrateD!$A$346:$A$366</c:f>
              <c:numCache>
                <c:formatCode>General</c:formatCode>
                <c:ptCount val="2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numCache>
            </c:numRef>
          </c:cat>
          <c:val>
            <c:numRef>
              <c:f>StrateD!$B$346:$B$366</c:f>
              <c:numCache>
                <c:formatCode>#,##0</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smooth val="0"/>
          <c:extLst>
            <c:ext xmlns:c16="http://schemas.microsoft.com/office/drawing/2014/chart" uri="{C3380CC4-5D6E-409C-BE32-E72D297353CC}">
              <c16:uniqueId val="{00000000-EFE8-164F-87CA-916D283CFF40}"/>
            </c:ext>
          </c:extLst>
        </c:ser>
        <c:ser>
          <c:idx val="1"/>
          <c:order val="1"/>
          <c:tx>
            <c:strRef>
              <c:f>StrateD!$C$345</c:f>
              <c:strCache>
                <c:ptCount val="1"/>
                <c:pt idx="0">
                  <c:v>CO2e_PRJ</c:v>
                </c:pt>
              </c:strCache>
            </c:strRef>
          </c:tx>
          <c:spPr>
            <a:ln w="28575" cap="rnd">
              <a:solidFill>
                <a:srgbClr val="00A81F"/>
              </a:solidFill>
              <a:round/>
            </a:ln>
            <a:effectLst/>
          </c:spPr>
          <c:marker>
            <c:symbol val="none"/>
          </c:marker>
          <c:cat>
            <c:numRef>
              <c:f>StrateD!$A$346:$A$366</c:f>
              <c:numCache>
                <c:formatCode>General</c:formatCode>
                <c:ptCount val="2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numCache>
            </c:numRef>
          </c:cat>
          <c:val>
            <c:numRef>
              <c:f>StrateD!$C$346:$C$366</c:f>
              <c:numCache>
                <c:formatCode>#,##0</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smooth val="0"/>
          <c:extLst>
            <c:ext xmlns:c16="http://schemas.microsoft.com/office/drawing/2014/chart" uri="{C3380CC4-5D6E-409C-BE32-E72D297353CC}">
              <c16:uniqueId val="{00000001-EFE8-164F-87CA-916D283CFF40}"/>
            </c:ext>
          </c:extLst>
        </c:ser>
        <c:dLbls>
          <c:showLegendKey val="0"/>
          <c:showVal val="0"/>
          <c:showCatName val="0"/>
          <c:showSerName val="0"/>
          <c:showPercent val="0"/>
          <c:showBubbleSize val="0"/>
        </c:dLbls>
        <c:smooth val="0"/>
        <c:axId val="583803792"/>
        <c:axId val="807824608"/>
      </c:lineChart>
      <c:catAx>
        <c:axId val="5838037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807824608"/>
        <c:crosses val="autoZero"/>
        <c:auto val="1"/>
        <c:lblAlgn val="ctr"/>
        <c:lblOffset val="100"/>
        <c:noMultiLvlLbl val="0"/>
      </c:catAx>
      <c:valAx>
        <c:axId val="8078246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838037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Evolution de la quantité de bois (m3/ha) dans le</a:t>
            </a:r>
            <a:r>
              <a:rPr lang="fr-FR" baseline="0"/>
              <a:t> ppt adulte</a:t>
            </a:r>
            <a:endParaRPr lang="fr-F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lineChart>
        <c:grouping val="standard"/>
        <c:varyColors val="0"/>
        <c:ser>
          <c:idx val="0"/>
          <c:order val="0"/>
          <c:tx>
            <c:strRef>
              <c:f>StrateD!$F$393</c:f>
              <c:strCache>
                <c:ptCount val="1"/>
                <c:pt idx="0">
                  <c:v>Vol_tot_Référence</c:v>
                </c:pt>
              </c:strCache>
            </c:strRef>
          </c:tx>
          <c:spPr>
            <a:ln w="28575" cap="rnd">
              <a:solidFill>
                <a:srgbClr val="5A5C5E"/>
              </a:solidFill>
              <a:round/>
            </a:ln>
            <a:effectLst/>
          </c:spPr>
          <c:marker>
            <c:symbol val="none"/>
          </c:marker>
          <c:cat>
            <c:numRef>
              <c:f>StrateD!$A$417:$A$436</c:f>
              <c:numCache>
                <c:formatCode>General</c:formatCode>
                <c:ptCount val="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numCache>
            </c:numRef>
          </c:cat>
          <c:val>
            <c:numRef>
              <c:f>StrateD!$F$417:$F$436</c:f>
              <c:numCache>
                <c:formatCode>#,##0</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c:ext xmlns:c16="http://schemas.microsoft.com/office/drawing/2014/chart" uri="{C3380CC4-5D6E-409C-BE32-E72D297353CC}">
              <c16:uniqueId val="{00000000-0F35-EB4E-BA49-0CE3067A2B20}"/>
            </c:ext>
          </c:extLst>
        </c:ser>
        <c:ser>
          <c:idx val="1"/>
          <c:order val="1"/>
          <c:tx>
            <c:strRef>
              <c:f>StrateD!$G$393</c:f>
              <c:strCache>
                <c:ptCount val="1"/>
                <c:pt idx="0">
                  <c:v>Vol_tot_Projet</c:v>
                </c:pt>
              </c:strCache>
            </c:strRef>
          </c:tx>
          <c:spPr>
            <a:ln w="28575" cap="rnd">
              <a:solidFill>
                <a:srgbClr val="00A81F"/>
              </a:solidFill>
              <a:round/>
            </a:ln>
            <a:effectLst/>
          </c:spPr>
          <c:marker>
            <c:symbol val="none"/>
          </c:marker>
          <c:cat>
            <c:numRef>
              <c:f>StrateD!$A$417:$A$436</c:f>
              <c:numCache>
                <c:formatCode>General</c:formatCode>
                <c:ptCount val="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numCache>
            </c:numRef>
          </c:cat>
          <c:val>
            <c:numRef>
              <c:f>StrateD!$G$417:$G$436</c:f>
              <c:numCache>
                <c:formatCode>#,##0</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c:ext xmlns:c16="http://schemas.microsoft.com/office/drawing/2014/chart" uri="{C3380CC4-5D6E-409C-BE32-E72D297353CC}">
              <c16:uniqueId val="{00000001-0F35-EB4E-BA49-0CE3067A2B20}"/>
            </c:ext>
          </c:extLst>
        </c:ser>
        <c:ser>
          <c:idx val="2"/>
          <c:order val="2"/>
          <c:tx>
            <c:strRef>
              <c:f>StrateD!$B$393</c:f>
              <c:strCache>
                <c:ptCount val="1"/>
                <c:pt idx="0">
                  <c:v>Vol_non récoltable</c:v>
                </c:pt>
              </c:strCache>
            </c:strRef>
          </c:tx>
          <c:spPr>
            <a:ln w="28575" cap="rnd">
              <a:solidFill>
                <a:schemeClr val="accent3"/>
              </a:solidFill>
              <a:prstDash val="sysDot"/>
              <a:round/>
            </a:ln>
            <a:effectLst/>
          </c:spPr>
          <c:marker>
            <c:symbol val="none"/>
          </c:marker>
          <c:cat>
            <c:numRef>
              <c:f>StrateD!$A$417:$A$436</c:f>
              <c:numCache>
                <c:formatCode>General</c:formatCode>
                <c:ptCount val="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numCache>
            </c:numRef>
          </c:cat>
          <c:val>
            <c:numRef>
              <c:f>StrateD!$B$417:$B$436</c:f>
              <c:numCache>
                <c:formatCode>#,##0</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c:ext xmlns:c16="http://schemas.microsoft.com/office/drawing/2014/chart" uri="{C3380CC4-5D6E-409C-BE32-E72D297353CC}">
              <c16:uniqueId val="{00000002-0F35-EB4E-BA49-0CE3067A2B20}"/>
            </c:ext>
          </c:extLst>
        </c:ser>
        <c:ser>
          <c:idx val="3"/>
          <c:order val="3"/>
          <c:tx>
            <c:strRef>
              <c:f>StrateD!$C$393</c:f>
              <c:strCache>
                <c:ptCount val="1"/>
                <c:pt idx="0">
                  <c:v>Vol_non prélevable</c:v>
                </c:pt>
              </c:strCache>
            </c:strRef>
          </c:tx>
          <c:spPr>
            <a:ln w="28575" cap="rnd">
              <a:solidFill>
                <a:schemeClr val="accent4"/>
              </a:solidFill>
              <a:prstDash val="sysDot"/>
              <a:round/>
            </a:ln>
            <a:effectLst/>
          </c:spPr>
          <c:marker>
            <c:symbol val="none"/>
          </c:marker>
          <c:cat>
            <c:numRef>
              <c:f>StrateD!$A$417:$A$436</c:f>
              <c:numCache>
                <c:formatCode>General</c:formatCode>
                <c:ptCount val="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numCache>
            </c:numRef>
          </c:cat>
          <c:val>
            <c:numRef>
              <c:f>StrateD!$C$417:$C$436</c:f>
              <c:numCache>
                <c:formatCode>#,##0</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c:ext xmlns:c16="http://schemas.microsoft.com/office/drawing/2014/chart" uri="{C3380CC4-5D6E-409C-BE32-E72D297353CC}">
              <c16:uniqueId val="{00000003-0F35-EB4E-BA49-0CE3067A2B20}"/>
            </c:ext>
          </c:extLst>
        </c:ser>
        <c:dLbls>
          <c:showLegendKey val="0"/>
          <c:showVal val="0"/>
          <c:showCatName val="0"/>
          <c:showSerName val="0"/>
          <c:showPercent val="0"/>
          <c:showBubbleSize val="0"/>
        </c:dLbls>
        <c:smooth val="0"/>
        <c:axId val="1289389792"/>
        <c:axId val="1574646720"/>
      </c:lineChart>
      <c:catAx>
        <c:axId val="12893897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574646720"/>
        <c:crosses val="autoZero"/>
        <c:auto val="1"/>
        <c:lblAlgn val="ctr"/>
        <c:lblOffset val="100"/>
        <c:noMultiLvlLbl val="0"/>
      </c:catAx>
      <c:valAx>
        <c:axId val="157464672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2893897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Quantité nette de CO2eq</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barChart>
        <c:barDir val="col"/>
        <c:grouping val="clustered"/>
        <c:varyColors val="0"/>
        <c:ser>
          <c:idx val="0"/>
          <c:order val="0"/>
          <c:tx>
            <c:strRef>
              <c:f>StrateA!$J$310</c:f>
              <c:strCache>
                <c:ptCount val="1"/>
                <c:pt idx="0">
                  <c:v>tCO2e_net_an</c:v>
                </c:pt>
              </c:strCache>
            </c:strRef>
          </c:tx>
          <c:spPr>
            <a:solidFill>
              <a:srgbClr val="006C4D"/>
            </a:solidFill>
            <a:ln>
              <a:noFill/>
            </a:ln>
            <a:effectLst/>
          </c:spPr>
          <c:invertIfNegative val="0"/>
          <c:val>
            <c:numRef>
              <c:f>StrateA!$J$311:$J$330</c:f>
              <c:numCache>
                <c:formatCode>0</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extLst>
            <c:ext xmlns:c16="http://schemas.microsoft.com/office/drawing/2014/chart" uri="{C3380CC4-5D6E-409C-BE32-E72D297353CC}">
              <c16:uniqueId val="{00000000-D7DD-9744-BFDC-1A7BC855B8E1}"/>
            </c:ext>
          </c:extLst>
        </c:ser>
        <c:dLbls>
          <c:showLegendKey val="0"/>
          <c:showVal val="0"/>
          <c:showCatName val="0"/>
          <c:showSerName val="0"/>
          <c:showPercent val="0"/>
          <c:showBubbleSize val="0"/>
        </c:dLbls>
        <c:gapWidth val="150"/>
        <c:axId val="2076504464"/>
        <c:axId val="2076499024"/>
      </c:barChart>
      <c:lineChart>
        <c:grouping val="standard"/>
        <c:varyColors val="0"/>
        <c:ser>
          <c:idx val="1"/>
          <c:order val="1"/>
          <c:tx>
            <c:strRef>
              <c:f>StrateA!$K$310</c:f>
              <c:strCache>
                <c:ptCount val="1"/>
                <c:pt idx="0">
                  <c:v>tCO2e_net_vente</c:v>
                </c:pt>
              </c:strCache>
            </c:strRef>
          </c:tx>
          <c:spPr>
            <a:ln w="28575" cap="rnd">
              <a:solidFill>
                <a:srgbClr val="00A81F"/>
              </a:solidFill>
              <a:round/>
            </a:ln>
            <a:effectLst/>
          </c:spPr>
          <c:marker>
            <c:symbol val="none"/>
          </c:marker>
          <c:val>
            <c:numRef>
              <c:f>StrateA!$K$311:$K$330</c:f>
              <c:numCache>
                <c:formatCode>0</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c:ext xmlns:c16="http://schemas.microsoft.com/office/drawing/2014/chart" uri="{C3380CC4-5D6E-409C-BE32-E72D297353CC}">
              <c16:uniqueId val="{00000002-D7DD-9744-BFDC-1A7BC855B8E1}"/>
            </c:ext>
          </c:extLst>
        </c:ser>
        <c:dLbls>
          <c:showLegendKey val="0"/>
          <c:showVal val="0"/>
          <c:showCatName val="0"/>
          <c:showSerName val="0"/>
          <c:showPercent val="0"/>
          <c:showBubbleSize val="0"/>
        </c:dLbls>
        <c:marker val="1"/>
        <c:smooth val="0"/>
        <c:axId val="2076504464"/>
        <c:axId val="2076499024"/>
      </c:lineChart>
      <c:catAx>
        <c:axId val="20765044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2076499024"/>
        <c:crosses val="autoZero"/>
        <c:auto val="1"/>
        <c:lblAlgn val="ctr"/>
        <c:lblOffset val="100"/>
        <c:noMultiLvlLbl val="0"/>
      </c:catAx>
      <c:valAx>
        <c:axId val="207649902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207650446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StrateA!$X$144</c:f>
              <c:strCache>
                <c:ptCount val="1"/>
                <c:pt idx="0">
                  <c:v>CO2e_ST_tot</c:v>
                </c:pt>
              </c:strCache>
            </c:strRef>
          </c:tx>
          <c:spPr>
            <a:ln w="28575" cap="rnd">
              <a:solidFill>
                <a:srgbClr val="00B050"/>
              </a:solidFill>
              <a:round/>
            </a:ln>
            <a:effectLst/>
          </c:spPr>
          <c:marker>
            <c:symbol val="none"/>
          </c:marker>
          <c:val>
            <c:numRef>
              <c:f>StrateA!$X$145:$X$164</c:f>
              <c:numCache>
                <c:formatCode>0</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c:ext xmlns:c16="http://schemas.microsoft.com/office/drawing/2014/chart" uri="{C3380CC4-5D6E-409C-BE32-E72D297353CC}">
              <c16:uniqueId val="{00000000-7332-4D41-B2E3-2F814AD9EDDD}"/>
            </c:ext>
          </c:extLst>
        </c:ser>
        <c:dLbls>
          <c:showLegendKey val="0"/>
          <c:showVal val="0"/>
          <c:showCatName val="0"/>
          <c:showSerName val="0"/>
          <c:showPercent val="0"/>
          <c:showBubbleSize val="0"/>
        </c:dLbls>
        <c:smooth val="0"/>
        <c:axId val="765502480"/>
        <c:axId val="765504160"/>
      </c:lineChart>
      <c:catAx>
        <c:axId val="7655024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Geomanist Regular" panose="02000503000000020004" pitchFamily="2" charset="77"/>
                <a:ea typeface="+mn-ea"/>
                <a:cs typeface="+mn-cs"/>
              </a:defRPr>
            </a:pPr>
            <a:endParaRPr lang="fr-FR"/>
          </a:p>
        </c:txPr>
        <c:crossAx val="765504160"/>
        <c:crosses val="autoZero"/>
        <c:auto val="1"/>
        <c:lblAlgn val="ctr"/>
        <c:lblOffset val="100"/>
        <c:noMultiLvlLbl val="0"/>
      </c:catAx>
      <c:valAx>
        <c:axId val="76550416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Geomanist Regular" panose="02000503000000020004" pitchFamily="2" charset="77"/>
                <a:ea typeface="+mn-ea"/>
                <a:cs typeface="+mn-cs"/>
              </a:defRPr>
            </a:pPr>
            <a:endParaRPr lang="fr-FR"/>
          </a:p>
        </c:txPr>
        <c:crossAx val="76550248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b="0" i="0">
          <a:latin typeface="Geomanist Regular" panose="02000503000000020004" pitchFamily="2" charset="77"/>
        </a:defRPr>
      </a:pPr>
      <a:endParaRPr lang="fr-FR"/>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Séquestration Jeunes peuplements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lineChart>
        <c:grouping val="standard"/>
        <c:varyColors val="0"/>
        <c:ser>
          <c:idx val="0"/>
          <c:order val="0"/>
          <c:tx>
            <c:strRef>
              <c:f>StrateA!$D$284</c:f>
              <c:strCache>
                <c:ptCount val="1"/>
                <c:pt idx="0">
                  <c:v>JP_REF_CO2e</c:v>
                </c:pt>
              </c:strCache>
            </c:strRef>
          </c:tx>
          <c:spPr>
            <a:ln w="28575" cap="rnd">
              <a:solidFill>
                <a:srgbClr val="5A5C5E"/>
              </a:solidFill>
              <a:round/>
            </a:ln>
            <a:effectLst/>
          </c:spPr>
          <c:marker>
            <c:symbol val="none"/>
          </c:marker>
          <c:val>
            <c:numRef>
              <c:f>StrateA!$D$285:$D$304</c:f>
              <c:numCache>
                <c:formatCode>0</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c:ext xmlns:c16="http://schemas.microsoft.com/office/drawing/2014/chart" uri="{C3380CC4-5D6E-409C-BE32-E72D297353CC}">
              <c16:uniqueId val="{00000000-6483-6D4C-AB8A-9611FF193778}"/>
            </c:ext>
          </c:extLst>
        </c:ser>
        <c:ser>
          <c:idx val="1"/>
          <c:order val="1"/>
          <c:tx>
            <c:strRef>
              <c:f>StrateA!$G$284</c:f>
              <c:strCache>
                <c:ptCount val="1"/>
                <c:pt idx="0">
                  <c:v>JP_PRJ_CO2e</c:v>
                </c:pt>
              </c:strCache>
            </c:strRef>
          </c:tx>
          <c:spPr>
            <a:ln w="28575" cap="rnd">
              <a:solidFill>
                <a:srgbClr val="00A81F"/>
              </a:solidFill>
              <a:round/>
            </a:ln>
            <a:effectLst/>
          </c:spPr>
          <c:marker>
            <c:symbol val="none"/>
          </c:marker>
          <c:val>
            <c:numRef>
              <c:f>StrateA!$G$285:$G$304</c:f>
              <c:numCache>
                <c:formatCode>0</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c:ext xmlns:c16="http://schemas.microsoft.com/office/drawing/2014/chart" uri="{C3380CC4-5D6E-409C-BE32-E72D297353CC}">
              <c16:uniqueId val="{00000001-6483-6D4C-AB8A-9611FF193778}"/>
            </c:ext>
          </c:extLst>
        </c:ser>
        <c:dLbls>
          <c:showLegendKey val="0"/>
          <c:showVal val="0"/>
          <c:showCatName val="0"/>
          <c:showSerName val="0"/>
          <c:showPercent val="0"/>
          <c:showBubbleSize val="0"/>
        </c:dLbls>
        <c:smooth val="0"/>
        <c:axId val="2012712032"/>
        <c:axId val="1852773392"/>
      </c:lineChart>
      <c:catAx>
        <c:axId val="20127120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852773392"/>
        <c:crosses val="autoZero"/>
        <c:auto val="1"/>
        <c:lblAlgn val="ctr"/>
        <c:lblOffset val="100"/>
        <c:noMultiLvlLbl val="0"/>
      </c:catAx>
      <c:valAx>
        <c:axId val="18527733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201271203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Evolution de la quantité de bois (m3) dans le</a:t>
            </a:r>
            <a:r>
              <a:rPr lang="fr-FR" baseline="0"/>
              <a:t> ppt adulte</a:t>
            </a:r>
            <a:endParaRPr lang="fr-F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lineChart>
        <c:grouping val="standard"/>
        <c:varyColors val="0"/>
        <c:ser>
          <c:idx val="0"/>
          <c:order val="0"/>
          <c:tx>
            <c:strRef>
              <c:f>StrateA!$F$393</c:f>
              <c:strCache>
                <c:ptCount val="1"/>
                <c:pt idx="0">
                  <c:v>Vol_tot_Référence</c:v>
                </c:pt>
              </c:strCache>
            </c:strRef>
          </c:tx>
          <c:spPr>
            <a:ln w="28575" cap="rnd">
              <a:solidFill>
                <a:srgbClr val="5A5C5E"/>
              </a:solidFill>
              <a:round/>
            </a:ln>
            <a:effectLst/>
          </c:spPr>
          <c:marker>
            <c:symbol val="none"/>
          </c:marker>
          <c:cat>
            <c:numRef>
              <c:f>StrateA!$A$394:$A$413</c:f>
              <c:numCache>
                <c:formatCode>General</c:formatCode>
                <c:ptCount val="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numCache>
            </c:numRef>
          </c:cat>
          <c:val>
            <c:numRef>
              <c:f>StrateA!$F$394:$F$413</c:f>
              <c:numCache>
                <c:formatCode>#,##0</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c:ext xmlns:c16="http://schemas.microsoft.com/office/drawing/2014/chart" uri="{C3380CC4-5D6E-409C-BE32-E72D297353CC}">
              <c16:uniqueId val="{00000000-AEEC-5E4F-A965-F3A423AC6FEA}"/>
            </c:ext>
          </c:extLst>
        </c:ser>
        <c:ser>
          <c:idx val="1"/>
          <c:order val="1"/>
          <c:tx>
            <c:strRef>
              <c:f>StrateA!$G$393</c:f>
              <c:strCache>
                <c:ptCount val="1"/>
                <c:pt idx="0">
                  <c:v>Vol_tot_Projet</c:v>
                </c:pt>
              </c:strCache>
            </c:strRef>
          </c:tx>
          <c:spPr>
            <a:ln w="28575" cap="rnd">
              <a:solidFill>
                <a:srgbClr val="00A81F"/>
              </a:solidFill>
              <a:round/>
            </a:ln>
            <a:effectLst/>
          </c:spPr>
          <c:marker>
            <c:symbol val="none"/>
          </c:marker>
          <c:cat>
            <c:numRef>
              <c:f>StrateA!$A$394:$A$413</c:f>
              <c:numCache>
                <c:formatCode>General</c:formatCode>
                <c:ptCount val="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numCache>
            </c:numRef>
          </c:cat>
          <c:val>
            <c:numRef>
              <c:f>StrateA!$G$394:$G$413</c:f>
              <c:numCache>
                <c:formatCode>#,##0</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c:ext xmlns:c16="http://schemas.microsoft.com/office/drawing/2014/chart" uri="{C3380CC4-5D6E-409C-BE32-E72D297353CC}">
              <c16:uniqueId val="{00000001-AEEC-5E4F-A965-F3A423AC6FEA}"/>
            </c:ext>
          </c:extLst>
        </c:ser>
        <c:ser>
          <c:idx val="2"/>
          <c:order val="2"/>
          <c:tx>
            <c:strRef>
              <c:f>StrateA!$B$393</c:f>
              <c:strCache>
                <c:ptCount val="1"/>
                <c:pt idx="0">
                  <c:v>Vol_non récoltable</c:v>
                </c:pt>
              </c:strCache>
            </c:strRef>
          </c:tx>
          <c:spPr>
            <a:ln w="28575" cap="rnd">
              <a:solidFill>
                <a:schemeClr val="accent3"/>
              </a:solidFill>
              <a:prstDash val="sysDot"/>
              <a:round/>
            </a:ln>
            <a:effectLst/>
          </c:spPr>
          <c:marker>
            <c:symbol val="none"/>
          </c:marker>
          <c:cat>
            <c:numRef>
              <c:f>StrateA!$A$394:$A$413</c:f>
              <c:numCache>
                <c:formatCode>General</c:formatCode>
                <c:ptCount val="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numCache>
            </c:numRef>
          </c:cat>
          <c:val>
            <c:numRef>
              <c:f>StrateA!$B$394:$B$413</c:f>
              <c:numCache>
                <c:formatCode>#,##0</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c:ext xmlns:c16="http://schemas.microsoft.com/office/drawing/2014/chart" uri="{C3380CC4-5D6E-409C-BE32-E72D297353CC}">
              <c16:uniqueId val="{00000003-AEEC-5E4F-A965-F3A423AC6FEA}"/>
            </c:ext>
          </c:extLst>
        </c:ser>
        <c:ser>
          <c:idx val="3"/>
          <c:order val="3"/>
          <c:tx>
            <c:strRef>
              <c:f>StrateA!$C$393</c:f>
              <c:strCache>
                <c:ptCount val="1"/>
                <c:pt idx="0">
                  <c:v>Vol_non prélevable</c:v>
                </c:pt>
              </c:strCache>
            </c:strRef>
          </c:tx>
          <c:spPr>
            <a:ln w="28575" cap="rnd">
              <a:solidFill>
                <a:schemeClr val="accent4"/>
              </a:solidFill>
              <a:prstDash val="sysDot"/>
              <a:round/>
            </a:ln>
            <a:effectLst/>
          </c:spPr>
          <c:marker>
            <c:symbol val="none"/>
          </c:marker>
          <c:val>
            <c:numRef>
              <c:f>StrateA!$C$394:$C$413</c:f>
              <c:numCache>
                <c:formatCode>#,##0</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c:ext xmlns:c16="http://schemas.microsoft.com/office/drawing/2014/chart" uri="{C3380CC4-5D6E-409C-BE32-E72D297353CC}">
              <c16:uniqueId val="{00000000-FBD2-B34B-928C-0ACF5CC738B4}"/>
            </c:ext>
          </c:extLst>
        </c:ser>
        <c:dLbls>
          <c:showLegendKey val="0"/>
          <c:showVal val="0"/>
          <c:showCatName val="0"/>
          <c:showSerName val="0"/>
          <c:showPercent val="0"/>
          <c:showBubbleSize val="0"/>
        </c:dLbls>
        <c:smooth val="0"/>
        <c:axId val="1289389792"/>
        <c:axId val="1574646720"/>
      </c:lineChart>
      <c:catAx>
        <c:axId val="12893897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574646720"/>
        <c:crosses val="autoZero"/>
        <c:auto val="1"/>
        <c:lblAlgn val="ctr"/>
        <c:lblOffset val="100"/>
        <c:noMultiLvlLbl val="0"/>
      </c:catAx>
      <c:valAx>
        <c:axId val="157464672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2893897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chart" Target="../charts/chart12.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1.xml"/><Relationship Id="rId13" Type="http://schemas.openxmlformats.org/officeDocument/2006/relationships/chart" Target="../charts/chart26.xml"/><Relationship Id="rId3" Type="http://schemas.openxmlformats.org/officeDocument/2006/relationships/chart" Target="../charts/chart16.xml"/><Relationship Id="rId7" Type="http://schemas.openxmlformats.org/officeDocument/2006/relationships/chart" Target="../charts/chart20.xml"/><Relationship Id="rId12" Type="http://schemas.openxmlformats.org/officeDocument/2006/relationships/chart" Target="../charts/chart25.xml"/><Relationship Id="rId2" Type="http://schemas.openxmlformats.org/officeDocument/2006/relationships/chart" Target="../charts/chart15.xml"/><Relationship Id="rId1" Type="http://schemas.openxmlformats.org/officeDocument/2006/relationships/chart" Target="../charts/chart14.xml"/><Relationship Id="rId6" Type="http://schemas.openxmlformats.org/officeDocument/2006/relationships/chart" Target="../charts/chart19.xml"/><Relationship Id="rId11" Type="http://schemas.openxmlformats.org/officeDocument/2006/relationships/chart" Target="../charts/chart24.xml"/><Relationship Id="rId5" Type="http://schemas.openxmlformats.org/officeDocument/2006/relationships/chart" Target="../charts/chart18.xml"/><Relationship Id="rId10" Type="http://schemas.openxmlformats.org/officeDocument/2006/relationships/chart" Target="../charts/chart23.xml"/><Relationship Id="rId4" Type="http://schemas.openxmlformats.org/officeDocument/2006/relationships/chart" Target="../charts/chart17.xml"/><Relationship Id="rId9" Type="http://schemas.openxmlformats.org/officeDocument/2006/relationships/chart" Target="../charts/chart22.xml"/></Relationships>
</file>

<file path=xl/drawings/_rels/drawing4.xml.rels><?xml version="1.0" encoding="UTF-8" standalone="yes"?>
<Relationships xmlns="http://schemas.openxmlformats.org/package/2006/relationships"><Relationship Id="rId8" Type="http://schemas.openxmlformats.org/officeDocument/2006/relationships/chart" Target="../charts/chart34.xml"/><Relationship Id="rId13" Type="http://schemas.openxmlformats.org/officeDocument/2006/relationships/chart" Target="../charts/chart39.xml"/><Relationship Id="rId3" Type="http://schemas.openxmlformats.org/officeDocument/2006/relationships/chart" Target="../charts/chart29.xml"/><Relationship Id="rId7" Type="http://schemas.openxmlformats.org/officeDocument/2006/relationships/chart" Target="../charts/chart33.xml"/><Relationship Id="rId12" Type="http://schemas.openxmlformats.org/officeDocument/2006/relationships/chart" Target="../charts/chart38.xml"/><Relationship Id="rId2" Type="http://schemas.openxmlformats.org/officeDocument/2006/relationships/chart" Target="../charts/chart28.xml"/><Relationship Id="rId1" Type="http://schemas.openxmlformats.org/officeDocument/2006/relationships/chart" Target="../charts/chart27.xml"/><Relationship Id="rId6" Type="http://schemas.openxmlformats.org/officeDocument/2006/relationships/chart" Target="../charts/chart32.xml"/><Relationship Id="rId11" Type="http://schemas.openxmlformats.org/officeDocument/2006/relationships/chart" Target="../charts/chart37.xml"/><Relationship Id="rId5" Type="http://schemas.openxmlformats.org/officeDocument/2006/relationships/chart" Target="../charts/chart31.xml"/><Relationship Id="rId10" Type="http://schemas.openxmlformats.org/officeDocument/2006/relationships/chart" Target="../charts/chart36.xml"/><Relationship Id="rId4" Type="http://schemas.openxmlformats.org/officeDocument/2006/relationships/chart" Target="../charts/chart30.xml"/><Relationship Id="rId9" Type="http://schemas.openxmlformats.org/officeDocument/2006/relationships/chart" Target="../charts/chart35.xml"/></Relationships>
</file>

<file path=xl/drawings/_rels/drawing5.xml.rels><?xml version="1.0" encoding="UTF-8" standalone="yes"?>
<Relationships xmlns="http://schemas.openxmlformats.org/package/2006/relationships"><Relationship Id="rId8" Type="http://schemas.openxmlformats.org/officeDocument/2006/relationships/chart" Target="../charts/chart47.xml"/><Relationship Id="rId13" Type="http://schemas.openxmlformats.org/officeDocument/2006/relationships/chart" Target="../charts/chart52.xml"/><Relationship Id="rId3" Type="http://schemas.openxmlformats.org/officeDocument/2006/relationships/chart" Target="../charts/chart42.xml"/><Relationship Id="rId7" Type="http://schemas.openxmlformats.org/officeDocument/2006/relationships/chart" Target="../charts/chart46.xml"/><Relationship Id="rId12" Type="http://schemas.openxmlformats.org/officeDocument/2006/relationships/chart" Target="../charts/chart51.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11" Type="http://schemas.openxmlformats.org/officeDocument/2006/relationships/chart" Target="../charts/chart50.xml"/><Relationship Id="rId5" Type="http://schemas.openxmlformats.org/officeDocument/2006/relationships/chart" Target="../charts/chart44.xml"/><Relationship Id="rId10" Type="http://schemas.openxmlformats.org/officeDocument/2006/relationships/chart" Target="../charts/chart49.xml"/><Relationship Id="rId4" Type="http://schemas.openxmlformats.org/officeDocument/2006/relationships/chart" Target="../charts/chart43.xml"/><Relationship Id="rId9" Type="http://schemas.openxmlformats.org/officeDocument/2006/relationships/chart" Target="../charts/chart48.xml"/></Relationships>
</file>

<file path=xl/drawings/drawing1.xml><?xml version="1.0" encoding="utf-8"?>
<xdr:wsDr xmlns:xdr="http://schemas.openxmlformats.org/drawingml/2006/spreadsheetDrawing" xmlns:a="http://schemas.openxmlformats.org/drawingml/2006/main">
  <xdr:twoCellAnchor editAs="oneCell">
    <xdr:from>
      <xdr:col>0</xdr:col>
      <xdr:colOff>218180</xdr:colOff>
      <xdr:row>1</xdr:row>
      <xdr:rowOff>2171</xdr:rowOff>
    </xdr:from>
    <xdr:to>
      <xdr:col>1</xdr:col>
      <xdr:colOff>606683</xdr:colOff>
      <xdr:row>5</xdr:row>
      <xdr:rowOff>162278</xdr:rowOff>
    </xdr:to>
    <xdr:pic>
      <xdr:nvPicPr>
        <xdr:cNvPr id="3" name="Image 2">
          <a:extLst>
            <a:ext uri="{FF2B5EF4-FFF2-40B4-BE49-F238E27FC236}">
              <a16:creationId xmlns:a16="http://schemas.microsoft.com/office/drawing/2014/main" id="{135AF281-C528-78D5-D13E-3CB3AA8311CB}"/>
            </a:ext>
          </a:extLst>
        </xdr:cNvPr>
        <xdr:cNvPicPr>
          <a:picLocks noChangeAspect="1"/>
        </xdr:cNvPicPr>
      </xdr:nvPicPr>
      <xdr:blipFill>
        <a:blip xmlns:r="http://schemas.openxmlformats.org/officeDocument/2006/relationships" r:embed="rId1"/>
        <a:stretch>
          <a:fillRect/>
        </a:stretch>
      </xdr:blipFill>
      <xdr:spPr>
        <a:xfrm>
          <a:off x="218180" y="206782"/>
          <a:ext cx="1058781" cy="104910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21</xdr:col>
      <xdr:colOff>491068</xdr:colOff>
      <xdr:row>299</xdr:row>
      <xdr:rowOff>1</xdr:rowOff>
    </xdr:from>
    <xdr:to>
      <xdr:col>27</xdr:col>
      <xdr:colOff>524933</xdr:colOff>
      <xdr:row>314</xdr:row>
      <xdr:rowOff>156633</xdr:rowOff>
    </xdr:to>
    <xdr:graphicFrame macro="">
      <xdr:nvGraphicFramePr>
        <xdr:cNvPr id="2" name="Graphique 1">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21</xdr:col>
      <xdr:colOff>486833</xdr:colOff>
      <xdr:row>282</xdr:row>
      <xdr:rowOff>182034</xdr:rowOff>
    </xdr:from>
    <xdr:to>
      <xdr:col>27</xdr:col>
      <xdr:colOff>482601</xdr:colOff>
      <xdr:row>298</xdr:row>
      <xdr:rowOff>118534</xdr:rowOff>
    </xdr:to>
    <xdr:graphicFrame macro="">
      <xdr:nvGraphicFramePr>
        <xdr:cNvPr id="3" name="Graphique 2">
          <a:extLst>
            <a:ext uri="{FF2B5EF4-FFF2-40B4-BE49-F238E27FC236}">
              <a16:creationId xmlns:a16="http://schemas.microsoft.com/office/drawing/2014/main" id="{00000000-0008-0000-0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26</xdr:col>
      <xdr:colOff>317802</xdr:colOff>
      <xdr:row>97</xdr:row>
      <xdr:rowOff>86481</xdr:rowOff>
    </xdr:from>
    <xdr:to>
      <xdr:col>31</xdr:col>
      <xdr:colOff>766233</xdr:colOff>
      <xdr:row>110</xdr:row>
      <xdr:rowOff>181429</xdr:rowOff>
    </xdr:to>
    <xdr:graphicFrame macro="">
      <xdr:nvGraphicFramePr>
        <xdr:cNvPr id="4" name="Graphique 3">
          <a:extLst>
            <a:ext uri="{FF2B5EF4-FFF2-40B4-BE49-F238E27FC236}">
              <a16:creationId xmlns:a16="http://schemas.microsoft.com/office/drawing/2014/main" id="{00000000-0008-0000-06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26</xdr:col>
      <xdr:colOff>623859</xdr:colOff>
      <xdr:row>213</xdr:row>
      <xdr:rowOff>65506</xdr:rowOff>
    </xdr:from>
    <xdr:to>
      <xdr:col>31</xdr:col>
      <xdr:colOff>185375</xdr:colOff>
      <xdr:row>226</xdr:row>
      <xdr:rowOff>164433</xdr:rowOff>
    </xdr:to>
    <xdr:graphicFrame macro="">
      <xdr:nvGraphicFramePr>
        <xdr:cNvPr id="5" name="Graphique 4">
          <a:extLst>
            <a:ext uri="{FF2B5EF4-FFF2-40B4-BE49-F238E27FC236}">
              <a16:creationId xmlns:a16="http://schemas.microsoft.com/office/drawing/2014/main" id="{00000000-0008-0000-06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15</xdr:col>
      <xdr:colOff>579376</xdr:colOff>
      <xdr:row>282</xdr:row>
      <xdr:rowOff>198474</xdr:rowOff>
    </xdr:from>
    <xdr:to>
      <xdr:col>20</xdr:col>
      <xdr:colOff>524933</xdr:colOff>
      <xdr:row>298</xdr:row>
      <xdr:rowOff>135467</xdr:rowOff>
    </xdr:to>
    <xdr:graphicFrame macro="">
      <xdr:nvGraphicFramePr>
        <xdr:cNvPr id="6" name="Graphique 5">
          <a:extLst>
            <a:ext uri="{FF2B5EF4-FFF2-40B4-BE49-F238E27FC236}">
              <a16:creationId xmlns:a16="http://schemas.microsoft.com/office/drawing/2014/main" id="{00000000-0008-0000-06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364065</xdr:colOff>
      <xdr:row>311</xdr:row>
      <xdr:rowOff>190500</xdr:rowOff>
    </xdr:from>
    <xdr:to>
      <xdr:col>15</xdr:col>
      <xdr:colOff>524933</xdr:colOff>
      <xdr:row>326</xdr:row>
      <xdr:rowOff>186266</xdr:rowOff>
    </xdr:to>
    <xdr:graphicFrame macro="">
      <xdr:nvGraphicFramePr>
        <xdr:cNvPr id="7" name="Graphique 6">
          <a:extLst>
            <a:ext uri="{FF2B5EF4-FFF2-40B4-BE49-F238E27FC236}">
              <a16:creationId xmlns:a16="http://schemas.microsoft.com/office/drawing/2014/main" id="{00000000-0008-0000-06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24</xdr:col>
      <xdr:colOff>381000</xdr:colOff>
      <xdr:row>145</xdr:row>
      <xdr:rowOff>10583</xdr:rowOff>
    </xdr:from>
    <xdr:to>
      <xdr:col>30</xdr:col>
      <xdr:colOff>355600</xdr:colOff>
      <xdr:row>159</xdr:row>
      <xdr:rowOff>182033</xdr:rowOff>
    </xdr:to>
    <xdr:graphicFrame macro="">
      <xdr:nvGraphicFramePr>
        <xdr:cNvPr id="12" name="Graphique 11">
          <a:extLst>
            <a:ext uri="{FF2B5EF4-FFF2-40B4-BE49-F238E27FC236}">
              <a16:creationId xmlns:a16="http://schemas.microsoft.com/office/drawing/2014/main" id="{E7780883-AABC-A589-2997-F45CC8FEB9E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15</xdr:col>
      <xdr:colOff>579967</xdr:colOff>
      <xdr:row>299</xdr:row>
      <xdr:rowOff>1</xdr:rowOff>
    </xdr:from>
    <xdr:to>
      <xdr:col>21</xdr:col>
      <xdr:colOff>389465</xdr:colOff>
      <xdr:row>314</xdr:row>
      <xdr:rowOff>156634</xdr:rowOff>
    </xdr:to>
    <xdr:graphicFrame macro="">
      <xdr:nvGraphicFramePr>
        <xdr:cNvPr id="9" name="Graphique 8">
          <a:extLst>
            <a:ext uri="{FF2B5EF4-FFF2-40B4-BE49-F238E27FC236}">
              <a16:creationId xmlns:a16="http://schemas.microsoft.com/office/drawing/2014/main" id="{0620B68C-6D2A-C94E-B32E-9E3113CF3C1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334276</xdr:colOff>
      <xdr:row>392</xdr:row>
      <xdr:rowOff>73378</xdr:rowOff>
    </xdr:from>
    <xdr:to>
      <xdr:col>12</xdr:col>
      <xdr:colOff>932587</xdr:colOff>
      <xdr:row>411</xdr:row>
      <xdr:rowOff>98938</xdr:rowOff>
    </xdr:to>
    <xdr:graphicFrame macro="">
      <xdr:nvGraphicFramePr>
        <xdr:cNvPr id="10" name="Graphique 9">
          <a:extLst>
            <a:ext uri="{FF2B5EF4-FFF2-40B4-BE49-F238E27FC236}">
              <a16:creationId xmlns:a16="http://schemas.microsoft.com/office/drawing/2014/main" id="{F0807268-0497-CBF9-86B7-08A5396B98F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45</xdr:col>
      <xdr:colOff>482600</xdr:colOff>
      <xdr:row>61</xdr:row>
      <xdr:rowOff>135467</xdr:rowOff>
    </xdr:from>
    <xdr:to>
      <xdr:col>50</xdr:col>
      <xdr:colOff>821267</xdr:colOff>
      <xdr:row>75</xdr:row>
      <xdr:rowOff>33867</xdr:rowOff>
    </xdr:to>
    <xdr:graphicFrame macro="">
      <xdr:nvGraphicFramePr>
        <xdr:cNvPr id="8" name="Graphique 7">
          <a:extLst>
            <a:ext uri="{FF2B5EF4-FFF2-40B4-BE49-F238E27FC236}">
              <a16:creationId xmlns:a16="http://schemas.microsoft.com/office/drawing/2014/main" id="{E1BD65A6-3F34-EF75-C8D2-EF5183EAF11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45</xdr:col>
      <xdr:colOff>601133</xdr:colOff>
      <xdr:row>178</xdr:row>
      <xdr:rowOff>50800</xdr:rowOff>
    </xdr:from>
    <xdr:to>
      <xdr:col>51</xdr:col>
      <xdr:colOff>93133</xdr:colOff>
      <xdr:row>191</xdr:row>
      <xdr:rowOff>152400</xdr:rowOff>
    </xdr:to>
    <xdr:graphicFrame macro="">
      <xdr:nvGraphicFramePr>
        <xdr:cNvPr id="11" name="Graphique 10">
          <a:extLst>
            <a:ext uri="{FF2B5EF4-FFF2-40B4-BE49-F238E27FC236}">
              <a16:creationId xmlns:a16="http://schemas.microsoft.com/office/drawing/2014/main" id="{BEE8E547-BA8C-04E3-C203-BE508297DA8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4</xdr:col>
      <xdr:colOff>465666</xdr:colOff>
      <xdr:row>345</xdr:row>
      <xdr:rowOff>33867</xdr:rowOff>
    </xdr:from>
    <xdr:to>
      <xdr:col>9</xdr:col>
      <xdr:colOff>186266</xdr:colOff>
      <xdr:row>365</xdr:row>
      <xdr:rowOff>33867</xdr:rowOff>
    </xdr:to>
    <xdr:graphicFrame macro="">
      <xdr:nvGraphicFramePr>
        <xdr:cNvPr id="13" name="Graphique 12">
          <a:extLst>
            <a:ext uri="{FF2B5EF4-FFF2-40B4-BE49-F238E27FC236}">
              <a16:creationId xmlns:a16="http://schemas.microsoft.com/office/drawing/2014/main" id="{6E2E8228-3E00-E2D3-660F-1D2F7A4F303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7</xdr:col>
      <xdr:colOff>254000</xdr:colOff>
      <xdr:row>415</xdr:row>
      <xdr:rowOff>155222</xdr:rowOff>
    </xdr:from>
    <xdr:to>
      <xdr:col>12</xdr:col>
      <xdr:colOff>852311</xdr:colOff>
      <xdr:row>434</xdr:row>
      <xdr:rowOff>180782</xdr:rowOff>
    </xdr:to>
    <xdr:graphicFrame macro="">
      <xdr:nvGraphicFramePr>
        <xdr:cNvPr id="14" name="Graphique 13">
          <a:extLst>
            <a:ext uri="{FF2B5EF4-FFF2-40B4-BE49-F238E27FC236}">
              <a16:creationId xmlns:a16="http://schemas.microsoft.com/office/drawing/2014/main" id="{101CFC4A-86F1-EA4B-BDC6-BBA49527CF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21</xdr:col>
      <xdr:colOff>491068</xdr:colOff>
      <xdr:row>299</xdr:row>
      <xdr:rowOff>1</xdr:rowOff>
    </xdr:from>
    <xdr:to>
      <xdr:col>27</xdr:col>
      <xdr:colOff>524933</xdr:colOff>
      <xdr:row>314</xdr:row>
      <xdr:rowOff>156633</xdr:rowOff>
    </xdr:to>
    <xdr:graphicFrame macro="">
      <xdr:nvGraphicFramePr>
        <xdr:cNvPr id="2" name="Graphique 1">
          <a:extLst>
            <a:ext uri="{FF2B5EF4-FFF2-40B4-BE49-F238E27FC236}">
              <a16:creationId xmlns:a16="http://schemas.microsoft.com/office/drawing/2014/main" id="{17F075AA-C73F-8643-B798-53E10BBA62E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21</xdr:col>
      <xdr:colOff>486833</xdr:colOff>
      <xdr:row>282</xdr:row>
      <xdr:rowOff>182034</xdr:rowOff>
    </xdr:from>
    <xdr:to>
      <xdr:col>27</xdr:col>
      <xdr:colOff>482601</xdr:colOff>
      <xdr:row>298</xdr:row>
      <xdr:rowOff>118534</xdr:rowOff>
    </xdr:to>
    <xdr:graphicFrame macro="">
      <xdr:nvGraphicFramePr>
        <xdr:cNvPr id="3" name="Graphique 2">
          <a:extLst>
            <a:ext uri="{FF2B5EF4-FFF2-40B4-BE49-F238E27FC236}">
              <a16:creationId xmlns:a16="http://schemas.microsoft.com/office/drawing/2014/main" id="{B8102C24-259E-9344-A1C9-A9701F7611C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26</xdr:col>
      <xdr:colOff>317802</xdr:colOff>
      <xdr:row>97</xdr:row>
      <xdr:rowOff>86481</xdr:rowOff>
    </xdr:from>
    <xdr:to>
      <xdr:col>31</xdr:col>
      <xdr:colOff>766233</xdr:colOff>
      <xdr:row>110</xdr:row>
      <xdr:rowOff>181429</xdr:rowOff>
    </xdr:to>
    <xdr:graphicFrame macro="">
      <xdr:nvGraphicFramePr>
        <xdr:cNvPr id="4" name="Graphique 3">
          <a:extLst>
            <a:ext uri="{FF2B5EF4-FFF2-40B4-BE49-F238E27FC236}">
              <a16:creationId xmlns:a16="http://schemas.microsoft.com/office/drawing/2014/main" id="{5D0C82D4-0D08-464E-87CF-25D9CC7F86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26</xdr:col>
      <xdr:colOff>623859</xdr:colOff>
      <xdr:row>213</xdr:row>
      <xdr:rowOff>65506</xdr:rowOff>
    </xdr:from>
    <xdr:to>
      <xdr:col>31</xdr:col>
      <xdr:colOff>185375</xdr:colOff>
      <xdr:row>226</xdr:row>
      <xdr:rowOff>164433</xdr:rowOff>
    </xdr:to>
    <xdr:graphicFrame macro="">
      <xdr:nvGraphicFramePr>
        <xdr:cNvPr id="5" name="Graphique 4">
          <a:extLst>
            <a:ext uri="{FF2B5EF4-FFF2-40B4-BE49-F238E27FC236}">
              <a16:creationId xmlns:a16="http://schemas.microsoft.com/office/drawing/2014/main" id="{AB3C4C15-E396-FD41-ADF2-651287D7A7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15</xdr:col>
      <xdr:colOff>579376</xdr:colOff>
      <xdr:row>282</xdr:row>
      <xdr:rowOff>198474</xdr:rowOff>
    </xdr:from>
    <xdr:to>
      <xdr:col>20</xdr:col>
      <xdr:colOff>524933</xdr:colOff>
      <xdr:row>298</xdr:row>
      <xdr:rowOff>135467</xdr:rowOff>
    </xdr:to>
    <xdr:graphicFrame macro="">
      <xdr:nvGraphicFramePr>
        <xdr:cNvPr id="6" name="Graphique 5">
          <a:extLst>
            <a:ext uri="{FF2B5EF4-FFF2-40B4-BE49-F238E27FC236}">
              <a16:creationId xmlns:a16="http://schemas.microsoft.com/office/drawing/2014/main" id="{38E8D7EF-1FB0-154B-8533-E070AABD5D6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364065</xdr:colOff>
      <xdr:row>311</xdr:row>
      <xdr:rowOff>190500</xdr:rowOff>
    </xdr:from>
    <xdr:to>
      <xdr:col>15</xdr:col>
      <xdr:colOff>524933</xdr:colOff>
      <xdr:row>326</xdr:row>
      <xdr:rowOff>186266</xdr:rowOff>
    </xdr:to>
    <xdr:graphicFrame macro="">
      <xdr:nvGraphicFramePr>
        <xdr:cNvPr id="7" name="Graphique 6">
          <a:extLst>
            <a:ext uri="{FF2B5EF4-FFF2-40B4-BE49-F238E27FC236}">
              <a16:creationId xmlns:a16="http://schemas.microsoft.com/office/drawing/2014/main" id="{B4834FF8-7373-154C-A7F6-1C92040CF1D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24</xdr:col>
      <xdr:colOff>381000</xdr:colOff>
      <xdr:row>145</xdr:row>
      <xdr:rowOff>10583</xdr:rowOff>
    </xdr:from>
    <xdr:to>
      <xdr:col>30</xdr:col>
      <xdr:colOff>355600</xdr:colOff>
      <xdr:row>159</xdr:row>
      <xdr:rowOff>182033</xdr:rowOff>
    </xdr:to>
    <xdr:graphicFrame macro="">
      <xdr:nvGraphicFramePr>
        <xdr:cNvPr id="8" name="Graphique 7">
          <a:extLst>
            <a:ext uri="{FF2B5EF4-FFF2-40B4-BE49-F238E27FC236}">
              <a16:creationId xmlns:a16="http://schemas.microsoft.com/office/drawing/2014/main" id="{46DCA8E1-C637-B845-9D5B-009019F0074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15</xdr:col>
      <xdr:colOff>579967</xdr:colOff>
      <xdr:row>299</xdr:row>
      <xdr:rowOff>1</xdr:rowOff>
    </xdr:from>
    <xdr:to>
      <xdr:col>21</xdr:col>
      <xdr:colOff>389465</xdr:colOff>
      <xdr:row>314</xdr:row>
      <xdr:rowOff>156634</xdr:rowOff>
    </xdr:to>
    <xdr:graphicFrame macro="">
      <xdr:nvGraphicFramePr>
        <xdr:cNvPr id="9" name="Graphique 8">
          <a:extLst>
            <a:ext uri="{FF2B5EF4-FFF2-40B4-BE49-F238E27FC236}">
              <a16:creationId xmlns:a16="http://schemas.microsoft.com/office/drawing/2014/main" id="{938BC561-7BDF-A141-B9A3-E3E12949BC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334276</xdr:colOff>
      <xdr:row>392</xdr:row>
      <xdr:rowOff>73378</xdr:rowOff>
    </xdr:from>
    <xdr:to>
      <xdr:col>12</xdr:col>
      <xdr:colOff>932587</xdr:colOff>
      <xdr:row>411</xdr:row>
      <xdr:rowOff>98938</xdr:rowOff>
    </xdr:to>
    <xdr:graphicFrame macro="">
      <xdr:nvGraphicFramePr>
        <xdr:cNvPr id="10" name="Graphique 9">
          <a:extLst>
            <a:ext uri="{FF2B5EF4-FFF2-40B4-BE49-F238E27FC236}">
              <a16:creationId xmlns:a16="http://schemas.microsoft.com/office/drawing/2014/main" id="{FCC7172E-25B5-F04E-A037-D860E27CA3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45</xdr:col>
      <xdr:colOff>482600</xdr:colOff>
      <xdr:row>61</xdr:row>
      <xdr:rowOff>135467</xdr:rowOff>
    </xdr:from>
    <xdr:to>
      <xdr:col>50</xdr:col>
      <xdr:colOff>821267</xdr:colOff>
      <xdr:row>75</xdr:row>
      <xdr:rowOff>33867</xdr:rowOff>
    </xdr:to>
    <xdr:graphicFrame macro="">
      <xdr:nvGraphicFramePr>
        <xdr:cNvPr id="11" name="Graphique 10">
          <a:extLst>
            <a:ext uri="{FF2B5EF4-FFF2-40B4-BE49-F238E27FC236}">
              <a16:creationId xmlns:a16="http://schemas.microsoft.com/office/drawing/2014/main" id="{1D213437-A012-114A-85D1-59CE5DEA0CA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45</xdr:col>
      <xdr:colOff>601133</xdr:colOff>
      <xdr:row>178</xdr:row>
      <xdr:rowOff>50800</xdr:rowOff>
    </xdr:from>
    <xdr:to>
      <xdr:col>51</xdr:col>
      <xdr:colOff>93133</xdr:colOff>
      <xdr:row>191</xdr:row>
      <xdr:rowOff>152400</xdr:rowOff>
    </xdr:to>
    <xdr:graphicFrame macro="">
      <xdr:nvGraphicFramePr>
        <xdr:cNvPr id="12" name="Graphique 11">
          <a:extLst>
            <a:ext uri="{FF2B5EF4-FFF2-40B4-BE49-F238E27FC236}">
              <a16:creationId xmlns:a16="http://schemas.microsoft.com/office/drawing/2014/main" id="{33B6BD6F-B8A6-6F40-B2A0-B2D3182443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4</xdr:col>
      <xdr:colOff>389467</xdr:colOff>
      <xdr:row>346</xdr:row>
      <xdr:rowOff>152400</xdr:rowOff>
    </xdr:from>
    <xdr:to>
      <xdr:col>9</xdr:col>
      <xdr:colOff>143934</xdr:colOff>
      <xdr:row>364</xdr:row>
      <xdr:rowOff>50800</xdr:rowOff>
    </xdr:to>
    <xdr:graphicFrame macro="">
      <xdr:nvGraphicFramePr>
        <xdr:cNvPr id="13" name="Graphique 12">
          <a:extLst>
            <a:ext uri="{FF2B5EF4-FFF2-40B4-BE49-F238E27FC236}">
              <a16:creationId xmlns:a16="http://schemas.microsoft.com/office/drawing/2014/main" id="{2C72B548-65CB-35EF-F571-D0B3E58A0EE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7</xdr:col>
      <xdr:colOff>423333</xdr:colOff>
      <xdr:row>415</xdr:row>
      <xdr:rowOff>84667</xdr:rowOff>
    </xdr:from>
    <xdr:to>
      <xdr:col>12</xdr:col>
      <xdr:colOff>1021644</xdr:colOff>
      <xdr:row>434</xdr:row>
      <xdr:rowOff>110227</xdr:rowOff>
    </xdr:to>
    <xdr:graphicFrame macro="">
      <xdr:nvGraphicFramePr>
        <xdr:cNvPr id="14" name="Graphique 13">
          <a:extLst>
            <a:ext uri="{FF2B5EF4-FFF2-40B4-BE49-F238E27FC236}">
              <a16:creationId xmlns:a16="http://schemas.microsoft.com/office/drawing/2014/main" id="{614914E6-F0D0-344B-8929-D8FC40FD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21</xdr:col>
      <xdr:colOff>491068</xdr:colOff>
      <xdr:row>299</xdr:row>
      <xdr:rowOff>1</xdr:rowOff>
    </xdr:from>
    <xdr:to>
      <xdr:col>27</xdr:col>
      <xdr:colOff>524933</xdr:colOff>
      <xdr:row>314</xdr:row>
      <xdr:rowOff>156633</xdr:rowOff>
    </xdr:to>
    <xdr:graphicFrame macro="">
      <xdr:nvGraphicFramePr>
        <xdr:cNvPr id="2" name="Graphique 1">
          <a:extLst>
            <a:ext uri="{FF2B5EF4-FFF2-40B4-BE49-F238E27FC236}">
              <a16:creationId xmlns:a16="http://schemas.microsoft.com/office/drawing/2014/main" id="{9F0B5F5F-A8A2-4844-9130-F00E3D7227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21</xdr:col>
      <xdr:colOff>486833</xdr:colOff>
      <xdr:row>282</xdr:row>
      <xdr:rowOff>182034</xdr:rowOff>
    </xdr:from>
    <xdr:to>
      <xdr:col>27</xdr:col>
      <xdr:colOff>482601</xdr:colOff>
      <xdr:row>298</xdr:row>
      <xdr:rowOff>118534</xdr:rowOff>
    </xdr:to>
    <xdr:graphicFrame macro="">
      <xdr:nvGraphicFramePr>
        <xdr:cNvPr id="3" name="Graphique 2">
          <a:extLst>
            <a:ext uri="{FF2B5EF4-FFF2-40B4-BE49-F238E27FC236}">
              <a16:creationId xmlns:a16="http://schemas.microsoft.com/office/drawing/2014/main" id="{CFCBE1C7-6ED6-8247-AB06-8D7A16670D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26</xdr:col>
      <xdr:colOff>317802</xdr:colOff>
      <xdr:row>97</xdr:row>
      <xdr:rowOff>86481</xdr:rowOff>
    </xdr:from>
    <xdr:to>
      <xdr:col>31</xdr:col>
      <xdr:colOff>766233</xdr:colOff>
      <xdr:row>110</xdr:row>
      <xdr:rowOff>181429</xdr:rowOff>
    </xdr:to>
    <xdr:graphicFrame macro="">
      <xdr:nvGraphicFramePr>
        <xdr:cNvPr id="4" name="Graphique 3">
          <a:extLst>
            <a:ext uri="{FF2B5EF4-FFF2-40B4-BE49-F238E27FC236}">
              <a16:creationId xmlns:a16="http://schemas.microsoft.com/office/drawing/2014/main" id="{4A5BB6C7-71F9-7548-A006-0AA46675DAC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26</xdr:col>
      <xdr:colOff>623859</xdr:colOff>
      <xdr:row>213</xdr:row>
      <xdr:rowOff>65506</xdr:rowOff>
    </xdr:from>
    <xdr:to>
      <xdr:col>31</xdr:col>
      <xdr:colOff>185375</xdr:colOff>
      <xdr:row>226</xdr:row>
      <xdr:rowOff>164433</xdr:rowOff>
    </xdr:to>
    <xdr:graphicFrame macro="">
      <xdr:nvGraphicFramePr>
        <xdr:cNvPr id="5" name="Graphique 4">
          <a:extLst>
            <a:ext uri="{FF2B5EF4-FFF2-40B4-BE49-F238E27FC236}">
              <a16:creationId xmlns:a16="http://schemas.microsoft.com/office/drawing/2014/main" id="{0BDD3B11-6591-1C43-9CE5-BD53D94E5D7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15</xdr:col>
      <xdr:colOff>579376</xdr:colOff>
      <xdr:row>282</xdr:row>
      <xdr:rowOff>198474</xdr:rowOff>
    </xdr:from>
    <xdr:to>
      <xdr:col>20</xdr:col>
      <xdr:colOff>524933</xdr:colOff>
      <xdr:row>298</xdr:row>
      <xdr:rowOff>135467</xdr:rowOff>
    </xdr:to>
    <xdr:graphicFrame macro="">
      <xdr:nvGraphicFramePr>
        <xdr:cNvPr id="6" name="Graphique 5">
          <a:extLst>
            <a:ext uri="{FF2B5EF4-FFF2-40B4-BE49-F238E27FC236}">
              <a16:creationId xmlns:a16="http://schemas.microsoft.com/office/drawing/2014/main" id="{C271A75D-FEF1-604E-B651-C46F46BC8C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364065</xdr:colOff>
      <xdr:row>311</xdr:row>
      <xdr:rowOff>190500</xdr:rowOff>
    </xdr:from>
    <xdr:to>
      <xdr:col>15</xdr:col>
      <xdr:colOff>524933</xdr:colOff>
      <xdr:row>326</xdr:row>
      <xdr:rowOff>186266</xdr:rowOff>
    </xdr:to>
    <xdr:graphicFrame macro="">
      <xdr:nvGraphicFramePr>
        <xdr:cNvPr id="7" name="Graphique 6">
          <a:extLst>
            <a:ext uri="{FF2B5EF4-FFF2-40B4-BE49-F238E27FC236}">
              <a16:creationId xmlns:a16="http://schemas.microsoft.com/office/drawing/2014/main" id="{FFB076C5-4288-384F-BB99-6E89695DC4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24</xdr:col>
      <xdr:colOff>381000</xdr:colOff>
      <xdr:row>145</xdr:row>
      <xdr:rowOff>10583</xdr:rowOff>
    </xdr:from>
    <xdr:to>
      <xdr:col>30</xdr:col>
      <xdr:colOff>355600</xdr:colOff>
      <xdr:row>159</xdr:row>
      <xdr:rowOff>182033</xdr:rowOff>
    </xdr:to>
    <xdr:graphicFrame macro="">
      <xdr:nvGraphicFramePr>
        <xdr:cNvPr id="8" name="Graphique 7">
          <a:extLst>
            <a:ext uri="{FF2B5EF4-FFF2-40B4-BE49-F238E27FC236}">
              <a16:creationId xmlns:a16="http://schemas.microsoft.com/office/drawing/2014/main" id="{89DC010B-F4A6-3D4F-98B8-4D83647AADF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15</xdr:col>
      <xdr:colOff>579967</xdr:colOff>
      <xdr:row>299</xdr:row>
      <xdr:rowOff>1</xdr:rowOff>
    </xdr:from>
    <xdr:to>
      <xdr:col>21</xdr:col>
      <xdr:colOff>389465</xdr:colOff>
      <xdr:row>314</xdr:row>
      <xdr:rowOff>156634</xdr:rowOff>
    </xdr:to>
    <xdr:graphicFrame macro="">
      <xdr:nvGraphicFramePr>
        <xdr:cNvPr id="9" name="Graphique 8">
          <a:extLst>
            <a:ext uri="{FF2B5EF4-FFF2-40B4-BE49-F238E27FC236}">
              <a16:creationId xmlns:a16="http://schemas.microsoft.com/office/drawing/2014/main" id="{DE753ED9-CCA6-6E4D-B118-2F9BE80F041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334276</xdr:colOff>
      <xdr:row>392</xdr:row>
      <xdr:rowOff>73378</xdr:rowOff>
    </xdr:from>
    <xdr:to>
      <xdr:col>12</xdr:col>
      <xdr:colOff>932587</xdr:colOff>
      <xdr:row>411</xdr:row>
      <xdr:rowOff>98938</xdr:rowOff>
    </xdr:to>
    <xdr:graphicFrame macro="">
      <xdr:nvGraphicFramePr>
        <xdr:cNvPr id="10" name="Graphique 9">
          <a:extLst>
            <a:ext uri="{FF2B5EF4-FFF2-40B4-BE49-F238E27FC236}">
              <a16:creationId xmlns:a16="http://schemas.microsoft.com/office/drawing/2014/main" id="{630372B9-D37D-2847-9D1C-6CF49E812B6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45</xdr:col>
      <xdr:colOff>482600</xdr:colOff>
      <xdr:row>61</xdr:row>
      <xdr:rowOff>135467</xdr:rowOff>
    </xdr:from>
    <xdr:to>
      <xdr:col>50</xdr:col>
      <xdr:colOff>821267</xdr:colOff>
      <xdr:row>75</xdr:row>
      <xdr:rowOff>33867</xdr:rowOff>
    </xdr:to>
    <xdr:graphicFrame macro="">
      <xdr:nvGraphicFramePr>
        <xdr:cNvPr id="11" name="Graphique 10">
          <a:extLst>
            <a:ext uri="{FF2B5EF4-FFF2-40B4-BE49-F238E27FC236}">
              <a16:creationId xmlns:a16="http://schemas.microsoft.com/office/drawing/2014/main" id="{B523A327-3CFB-1543-A2E0-50DCEFF5B9B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45</xdr:col>
      <xdr:colOff>601133</xdr:colOff>
      <xdr:row>178</xdr:row>
      <xdr:rowOff>50800</xdr:rowOff>
    </xdr:from>
    <xdr:to>
      <xdr:col>51</xdr:col>
      <xdr:colOff>93133</xdr:colOff>
      <xdr:row>191</xdr:row>
      <xdr:rowOff>152400</xdr:rowOff>
    </xdr:to>
    <xdr:graphicFrame macro="">
      <xdr:nvGraphicFramePr>
        <xdr:cNvPr id="12" name="Graphique 11">
          <a:extLst>
            <a:ext uri="{FF2B5EF4-FFF2-40B4-BE49-F238E27FC236}">
              <a16:creationId xmlns:a16="http://schemas.microsoft.com/office/drawing/2014/main" id="{25790A32-BD04-4C46-9553-4036C3492D4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4</xdr:col>
      <xdr:colOff>389467</xdr:colOff>
      <xdr:row>346</xdr:row>
      <xdr:rowOff>152400</xdr:rowOff>
    </xdr:from>
    <xdr:to>
      <xdr:col>8</xdr:col>
      <xdr:colOff>880533</xdr:colOff>
      <xdr:row>363</xdr:row>
      <xdr:rowOff>16934</xdr:rowOff>
    </xdr:to>
    <xdr:graphicFrame macro="">
      <xdr:nvGraphicFramePr>
        <xdr:cNvPr id="13" name="Graphique 12">
          <a:extLst>
            <a:ext uri="{FF2B5EF4-FFF2-40B4-BE49-F238E27FC236}">
              <a16:creationId xmlns:a16="http://schemas.microsoft.com/office/drawing/2014/main" id="{6E235740-F013-2550-1C0C-8D16F20DE5A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7</xdr:col>
      <xdr:colOff>474134</xdr:colOff>
      <xdr:row>416</xdr:row>
      <xdr:rowOff>16933</xdr:rowOff>
    </xdr:from>
    <xdr:to>
      <xdr:col>12</xdr:col>
      <xdr:colOff>1072445</xdr:colOff>
      <xdr:row>435</xdr:row>
      <xdr:rowOff>42493</xdr:rowOff>
    </xdr:to>
    <xdr:graphicFrame macro="">
      <xdr:nvGraphicFramePr>
        <xdr:cNvPr id="14" name="Graphique 13">
          <a:extLst>
            <a:ext uri="{FF2B5EF4-FFF2-40B4-BE49-F238E27FC236}">
              <a16:creationId xmlns:a16="http://schemas.microsoft.com/office/drawing/2014/main" id="{627A6C15-0E9F-C741-8977-DE3F0498649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21</xdr:col>
      <xdr:colOff>491068</xdr:colOff>
      <xdr:row>299</xdr:row>
      <xdr:rowOff>1</xdr:rowOff>
    </xdr:from>
    <xdr:to>
      <xdr:col>27</xdr:col>
      <xdr:colOff>524933</xdr:colOff>
      <xdr:row>314</xdr:row>
      <xdr:rowOff>156633</xdr:rowOff>
    </xdr:to>
    <xdr:graphicFrame macro="">
      <xdr:nvGraphicFramePr>
        <xdr:cNvPr id="2" name="Graphique 1">
          <a:extLst>
            <a:ext uri="{FF2B5EF4-FFF2-40B4-BE49-F238E27FC236}">
              <a16:creationId xmlns:a16="http://schemas.microsoft.com/office/drawing/2014/main" id="{69011124-55AB-5C46-A03D-BFAA02CB1B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21</xdr:col>
      <xdr:colOff>486833</xdr:colOff>
      <xdr:row>282</xdr:row>
      <xdr:rowOff>182034</xdr:rowOff>
    </xdr:from>
    <xdr:to>
      <xdr:col>27</xdr:col>
      <xdr:colOff>482601</xdr:colOff>
      <xdr:row>298</xdr:row>
      <xdr:rowOff>118534</xdr:rowOff>
    </xdr:to>
    <xdr:graphicFrame macro="">
      <xdr:nvGraphicFramePr>
        <xdr:cNvPr id="3" name="Graphique 2">
          <a:extLst>
            <a:ext uri="{FF2B5EF4-FFF2-40B4-BE49-F238E27FC236}">
              <a16:creationId xmlns:a16="http://schemas.microsoft.com/office/drawing/2014/main" id="{1E5F76B7-8F39-D544-87DC-AEB7A971494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26</xdr:col>
      <xdr:colOff>317802</xdr:colOff>
      <xdr:row>97</xdr:row>
      <xdr:rowOff>86481</xdr:rowOff>
    </xdr:from>
    <xdr:to>
      <xdr:col>31</xdr:col>
      <xdr:colOff>766233</xdr:colOff>
      <xdr:row>110</xdr:row>
      <xdr:rowOff>181429</xdr:rowOff>
    </xdr:to>
    <xdr:graphicFrame macro="">
      <xdr:nvGraphicFramePr>
        <xdr:cNvPr id="4" name="Graphique 3">
          <a:extLst>
            <a:ext uri="{FF2B5EF4-FFF2-40B4-BE49-F238E27FC236}">
              <a16:creationId xmlns:a16="http://schemas.microsoft.com/office/drawing/2014/main" id="{8F7D5430-79A9-AA4B-9AEA-1344FB7FE44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26</xdr:col>
      <xdr:colOff>623859</xdr:colOff>
      <xdr:row>213</xdr:row>
      <xdr:rowOff>65506</xdr:rowOff>
    </xdr:from>
    <xdr:to>
      <xdr:col>31</xdr:col>
      <xdr:colOff>185375</xdr:colOff>
      <xdr:row>226</xdr:row>
      <xdr:rowOff>164433</xdr:rowOff>
    </xdr:to>
    <xdr:graphicFrame macro="">
      <xdr:nvGraphicFramePr>
        <xdr:cNvPr id="5" name="Graphique 4">
          <a:extLst>
            <a:ext uri="{FF2B5EF4-FFF2-40B4-BE49-F238E27FC236}">
              <a16:creationId xmlns:a16="http://schemas.microsoft.com/office/drawing/2014/main" id="{30D8D34C-4DF3-5841-A051-856893073AC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15</xdr:col>
      <xdr:colOff>579376</xdr:colOff>
      <xdr:row>282</xdr:row>
      <xdr:rowOff>198474</xdr:rowOff>
    </xdr:from>
    <xdr:to>
      <xdr:col>20</xdr:col>
      <xdr:colOff>524933</xdr:colOff>
      <xdr:row>298</xdr:row>
      <xdr:rowOff>135467</xdr:rowOff>
    </xdr:to>
    <xdr:graphicFrame macro="">
      <xdr:nvGraphicFramePr>
        <xdr:cNvPr id="6" name="Graphique 5">
          <a:extLst>
            <a:ext uri="{FF2B5EF4-FFF2-40B4-BE49-F238E27FC236}">
              <a16:creationId xmlns:a16="http://schemas.microsoft.com/office/drawing/2014/main" id="{F813F033-1719-EF44-B6E4-5ECC3A4006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364065</xdr:colOff>
      <xdr:row>311</xdr:row>
      <xdr:rowOff>190500</xdr:rowOff>
    </xdr:from>
    <xdr:to>
      <xdr:col>15</xdr:col>
      <xdr:colOff>524933</xdr:colOff>
      <xdr:row>326</xdr:row>
      <xdr:rowOff>186266</xdr:rowOff>
    </xdr:to>
    <xdr:graphicFrame macro="">
      <xdr:nvGraphicFramePr>
        <xdr:cNvPr id="7" name="Graphique 6">
          <a:extLst>
            <a:ext uri="{FF2B5EF4-FFF2-40B4-BE49-F238E27FC236}">
              <a16:creationId xmlns:a16="http://schemas.microsoft.com/office/drawing/2014/main" id="{D77108D5-0941-0B45-8E8A-4A4D2D8D1A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24</xdr:col>
      <xdr:colOff>381000</xdr:colOff>
      <xdr:row>145</xdr:row>
      <xdr:rowOff>10583</xdr:rowOff>
    </xdr:from>
    <xdr:to>
      <xdr:col>30</xdr:col>
      <xdr:colOff>355600</xdr:colOff>
      <xdr:row>159</xdr:row>
      <xdr:rowOff>182033</xdr:rowOff>
    </xdr:to>
    <xdr:graphicFrame macro="">
      <xdr:nvGraphicFramePr>
        <xdr:cNvPr id="8" name="Graphique 7">
          <a:extLst>
            <a:ext uri="{FF2B5EF4-FFF2-40B4-BE49-F238E27FC236}">
              <a16:creationId xmlns:a16="http://schemas.microsoft.com/office/drawing/2014/main" id="{39DBE7EB-C787-1B4E-8DE9-7E91610C55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15</xdr:col>
      <xdr:colOff>579967</xdr:colOff>
      <xdr:row>299</xdr:row>
      <xdr:rowOff>1</xdr:rowOff>
    </xdr:from>
    <xdr:to>
      <xdr:col>21</xdr:col>
      <xdr:colOff>389465</xdr:colOff>
      <xdr:row>314</xdr:row>
      <xdr:rowOff>156634</xdr:rowOff>
    </xdr:to>
    <xdr:graphicFrame macro="">
      <xdr:nvGraphicFramePr>
        <xdr:cNvPr id="9" name="Graphique 8">
          <a:extLst>
            <a:ext uri="{FF2B5EF4-FFF2-40B4-BE49-F238E27FC236}">
              <a16:creationId xmlns:a16="http://schemas.microsoft.com/office/drawing/2014/main" id="{08669ED9-2C28-844A-AD1F-6CA436D4DBC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334276</xdr:colOff>
      <xdr:row>392</xdr:row>
      <xdr:rowOff>73378</xdr:rowOff>
    </xdr:from>
    <xdr:to>
      <xdr:col>12</xdr:col>
      <xdr:colOff>932587</xdr:colOff>
      <xdr:row>411</xdr:row>
      <xdr:rowOff>98938</xdr:rowOff>
    </xdr:to>
    <xdr:graphicFrame macro="">
      <xdr:nvGraphicFramePr>
        <xdr:cNvPr id="10" name="Graphique 9">
          <a:extLst>
            <a:ext uri="{FF2B5EF4-FFF2-40B4-BE49-F238E27FC236}">
              <a16:creationId xmlns:a16="http://schemas.microsoft.com/office/drawing/2014/main" id="{017DE38E-3CA6-144B-8D3F-D94ADFA0CC4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45</xdr:col>
      <xdr:colOff>482600</xdr:colOff>
      <xdr:row>61</xdr:row>
      <xdr:rowOff>135467</xdr:rowOff>
    </xdr:from>
    <xdr:to>
      <xdr:col>50</xdr:col>
      <xdr:colOff>821267</xdr:colOff>
      <xdr:row>75</xdr:row>
      <xdr:rowOff>33867</xdr:rowOff>
    </xdr:to>
    <xdr:graphicFrame macro="">
      <xdr:nvGraphicFramePr>
        <xdr:cNvPr id="11" name="Graphique 10">
          <a:extLst>
            <a:ext uri="{FF2B5EF4-FFF2-40B4-BE49-F238E27FC236}">
              <a16:creationId xmlns:a16="http://schemas.microsoft.com/office/drawing/2014/main" id="{B243E1AF-540E-DA40-A30F-6F25D306D3B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45</xdr:col>
      <xdr:colOff>601133</xdr:colOff>
      <xdr:row>178</xdr:row>
      <xdr:rowOff>50800</xdr:rowOff>
    </xdr:from>
    <xdr:to>
      <xdr:col>51</xdr:col>
      <xdr:colOff>93133</xdr:colOff>
      <xdr:row>191</xdr:row>
      <xdr:rowOff>152400</xdr:rowOff>
    </xdr:to>
    <xdr:graphicFrame macro="">
      <xdr:nvGraphicFramePr>
        <xdr:cNvPr id="12" name="Graphique 11">
          <a:extLst>
            <a:ext uri="{FF2B5EF4-FFF2-40B4-BE49-F238E27FC236}">
              <a16:creationId xmlns:a16="http://schemas.microsoft.com/office/drawing/2014/main" id="{F8DF2071-3FF7-6E40-A293-97E305D28D9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4</xdr:col>
      <xdr:colOff>491067</xdr:colOff>
      <xdr:row>345</xdr:row>
      <xdr:rowOff>101600</xdr:rowOff>
    </xdr:from>
    <xdr:to>
      <xdr:col>9</xdr:col>
      <xdr:colOff>59267</xdr:colOff>
      <xdr:row>363</xdr:row>
      <xdr:rowOff>84667</xdr:rowOff>
    </xdr:to>
    <xdr:graphicFrame macro="">
      <xdr:nvGraphicFramePr>
        <xdr:cNvPr id="13" name="Graphique 12">
          <a:extLst>
            <a:ext uri="{FF2B5EF4-FFF2-40B4-BE49-F238E27FC236}">
              <a16:creationId xmlns:a16="http://schemas.microsoft.com/office/drawing/2014/main" id="{96D4DBBB-3BA4-2987-0AA4-E31824F4F9D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7</xdr:col>
      <xdr:colOff>355601</xdr:colOff>
      <xdr:row>414</xdr:row>
      <xdr:rowOff>118534</xdr:rowOff>
    </xdr:from>
    <xdr:to>
      <xdr:col>12</xdr:col>
      <xdr:colOff>953912</xdr:colOff>
      <xdr:row>433</xdr:row>
      <xdr:rowOff>144094</xdr:rowOff>
    </xdr:to>
    <xdr:graphicFrame macro="">
      <xdr:nvGraphicFramePr>
        <xdr:cNvPr id="15" name="Graphique 14">
          <a:extLst>
            <a:ext uri="{FF2B5EF4-FFF2-40B4-BE49-F238E27FC236}">
              <a16:creationId xmlns:a16="http://schemas.microsoft.com/office/drawing/2014/main" id="{03FBE0CB-1DA3-E64C-98CA-0F2039731E0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wsDr>
</file>

<file path=xl/persons/person.xml><?xml version="1.0" encoding="utf-8"?>
<personList xmlns="http://schemas.microsoft.com/office/spreadsheetml/2018/threadedcomments" xmlns:x="http://schemas.openxmlformats.org/spreadsheetml/2006/main">
  <person displayName="Sabine BARETS" id="{0664C5A7-B12A-1944-B961-BC198F902F09}" userId="Sabine BARETS" providerId="None"/>
  <person displayName="Sabine Barets" id="{8373FA9A-7075-B34D-8AE9-26ECBDFC8470}" userId="a29793125924540f" providerId="Windows Live"/>
</personList>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8FEA1626-404F-214A-9FA1-893C146ECD8B}" name="Tableau33" displayName="Tableau33" ref="W20:BB36" totalsRowShown="0" headerRowDxfId="2295" dataDxfId="2294">
  <autoFilter ref="W20:BB36" xr:uid="{8FEA1626-404F-214A-9FA1-893C146ECD8B}"/>
  <tableColumns count="32">
    <tableColumn id="1" xr3:uid="{5AF8222F-1316-0B40-AF70-2469B51D17CC}" name="Strate" dataDxfId="2293"/>
    <tableColumn id="2" xr3:uid="{E109C992-5593-014D-90B9-4FADFDD1D48D}" name="Essence" dataDxfId="2292">
      <calculatedColumnFormula>X2</calculatedColumnFormula>
    </tableColumn>
    <tableColumn id="3" xr3:uid="{B0BF722A-C661-AC4A-A0F8-A9AB0002223F}" name="V010" dataDxfId="2291">
      <calculatedColumnFormula>Y2*IF(OR($X21="",$X21=0),0,IF($W21="A",'1.GLOBAL'!$C$51,IF($W21="B",'1.GLOBAL'!$C$59,IF($W21="C",'1.GLOBAL'!$C$67,'1.GLOBAL'!$C$75))))</calculatedColumnFormula>
    </tableColumn>
    <tableColumn id="4" xr3:uid="{27FD11C2-8280-BD48-8F64-CCBB4A6A3EE7}" name="V015" dataDxfId="2290">
      <calculatedColumnFormula>Z2*IF(OR($X21="",$X21=0),0,IF($W21="A",'1.GLOBAL'!$C$51,IF($W21="B",'1.GLOBAL'!$C$59,IF($W21="C",'1.GLOBAL'!$C$67,'1.GLOBAL'!$C$75))))</calculatedColumnFormula>
    </tableColumn>
    <tableColumn id="5" xr3:uid="{9BE047E5-5518-CC4C-AD6B-6239F4744C33}" name="V020" dataDxfId="2289">
      <calculatedColumnFormula>AA2*IF(OR($X21="",$X21=0),0,IF($W21="A",'1.GLOBAL'!$C$51,IF($W21="B",'1.GLOBAL'!$C$59,IF($W21="C",'1.GLOBAL'!$C$67,'1.GLOBAL'!$C$75))))</calculatedColumnFormula>
    </tableColumn>
    <tableColumn id="6" xr3:uid="{72A8C801-3D53-1145-99DD-7F77CD6C7684}" name="V025" dataDxfId="2288">
      <calculatedColumnFormula>AB2*IF(OR($X21="",$X21=0),0,IF($W21="A",'1.GLOBAL'!$C$51,IF($W21="B",'1.GLOBAL'!$C$59,IF($W21="C",'1.GLOBAL'!$C$67,'1.GLOBAL'!$C$75))))</calculatedColumnFormula>
    </tableColumn>
    <tableColumn id="7" xr3:uid="{43936D46-45FB-C14C-9E1D-7F6713B4372B}" name="V030" dataDxfId="2287">
      <calculatedColumnFormula>AC2*IF(OR($X21="",$X21=0),0,IF($W21="A",'1.GLOBAL'!$C$51,IF($W21="B",'1.GLOBAL'!$C$59,IF($W21="C",'1.GLOBAL'!$C$67,'1.GLOBAL'!$C$75))))</calculatedColumnFormula>
    </tableColumn>
    <tableColumn id="8" xr3:uid="{91D8FFB6-6E34-0145-8D19-E612AF23E909}" name="V035" dataDxfId="2286">
      <calculatedColumnFormula>AD2*IF(OR($X21="",$X21=0),0,IF($W21="A",'1.GLOBAL'!$C$51,IF($W21="B",'1.GLOBAL'!$C$59,IF($W21="C",'1.GLOBAL'!$C$67,'1.GLOBAL'!$C$75))))</calculatedColumnFormula>
    </tableColumn>
    <tableColumn id="9" xr3:uid="{5E0DE477-1E00-6048-A634-8EEE08EABEDF}" name="V040" dataDxfId="2285">
      <calculatedColumnFormula>AE2*IF(OR($X21="",$X21=0),0,IF($W21="A",'1.GLOBAL'!$C$51,IF($W21="B",'1.GLOBAL'!$C$59,IF($W21="C",'1.GLOBAL'!$C$67,'1.GLOBAL'!$C$75))))</calculatedColumnFormula>
    </tableColumn>
    <tableColumn id="10" xr3:uid="{D45DE8A0-5559-184F-B28F-E1C59B2A5039}" name="V045" dataDxfId="2284">
      <calculatedColumnFormula>AF2*IF(OR($X21="",$X21=0),0,IF($W21="A",'1.GLOBAL'!$C$51,IF($W21="B",'1.GLOBAL'!$C$59,IF($W21="C",'1.GLOBAL'!$C$67,'1.GLOBAL'!$C$75))))</calculatedColumnFormula>
    </tableColumn>
    <tableColumn id="11" xr3:uid="{2F733C86-AE32-D644-8F96-80A386965922}" name="V050" dataDxfId="2283">
      <calculatedColumnFormula>AG2*IF(OR($X21="",$X21=0),0,IF($W21="A",'1.GLOBAL'!$C$51,IF($W21="B",'1.GLOBAL'!$C$59,IF($W21="C",'1.GLOBAL'!$C$67,'1.GLOBAL'!$C$75))))</calculatedColumnFormula>
    </tableColumn>
    <tableColumn id="12" xr3:uid="{DAF2F370-D30A-BE4F-9723-BB1BF38C850C}" name="V055" dataDxfId="2282">
      <calculatedColumnFormula>AH2*IF(OR($X21="",$X21=0),0,IF($W21="A",'1.GLOBAL'!$C$51,IF($W21="B",'1.GLOBAL'!$C$59,IF($W21="C",'1.GLOBAL'!$C$67,'1.GLOBAL'!$C$75))))</calculatedColumnFormula>
    </tableColumn>
    <tableColumn id="13" xr3:uid="{D01B8299-72D2-3641-A4AE-61AA4360BE6E}" name="V060" dataDxfId="2281">
      <calculatedColumnFormula>AI2*IF(OR($X21="",$X21=0),0,IF($W21="A",'1.GLOBAL'!$C$51,IF($W21="B",'1.GLOBAL'!$C$59,IF($W21="C",'1.GLOBAL'!$C$67,'1.GLOBAL'!$C$75))))</calculatedColumnFormula>
    </tableColumn>
    <tableColumn id="14" xr3:uid="{A8D04691-D77D-834C-BB0D-E925C4339421}" name="V065" dataDxfId="2280">
      <calculatedColumnFormula>AJ2*IF(OR($X21="",$X21=0),0,IF($W21="A",'1.GLOBAL'!$C$51,IF($W21="B",'1.GLOBAL'!$C$59,IF($W21="C",'1.GLOBAL'!$C$67,'1.GLOBAL'!$C$75))))</calculatedColumnFormula>
    </tableColumn>
    <tableColumn id="15" xr3:uid="{3B07EC38-A495-0D4D-8AF5-08ED100381E1}" name="V070" dataDxfId="2279">
      <calculatedColumnFormula>AK2*IF(OR($X21="",$X21=0),0,IF($W21="A",'1.GLOBAL'!$C$51,IF($W21="B",'1.GLOBAL'!$C$59,IF($W21="C",'1.GLOBAL'!$C$67,'1.GLOBAL'!$C$75))))</calculatedColumnFormula>
    </tableColumn>
    <tableColumn id="16" xr3:uid="{D6F07029-CF37-A348-AD36-A84085863B56}" name="V075" dataDxfId="2278">
      <calculatedColumnFormula>AL2*IF(OR($X21="",$X21=0),0,IF($W21="A",'1.GLOBAL'!$C$51,IF($W21="B",'1.GLOBAL'!$C$59,IF($W21="C",'1.GLOBAL'!$C$67,'1.GLOBAL'!$C$75))))</calculatedColumnFormula>
    </tableColumn>
    <tableColumn id="17" xr3:uid="{88B73642-02E7-E94F-8763-439015C026E2}" name="V080" dataDxfId="2277">
      <calculatedColumnFormula>AM2*IF(OR($X21="",$X21=0),0,IF($W21="A",'1.GLOBAL'!$C$51,IF($W21="B",'1.GLOBAL'!$C$59,IF($W21="C",'1.GLOBAL'!$C$67,'1.GLOBAL'!$C$75))))</calculatedColumnFormula>
    </tableColumn>
    <tableColumn id="18" xr3:uid="{8D24E2BA-3867-EA49-AA9B-7FE74D2A239E}" name="V085" dataDxfId="2276">
      <calculatedColumnFormula>AN2*IF(OR($X21="",$X21=0),0,IF($W21="A",'1.GLOBAL'!$C$51,IF($W21="B",'1.GLOBAL'!$C$59,IF($W21="C",'1.GLOBAL'!$C$67,'1.GLOBAL'!$C$75))))</calculatedColumnFormula>
    </tableColumn>
    <tableColumn id="19" xr3:uid="{D261F943-A55C-3B4E-A21A-A7DD39830488}" name="V090" dataDxfId="2275">
      <calculatedColumnFormula>AO2*IF(OR($X21="",$X21=0),0,IF($W21="A",'1.GLOBAL'!$C$51,IF($W21="B",'1.GLOBAL'!$C$59,IF($W21="C",'1.GLOBAL'!$C$67,'1.GLOBAL'!$C$75))))</calculatedColumnFormula>
    </tableColumn>
    <tableColumn id="20" xr3:uid="{8724093B-FBAC-2E4A-8314-72692898F8C7}" name="V095" dataDxfId="2274">
      <calculatedColumnFormula>AP2*IF(OR($X21="",$X21=0),0,IF($W21="A",'1.GLOBAL'!$C$51,IF($W21="B",'1.GLOBAL'!$C$59,IF($W21="C",'1.GLOBAL'!$C$67,'1.GLOBAL'!$C$75))))</calculatedColumnFormula>
    </tableColumn>
    <tableColumn id="21" xr3:uid="{0A7E24D4-EB2F-774C-B2CE-4E1251292875}" name="V100" dataDxfId="2273">
      <calculatedColumnFormula>AQ2*IF(OR($X21="",$X21=0),0,IF($W21="A",'1.GLOBAL'!$C$51,IF($W21="B",'1.GLOBAL'!$C$59,IF($W21="C",'1.GLOBAL'!$C$67,'1.GLOBAL'!$C$75))))</calculatedColumnFormula>
    </tableColumn>
    <tableColumn id="22" xr3:uid="{119EC2C8-9626-F048-9FDE-2D87857E3FD7}" name="V105" dataDxfId="2272">
      <calculatedColumnFormula>AR2*IF(OR($X21="",$X21=0),0,IF($W21="A",'1.GLOBAL'!$C$51,IF($W21="B",'1.GLOBAL'!$C$59,IF($W21="C",'1.GLOBAL'!$C$67,'1.GLOBAL'!$C$75))))</calculatedColumnFormula>
    </tableColumn>
    <tableColumn id="23" xr3:uid="{98E88D55-D596-644F-BC1A-FC98EF776EEF}" name="V110" dataDxfId="2271">
      <calculatedColumnFormula>AS2*IF(OR($X21="",$X21=0),0,IF($W21="A",'1.GLOBAL'!$C$51,IF($W21="B",'1.GLOBAL'!$C$59,IF($W21="C",'1.GLOBAL'!$C$67,'1.GLOBAL'!$C$75))))</calculatedColumnFormula>
    </tableColumn>
    <tableColumn id="24" xr3:uid="{A8B7E7F7-0753-0540-B86C-818BC52C83F0}" name="V115" dataDxfId="2270">
      <calculatedColumnFormula>AT2*IF(OR($X21="",$X21=0),0,IF($W21="A",'1.GLOBAL'!$C$51,IF($W21="B",'1.GLOBAL'!$C$59,IF($W21="C",'1.GLOBAL'!$C$67,'1.GLOBAL'!$C$75))))</calculatedColumnFormula>
    </tableColumn>
    <tableColumn id="25" xr3:uid="{78CC2A27-FCC6-2D46-B5D4-531AA0B539DE}" name="V120" dataDxfId="2269">
      <calculatedColumnFormula>AU2*IF(OR($X21="",$X21=0),0,IF($W21="A",'1.GLOBAL'!$C$51,IF($W21="B",'1.GLOBAL'!$C$59,IF($W21="C",'1.GLOBAL'!$C$67,'1.GLOBAL'!$C$75))))</calculatedColumnFormula>
    </tableColumn>
    <tableColumn id="26" xr3:uid="{54A820AD-BCF8-6F4E-9FDE-7B33BAF013EA}" name="V125" dataDxfId="2268">
      <calculatedColumnFormula>AV2*IF(OR($X21="",$X21=0),0,IF($W21="A",'1.GLOBAL'!$C$51,IF($W21="B",'1.GLOBAL'!$C$59,IF($W21="C",'1.GLOBAL'!$C$67,'1.GLOBAL'!$C$75))))</calculatedColumnFormula>
    </tableColumn>
    <tableColumn id="27" xr3:uid="{2FCC6006-8CF9-F44D-98CF-21702B664CE2}" name="V130" dataDxfId="2267">
      <calculatedColumnFormula>AW2*IF(OR($X21="",$X21=0),0,IF($W21="A",'1.GLOBAL'!$C$51,IF($W21="B",'1.GLOBAL'!$C$59,IF($W21="C",'1.GLOBAL'!$C$67,'1.GLOBAL'!$C$75))))</calculatedColumnFormula>
    </tableColumn>
    <tableColumn id="28" xr3:uid="{0EE0D396-7708-3D4B-B440-DC8861A44881}" name="V135" dataDxfId="2266">
      <calculatedColumnFormula>AX2*IF(OR($X21="",$X21=0),0,IF($W21="A",'1.GLOBAL'!$C$51,IF($W21="B",'1.GLOBAL'!$C$59,IF($W21="C",'1.GLOBAL'!$C$67,'1.GLOBAL'!$C$75))))</calculatedColumnFormula>
    </tableColumn>
    <tableColumn id="29" xr3:uid="{76104336-B699-0549-9DAF-5EBE6BDD3733}" name="V140" dataDxfId="2265">
      <calculatedColumnFormula>AY2*IF(OR($X21="",$X21=0),0,IF($W21="A",'1.GLOBAL'!$C$51,IF($W21="B",'1.GLOBAL'!$C$59,IF($W21="C",'1.GLOBAL'!$C$67,'1.GLOBAL'!$C$75))))</calculatedColumnFormula>
    </tableColumn>
    <tableColumn id="30" xr3:uid="{00AF722F-8A04-EC46-827B-378FA8F91275}" name="V145" dataDxfId="2264">
      <calculatedColumnFormula>AZ2*IF(OR($X21="",$X21=0),0,IF($W21="A",'1.GLOBAL'!$C$51,IF($W21="B",'1.GLOBAL'!$C$59,IF($W21="C",'1.GLOBAL'!$C$67,'1.GLOBAL'!$C$75))))</calculatedColumnFormula>
    </tableColumn>
    <tableColumn id="31" xr3:uid="{22B0B9F8-CCDF-F142-A3A5-E072A03ECC72}" name="V150" dataDxfId="2263">
      <calculatedColumnFormula>BA2*IF(OR($X21="",$X21=0),0,IF($W21="A",'1.GLOBAL'!$C$51,IF($W21="B",'1.GLOBAL'!$C$59,IF($W21="C",'1.GLOBAL'!$C$67,'1.GLOBAL'!$C$75))))</calculatedColumnFormula>
    </tableColumn>
    <tableColumn id="32" xr3:uid="{1F66FECD-A863-F94B-893B-786C2D3D2BCB}" name="V_tot" dataDxfId="2262">
      <calculatedColumnFormula>SUM(Y21:BA21)</calculatedColumnFormula>
    </tableColumn>
  </tableColumns>
  <tableStyleInfo name="TableStyleMedium7"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612FA77F-45AB-5A4C-A47F-5C36380D8ECB}" name="Tableau37" displayName="Tableau37" ref="F1:G5" totalsRowShown="0" headerRowDxfId="2185" dataDxfId="2184">
  <autoFilter ref="F1:G5" xr:uid="{612FA77F-45AB-5A4C-A47F-5C36380D8ECB}"/>
  <tableColumns count="2">
    <tableColumn id="1" xr3:uid="{734F90CA-04A2-0945-82F6-97D56B8BBD48}" name="Nom_terrain" dataDxfId="2183"/>
    <tableColumn id="2" xr3:uid="{04220A18-4D88-8A4A-8612-4C1680F65D20}" name="Strate" dataDxfId="2182"/>
  </tableColumns>
  <tableStyleInfo name="TableStyleMedium2" showFirstColumn="0" showLastColumn="0" showRowStripes="1" showColumnStripes="0"/>
</table>
</file>

<file path=xl/tables/table1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2" xr:uid="{AEB92666-679C-434B-B977-9026F3C43F88}" name="Tableau72172394433" displayName="Tableau72172394433" ref="L284:O304" totalsRowShown="0" headerRowDxfId="1231" dataDxfId="1230">
  <autoFilter ref="L284:O304" xr:uid="{00000000-0009-0000-0100-0000AB000000}"/>
  <tableColumns count="4">
    <tableColumn id="1" xr3:uid="{504B7763-A3FC-654C-AEA4-6B07187CA097}" name="Annees" dataDxfId="1229"/>
    <tableColumn id="2" xr3:uid="{BBE1804C-1B1C-A54F-AB8B-ECEDA16FC31A}" name="DeltaC_SQ" dataDxfId="1228">
      <calculatedColumnFormula>F285-C285</calculatedColumnFormula>
    </tableColumn>
    <tableColumn id="3" xr3:uid="{57C6FB16-1825-8D46-A673-7F42ECEDB52F}" name="DeltaC_ST" dataDxfId="1227">
      <calculatedColumnFormula>H285-E285</calculatedColumnFormula>
    </tableColumn>
    <tableColumn id="4" xr3:uid="{4399CE94-B504-9641-B29A-D7EC67E53C6B}" name="DeltaC_JP" dataDxfId="1226">
      <calculatedColumnFormula>G285-D285</calculatedColumnFormula>
    </tableColumn>
  </tableColumns>
  <tableStyleInfo name="TableStyleMedium5" showFirstColumn="0" showLastColumn="0" showRowStripes="1" showColumnStripes="0"/>
</table>
</file>

<file path=xl/tables/table1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3" xr:uid="{30DBC3DC-9D9C-964C-B9C1-A2AAE404E888}" name="Tableau7274173395434" displayName="Tableau7274173395434" ref="B310:K330" totalsRowShown="0" headerRowDxfId="1225" dataDxfId="1224">
  <autoFilter ref="B310:K330" xr:uid="{00000000-0009-0000-0100-0000AC000000}"/>
  <tableColumns count="10">
    <tableColumn id="1" xr3:uid="{CB27A61A-0514-B448-BB9B-80EEB6160A5D}" name="Annees" dataDxfId="1223"/>
    <tableColumn id="2" xr3:uid="{A71A5B6A-ECA2-9841-881B-78BFAF7094AD}" name="∆CO2e_SQ_an" dataDxfId="1222">
      <calculatedColumnFormula>IF(B311=1,M285,M285-M284)</calculatedColumnFormula>
    </tableColumn>
    <tableColumn id="9" xr3:uid="{7AD33679-BF6A-D541-B506-3610754450CB}" name="∆CO2e_JP_an" dataDxfId="1221">
      <calculatedColumnFormula>IF(B311=1,O285,O285-O284)</calculatedColumnFormula>
    </tableColumn>
    <tableColumn id="3" xr3:uid="{C6BD1BE1-125E-CF43-975A-BC2A26EA6988}" name="∆CO2e_ST_an" dataDxfId="1220">
      <calculatedColumnFormula>IF(B311=1,N285,N285-N284)</calculatedColumnFormula>
    </tableColumn>
    <tableColumn id="10" xr3:uid="{C8734A33-C161-C647-A377-106E5D3C2AD9}" name="∆CO2e_tot_an" dataDxfId="1219">
      <calculatedColumnFormula>SUM(C311:E311)</calculatedColumnFormula>
    </tableColumn>
    <tableColumn id="5" xr3:uid="{0FE5F114-BF85-D24C-8F8A-4BA1689A4365}" name="tCO2e_FF" dataDxfId="1218">
      <calculatedColumnFormula>F311*$C$306</calculatedColumnFormula>
    </tableColumn>
    <tableColumn id="8" xr3:uid="{CB9F80DC-400B-0945-9A9C-5C11CB356765}" name="tCO2e_INC" dataDxfId="1217">
      <calculatedColumnFormula>(F311-G311)*$C$307</calculatedColumnFormula>
    </tableColumn>
    <tableColumn id="11" xr3:uid="{AB0C0AA2-A3A9-CA46-8CBF-806DAD343152}" name="tCO2e_RNP" dataDxfId="1216">
      <calculatedColumnFormula>(F311-G311-H311)*$C$308</calculatedColumnFormula>
    </tableColumn>
    <tableColumn id="6" xr3:uid="{946C0BCF-E56E-2B4F-A2F0-DE0A4BC573B8}" name="tCO2e_net_an" dataDxfId="1215">
      <calculatedColumnFormula>F311-G311-H311-I311</calculatedColumnFormula>
    </tableColumn>
    <tableColumn id="7" xr3:uid="{4A58DB76-C2B7-6349-800B-0CE2974C47E5}" name="tCO2e_net_vente" dataDxfId="1214">
      <calculatedColumnFormula>C$336</calculatedColumnFormula>
    </tableColumn>
  </tableColumns>
  <tableStyleInfo name="TableStyleMedium5" showFirstColumn="0" showLastColumn="0" showRowStripes="1" showColumnStripes="0"/>
</table>
</file>

<file path=xl/tables/table1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4" xr:uid="{96B7EEBD-BB59-1F45-BC78-561E15452E97}" name="Tableau75174396435" displayName="Tableau75174396435" ref="B91:Z111" totalsRowShown="0" headerRowDxfId="1213" dataDxfId="1212">
  <autoFilter ref="B91:Z111" xr:uid="{00000000-0009-0000-0100-0000AD000000}"/>
  <tableColumns count="25">
    <tableColumn id="1" xr3:uid="{E8BC51B6-7265-3A44-BE07-B1FD5A348609}" name="Année" dataDxfId="1211"/>
    <tableColumn id="2" xr3:uid="{728E704D-CBE8-E44B-B916-204E26EA1D8A}" name="JP_1" dataDxfId="1210">
      <calculatedColumnFormula>(C$86)*IF($B92&gt;=C$84,IF($B92=C$84,$E$19,VLOOKUP($B92-C$84,$B$19:$E$49,4,FALSE)),0)</calculatedColumnFormula>
    </tableColumn>
    <tableColumn id="3" xr3:uid="{BF587A58-FAFC-B443-8CDC-410B7479EFBD}" name="JP_2" dataDxfId="1209">
      <calculatedColumnFormula>(D$86)*IF($B92&gt;=D$84,IF($B92=D$84,$E$19,VLOOKUP($B92-D$84,$B$19:$E$49,4,FALSE)),0)</calculatedColumnFormula>
    </tableColumn>
    <tableColumn id="4" xr3:uid="{6B547D11-6F5A-AB40-9B17-B33D27BB6B9F}" name="JP_3" dataDxfId="1208">
      <calculatedColumnFormula>(E$86)*IF($B92&gt;=E$84,IF($B92=E$84,$E$19,VLOOKUP($B92-E$84,$B$19:$E$49,4,FALSE)),0)</calculatedColumnFormula>
    </tableColumn>
    <tableColumn id="5" xr3:uid="{A8A59BCF-2BBB-CF4C-B06F-4A8936F6A6C3}" name="JP_4" dataDxfId="1207">
      <calculatedColumnFormula>(F$86)*IF($B92&gt;=F$84,IF($B92=F$84,$E$19,VLOOKUP($B92-F$84,$B$19:$E$49,4,FALSE)),0)</calculatedColumnFormula>
    </tableColumn>
    <tableColumn id="6" xr3:uid="{2474C153-64C0-5C47-A7EA-FDF77295B20E}" name="JP_5" dataDxfId="1206">
      <calculatedColumnFormula>(G$86)*IF($B92&gt;=G$84,IF($B92=G$84,$E$19,VLOOKUP($B92-G$84,$B$19:$E$49,4,FALSE)),0)</calculatedColumnFormula>
    </tableColumn>
    <tableColumn id="7" xr3:uid="{612B31E1-7FF0-2340-898B-A1D5F4ACD251}" name="JP_6" dataDxfId="1205">
      <calculatedColumnFormula>(H$86)*IF($B92&gt;=H$84,IF($B92=H$84,$E$19,VLOOKUP($B92-H$84,$B$19:$E$49,4,FALSE)),0)</calculatedColumnFormula>
    </tableColumn>
    <tableColumn id="8" xr3:uid="{6288356C-3A01-F64F-ACB3-571A759D7165}" name="JP_7" dataDxfId="1204">
      <calculatedColumnFormula>(I$86)*IF($B92&gt;=I$84,IF($B92=I$84,$E$19,VLOOKUP($B92-I$84,$B$19:$E$49,4,FALSE)),0)</calculatedColumnFormula>
    </tableColumn>
    <tableColumn id="9" xr3:uid="{98B45E0A-2FF4-3048-8379-B7B65570D601}" name="JP_8" dataDxfId="1203">
      <calculatedColumnFormula>(J$86)*IF($B92&gt;=J$84,IF($B92=J$84,$E$19,VLOOKUP($B92-J$84,$B$19:$E$49,4,FALSE)),0)</calculatedColumnFormula>
    </tableColumn>
    <tableColumn id="10" xr3:uid="{C58E3B98-9991-054E-BCDB-762FC3A69B76}" name="JP_9" dataDxfId="1202">
      <calculatedColumnFormula>(K$86)*IF($B92&gt;=K$84,IF($B92=K$84,$E$19,VLOOKUP($B92-K$84,$B$19:$E$49,4,FALSE)),0)</calculatedColumnFormula>
    </tableColumn>
    <tableColumn id="11" xr3:uid="{997CEFAE-84D9-DE4C-818B-A631C3D49821}" name="JP_10" dataDxfId="1201">
      <calculatedColumnFormula>(L$86)*IF($B92&gt;=L$84,IF($B92=L$84,$E$19,VLOOKUP($B92-L$84,$B$19:$E$49,4,FALSE)),0)</calculatedColumnFormula>
    </tableColumn>
    <tableColumn id="12" xr3:uid="{B2F3CD52-F68A-2D40-A1E5-267BD3EFC78C}" name="JP_11" dataDxfId="1200">
      <calculatedColumnFormula>(M$86)*IF($B92&gt;=M$84,IF($B92=M$84,$E$19,VLOOKUP($B92-M$84,$B$19:$E$49,4,FALSE)),0)</calculatedColumnFormula>
    </tableColumn>
    <tableColumn id="13" xr3:uid="{27C2D92F-DD2A-0841-BF59-45B2B929720E}" name="JP_12" dataDxfId="1199">
      <calculatedColumnFormula>(N$86)*IF($B92&gt;=N$84,IF($B92=N$84,$E$19,VLOOKUP($B92-N$84,$B$19:$E$49,4,FALSE)),0)</calculatedColumnFormula>
    </tableColumn>
    <tableColumn id="14" xr3:uid="{C2C35C03-96AE-A04F-A885-53F0DE54830D}" name="JP_13" dataDxfId="1198">
      <calculatedColumnFormula>(O$86)*IF($B92&gt;=O$84,IF($B92=O$84,$E$19,VLOOKUP($B92-O$84,$B$19:$E$49,4,FALSE)),0)</calculatedColumnFormula>
    </tableColumn>
    <tableColumn id="15" xr3:uid="{0007644F-155C-B44F-AD46-2CEBDBC94167}" name="JP_14" dataDxfId="1197">
      <calculatedColumnFormula>(P$86)*IF($B92&gt;=P$84,IF($B92=P$84,$E$19,VLOOKUP($B92-P$84,$B$19:$E$49,4,FALSE)),0)</calculatedColumnFormula>
    </tableColumn>
    <tableColumn id="16" xr3:uid="{E9FED37A-A95E-F047-B7D4-537E74AEBB99}" name="JP_15" dataDxfId="1196">
      <calculatedColumnFormula>(Q$86)*IF($B92&gt;=Q$84,IF($B92=Q$84,$E$19,VLOOKUP($B92-Q$84,$B$19:$E$49,4,FALSE)),0)</calculatedColumnFormula>
    </tableColumn>
    <tableColumn id="17" xr3:uid="{E6088FBE-EA5A-3041-9DCC-BF3F6B0C403E}" name="JP_16" dataDxfId="1195">
      <calculatedColumnFormula>(R$86)*IF($B92&gt;=R$84,IF($B92=R$84,$E$19,VLOOKUP($B92-R$84,$B$19:$E$49,4,FALSE)),0)</calculatedColumnFormula>
    </tableColumn>
    <tableColumn id="18" xr3:uid="{964E2609-D901-7E4F-912A-57CD34023E92}" name="JP_17" dataDxfId="1194">
      <calculatedColumnFormula>(S$86)*IF($B92&gt;=S$84,IF($B92=S$84,$E$19,VLOOKUP($B92-S$84,$B$19:$E$49,4,FALSE)),0)</calculatedColumnFormula>
    </tableColumn>
    <tableColumn id="19" xr3:uid="{AAF35A68-26CD-D441-8BBC-AD618A0C9015}" name="JP_18" dataDxfId="1193">
      <calculatedColumnFormula>(T$86)*IF($B92&gt;=T$84,IF($B92=T$84,$E$19,VLOOKUP($B92-T$84,$B$19:$E$49,4,FALSE)),0)</calculatedColumnFormula>
    </tableColumn>
    <tableColumn id="20" xr3:uid="{861D060E-7CC6-2540-9ADE-15EAB8A528EF}" name="JP_19" dataDxfId="1192">
      <calculatedColumnFormula>(U$86)*IF($B92&gt;=U$84,IF($B92=U$84,$E$19,VLOOKUP($B92-U$84,$B$19:$E$49,4,FALSE)),0)</calculatedColumnFormula>
    </tableColumn>
    <tableColumn id="21" xr3:uid="{CFF0EC9D-77B2-7244-8451-D0C29000B23E}" name="JP_20" dataDxfId="1191">
      <calculatedColumnFormula>(V$86)*IF($B92&gt;=V$84,IF($B92=V$84,$E$19,VLOOKUP($B92-V$84,$B$19:$E$49,4,FALSE)),0)</calculatedColumnFormula>
    </tableColumn>
    <tableColumn id="32" xr3:uid="{4DAA9DE0-DECD-6946-BFA0-E9EFEB26E048}" name="BA_JP" dataDxfId="1190">
      <calculatedColumnFormula>SUM(C92:V92)*D$11*C$11</calculatedColumnFormula>
    </tableColumn>
    <tableColumn id="33" xr3:uid="{167BDC0F-95FD-0241-B1B9-C4C23E60EFB2}" name="BR_JP" dataDxfId="1189">
      <calculatedColumnFormula>IF(W92&gt;0,EXP(-1.0587+0.8836*LN(W92)+0.284),0)</calculatedColumnFormula>
    </tableColumn>
    <tableColumn id="34" xr3:uid="{4352D24D-BD99-B441-AD6B-C02D57A531EA}" name="CO2e_JP" dataDxfId="1188">
      <calculatedColumnFormula>SUM(W92:X92)*0.475*44/12</calculatedColumnFormula>
    </tableColumn>
    <tableColumn id="35" xr3:uid="{F03579D3-74BD-6E46-BF36-89FBB81A650B}" name="V_JP_tot" dataDxfId="1187">
      <calculatedColumnFormula>SUM(C92:V92)</calculatedColumnFormula>
    </tableColumn>
  </tableColumns>
  <tableStyleInfo name="TableStyleMedium5" showFirstColumn="0" showLastColumn="0" showRowStripes="1" showColumnStripes="0"/>
</table>
</file>

<file path=xl/tables/table1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5" xr:uid="{F59DE548-43A7-F844-A475-C5D1E4D3E178}" name="Tableau7679177397436" displayName="Tableau7679177397436" ref="AL176:AO196" totalsRowShown="0" headerRowDxfId="1186" dataDxfId="1185">
  <autoFilter ref="AL176:AO196" xr:uid="{00000000-0009-0000-0100-0000B0000000}"/>
  <tableColumns count="4">
    <tableColumn id="1" xr3:uid="{6B7DA607-A9B8-9E43-BC23-B46668228414}" name="Annee" dataDxfId="1184"/>
    <tableColumn id="2" xr3:uid="{23CAE499-0498-EC47-9E16-1229EDB5386B}" name="V_Prel_tot" dataDxfId="1183">
      <calculatedColumnFormula>SUM(D177,M177,V177,AE177)</calculatedColumnFormula>
    </tableColumn>
    <tableColumn id="4" xr3:uid="{0851944B-7B52-4D4D-80D1-2028DB5A11EB}" name="%récolté" dataDxfId="1182" dataCellStyle="Pourcentage">
      <calculatedColumnFormula>IF(OR($C$6=0,SUM($M$4:$M$7)=0),0,AM177/SUM($M$4:$M$7))</calculatedColumnFormula>
    </tableColumn>
    <tableColumn id="5" xr3:uid="{6D0BFD38-1F04-5548-9D23-E5D1DC7BF182}" name="%surf_JP" dataDxfId="1181">
      <calculatedColumnFormula>AN177*50%</calculatedColumnFormula>
    </tableColumn>
  </tableColumns>
  <tableStyleInfo name="TableStyleMedium5" showFirstColumn="0" showLastColumn="0" showRowStripes="1" showColumnStripes="0"/>
</table>
</file>

<file path=xl/tables/table1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6" xr:uid="{5CE89A4B-AA69-9343-BFAB-AA9E2F27A94F}" name="Tableau12163215214398437" displayName="Tableau12163215214398437" ref="L117:S137" totalsRowShown="0" headerRowDxfId="1180" dataDxfId="1179">
  <autoFilter ref="L117:S137" xr:uid="{00000000-0009-0000-0100-00000D000000}"/>
  <tableColumns count="8">
    <tableColumn id="1" xr3:uid="{622B9998-FF76-6645-ABFA-91870F54019F}" name="Annees" dataDxfId="1178"/>
    <tableColumn id="2" xr3:uid="{FA7532F9-51BB-5F41-8D1D-3E3E166C0954}" name="V_prel" dataDxfId="1177">
      <calculatedColumnFormula>M61</calculatedColumnFormula>
    </tableColumn>
    <tableColumn id="7" xr3:uid="{2DF9764E-713A-7B4E-8C8A-7A19C2B67B69}" name="C_prel" dataDxfId="1176">
      <calculatedColumnFormula>IF(OR(M118=0,M118=""),0,M118*L$58*0.475)</calculatedColumnFormula>
    </tableColumn>
    <tableColumn id="8" xr3:uid="{5FB09CF4-32F2-A044-8C35-74846985782C}" name="C_BE" dataDxfId="1175">
      <calculatedColumnFormula>IF(OR(N118=0,N118="",L$116=0),0,N118*INDEX(Listes!$K$1:$Q$12,MATCH(L$116,Listes!$K$1:$K$12,0),MATCH(O$117,Listes!$K$1:$Q$1,0)))</calculatedColumnFormula>
    </tableColumn>
    <tableColumn id="9" xr3:uid="{333F3271-4D68-E740-9C9B-A64350A62462}" name="C_val" dataDxfId="1174">
      <calculatedColumnFormula>N118-O118</calculatedColumnFormula>
    </tableColumn>
    <tableColumn id="3" xr3:uid="{96D536DA-B8AE-2549-AD7A-DA4398CF5939}" name="C_BO_sc" dataDxfId="1173">
      <calculatedColumnFormula>IF(OR(L$116=0,L$116=""),0,P118*INDEX(Listes!$K$15:$P$26,MATCH(L$116,Listes!$K$15:$K$26,0),MATCH(Q$117,Listes!$K$15:$P$15,0))*INDEX(Listes!$K$29:$O$31,MATCH(M$116,Listes!$K$29:$K$31,0),MATCH(Q$117,Listes!$K$29:$O$29,0)))</calculatedColumnFormula>
    </tableColumn>
    <tableColumn id="4" xr3:uid="{C66E22F9-63F7-3E4A-B213-434421C7CDC5}" name="C_BO_ps" dataDxfId="1172">
      <calculatedColumnFormula>IF(OR(L$116=0,L$116=""),0,P118*INDEX(Listes!$K$15:$P$26,MATCH(L$116,Listes!$K$15:$K$26,0),MATCH(R$117,Listes!$K$15:$P$15,0))*INDEX(Listes!$K$29:$O$31,MATCH(M$116,Listes!$K$29:$K$31,0),MATCH(R$117,Listes!$K$29:$O$29,0)))</calculatedColumnFormula>
    </tableColumn>
    <tableColumn id="6" xr3:uid="{2499130E-BB1B-414A-947B-EE1612E0D4E1}" name="C_BI_pap" dataDxfId="1171">
      <calculatedColumnFormula>IF(OR(L$116=0,L$116=""),0,P118*INDEX(Listes!$K$15:$P$26,MATCH(L$116,Listes!$K$15:$K$26,0),MATCH(S$117,Listes!$K$15:$P$15,0))*INDEX(Listes!$K$29:$O$31,MATCH(M$116,Listes!$K$29:$K$31,0),MATCH(S$117,Listes!$K$29:$O$29,0)))</calculatedColumnFormula>
    </tableColumn>
  </tableColumns>
  <tableStyleInfo name="TableStyleMedium5" showFirstColumn="0" showLastColumn="0" showRowStripes="1" showColumnStripes="0"/>
</table>
</file>

<file path=xl/tables/table1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7" xr:uid="{59B95AC0-CB73-E14D-980E-A42BCB046C1F}" name="Tableau12163215216399438" displayName="Tableau12163215216399438" ref="V117:AC137" totalsRowShown="0" headerRowDxfId="1170" dataDxfId="1169">
  <autoFilter ref="V117:AC137" xr:uid="{00000000-0009-0000-0100-00000F000000}"/>
  <tableColumns count="8">
    <tableColumn id="1" xr3:uid="{BDB297DB-BC9A-FF44-BE0B-2EDB6D3A6EF6}" name="Annees" dataDxfId="1168"/>
    <tableColumn id="2" xr3:uid="{EFA47947-AB5B-BB4D-9704-6EE12CCFFE04}" name="V_prel" dataDxfId="1167">
      <calculatedColumnFormula>V61</calculatedColumnFormula>
    </tableColumn>
    <tableColumn id="7" xr3:uid="{5E0AFA07-2F74-DC4E-BCA8-5091BB2C0E92}" name="C_prel" dataDxfId="1166">
      <calculatedColumnFormula>IF(OR(W118=0,W118=""),0,W118*U$58*0.475)</calculatedColumnFormula>
    </tableColumn>
    <tableColumn id="8" xr3:uid="{86CDC76D-53C4-D443-9702-54349B31A8CE}" name="C_BE" dataDxfId="1165">
      <calculatedColumnFormula>IF(OR(X118=0,X118="",V$116=0),0,X118*INDEX(Listes!$K$1:$Q$12,MATCH(V$116,Listes!$K$1:$K$12,0),MATCH(Y$117,Listes!$K$1:$Q$1,0)))</calculatedColumnFormula>
    </tableColumn>
    <tableColumn id="9" xr3:uid="{5CD1E513-C897-8A41-9BE3-923DE906A794}" name="C_val" dataDxfId="1164">
      <calculatedColumnFormula>X118-Y118</calculatedColumnFormula>
    </tableColumn>
    <tableColumn id="3" xr3:uid="{E6161FA6-D49C-594B-B152-9EFA85ECCFCF}" name="C_BO_sc" dataDxfId="1163">
      <calculatedColumnFormula>IF(OR(V$116=0,V$116=""),0,Z118*INDEX(Listes!$K$15:$P$26,MATCH(V$116,Listes!$K$15:$K$26,0),MATCH(AA$117,Listes!$K$15:$P$15,0))*INDEX(Listes!$K$29:$O$31,MATCH(W$116,Listes!$K$29:$K$31,0),MATCH(AA$117,Listes!$K$29:$O$29,0)))</calculatedColumnFormula>
    </tableColumn>
    <tableColumn id="4" xr3:uid="{64896C1C-58D2-3846-82E2-2C3E3FAE4B91}" name="C_BO_ps" dataDxfId="1162">
      <calculatedColumnFormula>IF(OR(V$116=0,V$116=""),0,Z118*INDEX(Listes!$K$15:$P$26,MATCH(V$116,Listes!$K$15:$K$26,0),MATCH(AB$117,Listes!$K$15:$P$15,0))*INDEX(Listes!$K$29:$O$31,MATCH(W$116,Listes!$K$29:$K$31,0),MATCH(AB$117,Listes!$K$29:$O$29,0)))</calculatedColumnFormula>
    </tableColumn>
    <tableColumn id="6" xr3:uid="{8ACA236E-5FC5-5645-80EB-B809B7B820D0}" name="C_BI_pap" dataDxfId="1161">
      <calculatedColumnFormula>IF(OR(V$116=0,V$116=""),0,Z118*INDEX(Listes!$K$15:$P$26,MATCH(V$116,Listes!$K$15:$K$26,0),MATCH(AC$117,Listes!$K$15:$P$15,0))*INDEX(Listes!$K$29:$O$31,MATCH(W$116,Listes!$K$29:$K$31,0),MATCH(AC$117,Listes!$K$29:$O$29,0)))</calculatedColumnFormula>
    </tableColumn>
  </tableColumns>
  <tableStyleInfo name="TableStyleMedium5" showFirstColumn="0" showLastColumn="0" showRowStripes="1" showColumnStripes="0"/>
</table>
</file>

<file path=xl/tables/table1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8" xr:uid="{F3D9B5F1-C419-0C47-B9B1-4D1065F16732}" name="Tableau12163215220400439" displayName="Tableau12163215220400439" ref="AF117:AM137" totalsRowShown="0" headerRowDxfId="1160" dataDxfId="1159">
  <autoFilter ref="AF117:AM137" xr:uid="{00000000-0009-0000-0100-000013000000}"/>
  <tableColumns count="8">
    <tableColumn id="1" xr3:uid="{FE847C23-9FD9-E94C-9628-92A002691CA4}" name="Annees" dataDxfId="1158"/>
    <tableColumn id="2" xr3:uid="{FA1BC2E2-3C1D-A541-8DE0-F4180C2A262A}" name="V_prel" dataDxfId="1157">
      <calculatedColumnFormula>AE61</calculatedColumnFormula>
    </tableColumn>
    <tableColumn id="7" xr3:uid="{FC858036-737C-004B-8C0F-DA4E9623031E}" name="C_prel" dataDxfId="1156">
      <calculatedColumnFormula>IF(OR(AG118=0,AG118=""),0,AG118*AD$58*0.475)</calculatedColumnFormula>
    </tableColumn>
    <tableColumn id="8" xr3:uid="{D6E9F7FA-EE92-E248-87E4-B5FE80FC685C}" name="C_BE" dataDxfId="1155">
      <calculatedColumnFormula>IF(OR(AH118=0,AH118="",AF$116=0),0,AH118*INDEX(Listes!$K$1:$Q$12,MATCH(AF$116,Listes!$K$1:$K$12,0),MATCH(AI$117,Listes!$K$1:$Q$1,0)))</calculatedColumnFormula>
    </tableColumn>
    <tableColumn id="9" xr3:uid="{13EC7B33-94B7-5A46-B713-5414305D4ECF}" name="C_val" dataDxfId="1154">
      <calculatedColumnFormula>AH118-AI118</calculatedColumnFormula>
    </tableColumn>
    <tableColumn id="3" xr3:uid="{17CB5836-A0F3-314B-A51B-EB3632E846EC}" name="C_BO_sc" dataDxfId="1153">
      <calculatedColumnFormula>IF(OR(AF$116=0,AF$116=""),0,AJ118*INDEX(Listes!$K$15:$P$26,MATCH(AF$116,Listes!$K$15:$K$26,0),MATCH(AK$117,Listes!$K$15:$P$15,0))*INDEX(Listes!$K$29:$O$31,MATCH(AG$116,Listes!$K$29:$K$31,0),MATCH(AK$117,Listes!$K$29:$O$29,0)))</calculatedColumnFormula>
    </tableColumn>
    <tableColumn id="4" xr3:uid="{18C681F4-9F47-AC4F-8E0C-BE034D8F3A93}" name="C_BO_ps" dataDxfId="1152">
      <calculatedColumnFormula>IF(OR(AF$116=0,AF$116=""),0,AJ118*INDEX(Listes!$K$15:$P$26,MATCH(AF$116,Listes!$K$15:$K$26,0),MATCH(AL$117,Listes!$K$15:$P$15,0))*INDEX(Listes!$K$29:$O$31,MATCH(AG$116,Listes!$K$29:$K$31,0),MATCH(AL$117,Listes!$K$29:$O$29,0)))</calculatedColumnFormula>
    </tableColumn>
    <tableColumn id="6" xr3:uid="{69FE6F5A-5BB1-DE4A-ABB9-F3F887F424D6}" name="C_BI_pap" dataDxfId="1151">
      <calculatedColumnFormula>IF(OR(AF$116=0,AF$116=""),0,AJ118*INDEX(Listes!$K$15:$P$26,MATCH(AF$116,Listes!$K$15:$K$26,0),MATCH(AM$117,Listes!$K$15:$P$15,0))*INDEX(Listes!$K$29:$O$31,MATCH(AG$116,Listes!$K$29:$K$31,0),MATCH(AM$117,Listes!$K$29:$O$29,0)))</calculatedColumnFormula>
    </tableColumn>
  </tableColumns>
  <tableStyleInfo name="TableStyleMedium5" showFirstColumn="0" showLastColumn="0" showRowStripes="1" showColumnStripes="0"/>
</table>
</file>

<file path=xl/tables/table1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9" xr:uid="{AEB34771-B2E3-6943-BD4F-18256486A925}" name="Tableau1216326016221401440" displayName="Tableau1216326016221401440" ref="L232:S252" totalsRowShown="0" headerRowDxfId="1150" dataDxfId="1149">
  <autoFilter ref="L232:S252" xr:uid="{00000000-0009-0000-0100-000014000000}"/>
  <tableColumns count="8">
    <tableColumn id="1" xr3:uid="{18F1FA06-8C5E-F140-87B9-E781BE49314E}" name="Annees" dataDxfId="1148"/>
    <tableColumn id="2" xr3:uid="{35D3124A-C9DD-FF48-8205-13619D7F7C72}" name="V_prel" dataDxfId="1147">
      <calculatedColumnFormula>M177</calculatedColumnFormula>
    </tableColumn>
    <tableColumn id="7" xr3:uid="{5505AD8A-0B17-AB41-A6C5-10EFD3A4D0D2}" name="C_prel" dataDxfId="1146">
      <calculatedColumnFormula>IF(OR(M233="",M233=0),0,M233*L$174*0.475)</calculatedColumnFormula>
    </tableColumn>
    <tableColumn id="9" xr3:uid="{5B1BD1CD-6CCD-1F49-9CB4-3E4A285654A7}" name="C_BE" dataDxfId="1145">
      <calculatedColumnFormula>IF(OR(N233=0,N233="",L$116=0),0,N233*INDEX(Listes!$K$1:$Q$12,MATCH(L$116,Listes!$K$1:$K$12,0),MATCH(O$117,Listes!$K$1:$Q$1,0)))</calculatedColumnFormula>
    </tableColumn>
    <tableColumn id="8" xr3:uid="{88B2836F-E732-EF43-9A0A-53745FC07C8C}" name="C_val" dataDxfId="1144">
      <calculatedColumnFormula>N233-O233</calculatedColumnFormula>
    </tableColumn>
    <tableColumn id="3" xr3:uid="{E3849308-81F8-3B45-A309-E2CB1BC8C31A}" name="C_BO_sc" dataDxfId="1143">
      <calculatedColumnFormula>IF(OR(L$231=0,L$231=""),0,P233*INDEX(Listes!$K$15:$P$26,MATCH(L$231,Listes!$K$15:$K$26,0),MATCH(Q$232,Listes!$K$15:$P$15,0))*INDEX(Listes!$K$29:$O$31,MATCH(M$231,Listes!$K$29:$K$31,0),MATCH(Q$232,Listes!$K$29:$O$29,0)))</calculatedColumnFormula>
    </tableColumn>
    <tableColumn id="4" xr3:uid="{F7DAE811-2EF7-9046-BD18-1C836C3ED564}" name="C_BO_ps" dataDxfId="1142">
      <calculatedColumnFormula>IF(OR(L$231=0,L$231=""),0,P233*INDEX(Listes!$K$15:$P$26,MATCH(L$231,Listes!$K$15:$K$26,0),MATCH(R$232,Listes!$K$15:$P$15,0))*INDEX(Listes!$K$29:$O$31,MATCH(M$231,Listes!$K$29:$K$31,0),MATCH(R$232,Listes!$K$29:$O$29,0)))</calculatedColumnFormula>
    </tableColumn>
    <tableColumn id="6" xr3:uid="{9C10CA3A-BFF8-7F49-A542-B969520F16AE}" name="C_BI_pap" dataDxfId="1141">
      <calculatedColumnFormula>IF(OR(L$231=0,L$231=""),0,P233*INDEX(Listes!$K$15:$P$26,MATCH(L$231,Listes!$K$15:$K$26,0),MATCH(S$232,Listes!$K$15:$P$15,0))*INDEX(Listes!$K$29:$O$31,MATCH(M$231,Listes!$K$29:$K$31,0),MATCH(S$232,Listes!$K$29:$O$29,0)))</calculatedColumnFormula>
    </tableColumn>
  </tableColumns>
  <tableStyleInfo name="TableStyleMedium5" showFirstColumn="0" showLastColumn="0" showRowStripes="1" showColumnStripes="0"/>
</table>
</file>

<file path=xl/tables/table1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0" xr:uid="{280BE5A7-2794-E943-904E-559598483E02}" name="Tableau1216326016222402441" displayName="Tableau1216326016222402441" ref="V232:AC252" totalsRowShown="0" headerRowDxfId="1140" dataDxfId="1139">
  <autoFilter ref="V232:AC252" xr:uid="{00000000-0009-0000-0100-000015000000}"/>
  <tableColumns count="8">
    <tableColumn id="1" xr3:uid="{0693F386-19D7-C14A-BBEE-00077DD88254}" name="Annees" dataDxfId="1138"/>
    <tableColumn id="2" xr3:uid="{369DD7CF-4AF7-A84B-B366-6D280477C6BD}" name="V_prel" dataDxfId="1137">
      <calculatedColumnFormula>V177</calculatedColumnFormula>
    </tableColumn>
    <tableColumn id="7" xr3:uid="{DE9883BD-9940-E442-A956-18EDE037FE77}" name="C_prel" dataDxfId="1136">
      <calculatedColumnFormula>IF(OR(W233="",W233=0),0,W233*U$174*0.475)</calculatedColumnFormula>
    </tableColumn>
    <tableColumn id="9" xr3:uid="{D1A67AE8-1423-7C41-BC1A-AB46982FBDE2}" name="C_BE" dataDxfId="1135">
      <calculatedColumnFormula>IF(OR(X233=0,X233="",V$116=0),0,X233*INDEX(Listes!$K$1:$Q$12,MATCH(V$116,Listes!$K$1:$K$12,0),MATCH(Y$117,Listes!$K$1:$Q$1,0)))</calculatedColumnFormula>
    </tableColumn>
    <tableColumn id="8" xr3:uid="{989FCBC3-4D12-B045-B74F-D1B9A143D7AC}" name="C_val" dataDxfId="1134">
      <calculatedColumnFormula>X233-Y233</calculatedColumnFormula>
    </tableColumn>
    <tableColumn id="3" xr3:uid="{BB7994D4-A6E4-034B-9E45-77EB288740FD}" name="C_BO_sc" dataDxfId="1133">
      <calculatedColumnFormula>IF(OR(V$231=0,V$231=""),0,Z233*INDEX(Listes!$K$15:$P$26,MATCH(V$231,Listes!$K$15:$K$26,0),MATCH(AA$232,Listes!$K$15:$P$15,0))*INDEX(Listes!$K$29:$O$31,MATCH(W$231,Listes!$K$29:$K$31,0),MATCH(AA$232,Listes!$K$29:$O$29,0)))</calculatedColumnFormula>
    </tableColumn>
    <tableColumn id="4" xr3:uid="{5103DE65-BB60-764A-BC08-1931C35FE0E1}" name="C_BO_ps" dataDxfId="1132">
      <calculatedColumnFormula>IF(OR(V$231=0,V$231=""),0,Z233*INDEX(Listes!$K$15:$P$26,MATCH(V$231,Listes!$K$15:$K$26,0),MATCH(AB$232,Listes!$K$15:$P$15,0))*INDEX(Listes!$K$29:$O$31,MATCH(W$231,Listes!$K$29:$K$31,0),MATCH(AB$232,Listes!$K$29:$O$29,0)))</calculatedColumnFormula>
    </tableColumn>
    <tableColumn id="6" xr3:uid="{3F7249F4-07E3-114D-ABA3-DA795B290F5B}" name="C_BI_pap" dataDxfId="1131">
      <calculatedColumnFormula>IF(OR(V$231=0,V$231=""),0,Z233*INDEX(Listes!$K$15:$P$26,MATCH(V$231,Listes!$K$15:$K$26,0),MATCH(AC$232,Listes!$K$15:$P$15,0))*INDEX(Listes!$K$29:$O$31,MATCH(W$231,Listes!$K$29:$K$31,0),MATCH(AC$232,Listes!$K$29:$O$29,0)))</calculatedColumnFormula>
    </tableColumn>
  </tableColumns>
  <tableStyleInfo name="TableStyleMedium5" showFirstColumn="0" showLastColumn="0" showRowStripes="1" showColumnStripes="0"/>
</table>
</file>

<file path=xl/tables/table1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1" xr:uid="{AFBBDB88-0C1C-9441-BC5B-91C24F637B45}" name="Tableau1216326016223403442" displayName="Tableau1216326016223403442" ref="AF232:AM252" totalsRowShown="0" headerRowDxfId="1130" dataDxfId="1129">
  <autoFilter ref="AF232:AM252" xr:uid="{00000000-0009-0000-0100-000016000000}"/>
  <tableColumns count="8">
    <tableColumn id="1" xr3:uid="{D0B91D6A-3776-6147-AAE8-2ADEB61E9EEE}" name="Annees" dataDxfId="1128"/>
    <tableColumn id="2" xr3:uid="{A54FD9D7-9145-7649-A0DA-BFB49AECA004}" name="V_prel" dataDxfId="1127">
      <calculatedColumnFormula>AE177</calculatedColumnFormula>
    </tableColumn>
    <tableColumn id="7" xr3:uid="{8B80EAAB-C273-9B40-82FB-2462357375CE}" name="C_prel" dataDxfId="1126">
      <calculatedColumnFormula>IF(OR(AG233="",AG233=0),0,AG233*AD$174*0.475)</calculatedColumnFormula>
    </tableColumn>
    <tableColumn id="9" xr3:uid="{14F32816-8699-A348-8D18-E928831697AE}" name="C_BE" dataDxfId="1125">
      <calculatedColumnFormula>IF(OR(AH233=0,AH233="",AF$116=0),0,AH233*INDEX(Listes!$K$1:$Q$12,MATCH(AF$116,Listes!$K$1:$K$12,0),MATCH(AI$117,Listes!$K$1:$Q$1,0)))</calculatedColumnFormula>
    </tableColumn>
    <tableColumn id="8" xr3:uid="{5F45C586-72A5-924E-9F71-CB475D9B648E}" name="C_val" dataDxfId="1124">
      <calculatedColumnFormula>AH233-AI233</calculatedColumnFormula>
    </tableColumn>
    <tableColumn id="3" xr3:uid="{BEC469ED-5A4B-7B4B-A0A7-2EC8DC98DFFD}" name="C_BO_sc" dataDxfId="1123">
      <calculatedColumnFormula>IF(OR(AF$231=0,AF$231=""),0,AJ233*INDEX(Listes!$K$15:$P$26,MATCH(AF$231,Listes!$K$15:$K$26,0),MATCH(AK$232,Listes!$K$15:$P$15,0))*INDEX(Listes!$K$29:$O$31,MATCH(AG$231,Listes!$K$29:$K$31,0),MATCH(AK$232,Listes!$K$29:$O$29,0)))</calculatedColumnFormula>
    </tableColumn>
    <tableColumn id="4" xr3:uid="{0573BE9D-0043-2045-8362-15F6E1DCD34F}" name="C_BO_ps" dataDxfId="1122">
      <calculatedColumnFormula>IF(OR(AF$231=0,AF$231=""),0,AJ233*INDEX(Listes!$K$15:$P$26,MATCH(AF$231,Listes!$K$15:$K$26,0),MATCH(AL$232,Listes!$K$15:$P$15,0))*INDEX(Listes!$K$29:$O$31,MATCH(AG$231,Listes!$K$29:$K$31,0),MATCH(AL$232,Listes!$K$29:$O$29,0)))</calculatedColumnFormula>
    </tableColumn>
    <tableColumn id="6" xr3:uid="{EC831AAA-5300-BB4D-A763-C4EA92285B7B}" name="C_BI_pap" dataDxfId="1121">
      <calculatedColumnFormula>IF(OR(AF$231=0,AF$231=""),0,AJ233*INDEX(Listes!$K$15:$P$26,MATCH(AF$231,Listes!$K$15:$K$26,0),MATCH(AM$232,Listes!$K$15:$P$15,0))*INDEX(Listes!$K$29:$O$31,MATCH(AG$231,Listes!$K$29:$K$31,0),MATCH(AM$232,Listes!$K$29:$O$29,0)))</calculatedColumnFormula>
    </tableColumn>
  </tableColumns>
  <tableStyleInfo name="TableStyleMedium5"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1E000000}" name="Tableau38" displayName="Tableau38" ref="B1:C9" totalsRowShown="0" headerRowDxfId="2181" dataDxfId="2180">
  <autoFilter ref="B1:C9" xr:uid="{00000000-0009-0000-0100-000007000000}"/>
  <tableColumns count="2">
    <tableColumn id="1" xr3:uid="{00000000-0010-0000-1E00-000001000000}" name="Colonne1" dataDxfId="2179"/>
    <tableColumn id="2" xr3:uid="{00000000-0010-0000-1E00-000002000000}" name="Colonne2" dataDxfId="2178"/>
  </tableColumns>
  <tableStyleInfo name="TableStyleMedium7" showFirstColumn="0" showLastColumn="0" showRowStripes="1" showColumnStripes="0"/>
</table>
</file>

<file path=xl/tables/table1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2" xr:uid="{A08832DF-D075-384C-9056-DBFFD34442CF}" name="Tableau76175404443" displayName="Tableau76175404443" ref="AL60:AO80" totalsRowShown="0" headerRowDxfId="1120" dataDxfId="1119">
  <autoFilter ref="AL60:AO80" xr:uid="{00000000-0009-0000-0100-0000AE000000}"/>
  <tableColumns count="4">
    <tableColumn id="1" xr3:uid="{B241C794-2309-AD49-B77B-24A60AB22413}" name="Annee" dataDxfId="1118"/>
    <tableColumn id="2" xr3:uid="{749AD3A1-24EF-6A4A-A065-C6F6B3209E34}" name="V_Prel_tot" dataDxfId="1117">
      <calculatedColumnFormula>SUM(D61,M61,V61,AE61)</calculatedColumnFormula>
    </tableColumn>
    <tableColumn id="4" xr3:uid="{5DFFE927-7D6A-194E-9F27-88CBA319D5B4}" name="%récolté/Vtot_i" dataDxfId="1116" dataCellStyle="Pourcentage">
      <calculatedColumnFormula>IF(OR($C$6=0,SUM($M$4:$M$7)=0),0,AM61/SUM($M$4:$M$7))</calculatedColumnFormula>
    </tableColumn>
    <tableColumn id="5" xr3:uid="{BF4AFAF0-9FDE-A040-8159-DF38B93E0972}" name="%surftot_JP" dataDxfId="1115">
      <calculatedColumnFormula>AN61*50%</calculatedColumnFormula>
    </tableColumn>
  </tableColumns>
  <tableStyleInfo name="TableStyleMedium5" showFirstColumn="0" showLastColumn="0" showRowStripes="1" showColumnStripes="0"/>
</table>
</file>

<file path=xl/tables/table1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3" xr:uid="{96BAC796-C932-0B4F-87A0-0041AA013158}" name="Tableau1231151405444" displayName="Tableau1231151405444" ref="B60:H80" totalsRowShown="0" headerRowDxfId="1114" dataDxfId="1113">
  <autoFilter ref="B60:H80" xr:uid="{00000000-0009-0000-0100-000096000000}"/>
  <tableColumns count="7">
    <tableColumn id="1" xr3:uid="{AA954158-9AAE-314C-BDB3-70C5737A006F}" name="Annees" dataDxfId="1112"/>
    <tableColumn id="2" xr3:uid="{F3629444-E555-9841-AE21-8A540788D2B6}" name="VE" dataDxfId="1111"/>
    <tableColumn id="3" xr3:uid="{C94DF17D-2E2C-8E43-AEFE-E5B889BD678D}" name="Vprel" dataDxfId="1110">
      <calculatedColumnFormula>IF(OR(C61="",C61=0),0,IF(B61=1,INDEX($J$19:$M$38,MATCH(B61,$H$19:$H$38,0),MATCH(RIGHT(A$57,5),$J$18:$M$18,0)),INDEX($J$19:$M$38,MATCH(B61,$H$19:$H$38,0),MATCH(RIGHT(A$57,5),$J$18:$M$18,0))+C61-E60))</calculatedColumnFormula>
    </tableColumn>
    <tableColumn id="4" xr3:uid="{4A161EA8-7AE3-2844-A70C-89BD442BA595}" name="VF" dataDxfId="1109">
      <calculatedColumnFormula>IF(D61="",0,C61-D61)</calculatedColumnFormula>
    </tableColumn>
    <tableColumn id="7" xr3:uid="{DD956979-2882-EA48-857E-EFDDB2864CE3}" name="BA" dataDxfId="1108">
      <calculatedColumnFormula>IF(C61=0,0,C61*C$58)</calculatedColumnFormula>
    </tableColumn>
    <tableColumn id="6" xr3:uid="{3FC5124D-0B41-864E-A786-8A8059FAF83B}" name="BR" dataDxfId="1107">
      <calculatedColumnFormula>IF(F61&gt;0,EXP(-1.0587+0.8836*LN(F61)+0.284),0)</calculatedColumnFormula>
    </tableColumn>
    <tableColumn id="5" xr3:uid="{2A7FE32D-E803-3741-BF86-5C43B342AEF6}" name="CO2e_VE" dataDxfId="1106">
      <calculatedColumnFormula>SUM(F61:G61)*0.475*44/12</calculatedColumnFormula>
    </tableColumn>
  </tableColumns>
  <tableStyleInfo name="TableStyleMedium5" showFirstColumn="0" showLastColumn="0" showRowStripes="1" showColumnStripes="0"/>
</table>
</file>

<file path=xl/tables/table1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4" xr:uid="{E3580B7C-3D32-6C45-A5D7-4800EBE65393}" name="Tableau15615178406445" displayName="Tableau15615178406445" ref="F3:S7" totalsRowShown="0" headerRowDxfId="1105" dataDxfId="1104">
  <autoFilter ref="F3:S7" xr:uid="{00000000-0009-0000-0100-0000B1000000}"/>
  <tableColumns count="14">
    <tableColumn id="1" xr3:uid="{B3A41132-FD24-1541-819C-F8B1C8615EA1}" name="Strate" dataDxfId="1103">
      <calculatedColumnFormula>C$1</calculatedColumnFormula>
    </tableColumn>
    <tableColumn id="2" xr3:uid="{7DAD779A-9477-2642-B41A-679DB7DE2A41}" name="Essence" dataDxfId="1102">
      <calculatedColumnFormula>INITIAL_FORET!Y10</calculatedColumnFormula>
    </tableColumn>
    <tableColumn id="13" xr3:uid="{88976AB2-2F74-074D-AD53-BB551E52B5D8}" name="%acc" dataDxfId="2">
      <calculatedColumnFormula>IF(OR(G4=0,G4=""),"",VLOOKUP(G4,Tableau45[],3,FALSE))</calculatedColumnFormula>
    </tableColumn>
    <tableColumn id="8" xr3:uid="{3215939F-E1AF-C845-884D-7681D6BDEE3A}" name="Vol_tot" dataDxfId="1101">
      <calculatedColumnFormula>IF(OR(F4="",G4=""),"",VLOOKUP(CONCATENATE(F4,"_",G4),INITIAL_FORET!$AB$40:$AQ$55,5,FALSE))</calculatedColumnFormula>
    </tableColumn>
    <tableColumn id="12" xr3:uid="{C160C906-ABCC-374C-B527-7B2E59B1C4E5}" name="%RiskEss" dataDxfId="12" dataCellStyle="Pourcentage">
      <calculatedColumnFormula>IF(OR(I4=0,I4=""),"",VLOOKUP(G4,Tableau45[[Essence]:[RiskEss_choisi]],2,FALSE))</calculatedColumnFormula>
    </tableColumn>
    <tableColumn id="7" xr3:uid="{E61284BC-5CF9-A345-B28F-F33E6DF20B35}" name="Vtot_sansRE" dataDxfId="1100" dataCellStyle="Pourcentage">
      <calculatedColumnFormula>IF(OR(G4=0,G4=""),"",I4*(1-J4))</calculatedColumnFormula>
    </tableColumn>
    <tableColumn id="9" xr3:uid="{8DD2B5E3-93A1-E049-B995-913B9C65D46D}" name="Vrec_sansRE" dataDxfId="1099" dataCellStyle="Pourcentage">
      <calculatedColumnFormula>IF(OR(G4=0,G4=""),"",VLOOKUP(CONCATENATE(F4,"_",G4),INITIAL_FORET!$AB$40:$AQ$55,10,FALSE))</calculatedColumnFormula>
    </tableColumn>
    <tableColumn id="4" xr3:uid="{A555FF60-5603-0146-9E4C-1C482AAEA429}" name="VR_max_REF" dataDxfId="1098">
      <calculatedColumnFormula>IF(OR(G4=0,G4=""),"",VLOOKUP(CONCATENATE(F4,"_",G4),INITIAL_FORET!$AB$40:$AQ$55,12,FALSE))</calculatedColumnFormula>
    </tableColumn>
    <tableColumn id="3" xr3:uid="{ED41F299-E7D8-F74A-B665-E39E5581388D}" name="VR_obj_PRJ" dataDxfId="1097">
      <calculatedColumnFormula>IF(OR(G4=0,G4=""),"",VLOOKUP(CONCATENATE(F4,"_",G4),INITIAL_FORET!$AB$40:$AQ$55,11,FALSE))</calculatedColumnFormula>
    </tableColumn>
    <tableColumn id="5" xr3:uid="{44D21D69-7186-D342-8804-245316EA8E90}" name="VR_nonrec_sansRE" dataDxfId="1096">
      <calculatedColumnFormula>IF(OR(G4=0,G4=""),"",IF($C$4="IRR",VLOOKUP(CONCATENATE(F4,"_",G4),INITIAL_FORET!$AB$40:$AQ$55,13,FALSE),K4-(K4/$C$6)*SUM($I$19:$I$38)))</calculatedColumnFormula>
    </tableColumn>
    <tableColumn id="6" xr3:uid="{ADD6CAE3-9E8D-254D-AFF6-50ED08798C3D}" name="Type_ess" dataDxfId="11">
      <calculatedColumnFormula>IF(OR(G4=0,G4=""),"",IF(VLOOKUP(G4,Tableau45[],5,FALSE)="Feuillus","Feuillus","Résineux"))</calculatedColumnFormula>
    </tableColumn>
    <tableColumn id="10" xr3:uid="{E4A2D68E-6625-5B46-87A5-23F6D145563B}" name="BA_i (tMS)" dataDxfId="1095">
      <calculatedColumnFormula>IF(L4="",0,L4*VLOOKUP(G4,Tableau44[[Code_ess]:[FEB]],4,FALSE))</calculatedColumnFormula>
    </tableColumn>
    <tableColumn id="11" xr3:uid="{F957567B-AE88-084D-9ACE-78F6655601BB}" name="BR_i (tMS)" dataDxfId="1094">
      <calculatedColumnFormula>IF(Q4&gt;0,EXP(-1.0587+0.8836*LN(Q4)+0.284),0)</calculatedColumnFormula>
    </tableColumn>
    <tableColumn id="14" xr3:uid="{BC1F5CC0-B245-374C-9A96-97027FEFD492}" name="tCO2e_i" dataDxfId="1093">
      <calculatedColumnFormula>SUM(Q4:R4)*0.475*44/12</calculatedColumnFormula>
    </tableColumn>
  </tableColumns>
  <tableStyleInfo name="TableStyleMedium5" showFirstColumn="0" showLastColumn="0" showRowStripes="1" showColumnStripes="0"/>
</table>
</file>

<file path=xl/tables/table1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5" xr:uid="{72E6346E-AA43-A648-9F6A-D4E72F022612}" name="Tableau827179407446" displayName="Tableau827179407446" ref="B3:C7" totalsRowShown="0" headerRowDxfId="1092" dataDxfId="1091">
  <autoFilter ref="B3:C7" xr:uid="{00000000-0009-0000-0100-0000B2000000}"/>
  <tableColumns count="2">
    <tableColumn id="1" xr3:uid="{69AE49D9-AB0F-F249-BF09-9CE8E44D540C}" name="Colonne1" dataDxfId="1090"/>
    <tableColumn id="2" xr3:uid="{62C93005-A7B8-154A-ACEE-41AB49E88E08}" name="Colonne2" dataDxfId="1089"/>
  </tableColumns>
  <tableStyleInfo name="TableStyleMedium5" showFirstColumn="0" showLastColumn="0" showRowStripes="1" showColumnStripes="0"/>
</table>
</file>

<file path=xl/tables/table1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6" xr:uid="{91EDF597-0162-2B40-8B25-1E82C6E35EB6}" name="Tableau180408447" displayName="Tableau180408447" ref="B10:D11" totalsRowShown="0" headerRowDxfId="1088" dataDxfId="1087">
  <autoFilter ref="B10:D11" xr:uid="{00000000-0009-0000-0100-0000B4000000}"/>
  <tableColumns count="3">
    <tableColumn id="1" xr3:uid="{F3126BBD-C335-B545-BBA7-8CE8F9C026ED}" name="Essence_dom" dataDxfId="1086">
      <calculatedColumnFormula>IF(I4=I10,G4,IF(I5=I10,G5,IF(I6=I10,G6,G7)))</calculatedColumnFormula>
    </tableColumn>
    <tableColumn id="2" xr3:uid="{80612A08-7166-1041-A600-A8939E6D71AD}" name="ID" dataDxfId="1085">
      <calculatedColumnFormula>IF(OR(B11=0,B11=""),0,VLOOKUP(B11,Tableau44[[Code_ess]:[FEB]],4,FALSE))</calculatedColumnFormula>
    </tableColumn>
    <tableColumn id="3" xr3:uid="{136DED99-BA53-F443-939E-814542EA168C}" name="FEB" dataDxfId="1084">
      <calculatedColumnFormula>IF(OR(B11=0,B11=""),0,VLOOKUP(B11,Tableau44[[Code_ess]:[FEB]],5,FALSE))</calculatedColumnFormula>
    </tableColumn>
  </tableColumns>
  <tableStyleInfo name="TableStyleMedium5" showFirstColumn="0" showLastColumn="0" showRowStripes="1" showColumnStripes="0"/>
</table>
</file>

<file path=xl/tables/table1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7" xr:uid="{E44115AE-2759-E941-8FE0-318C9C5C2C3A}" name="Tableau75122409448" displayName="Tableau75122409448" ref="B18:E49" totalsRowShown="0" headerRowDxfId="1083" dataDxfId="1082">
  <autoFilter ref="B18:E49" xr:uid="{00000000-0009-0000-0100-000079000000}"/>
  <tableColumns count="4">
    <tableColumn id="1" xr3:uid="{843268C2-7CAB-8242-BAF3-E24C27386C26}" name="Année" dataDxfId="1081"/>
    <tableColumn id="4" xr3:uid="{D1564242-FFD9-0743-96E1-1F82BB8F6987}" name="VI_JP/HA" dataDxfId="1080">
      <calculatedColumnFormula>'3.ESS_RÉGÉ'!O22</calculatedColumnFormula>
    </tableColumn>
    <tableColumn id="3" xr3:uid="{4344D028-85CD-364E-B430-83528BED67AA}" name="VP_JP/HA" dataDxfId="1079">
      <calculatedColumnFormula>'3.ESS_RÉGÉ'!P22</calculatedColumnFormula>
    </tableColumn>
    <tableColumn id="2" xr3:uid="{30ECAD56-BCD8-8847-9A8F-F175BA9AD4E1}" name="VF_JP/HA" dataDxfId="1078">
      <calculatedColumnFormula>'3.ESS_RÉGÉ'!Q22</calculatedColumnFormula>
    </tableColumn>
  </tableColumns>
  <tableStyleInfo name="TableStyleMedium5" showFirstColumn="0" showLastColumn="0" showRowStripes="1" showColumnStripes="0"/>
</table>
</file>

<file path=xl/tables/table1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8" xr:uid="{BB26A06A-041C-264A-9A38-03E909087F62}" name="Tableau123115139410449" displayName="Tableau123115139410449" ref="K60:Q80" totalsRowShown="0" headerRowDxfId="1077" dataDxfId="1076">
  <autoFilter ref="K60:Q80" xr:uid="{36090715-A2DE-F448-B746-C9D229A16A12}"/>
  <tableColumns count="7">
    <tableColumn id="1" xr3:uid="{5E7C6967-5E02-8B40-9D06-81B6EEC4B84B}" name="Annees" dataDxfId="1075"/>
    <tableColumn id="2" xr3:uid="{F8405131-10C7-FC4B-89F0-1DF14028C7AD}" name="VE" dataDxfId="1074"/>
    <tableColumn id="3" xr3:uid="{8E2BF01F-BC08-8E44-873F-44C956321648}" name="Vprel" dataDxfId="1073">
      <calculatedColumnFormula>IF(OR(L61="",L61=0),0,IF(K61=1,INDEX($J$19:$M$38,MATCH(K61,$H$19:$H$38,0),MATCH(RIGHT(J$57,5),$J$18:$M$18,0)),INDEX($J$19:$M$38,MATCH(K61,$H$19:$H$38,0),MATCH(RIGHT(J$57,5),$J$18:$M$18,0))+L61-N60))</calculatedColumnFormula>
    </tableColumn>
    <tableColumn id="4" xr3:uid="{58EE0399-9CF7-3B42-A1FC-235AB4C142D0}" name="VF" dataDxfId="1072">
      <calculatedColumnFormula>IF(M61="",0,L61-M61)</calculatedColumnFormula>
    </tableColumn>
    <tableColumn id="7" xr3:uid="{1E5F6A6B-3387-DA49-A382-9B56E257BDFD}" name="BA" dataDxfId="1071">
      <calculatedColumnFormula>IF(N61=0,0,N61*L$58)</calculatedColumnFormula>
    </tableColumn>
    <tableColumn id="6" xr3:uid="{B4B9B374-7BE7-4745-B4AA-A2A66EE86D34}" name="BR" dataDxfId="1070">
      <calculatedColumnFormula>IF(O61&gt;0,EXP(-1.0587+0.8836*LN(O61)+0.284),0)</calculatedColumnFormula>
    </tableColumn>
    <tableColumn id="5" xr3:uid="{6C83ACCA-DDBB-E342-AB05-A22E5C6CD0DF}" name="CO2e_VE" dataDxfId="1069">
      <calculatedColumnFormula>SUM(O61:P61)*0.475*44/12</calculatedColumnFormula>
    </tableColumn>
  </tableColumns>
  <tableStyleInfo name="TableStyleMedium5" showFirstColumn="0" showLastColumn="0" showRowStripes="1" showColumnStripes="0"/>
</table>
</file>

<file path=xl/tables/table1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9" xr:uid="{FCFAD7D7-B88B-C144-9FB7-636982449B71}" name="Tableau123115140411450" displayName="Tableau123115140411450" ref="T60:Z80" totalsRowShown="0" headerRowDxfId="1068" dataDxfId="1067">
  <autoFilter ref="T60:Z80" xr:uid="{274723B4-34E2-9E42-A9C4-B39ABF9885A4}"/>
  <tableColumns count="7">
    <tableColumn id="1" xr3:uid="{A71B1038-F109-1841-BFCD-776BE27845A4}" name="Annees" dataDxfId="1066"/>
    <tableColumn id="2" xr3:uid="{F4E2E881-CB76-DB4C-887D-DA96ACD02E16}" name="VE" dataDxfId="1065"/>
    <tableColumn id="3" xr3:uid="{E96A068D-9DCF-D04A-A49F-9CE8E40DD10C}" name="Vprel" dataDxfId="1064">
      <calculatedColumnFormula>IF(OR(U61="",U61=0),0,IF(T61=1,INDEX($J$19:$M$38,MATCH(T61,$H$19:$H$38,0),MATCH(RIGHT(S$57,5),$J$18:$M$18,0)),INDEX($J$19:$M$38,MATCH(T61,$H$19:$H$38,0),MATCH(RIGHT(S$57,5),$J$18:$M$18,0))+U61-W60))</calculatedColumnFormula>
    </tableColumn>
    <tableColumn id="4" xr3:uid="{046175B6-BD2D-FC43-A7A8-3F107538DAF8}" name="VF" dataDxfId="1063">
      <calculatedColumnFormula>IF(V61="",0,U61-V61)</calculatedColumnFormula>
    </tableColumn>
    <tableColumn id="7" xr3:uid="{24F3CD8D-2226-6249-98F4-2185F159E7EA}" name="BA" dataDxfId="1062">
      <calculatedColumnFormula>IF(W61=0,0,W61*U$58)</calculatedColumnFormula>
    </tableColumn>
    <tableColumn id="6" xr3:uid="{2CED2A79-BE20-5340-8E4D-70B0FB561A2D}" name="BR" dataDxfId="1061">
      <calculatedColumnFormula>IF(X61&gt;0,EXP(-1.0587+0.8836*LN(X61)+0.284),0)</calculatedColumnFormula>
    </tableColumn>
    <tableColumn id="5" xr3:uid="{DA980012-1143-CD43-80D4-FC9506281405}" name="CO2e_VE" dataDxfId="1060">
      <calculatedColumnFormula>SUM(X61:Y61)*0.475*44/12</calculatedColumnFormula>
    </tableColumn>
  </tableColumns>
  <tableStyleInfo name="TableStyleMedium5" showFirstColumn="0" showLastColumn="0" showRowStripes="1" showColumnStripes="0"/>
</table>
</file>

<file path=xl/tables/table1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0" xr:uid="{D8366A06-816A-F54E-B290-C5EBDA6A199A}" name="Tableau123115141412451" displayName="Tableau123115141412451" ref="AC60:AI80" totalsRowShown="0" headerRowDxfId="1059" dataDxfId="1058">
  <autoFilter ref="AC60:AI80" xr:uid="{8E5467D8-60DE-CB40-A3DB-B62D3A008683}"/>
  <tableColumns count="7">
    <tableColumn id="1" xr3:uid="{3B4914FF-D60F-A149-B7F8-FF10C36EA56D}" name="Annees" dataDxfId="1057"/>
    <tableColumn id="2" xr3:uid="{4B879C02-94B7-4448-AB91-089FDF2902BB}" name="VE" dataDxfId="1056"/>
    <tableColumn id="3" xr3:uid="{7217948D-769F-5E40-A051-C16E0CCCB9FF}" name="Vprel" dataDxfId="1055">
      <calculatedColumnFormula>IF(OR(AD61="",AD61=0),0,IF(AC61=1,INDEX($J$19:$M$38,MATCH(AC61,$H$19:$H$38,0),MATCH(RIGHT(AB$57,5),$J$18:$M$18,0)),INDEX($J$19:$M$38,MATCH(AC61,$H$19:$H$38,0),MATCH(RIGHT(AB$57,5),$J$18:$M$18,0))+AD61-AF60))</calculatedColumnFormula>
    </tableColumn>
    <tableColumn id="4" xr3:uid="{52DF9B18-50DC-4B4F-8574-9836FEDF7A35}" name="VF" dataDxfId="1054">
      <calculatedColumnFormula>IF(AE61="",0,AD61-AE61)</calculatedColumnFormula>
    </tableColumn>
    <tableColumn id="7" xr3:uid="{7C3CF3D4-4661-2943-9ADB-1F32253DC77E}" name="BA" dataDxfId="1053">
      <calculatedColumnFormula>IF(AF61=0,0,AF61*AD$58)</calculatedColumnFormula>
    </tableColumn>
    <tableColumn id="6" xr3:uid="{1547A644-C5C5-DD49-8FE8-64DC9336FC4E}" name="BR" dataDxfId="1052">
      <calculatedColumnFormula>IF(AG61&gt;0,EXP(-1.0587+0.8836*LN(AG61)+0.284),0)</calculatedColumnFormula>
    </tableColumn>
    <tableColumn id="5" xr3:uid="{C2DAAE9C-5B9C-B14B-9E3F-C750B056E1B4}" name="CO2e_VE" dataDxfId="1051">
      <calculatedColumnFormula>SUM(AG61:AH61)*0.475*44/12</calculatedColumnFormula>
    </tableColumn>
  </tableColumns>
  <tableStyleInfo name="TableStyleMedium5" showFirstColumn="0" showLastColumn="0" showRowStripes="1" showColumnStripes="0"/>
</table>
</file>

<file path=xl/tables/table1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1" xr:uid="{7ABAF5B5-3C41-374F-905C-1B83CB54DC31}" name="Tableau12315916148413452" displayName="Tableau12315916148413452" ref="K176:Q196" totalsRowShown="0" headerRowDxfId="1050" dataDxfId="1049">
  <autoFilter ref="K176:Q196" xr:uid="{E87A25EC-F286-9D4B-AD2F-56962ABEBA58}"/>
  <tableColumns count="7">
    <tableColumn id="1" xr3:uid="{7E5FB853-2CC2-5C49-B3AC-EC253F4CABF2}" name="Annees" dataDxfId="1048"/>
    <tableColumn id="2" xr3:uid="{3E64AF26-682E-304B-9ECF-CAFD256DE4EF}" name="VE" dataDxfId="1047"/>
    <tableColumn id="3" xr3:uid="{F01434E8-790C-AB44-B862-07A0B7DC66B0}" name="Vprel" dataDxfId="1046">
      <calculatedColumnFormula>IF(OR(L177="",L177=0),0,IF(K177=1,((VLOOKUP(K$174,$G$4:$N$7,6,FALSE)-VLOOKUP(K$174,$G$4:$N$7,8,FALSE))/20),((VLOOKUP(K$174,$G$4:$N$7,6,FALSE)-VLOOKUP(K$174,$G$4:$N$7,8,FALSE))/20)+L177-N176))</calculatedColumnFormula>
    </tableColumn>
    <tableColumn id="4" xr3:uid="{BB7B3D07-F5E0-F848-AD8D-8956C1CB5868}" name="VF" dataDxfId="1045">
      <calculatedColumnFormula>IF(L177="",0,L177-M177)</calculatedColumnFormula>
    </tableColumn>
    <tableColumn id="7" xr3:uid="{01D41157-7E3E-EB44-92B6-D6CD09028719}" name="BA" dataDxfId="1044"/>
    <tableColumn id="6" xr3:uid="{B8A9C196-B6B5-3D4F-A373-937E113B55F7}" name="BR" dataDxfId="1043">
      <calculatedColumnFormula>IF(O177&gt;0,EXP(-1.0587+0.8836*LN(O177)+0.284),0)</calculatedColumnFormula>
    </tableColumn>
    <tableColumn id="5" xr3:uid="{1111109E-7E95-3D41-ADC4-0C13F801B5C5}" name="CO2e_VE" dataDxfId="1042">
      <calculatedColumnFormula>SUM(O177:P177)*0.475*44/12</calculatedColumnFormula>
    </tableColumn>
  </tableColumns>
  <tableStyleInfo name="TableStyleMedium5"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 xr:uid="{23064D80-CE9F-2345-8524-99D9271DA0EF}" name="Tableau66" displayName="Tableau66" ref="X20:BC36" totalsRowShown="0" headerRowDxfId="2177" dataDxfId="2176">
  <autoFilter ref="X20:BC36" xr:uid="{23064D80-CE9F-2345-8524-99D9271DA0EF}"/>
  <tableColumns count="32">
    <tableColumn id="1" xr3:uid="{665ADE9A-96DF-8845-9566-8116388EE7F1}" name="Strate" dataDxfId="2175">
      <calculatedColumnFormula>X2</calculatedColumnFormula>
    </tableColumn>
    <tableColumn id="2" xr3:uid="{280CF1ED-C56E-494F-A2E1-C845841D2163}" name="Essence" dataDxfId="2174">
      <calculatedColumnFormula>IF(Y2="","",Y2)</calculatedColumnFormula>
    </tableColumn>
    <tableColumn id="33" xr3:uid="{347FEDD6-744D-AB43-B350-41B3639EFAE2}" name="UNIQ" dataDxfId="2173">
      <calculatedColumnFormula>CONCATENATE(Tableau66[[#This Row],[Strate]],"_",Tableau66[[#This Row],[Essence]])</calculatedColumnFormula>
    </tableColumn>
    <tableColumn id="4" xr3:uid="{A114D919-2549-8347-A182-4F2E9DEEAD80}" name="V010" dataDxfId="2172">
      <calculatedColumnFormula>IF(Tableau66[[#Headers],[V010]]="V010",0,IF(Tableau66[[#Headers],[V010]]="V015",$AB2,AA2+Z21))</calculatedColumnFormula>
    </tableColumn>
    <tableColumn id="5" xr3:uid="{57EF4492-02D4-7344-968C-04F752FC9145}" name="V015" dataDxfId="2171">
      <calculatedColumnFormula>IF(Tableau66[[#Headers],[V015]]="V010",0,IF(Tableau66[[#Headers],[V015]]="V015",$AA2,AA2+AA21))</calculatedColumnFormula>
    </tableColumn>
    <tableColumn id="6" xr3:uid="{E8F5014B-AB28-364E-BF3E-D4AF622212DB}" name="V020" dataDxfId="2170">
      <calculatedColumnFormula>IF(Tableau66[[#Headers],[V020]]="V010",0,IF(Tableau66[[#Headers],[V020]]="V015",$AA2,AB2+AB21))</calculatedColumnFormula>
    </tableColumn>
    <tableColumn id="7" xr3:uid="{5F6C7698-65F6-5E47-87B6-760DB3A4D949}" name="V025" dataDxfId="2169">
      <calculatedColumnFormula>IF(Tableau66[[#Headers],[V025]]="V010",0,IF(Tableau66[[#Headers],[V025]]="V015",$AA2,AC2+AC21))</calculatedColumnFormula>
    </tableColumn>
    <tableColumn id="8" xr3:uid="{38BADB83-870F-EE45-BE06-0AE421EBF14E}" name="V030" dataDxfId="2168">
      <calculatedColumnFormula>IF(Tableau66[[#Headers],[V030]]="V010",0,IF(Tableau66[[#Headers],[V030]]="V015",$AA2,AD2+AD21))</calculatedColumnFormula>
    </tableColumn>
    <tableColumn id="9" xr3:uid="{7DDFA371-53E1-4A4D-9417-009230E5498E}" name="V035" dataDxfId="2167">
      <calculatedColumnFormula>IF(Tableau66[[#Headers],[V035]]="V010",0,IF(Tableau66[[#Headers],[V035]]="V015",$AA2,AE2+AE21))</calculatedColumnFormula>
    </tableColumn>
    <tableColumn id="10" xr3:uid="{1992CC45-6A95-4B43-A58E-B3BD24F2D477}" name="V040" dataDxfId="2166">
      <calculatedColumnFormula>IF(Tableau66[[#Headers],[V040]]="V010",0,IF(Tableau66[[#Headers],[V040]]="V015",$AA2,AF2+AF21))</calculatedColumnFormula>
    </tableColumn>
    <tableColumn id="11" xr3:uid="{B48DD8F4-661B-F24A-B8E9-B0CA26991D44}" name="V045" dataDxfId="2165">
      <calculatedColumnFormula>IF(Tableau66[[#Headers],[V045]]="V010",0,IF(Tableau66[[#Headers],[V045]]="V015",$AA2,AG2+AG21))</calculatedColumnFormula>
    </tableColumn>
    <tableColumn id="12" xr3:uid="{20501F65-D448-6C43-A1D9-B91A5E9EBBCB}" name="V050" dataDxfId="2164">
      <calculatedColumnFormula>IF(Tableau66[[#Headers],[V050]]="V010",0,IF(Tableau66[[#Headers],[V050]]="V015",$AA2,AH2+AH21))</calculatedColumnFormula>
    </tableColumn>
    <tableColumn id="13" xr3:uid="{77557005-EEAC-D04A-9388-52DBAB52741F}" name="V055" dataDxfId="2163">
      <calculatedColumnFormula>IF(Tableau66[[#Headers],[V055]]="V010",0,IF(Tableau66[[#Headers],[V055]]="V015",$AA2,AI2+AI21))</calculatedColumnFormula>
    </tableColumn>
    <tableColumn id="14" xr3:uid="{695B934C-F5F7-B649-AFB2-24EBD13B6A9C}" name="V060" dataDxfId="2162">
      <calculatedColumnFormula>IF(Tableau66[[#Headers],[V060]]="V010",0,IF(Tableau66[[#Headers],[V060]]="V015",$AA2,AJ2+AJ21))</calculatedColumnFormula>
    </tableColumn>
    <tableColumn id="15" xr3:uid="{494AF320-858C-0145-AF02-300E075EF41C}" name="V065" dataDxfId="2161">
      <calculatedColumnFormula>IF(Tableau66[[#Headers],[V065]]="V010",0,IF(Tableau66[[#Headers],[V065]]="V015",$AA2,AK2+AK21))</calculatedColumnFormula>
    </tableColumn>
    <tableColumn id="16" xr3:uid="{4DE44766-980D-2C43-AB3D-954015C06238}" name="V070" dataDxfId="2160">
      <calculatedColumnFormula>IF(Tableau66[[#Headers],[V020]]="V010",0,IF(Tableau66[[#Headers],[V020]]="V015",$AA2,AL2+AL21))</calculatedColumnFormula>
    </tableColumn>
    <tableColumn id="17" xr3:uid="{4EE38A30-F6F8-3740-889E-809DE0BBA381}" name="V075" dataDxfId="2159">
      <calculatedColumnFormula>IF(Tableau66[[#Headers],[V025]]="V010",0,IF(Tableau66[[#Headers],[V025]]="V015",$AA2,AM2+AM21))</calculatedColumnFormula>
    </tableColumn>
    <tableColumn id="18" xr3:uid="{52FD0EE0-45A6-704D-8529-79E30648CD94}" name="V080" dataDxfId="2158">
      <calculatedColumnFormula>IF(Tableau66[[#Headers],[V030]]="V010",0,IF(Tableau66[[#Headers],[V030]]="V015",$AA2,AN2+AN21))</calculatedColumnFormula>
    </tableColumn>
    <tableColumn id="19" xr3:uid="{6764D8A8-A95D-BE4C-84FA-9F5E28E56312}" name="V085" dataDxfId="2157">
      <calculatedColumnFormula>IF(Tableau66[[#Headers],[V035]]="V010",0,IF(Tableau66[[#Headers],[V035]]="V015",$AA2,AO2+AO21))</calculatedColumnFormula>
    </tableColumn>
    <tableColumn id="20" xr3:uid="{A9379EE3-6D45-A847-BBCE-BDE6BD05D119}" name="V090" dataDxfId="2156">
      <calculatedColumnFormula>IF(Tableau66[[#Headers],[V040]]="V010",0,IF(Tableau66[[#Headers],[V040]]="V015",$AA2,AP2+AP21))</calculatedColumnFormula>
    </tableColumn>
    <tableColumn id="21" xr3:uid="{488C98E6-86D3-E940-BA21-6189E2E97DB4}" name="V095" dataDxfId="2155">
      <calculatedColumnFormula>IF(Tableau66[[#Headers],[V020]]="V010",0,IF(Tableau66[[#Headers],[V020]]="V015",$AA2,AQ2+AQ21))</calculatedColumnFormula>
    </tableColumn>
    <tableColumn id="22" xr3:uid="{1AB6CD78-ACD3-8145-A718-9C5485DE6C48}" name="V100" dataDxfId="2154">
      <calculatedColumnFormula>IF(Tableau66[[#Headers],[V025]]="V010",0,IF(Tableau66[[#Headers],[V025]]="V015",$AA2,AR2+AR21))</calculatedColumnFormula>
    </tableColumn>
    <tableColumn id="23" xr3:uid="{D5E7DEDD-D3EA-0F43-BD99-6965B7699DCA}" name="V105" dataDxfId="2153">
      <calculatedColumnFormula>IF(Tableau66[[#Headers],[V030]]="V010",0,IF(Tableau66[[#Headers],[V030]]="V015",$AA2,AS2+AS21))</calculatedColumnFormula>
    </tableColumn>
    <tableColumn id="24" xr3:uid="{1D5763F2-30AB-7D46-9204-AB2664FE23D8}" name="V110" dataDxfId="2152">
      <calculatedColumnFormula>IF(Tableau66[[#Headers],[V035]]="V010",0,IF(Tableau66[[#Headers],[V035]]="V015",$AA2,AT2+AT21))</calculatedColumnFormula>
    </tableColumn>
    <tableColumn id="25" xr3:uid="{48B6E606-FFAA-3C42-A81C-9BB2550AA0E2}" name="V115" dataDxfId="2151">
      <calculatedColumnFormula>IF(Tableau66[[#Headers],[V040]]="V010",0,IF(Tableau66[[#Headers],[V040]]="V015",$AA2,AU2+AU21))</calculatedColumnFormula>
    </tableColumn>
    <tableColumn id="26" xr3:uid="{3F540378-119E-F448-BCA8-7779375A5AE6}" name="V120" dataDxfId="2150">
      <calculatedColumnFormula>IF(Tableau66[[#Headers],[V020]]="V010",0,IF(Tableau66[[#Headers],[V020]]="V015",$AA2,AV2+AV21))</calculatedColumnFormula>
    </tableColumn>
    <tableColumn id="27" xr3:uid="{86B1D5EF-93F5-3148-B131-1E567CD494C1}" name="V125" dataDxfId="2149">
      <calculatedColumnFormula>IF(Tableau66[[#Headers],[V020]]="V010",0,IF(Tableau66[[#Headers],[V020]]="V015",$AA2,AW2+AW21))</calculatedColumnFormula>
    </tableColumn>
    <tableColumn id="28" xr3:uid="{14F49F9B-A13F-8A4A-BF59-5DA4BBABA432}" name="V130" dataDxfId="2148">
      <calculatedColumnFormula>IF(Tableau66[[#Headers],[V025]]="V010",0,IF(Tableau66[[#Headers],[V025]]="V015",$AA2,AX2+AX21))</calculatedColumnFormula>
    </tableColumn>
    <tableColumn id="29" xr3:uid="{9F322EB1-4A5C-EB4B-8A15-74AD0CA1463C}" name="V135" dataDxfId="2147">
      <calculatedColumnFormula>IF(Tableau66[[#Headers],[V030]]="V010",0,IF(Tableau66[[#Headers],[V030]]="V015",$AA2,AY2+AY21))</calculatedColumnFormula>
    </tableColumn>
    <tableColumn id="30" xr3:uid="{4215EDAF-2FBE-F047-8817-298AC637210F}" name="V140" dataDxfId="2146">
      <calculatedColumnFormula>IF(Tableau66[[#Headers],[V035]]="V010",0,IF(Tableau66[[#Headers],[V035]]="V015",$AA2,AZ2+AZ21))</calculatedColumnFormula>
    </tableColumn>
    <tableColumn id="31" xr3:uid="{33CED617-BEF9-7340-BCE9-228570744D75}" name="V145" dataDxfId="2145">
      <calculatedColumnFormula>IF(Tableau66[[#Headers],[V040]]="V010",0,IF(Tableau66[[#Headers],[V040]]="V015",$AA2,BA2+BA21))</calculatedColumnFormula>
    </tableColumn>
    <tableColumn id="32" xr3:uid="{5A3FBA24-4341-D440-B3FF-B2BFCC24F3A9}" name="V150" dataDxfId="2144">
      <calculatedColumnFormula>IF(Tableau66[[#Headers],[V045]]="V010",0,IF(Tableau66[[#Headers],[V045]]="V015",$AA2,BB2+BB21))</calculatedColumnFormula>
    </tableColumn>
  </tableColumns>
  <tableStyleInfo name="TableStyleMedium7" showFirstColumn="0" showLastColumn="0" showRowStripes="1" showColumnStripes="0"/>
</table>
</file>

<file path=xl/tables/table1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2" xr:uid="{266807C5-9421-6046-95C4-86EBD06DA54D}" name="Tableau12315916149414453" displayName="Tableau12315916149414453" ref="T176:Z196" totalsRowShown="0" headerRowDxfId="1041" dataDxfId="1040">
  <autoFilter ref="T176:Z196" xr:uid="{00AF933F-5FC7-A64D-8FD8-F28E6AD188D3}"/>
  <tableColumns count="7">
    <tableColumn id="1" xr3:uid="{A0DDAE84-2FF7-4547-BB6B-9239A09814C5}" name="Annees" dataDxfId="1039"/>
    <tableColumn id="2" xr3:uid="{5A2C6B3E-24C7-DD4D-AFAE-652A9077E0AB}" name="VE" dataDxfId="1038"/>
    <tableColumn id="3" xr3:uid="{47C0AD10-458C-BD43-9163-9941D7C345B2}" name="Vprel" dataDxfId="1037">
      <calculatedColumnFormula>IF(OR(U177="",U177=0),0,IF(T177=1,((VLOOKUP(T$174,$G$4:$N$7,6,FALSE)-VLOOKUP(T$174,$G$4:$N$7,8,FALSE))/20),((VLOOKUP(T$174,$G$4:$N$7,6,FALSE)-VLOOKUP(T$174,$G$4:$N$7,8,FALSE))/20)+U177-W176))</calculatedColumnFormula>
    </tableColumn>
    <tableColumn id="4" xr3:uid="{FB7EAE7F-BA65-6243-B687-F409791807B4}" name="VF" dataDxfId="1036">
      <calculatedColumnFormula>IF(U177="",0,U177-V177)</calculatedColumnFormula>
    </tableColumn>
    <tableColumn id="7" xr3:uid="{0B88035F-E82B-3445-AA6B-59D451413CE7}" name="BA" dataDxfId="1035"/>
    <tableColumn id="6" xr3:uid="{1DAD57A7-7117-C84D-8CF4-5144E2996DBE}" name="BR" dataDxfId="1034">
      <calculatedColumnFormula>IF(X177&gt;0,EXP(-1.0587+0.8836*LN(X177)+0.284),0)</calculatedColumnFormula>
    </tableColumn>
    <tableColumn id="5" xr3:uid="{43ECAC61-0582-0D4D-ADE8-4E23F529828F}" name="CO2e_VE" dataDxfId="1033">
      <calculatedColumnFormula>SUM(X177:Y177)*0.475*44/12</calculatedColumnFormula>
    </tableColumn>
  </tableColumns>
  <tableStyleInfo name="TableStyleMedium5" showFirstColumn="0" showLastColumn="0" showRowStripes="1" showColumnStripes="0"/>
</table>
</file>

<file path=xl/tables/table1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3" xr:uid="{B8E7B3E7-FC0B-CA47-BB18-6119BBBE19E0}" name="Tableau12315916150415454" displayName="Tableau12315916150415454" ref="AC176:AI196" totalsRowShown="0" headerRowDxfId="1032" dataDxfId="1031">
  <autoFilter ref="AC176:AI196" xr:uid="{C6A80F40-886D-704F-AC51-4B4DF58DDF6E}"/>
  <tableColumns count="7">
    <tableColumn id="1" xr3:uid="{AE9BD527-4BD3-FF44-B3B1-80F839E3AD9D}" name="Annees" dataDxfId="1030"/>
    <tableColumn id="2" xr3:uid="{E3E9470B-8333-A04C-8AA6-B8A2A0AF2ED1}" name="VE" dataDxfId="1029"/>
    <tableColumn id="3" xr3:uid="{B2A5EFC2-072C-BB4C-8358-BD08C9018DAF}" name="Vprel" dataDxfId="1028">
      <calculatedColumnFormula>IF(OR(AD177="",AD177=0),0,IF(AC177=1,((VLOOKUP(AC$174,$G$4:$N$7,6,FALSE)-VLOOKUP(AC$174,$G$4:$N$7,8,FALSE))/20),((VLOOKUP(AC$174,$G$4:$N$7,6,FALSE)-VLOOKUP(AC$174,$G$4:$N$7,8,FALSE))/20)+AD177-AF176))</calculatedColumnFormula>
    </tableColumn>
    <tableColumn id="4" xr3:uid="{982899A0-F72D-744B-93D7-3EF55FE3DEC6}" name="VF" dataDxfId="1027">
      <calculatedColumnFormula>IF(AD177="",0,AD177-AE177)</calculatedColumnFormula>
    </tableColumn>
    <tableColumn id="7" xr3:uid="{30970C01-EFC5-404F-957A-6DC756937B64}" name="BA" dataDxfId="1026"/>
    <tableColumn id="6" xr3:uid="{37790529-DF2A-B540-B8A3-1FD9E8608BA7}" name="BR" dataDxfId="1025">
      <calculatedColumnFormula>IF(AG177&gt;0,EXP(-1.0587+0.8836*LN(AG177)+0.284),0)</calculatedColumnFormula>
    </tableColumn>
    <tableColumn id="5" xr3:uid="{33FE4E03-F5B9-CF40-B746-CF57B605323A}" name="CO2e_VE" dataDxfId="1024">
      <calculatedColumnFormula>SUM(AG177:AH177)*0.475*44/12</calculatedColumnFormula>
    </tableColumn>
  </tableColumns>
  <tableStyleInfo name="TableStyleMedium5" showFirstColumn="0" showLastColumn="0" showRowStripes="1" showColumnStripes="0"/>
</table>
</file>

<file path=xl/tables/table1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5" xr:uid="{F330A5B4-B4FB-2847-A315-16C9CCF5AA91}" name="Tableau50417456" displayName="Tableau50417456" ref="A369:D389" totalsRowShown="0" headerRowDxfId="1023" dataDxfId="1022">
  <autoFilter ref="A369:D389" xr:uid="{808653D7-CA0C-C247-AD37-3D18E3BC0EC2}"/>
  <tableColumns count="4">
    <tableColumn id="1" xr3:uid="{5BD75DBF-E9C1-E74A-B9E7-C52933A21CDB}" name="Année" dataDxfId="1021"/>
    <tableColumn id="2" xr3:uid="{99AB1403-B968-814D-AD36-E95C0729DB90}" name="SQ_an" dataDxfId="1020">
      <calculatedColumnFormula>M285</calculatedColumnFormula>
    </tableColumn>
    <tableColumn id="3" xr3:uid="{605AD112-CE88-DA49-BCCA-C9B9E022C321}" name="JP_an" dataDxfId="1019">
      <calculatedColumnFormula>N285</calculatedColumnFormula>
    </tableColumn>
    <tableColumn id="4" xr3:uid="{D6DD90E1-C979-9F41-A1A0-6FCF6B571F5D}" name="ST_an" dataDxfId="1018">
      <calculatedColumnFormula>O285</calculatedColumnFormula>
    </tableColumn>
  </tableColumns>
  <tableStyleInfo name="TableStyleMedium5" showFirstColumn="0" showLastColumn="0" showRowStripes="1" showColumnStripes="0"/>
</table>
</file>

<file path=xl/tables/table1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6" xr:uid="{A97EC149-D8B5-FD44-9A00-B22C80934E94}" name="Tableau61418457" displayName="Tableau61418457" ref="A345:D366" totalsRowShown="0" headerRowDxfId="1017" dataDxfId="1016">
  <autoFilter ref="A345:D366" xr:uid="{FD2D6578-FF72-6C4C-B85F-1D85880865FA}"/>
  <tableColumns count="4">
    <tableColumn id="1" xr3:uid="{A2883331-C2C5-324C-893F-9C7363850E21}" name="Année" dataDxfId="1015"/>
    <tableColumn id="2" xr3:uid="{8573B813-73CE-6E41-91A1-53AB4D59EC6A}" name="C02e_REF" dataDxfId="1014">
      <calculatedColumnFormula>IF(A346=0,SUM($S$4:$S$7),C284+D284+E284)</calculatedColumnFormula>
    </tableColumn>
    <tableColumn id="3" xr3:uid="{262C9968-6671-2444-97EF-0FD3F6A0AF42}" name="CO2e_PRJ" dataDxfId="1013">
      <calculatedColumnFormula>IF(A346=0,SUM($S$4:$S$7),F284+G284+H284)</calculatedColumnFormula>
    </tableColumn>
    <tableColumn id="4" xr3:uid="{9BDCA73D-5AA8-BC41-A7D4-124D31459861}" name="∆CO2e" dataDxfId="1012">
      <calculatedColumnFormula>C346-B346</calculatedColumnFormula>
    </tableColumn>
  </tableColumns>
  <tableStyleInfo name="TableStyleMedium5" showFirstColumn="0" showLastColumn="0" showRowStripes="1" showColumnStripes="0"/>
</table>
</file>

<file path=xl/tables/table1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8" xr:uid="{2C43652D-0255-B648-8BB8-68AF83174608}" name="Tableau50196420459" displayName="Tableau50196420459" ref="A393:G413" totalsRowShown="0" headerRowDxfId="1011" dataDxfId="1010">
  <autoFilter ref="A393:G413" xr:uid="{A50B75D6-5903-EB44-8F19-04CE50A7A909}"/>
  <tableColumns count="7">
    <tableColumn id="1" xr3:uid="{43D996FC-EC74-0449-BFF1-E89571749834}" name="Année" dataDxfId="1009"/>
    <tableColumn id="2" xr3:uid="{B92ABA80-CA77-3544-AB5F-F6EF6D1D1311}" name="Vol_non récoltable" dataDxfId="1008">
      <calculatedColumnFormula>D$15</calculatedColumnFormula>
    </tableColumn>
    <tableColumn id="7" xr3:uid="{C6C5B280-70CF-C84D-A4C7-B346B343673B}" name="Vol_non prélevable" dataDxfId="1007">
      <calculatedColumnFormula>D$16+D$15</calculatedColumnFormula>
    </tableColumn>
    <tableColumn id="3" xr3:uid="{6C731DDA-C968-F04E-BB57-145AAC0E1C9E}" name="VRE_REF" dataDxfId="1006">
      <calculatedColumnFormula>AS61</calculatedColumnFormula>
    </tableColumn>
    <tableColumn id="4" xr3:uid="{318D76E1-27D9-4D48-983B-C4B8837CFE83}" name="VRE_PRJ" dataDxfId="1005">
      <calculatedColumnFormula>AS177</calculatedColumnFormula>
    </tableColumn>
    <tableColumn id="5" xr3:uid="{804AA27D-261F-3648-80D5-3B34585BED8A}" name="Vol_tot_Référence" dataDxfId="1004">
      <calculatedColumnFormula>IF($C$4="iRR",D394+B394,D394)</calculatedColumnFormula>
    </tableColumn>
    <tableColumn id="6" xr3:uid="{F70BC1DE-E2E9-FA42-AA11-1C04E265F5F8}" name="Vol_tot_Projet" dataDxfId="1003">
      <calculatedColumnFormula>IF($C$4="IRR",B394+E394,E394)</calculatedColumnFormula>
    </tableColumn>
  </tableColumns>
  <tableStyleInfo name="TableStyleMedium5" showFirstColumn="0" showLastColumn="0" showRowStripes="1" showColumnStripes="0"/>
</table>
</file>

<file path=xl/tables/table1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9" xr:uid="{F9FB2CAE-5947-8E42-BF60-6C065D8A15C4}" name="Tableau201421460" displayName="Tableau201421460" ref="AR60:AS80" totalsRowShown="0" headerRowDxfId="1002" dataDxfId="1001" tableBorderDxfId="1000">
  <autoFilter ref="AR60:AS80" xr:uid="{95A33E00-52B1-D847-A10F-033BDE2D4A60}"/>
  <tableColumns count="2">
    <tableColumn id="1" xr3:uid="{788ED672-42C1-0E4B-8718-BE47C4EA8A25}" name="Année" dataDxfId="999"/>
    <tableColumn id="2" xr3:uid="{36A6CFAC-B6D4-EA42-A0F6-9F488A7CA0CD}" name="VR" dataDxfId="998">
      <calculatedColumnFormula>C61+L61+U61+AD61</calculatedColumnFormula>
    </tableColumn>
  </tableColumns>
  <tableStyleInfo name="TableStyleMedium5" showFirstColumn="0" showLastColumn="0" showRowStripes="1" showColumnStripes="0"/>
</table>
</file>

<file path=xl/tables/table1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0" xr:uid="{BE0B0513-7D1A-244E-B3EB-C4A1C82A890F}" name="Tableau201204422461" displayName="Tableau201204422461" ref="AR176:AS196" totalsRowShown="0" headerRowDxfId="997" dataDxfId="996" tableBorderDxfId="995">
  <autoFilter ref="AR176:AS196" xr:uid="{EC245EC4-4BFE-7445-87C7-32B506FA8737}"/>
  <tableColumns count="2">
    <tableColumn id="1" xr3:uid="{EE53556E-2C70-5744-A86E-CCB0B4FC20EE}" name="Année" dataDxfId="994"/>
    <tableColumn id="2" xr3:uid="{C0612385-77A0-0B46-8F3D-385A49AC031D}" name="VR" dataDxfId="993">
      <calculatedColumnFormula>C177+L177+U177+AD177</calculatedColumnFormula>
    </tableColumn>
  </tableColumns>
  <tableStyleInfo name="TableStyleMedium5" showFirstColumn="0" showLastColumn="0" showRowStripes="1" showColumnStripes="0"/>
</table>
</file>

<file path=xl/tables/table1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1" xr:uid="{755598E4-496B-564E-9852-655DE47611F6}" name="Tableau7578176423462" displayName="Tableau7578176423462" ref="B207:Z227" totalsRowShown="0" headerRowDxfId="992" dataDxfId="991">
  <autoFilter ref="B207:Z227" xr:uid="{00000000-0009-0000-0100-0000AF000000}"/>
  <tableColumns count="25">
    <tableColumn id="1" xr3:uid="{EC804961-6118-5E4C-9298-B919A76A9BA0}" name="Année" dataDxfId="990"/>
    <tableColumn id="2" xr3:uid="{7472EDAB-7FB2-BE4E-B1C0-0E3884DE9205}" name="JP_1" dataDxfId="989">
      <calculatedColumnFormula>(C$202)*IF($B208&gt;=C$200,IF($B208=C$200,$E$19,VLOOKUP($B208-C$200,$B$19:$E$49,4,FALSE)),0)</calculatedColumnFormula>
    </tableColumn>
    <tableColumn id="3" xr3:uid="{000177D1-C40F-2B41-B715-32E2FA72066E}" name="JP_2" dataDxfId="988">
      <calculatedColumnFormula>(D$202)*IF($B208&gt;=D$200,IF($B208=D$200,$E$19,VLOOKUP($B208-D$200,$B$19:$E$49,4,FALSE)),0)</calculatedColumnFormula>
    </tableColumn>
    <tableColumn id="4" xr3:uid="{40DFC2D7-36D3-284C-836B-7786C980C8AB}" name="JP_3" dataDxfId="987">
      <calculatedColumnFormula>(E$202)*IF($B208&gt;=E$200,IF($B208=E$200,$E$19,VLOOKUP($B208-E$200,$B$19:$E$49,4,FALSE)),0)</calculatedColumnFormula>
    </tableColumn>
    <tableColumn id="5" xr3:uid="{8B18C60D-5CF7-5743-ADA3-56A8951819EA}" name="JP_4" dataDxfId="986">
      <calculatedColumnFormula>(F$202)*IF($B208&gt;=F$200,IF($B208=F$200,$E$19,VLOOKUP($B208-F$200,$B$19:$E$49,4,FALSE)),0)</calculatedColumnFormula>
    </tableColumn>
    <tableColumn id="6" xr3:uid="{FB75AA85-FBFE-E345-9210-531953F9174C}" name="JP_5" dataDxfId="985">
      <calculatedColumnFormula>(G$202)*IF($B208&gt;=G$200,IF($B208=G$200,$E$19,VLOOKUP($B208-G$200,$B$19:$E$49,4,FALSE)),0)</calculatedColumnFormula>
    </tableColumn>
    <tableColumn id="7" xr3:uid="{C77CAAE4-DD22-7746-BD3D-0F2C45ABCF69}" name="JP_6" dataDxfId="984">
      <calculatedColumnFormula>(H$202)*IF($B208&gt;=H$200,IF($B208=H$200,$E$19,VLOOKUP($B208-H$200,$B$19:$E$49,4,FALSE)),0)</calculatedColumnFormula>
    </tableColumn>
    <tableColumn id="8" xr3:uid="{9AD9C54E-6CE1-0B4D-9B4C-2ADB50CFDC2A}" name="JP_7" dataDxfId="983">
      <calculatedColumnFormula>(I$202)*IF($B208&gt;=I$200,IF($B208=I$200,$E$19,VLOOKUP($B208-I$200,$B$19:$E$49,4,FALSE)),0)</calculatedColumnFormula>
    </tableColumn>
    <tableColumn id="9" xr3:uid="{72907DB6-E81D-5D47-AFBC-1FFDA01A68DD}" name="JP_8" dataDxfId="982">
      <calculatedColumnFormula>(J$202)*IF($B208&gt;=J$200,IF($B208=J$200,$E$19,VLOOKUP($B208-J$200,$B$19:$E$49,4,FALSE)),0)</calculatedColumnFormula>
    </tableColumn>
    <tableColumn id="10" xr3:uid="{181996B6-EC6E-5842-875F-4C05D226717F}" name="JP_9" dataDxfId="981">
      <calculatedColumnFormula>(K$202)*IF($B208&gt;=K$200,IF($B208=K$200,$E$19,VLOOKUP($B208-K$200,$B$19:$E$49,4,FALSE)),0)</calculatedColumnFormula>
    </tableColumn>
    <tableColumn id="11" xr3:uid="{37578164-0497-494C-85E7-6C66CD219185}" name="JP_10" dataDxfId="980">
      <calculatedColumnFormula>(L$202)*IF($B208&gt;=L$200,IF($B208=L$200,$E$19,VLOOKUP($B208-L$200,$B$19:$E$49,4,FALSE)),0)</calculatedColumnFormula>
    </tableColumn>
    <tableColumn id="12" xr3:uid="{B94A09E1-888D-9048-801E-F4C31665F6BD}" name="JP_11" dataDxfId="979">
      <calculatedColumnFormula>(M$202)*IF($B208&gt;=M$200,IF($B208=M$200,$E$19,VLOOKUP($B208-M$200,$B$19:$E$49,4,FALSE)),0)</calculatedColumnFormula>
    </tableColumn>
    <tableColumn id="13" xr3:uid="{C42FFE72-95D6-394B-AFAA-35787F2EAC43}" name="JP_12" dataDxfId="978">
      <calculatedColumnFormula>(N$202)*IF($B208&gt;=N$200,IF($B208=N$200,$E$19,VLOOKUP($B208-N$200,$B$19:$E$49,4,FALSE)),0)</calculatedColumnFormula>
    </tableColumn>
    <tableColumn id="14" xr3:uid="{D8D54E11-5FEC-9A4B-840E-60BEBDFB57E7}" name="JP_13" dataDxfId="977">
      <calculatedColumnFormula>(O$202)*IF($B208&gt;=O$200,IF($B208=O$200,$E$19,VLOOKUP($B208-O$200,$B$19:$E$49,4,FALSE)),0)</calculatedColumnFormula>
    </tableColumn>
    <tableColumn id="15" xr3:uid="{51D58283-910A-AE49-BDA3-14016D2D98FD}" name="JP_14" dataDxfId="976">
      <calculatedColumnFormula>(P$202)*IF($B208&gt;=P$200,IF($B208=P$200,$E$19,VLOOKUP($B208-P$200,$B$19:$E$49,4,FALSE)),0)</calculatedColumnFormula>
    </tableColumn>
    <tableColumn id="16" xr3:uid="{5BF82731-4FB6-804B-B515-E2FE327051EA}" name="JP_15" dataDxfId="975">
      <calculatedColumnFormula>(Q$202)*IF($B208&gt;=Q$200,IF($B208=Q$200,$E$19,VLOOKUP($B208-Q$200,$B$19:$E$49,4,FALSE)),0)</calculatedColumnFormula>
    </tableColumn>
    <tableColumn id="17" xr3:uid="{18B81C03-4CDA-3E43-8B85-26EEB7DC8B66}" name="JP_16" dataDxfId="974">
      <calculatedColumnFormula>(R$202)*IF($B208&gt;=R$200,IF($B208=R$200,$E$19,VLOOKUP($B208-R$200,$B$19:$E$49,4,FALSE)),0)</calculatedColumnFormula>
    </tableColumn>
    <tableColumn id="18" xr3:uid="{6D7E22CB-0A73-4A4B-A446-4432E18CDC1B}" name="JP_17" dataDxfId="973">
      <calculatedColumnFormula>(S$202)*IF($B208&gt;=S$200,IF($B208=S$200,$E$19,VLOOKUP($B208-S$200,$B$19:$E$49,4,FALSE)),0)</calculatedColumnFormula>
    </tableColumn>
    <tableColumn id="19" xr3:uid="{91027215-8761-BB40-8C1B-BC2966D7DA88}" name="JP_18" dataDxfId="972">
      <calculatedColumnFormula>(T$202)*IF($B208&gt;=T$200,IF($B208=T$200,$E$19,VLOOKUP($B208-T$200,$B$19:$E$49,4,FALSE)),0)</calculatedColumnFormula>
    </tableColumn>
    <tableColumn id="20" xr3:uid="{737040C5-008E-5043-8871-72BE9E0555EE}" name="JP_19" dataDxfId="971">
      <calculatedColumnFormula>(U$202)*IF($B208&gt;=U$200,IF($B208=U$200,$E$19,VLOOKUP($B208-U$200,$B$19:$E$49,4,FALSE)),0)</calculatedColumnFormula>
    </tableColumn>
    <tableColumn id="21" xr3:uid="{7148001C-758A-E749-87A7-77AA13427E7E}" name="JP_20" dataDxfId="970">
      <calculatedColumnFormula>(V$202)*IF($B208&gt;=V$200,IF($B208=V$200,$E$19,VLOOKUP($B208-V$200,$B$19:$E$49,4,FALSE)),0)</calculatedColumnFormula>
    </tableColumn>
    <tableColumn id="32" xr3:uid="{0D5D918A-CE28-884B-A8B2-E65C1E05D7AA}" name="BA_JP" dataDxfId="969">
      <calculatedColumnFormula>SUM(C208:V208)*D$11*C$11</calculatedColumnFormula>
    </tableColumn>
    <tableColumn id="33" xr3:uid="{18B7D5B4-F3CF-874E-A6C8-CCF21D628B80}" name="BR_JP" dataDxfId="968">
      <calculatedColumnFormula>IF(W208&gt;0,EXP(-1.0587+0.8836*LN(W208)+0.284),0)</calculatedColumnFormula>
    </tableColumn>
    <tableColumn id="34" xr3:uid="{8427971C-29E5-AB40-9F28-A8C97E77B3CB}" name="CO2e_JP" dataDxfId="967">
      <calculatedColumnFormula>SUM(W208:X208)*0.475*44/12</calculatedColumnFormula>
    </tableColumn>
    <tableColumn id="35" xr3:uid="{602E7749-D9B4-234D-AE57-DE02336053EF}" name="V_JP_tot" dataDxfId="966">
      <calculatedColumnFormula>SUM(C208:V208)</calculatedColumnFormula>
    </tableColumn>
  </tableColumns>
  <tableStyleInfo name="TableStyleMedium5" showFirstColumn="0" showLastColumn="0" showRowStripes="1" showColumnStripes="0"/>
</table>
</file>

<file path=xl/tables/table1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2" xr:uid="{EB737A30-E5B2-DE48-B9A8-921FAC597632}" name="Tableau222424463" displayName="Tableau222424463" ref="H18:N38" totalsRowShown="0" headerRowDxfId="965" dataDxfId="964">
  <autoFilter ref="H18:N38" xr:uid="{03AA723C-C13B-D048-AD45-FE162C87DF1A}"/>
  <tableColumns count="7">
    <tableColumn id="1" xr3:uid="{77F22B29-5972-3349-92BD-469596451449}" name="Colonne1" dataDxfId="963"/>
    <tableColumn id="7" xr3:uid="{52053B5B-2B95-894F-9094-96F2831B57DC}" name="Surf_max" dataDxfId="962">
      <calculatedColumnFormula>IF($C$4="REG",$C$7*INITIAL_FORET!K21,IF($C$4="RASE",$C$7*INITIAL_FORET!L24,0))</calculatedColumnFormula>
    </tableColumn>
    <tableColumn id="3" xr3:uid="{3431915D-3984-C142-A715-8F0E554596E3}" name="ESS_1" dataDxfId="961">
      <calculatedColumnFormula array="1">IF($C$6=0,0,IF(INDEX($G$4:$M$7,RIGHT(J$18,1),6)="",0,IF($C$4="IRR",INDEX($G$4:$M$7,RIGHT(J$18,1),7)*80%/20,((INDEX($G$4:$M$7,RIGHT(J$18,1),7))/$C$6)*$I19)))</calculatedColumnFormula>
    </tableColumn>
    <tableColumn id="4" xr3:uid="{33F02703-C451-1843-9AEF-D36D45304065}" name="ESS_2" dataDxfId="960">
      <calculatedColumnFormula array="1">IF($C$6=0,0,IF(INDEX($G$4:$M$7,RIGHT(K$18,1),6)="",0,IF($C$4="IRR",INDEX($G$4:$M$7,RIGHT(K$18,1),7)*80%/20,((INDEX($G$4:$M$7,RIGHT(K$18,1),7))/$C$6)*$I19)))</calculatedColumnFormula>
    </tableColumn>
    <tableColumn id="5" xr3:uid="{1966326F-3605-B549-BFAB-17648BE25F58}" name="ESS_3" dataDxfId="959">
      <calculatedColumnFormula array="1">IF($C$6=0,0,IF(INDEX($G$4:$M$7,RIGHT(L$18,1),6)="",0,IF($C$4="IRR",INDEX($G$4:$M$7,RIGHT(L$18,1),7)*80%/20,((INDEX($G$4:$M$7,RIGHT(L$18,1),7))/$C$6)*$I19)))</calculatedColumnFormula>
    </tableColumn>
    <tableColumn id="6" xr3:uid="{1BD150A5-6C93-644F-9F28-273756864821}" name="ESS_4" dataDxfId="958">
      <calculatedColumnFormula array="1">IF($C$6=0,0,IF(INDEX($G$4:$M$7,RIGHT(M$18,1),6)="",0,IF($C$4="IRR",INDEX($G$4:$M$7,RIGHT(M$18,1),7)*80%/20,((INDEX($G$4:$M$7,RIGHT(M$18,1),7))/$C$6)*$I19)))</calculatedColumnFormula>
    </tableColumn>
    <tableColumn id="8" xr3:uid="{201ADC95-A381-6149-BC8D-9FB9D403ED61}" name="TOTAL" dataDxfId="957">
      <calculatedColumnFormula>SUM(J19:M19)</calculatedColumnFormula>
    </tableColumn>
  </tableColumns>
  <tableStyleInfo name="TableStyleMedium5" showFirstColumn="0" showLastColumn="0" showRowStripes="1" showColumnStripes="0"/>
</table>
</file>

<file path=xl/tables/table1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56D8D959-7DFC-5C48-A510-05D45E0C3BF7}" name="Tableau50196911" displayName="Tableau50196911" ref="A416:G436" totalsRowShown="0" headerRowDxfId="956" dataDxfId="955">
  <autoFilter ref="A416:G436" xr:uid="{56D8D959-7DFC-5C48-A510-05D45E0C3BF7}"/>
  <tableColumns count="7">
    <tableColumn id="1" xr3:uid="{EBA4678C-8723-D44F-A595-2D7AF7D524BA}" name="Année" dataDxfId="954"/>
    <tableColumn id="2" xr3:uid="{F3CEBBB2-63B3-C649-8E25-EED281A7EBB2}" name="Vol_non récoltable" dataDxfId="953">
      <calculatedColumnFormula>D$15/$C$6</calculatedColumnFormula>
    </tableColumn>
    <tableColumn id="7" xr3:uid="{45B8C639-D76B-3A42-B046-E6B8AD618F32}" name="Vol_non prélevable" dataDxfId="952">
      <calculatedColumnFormula>(D$16+D$15)/$C$6</calculatedColumnFormula>
    </tableColumn>
    <tableColumn id="3" xr3:uid="{F00B1649-406A-6341-8D62-2634B77B4D97}" name="VRE_REF" dataDxfId="951">
      <calculatedColumnFormula>AS61/$C$6</calculatedColumnFormula>
    </tableColumn>
    <tableColumn id="4" xr3:uid="{2A438087-BE67-A246-87D8-3C030B1CC16E}" name="VRE_PRJ" dataDxfId="950">
      <calculatedColumnFormula>AS177/$C$6</calculatedColumnFormula>
    </tableColumn>
    <tableColumn id="5" xr3:uid="{70C52786-7F1E-8942-80A0-F31BC465DD60}" name="Vol_tot_Référence" dataDxfId="949">
      <calculatedColumnFormula>IF($C$4="iRR",D417+B417,D417)</calculatedColumnFormula>
    </tableColumn>
    <tableColumn id="6" xr3:uid="{F9CC3C54-B7A9-B644-8DDE-C1BDE1F31600}" name="Vol_tot_Projet" dataDxfId="948">
      <calculatedColumnFormula>IF($C$4="IRR",B417+E417,E417)</calculatedColumnFormula>
    </tableColumn>
  </tableColumns>
  <tableStyleInfo name="TableStyleMedium5"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3" xr:uid="{33ADD5BA-0CD0-9246-8252-F0F9FDEA357B}" name="Tableau45194" displayName="Tableau45194" ref="X39:AQ55" totalsRowShown="0" headerRowDxfId="2143" dataDxfId="2142">
  <autoFilter ref="X39:AQ55" xr:uid="{33ADD5BA-0CD0-9246-8252-F0F9FDEA357B}"/>
  <tableColumns count="20">
    <tableColumn id="5" xr3:uid="{9AD6ADB8-D983-8E46-ADDC-9D90442EFA2A}" name="Strate" dataDxfId="2141">
      <calculatedColumnFormula>X2</calculatedColumnFormula>
    </tableColumn>
    <tableColumn id="14" xr3:uid="{7D08D338-0B1E-2A43-96B3-CDE907F6F20A}" name="Traitement" dataDxfId="2140">
      <calculatedColumnFormula>VLOOKUP(X40,Tableau619[],3,FALSE)</calculatedColumnFormula>
    </tableColumn>
    <tableColumn id="15" xr3:uid="{FE80C33F-C394-3B43-871C-4AF388FFFD57}" name="Surface" dataDxfId="2139">
      <calculatedColumnFormula>VLOOKUP(X40,Tableau619[],4,FALSE)</calculatedColumnFormula>
    </tableColumn>
    <tableColumn id="1" xr3:uid="{448AF218-E692-914A-A29C-CB31910A481E}" name="Essence" dataDxfId="2138">
      <calculatedColumnFormula>IF(OR(Y2="",Y2=0),"",Y2)</calculatedColumnFormula>
    </tableColumn>
    <tableColumn id="12" xr3:uid="{9F9BD938-0628-524C-8F23-475A3C4F00F8}" name="UNIQ" dataDxfId="2137">
      <calculatedColumnFormula>CONCATENATE(X40,"_",AA40)</calculatedColumnFormula>
    </tableColumn>
    <tableColumn id="16" xr3:uid="{936EF4A5-5F58-984D-A519-7F3C7B2045B2}" name="Type_ess" dataDxfId="20" dataCellStyle="Pourcentage">
      <calculatedColumnFormula>IF(OR(AA40="",AA40=0),"",VLOOKUP(AA40,$Q$2:$U$13,5,FALSE))</calculatedColumnFormula>
    </tableColumn>
    <tableColumn id="20" xr3:uid="{A116A8BC-00E1-B949-A969-1359E2334157}" name="Code_type" dataDxfId="2136" dataCellStyle="Pourcentage">
      <calculatedColumnFormula>IF(AC40="",0,IF(AC40="Feuillus",1,0.1))</calculatedColumnFormula>
    </tableColumn>
    <tableColumn id="2" xr3:uid="{0A24CCC9-2097-DC42-90FF-0F0B2DA83DDF}" name="Drec" dataDxfId="17" dataCellStyle="Monétaire">
      <calculatedColumnFormula>IF(OR($AA40="",$AA40=0),"",VLOOKUP($AA40,$Q$2:$U$13,4,FALSE))</calculatedColumnFormula>
    </tableColumn>
    <tableColumn id="13" xr3:uid="{5905D1DF-1DB0-6B4F-A55A-9917BFBD697B}" name="Vtot" dataDxfId="2135" dataCellStyle="Monétaire">
      <calculatedColumnFormula>IF(OR(AA40=0,AA40=""),0,$BD2)</calculatedColumnFormula>
    </tableColumn>
    <tableColumn id="18" xr3:uid="{AFC63F0C-82B1-254C-941F-E1D84AB39835}" name="Vtot_RiskEss" dataDxfId="19" dataCellStyle="Monétaire">
      <calculatedColumnFormula>IF(Tableau45194[[#This Row],[Vtot]]=0,0,Tableau45194[[#This Row],[Vtot]]*IF(VLOOKUP(Tableau45194[[#This Row],[Essence]],$Q$2:$R$13,2,FALSE)&gt;50%,0,VLOOKUP(Tableau45194[[#This Row],[Essence]],$Q$2:$R$13,2,FALSE)))</calculatedColumnFormula>
    </tableColumn>
    <tableColumn id="3" xr3:uid="{6E08C3D7-6187-9241-B532-DDDA60793AD3}" name="Vrec_horsRE" dataDxfId="18">
      <calculatedColumnFormula array="1">IF(OR(AA40=0,AA40=""),0,IF($Y40="IRR",$AF40-INDEX($AA$21:$BC$36,MATCH(CONCATENATE(X40,"_",AA40),$Z$21:$Z$36,0),VLOOKUP(AE40,Tableau63[],2,FALSE)),$AF40))</calculatedColumnFormula>
    </tableColumn>
    <tableColumn id="4" xr3:uid="{213F4627-7417-1141-96B3-DDA106F38F05}" name="%Vrec" dataDxfId="2134" dataCellStyle="Pourcentage">
      <calculatedColumnFormula>IF(AH40=0,"",AH40/$AF40)</calculatedColumnFormula>
    </tableColumn>
    <tableColumn id="17" xr3:uid="{7BBCF16A-EC23-9249-995D-9FD0A3DFCB03}" name="%Rec_strate" dataDxfId="2133" dataCellStyle="Pourcentage">
      <calculatedColumnFormula>SUMPRODUCT(AH$40:AH$43,AI$40:AI$43)/SUM(AH$40:AH$43)</calculatedColumnFormula>
    </tableColumn>
    <tableColumn id="19" xr3:uid="{0F92A67D-76C1-CB48-AE53-5009CB72A3B5}" name="Vrec_REinc" dataDxfId="2132" dataCellStyle="Pourcentage">
      <calculatedColumnFormula>IF(OR($AH40="",$AH40=0,$AG40=0),0,(AF40-AG40)*AI40)</calculatedColumnFormula>
    </tableColumn>
    <tableColumn id="10" xr3:uid="{12526586-9A88-C24D-AA8F-C328210EF01B}" name="VRobj_PRJ" dataDxfId="2131" dataCellStyle="Pourcentage">
      <calculatedColumnFormula>AK40*Niv_engt</calculatedColumnFormula>
    </tableColumn>
    <tableColumn id="11" xr3:uid="{47E30F8D-C5A0-744D-9986-17CD8354B905}" name="VR_max_REF" dataDxfId="2130" dataCellStyle="Pourcentage">
      <calculatedColumnFormula>IF(Y40="IRR",IF(INT(SUM(AD$40:AD$43))=SUM(AD$40:$AD$43),MIN((50%)*(AF40-AG40),AK40),IF(SUM(AD$40:AD$43)&lt;=0.4,MIN((62%)*(AF40-AG40),AK40),MIN((50%)*(AF40-AG40),AK40))),AK40)</calculatedColumnFormula>
    </tableColumn>
    <tableColumn id="9" xr3:uid="{BB2B7B9E-091C-4E44-871A-4D4A97C41BCD}" name="V_NR_REF" dataDxfId="2129" dataCellStyle="Pourcentage">
      <calculatedColumnFormula>(AF40-AG40)-AM40</calculatedColumnFormula>
    </tableColumn>
    <tableColumn id="7" xr3:uid="{D962BEDD-1DA7-8E44-BF73-05734EA767C4}" name="VR_Max_REF_Réel" dataDxfId="2128" dataCellStyle="Pourcentage">
      <calculatedColumnFormula>IF(AM40=0,0,StrateA!M4-StrateA!O4)</calculatedColumnFormula>
    </tableColumn>
    <tableColumn id="6" xr3:uid="{06F72618-2637-FB43-A332-02DA9E177785}" name="Colonne1" dataDxfId="2127"/>
    <tableColumn id="8" xr3:uid="{8B6ACF03-53D2-614E-9206-2B9CD20C2DBD}" name="Colonne2" dataDxfId="2126"/>
  </tableColumns>
  <tableStyleInfo name="TableStyleMedium7" showFirstColumn="0" showLastColumn="0" showRowStripes="1" showColumnStripes="0"/>
</table>
</file>

<file path=xl/tables/table1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3" xr:uid="{1D624D23-C4BE-E443-B138-56AEF64D1EB6}" name="Tableau121632152386425464" displayName="Tableau121632152386425464" ref="B117:I137" totalsRowShown="0" headerRowDxfId="947" dataDxfId="946">
  <autoFilter ref="B117:I137" xr:uid="{00000000-0009-0000-0100-000097000000}"/>
  <tableColumns count="8">
    <tableColumn id="1" xr3:uid="{8EDABFD7-FBCB-604C-887F-7040A4416031}" name="Annees" dataDxfId="945"/>
    <tableColumn id="2" xr3:uid="{A89D8F14-6A2A-9A4F-968C-70BBB6E9AA02}" name="V_prel" dataDxfId="944">
      <calculatedColumnFormula>D61</calculatedColumnFormula>
    </tableColumn>
    <tableColumn id="7" xr3:uid="{6E9579F9-3D4A-704E-952A-971B295BFD1E}" name="C_prel" dataDxfId="943">
      <calculatedColumnFormula>IF(OR(C118=0,C118=""),0,C118*C$58*0.475)</calculatedColumnFormula>
    </tableColumn>
    <tableColumn id="8" xr3:uid="{C2C2A9E1-FB16-6847-986C-F79E750A6222}" name="C_BE" dataDxfId="942">
      <calculatedColumnFormula>IF(OR(D118=0,D118="",B$116=0),0,D118*INDEX(Listes!$K$1:$Q$12,MATCH(B$116,Listes!$K$1:$K$12,0),MATCH(E$117,Listes!$K$1:$Q$1,0)))</calculatedColumnFormula>
    </tableColumn>
    <tableColumn id="5" xr3:uid="{C6A06986-A118-7843-9990-437C8321C945}" name="C_val" dataDxfId="941">
      <calculatedColumnFormula>D118-E118</calculatedColumnFormula>
    </tableColumn>
    <tableColumn id="3" xr3:uid="{C7375F25-958F-7E49-813D-9EC2A91A1FB3}" name="C_BO_sc" dataDxfId="940">
      <calculatedColumnFormula>IF(OR(B$116=0,B$116=""),0,F118*INDEX(Listes!$K$15:$P$26,MATCH(B$116,Listes!$K$15:$K$26,0),MATCH(G$117,Listes!$K$15:$P$15,0))*INDEX(Listes!$K$29:$O$31,MATCH(C$116,Listes!$K$29:$K$31,0),MATCH(G$117,Listes!$K$29:$O$29,0)))</calculatedColumnFormula>
    </tableColumn>
    <tableColumn id="4" xr3:uid="{F85E4F16-C5A1-384F-9941-4169ACFED13B}" name="C_BO_ps" dataDxfId="939">
      <calculatedColumnFormula>IF(OR(B$116=0,B$116=""),0,F118*INDEX(Listes!$K$15:$P$26,MATCH(B$116,Listes!$K$15:$K$26,0),MATCH(H$117,Listes!$K$15:$P$15,0))*INDEX(Listes!$K$29:$O$31,MATCH(C$116,Listes!$K$29:$K$31,0),MATCH(H$117,Listes!$K$29:$O$29,0)))</calculatedColumnFormula>
    </tableColumn>
    <tableColumn id="6" xr3:uid="{3A0DB53C-D984-3F40-AADD-8AC052FE3A35}" name="C_BI_pap" dataDxfId="938">
      <calculatedColumnFormula>IF(OR(B$116=0,B$116=""),0,F118*INDEX(Listes!$K$15:$P$26,MATCH(B$116,Listes!$K$15:$K$26,0),MATCH(I$117,Listes!$K$15:$P$15,0))*INDEX(Listes!$K$29:$O$31,MATCH(C$116,Listes!$K$29:$K$31,0),MATCH(I$117,Listes!$K$29:$O$29,0)))</calculatedColumnFormula>
    </tableColumn>
  </tableColumns>
  <tableStyleInfo name="TableStyleMedium5" showFirstColumn="0" showLastColumn="0" showRowStripes="1" showColumnStripes="0"/>
</table>
</file>

<file path=xl/tables/table1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4" xr:uid="{80F1CF45-08B1-6841-86BB-A87A87101676}" name="Tableau12162134153387426465" displayName="Tableau12162134153387426465" ref="B144:X164" totalsRowShown="0" headerRowDxfId="937" dataDxfId="936">
  <autoFilter ref="B144:X164" xr:uid="{00000000-0009-0000-0100-000098000000}"/>
  <tableColumns count="23">
    <tableColumn id="1" xr3:uid="{EACD2AC5-CC88-C847-94C6-6B2346748492}" name="Annee" dataDxfId="935"/>
    <tableColumn id="2" xr3:uid="{3DD5E245-1800-6C4A-A95E-B74C154A36AB}" name="C_LD" dataDxfId="934">
      <calculatedColumnFormula>AT118+IF($B145=1,0,C144)</calculatedColumnFormula>
    </tableColumn>
    <tableColumn id="3" xr3:uid="{877B705F-1D03-EB4F-B7AC-B18515009294}" name="C_MD_1" dataDxfId="933">
      <calculatedColumnFormula>IF($B145&gt;=C$141,IF($B145=C$141,C$142,C$142*((20+C$141)-$B145)/20),0)*IF((20+C$141)-$B145&lt;0,0,1)</calculatedColumnFormula>
    </tableColumn>
    <tableColumn id="7" xr3:uid="{62B06086-00A1-FC40-A476-AE8257EE2E8B}" name="C_MD_2" dataDxfId="932">
      <calculatedColumnFormula>IF($B145&gt;=D$141,IF($B145=D$141,D$142,D$142*((20+D$141)-$B145)/20),0)*IF((20+D$141)-$B145&lt;0,0,1)</calculatedColumnFormula>
    </tableColumn>
    <tableColumn id="8" xr3:uid="{26C53F30-2738-5242-9626-663EB4D1E11D}" name="C_MD_3" dataDxfId="931">
      <calculatedColumnFormula>IF($B145&gt;=E$141,IF($B145=E$141,E$142,E$142*((20+E$141)-$B145)/20),0)*IF((20+E$141)-$B145&lt;0,0,1)</calculatedColumnFormula>
    </tableColumn>
    <tableColumn id="9" xr3:uid="{8E920249-C251-914E-A112-46DD6716DB2A}" name="C_MD_4" dataDxfId="930">
      <calculatedColumnFormula>IF($B145&gt;=F$141,IF($B145=F$141,F$142,F$142*((20+F$141)-$B145)/20),0)*IF((20+F$141)-$B145&lt;0,0,1)</calculatedColumnFormula>
    </tableColumn>
    <tableColumn id="10" xr3:uid="{3BD534EB-FC96-2A45-AD8B-41EE00D1E16C}" name="C_MD_5" dataDxfId="929">
      <calculatedColumnFormula>IF($B145&gt;=G$141,IF($B145=G$141,G$142,G$142*((20+G$141)-$B145)/20),0)*IF((20+G$141)-$B145&lt;0,0,1)</calculatedColumnFormula>
    </tableColumn>
    <tableColumn id="11" xr3:uid="{4036A6E6-8EF7-5747-84B6-31D424A0D413}" name="C_MD_6" dataDxfId="928">
      <calculatedColumnFormula>IF($B145&gt;=H$141,IF($B145=H$141,H$142,H$142*((20+H$141)-$B145)/20),0)*IF((20+H$141)-$B145&lt;0,0,1)</calculatedColumnFormula>
    </tableColumn>
    <tableColumn id="12" xr3:uid="{3E64A154-1F96-7345-92F1-116EDFD821C8}" name="C_MD_7" dataDxfId="927">
      <calculatedColumnFormula>IF($B145&gt;=I$141,IF($B145=I$141,I$142,I$142*((20+I$141)-$B145)/20),0)*IF((20+I$141)-$B145&lt;0,0,1)</calculatedColumnFormula>
    </tableColumn>
    <tableColumn id="13" xr3:uid="{1752B2C8-09B2-AC44-BA5A-BCEFF1C44C63}" name="C_MD_8" dataDxfId="926">
      <calculatedColumnFormula>IF($B145&gt;=J$141,IF($B145=J$141,J$142,J$142*((20+J$141)-$B145)/20),0)*IF((20+J$141)-$B145&lt;0,0,1)</calculatedColumnFormula>
    </tableColumn>
    <tableColumn id="14" xr3:uid="{4AD6460C-9ED9-964F-B02C-ADDA4B5A5B68}" name="C_MD_9" dataDxfId="925">
      <calculatedColumnFormula>IF($B145&gt;=K$141,IF($B145=K$141,K$142,K$142*((20+K$141)-$B145)/20),0)*IF((20+K$141)-$B145&lt;0,0,1)</calculatedColumnFormula>
    </tableColumn>
    <tableColumn id="15" xr3:uid="{CE0607F0-B621-7C46-8F78-3F43066ED158}" name="C_MD_10" dataDxfId="924">
      <calculatedColumnFormula>IF($B145&gt;=L$141,IF($B145=L$141,L$142,L$142*((20+L$141)-$B145)/20),0)*IF((20+L$141)-$B145&lt;0,0,1)</calculatedColumnFormula>
    </tableColumn>
    <tableColumn id="16" xr3:uid="{B38610AA-21CE-E646-9DFD-0D9EE359910E}" name="C_MD_11" dataDxfId="923">
      <calculatedColumnFormula>IF($B145&gt;=M$141,IF($B145=M$141,M$142,M$142*((20+M$141)-$B145)/20),0)*IF((20+M$141)-$B145&lt;0,0,1)</calculatedColumnFormula>
    </tableColumn>
    <tableColumn id="17" xr3:uid="{9BF9246C-CF01-BD45-9DEE-A9EE7A09F75C}" name="C_MD_12" dataDxfId="922">
      <calculatedColumnFormula>IF($B145&gt;=N$141,IF($B145=N$141,N$142,N$142*((20+N$141)-$B145)/20),0)*IF((20+N$141)-$B145&lt;0,0,1)</calculatedColumnFormula>
    </tableColumn>
    <tableColumn id="18" xr3:uid="{9FBDA444-C47B-9643-9324-E66EBABEB039}" name="C_MD_13" dataDxfId="921">
      <calculatedColumnFormula>IF($B145&gt;=O$141,IF($B145=O$141,O$142,O$142*((20+O$141)-$B145)/20),0)*IF((20+O$141)-$B145&lt;0,0,1)</calculatedColumnFormula>
    </tableColumn>
    <tableColumn id="19" xr3:uid="{DFFAF95C-62F5-6A44-A0A3-631D02F6B8A1}" name="C_MD_14" dataDxfId="920">
      <calculatedColumnFormula>IF($B145&gt;=P$141,IF($B145=P$141,P$142,P$142*((20+P$141)-$B145)/20),0)*IF((20+P$141)-$B145&lt;0,0,1)</calculatedColumnFormula>
    </tableColumn>
    <tableColumn id="20" xr3:uid="{E9B0AD29-C364-424A-9D90-CEFDFF218E29}" name="C_MD_15" dataDxfId="919">
      <calculatedColumnFormula>IF($B145&gt;=Q$141,IF($B145=Q$141,Q$142,Q$142*((20+Q$141)-$B145)/20),0)*IF((20+Q$141)-$B145&lt;0,0,1)</calculatedColumnFormula>
    </tableColumn>
    <tableColumn id="21" xr3:uid="{E90DE026-4564-0A40-B52E-0FB8CE259D9C}" name="C_MD_16" dataDxfId="918">
      <calculatedColumnFormula>IF($B145&gt;=R$141,IF($B145=R$141,R$142,R$142*((20+R$141)-$B145)/20),0)*IF((20+R$141)-$B145&lt;0,0,1)</calculatedColumnFormula>
    </tableColumn>
    <tableColumn id="22" xr3:uid="{0F657FFE-E56D-834D-BB97-57761B13B494}" name="C_MD_17" dataDxfId="917">
      <calculatedColumnFormula>IF($B145&gt;=S$141,IF($B145=S$141,S$142,S$142*((20+S$141)-$B145)/20),0)*IF((20+S$141)-$B145&lt;0,0,1)</calculatedColumnFormula>
    </tableColumn>
    <tableColumn id="23" xr3:uid="{E7F69811-C98D-A545-8668-3BEDA1B3C8FC}" name="C_MD_18" dataDxfId="916">
      <calculatedColumnFormula>IF($B145&gt;=T$141,IF($B145=T$141,T$142,T$142*((20+T$141)-$B145)/20),0)*IF((20+T$141)-$B145&lt;0,0,1)</calculatedColumnFormula>
    </tableColumn>
    <tableColumn id="24" xr3:uid="{30D3035D-25D6-DB46-8E6F-471010ADDF5F}" name="C_MD_19" dataDxfId="915">
      <calculatedColumnFormula>IF($B145&gt;=U$141,IF($B145=U$141,U$142,U$142*((20+U$141)-$B145)/20),0)*IF((20+U$141)-$B145&lt;0,0,1)</calculatedColumnFormula>
    </tableColumn>
    <tableColumn id="25" xr3:uid="{B589EB8C-340F-F641-9926-7359BC06060C}" name="C_MD_20" dataDxfId="914">
      <calculatedColumnFormula>IF($B145&gt;=V$141,IF($B145=V$141,V$142,V$142*((20+V$141)-$B145)/20),0)*IF((20+V$141)-$B145&lt;0,0,1)</calculatedColumnFormula>
    </tableColumn>
    <tableColumn id="36" xr3:uid="{3E93C6D0-AC7A-5D4B-B1A5-F2AD7F51CA1F}" name="CO2e_ST_tot" dataDxfId="913">
      <calculatedColumnFormula>SUM(C145:W145)*44/12</calculatedColumnFormula>
    </tableColumn>
  </tableColumns>
  <tableStyleInfo name="TableStyleMedium5" showFirstColumn="0" showLastColumn="0" showRowStripes="1" showColumnStripes="0"/>
</table>
</file>

<file path=xl/tables/table1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5" xr:uid="{7E68C23B-DBCC-1449-B5CD-34062D52BC45}" name="Tableau46160388427466" displayName="Tableau46160388427466" ref="AP117:AU137" totalsRowShown="0" headerRowDxfId="912" dataDxfId="911">
  <autoFilter ref="AP117:AU137" xr:uid="{00000000-0009-0000-0100-00009F000000}"/>
  <tableColumns count="6">
    <tableColumn id="1" xr3:uid="{7A461195-DE6C-8C47-AC46-D6C182D203E3}" name="Annees" dataDxfId="910"/>
    <tableColumn id="2" xr3:uid="{66DC2DC9-B238-C140-9BF5-03E64E733F18}" name="C_BO_sc" dataDxfId="909">
      <calculatedColumnFormula>SUM(G118,Q118,AA118,AK118)</calculatedColumnFormula>
    </tableColumn>
    <tableColumn id="3" xr3:uid="{586EE8D1-B94D-5545-BD9F-65C0D0AABF10}" name="C_BO_ps" dataDxfId="908">
      <calculatedColumnFormula>SUM(H118,R118,AB118,AL118)</calculatedColumnFormula>
    </tableColumn>
    <tableColumn id="5" xr3:uid="{090C3B15-C2A3-D144-B9A4-E713F177A219}" name="C_BI_pap" dataDxfId="907">
      <calculatedColumnFormula>SUM(I118,S118,AC118,AM118)</calculatedColumnFormula>
    </tableColumn>
    <tableColumn id="6" xr3:uid="{0BE5069C-7D34-AF42-9282-9785E21EC578}" name="C_LD" dataDxfId="906">
      <calculatedColumnFormula>AQ118*VLOOKUP(AQ$117,Tableau17[],4,FALSE)+AR118*VLOOKUP(AR$117,Tableau17[],4,FALSE)+AS118*VLOOKUP(AS$117,Tableau17[],4,FALSE)</calculatedColumnFormula>
    </tableColumn>
    <tableColumn id="7" xr3:uid="{C2362661-8B75-AC4C-8E20-9FEFF6E835FE}" name="C_MD" dataDxfId="905">
      <calculatedColumnFormula>AQ118*VLOOKUP(AQ$117,Tableau17[],3,FALSE)+AR118*VLOOKUP(AR$117,Tableau17[],3,FALSE)+AS118*VLOOKUP(AS$117,Tableau17[],3,FALSE)</calculatedColumnFormula>
    </tableColumn>
  </tableColumns>
  <tableStyleInfo name="TableStyleMedium5" showFirstColumn="0" showLastColumn="0" showRowStripes="1" showColumnStripes="0"/>
</table>
</file>

<file path=xl/tables/table1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6" xr:uid="{08A4A2E7-7622-7B4C-B38A-5C13B7B5B8D5}" name="Tableau123159161389428467" displayName="Tableau123159161389428467" ref="B176:H196" totalsRowShown="0" headerRowDxfId="904" dataDxfId="903">
  <autoFilter ref="B176:H196" xr:uid="{00000000-0009-0000-0100-0000A0000000}"/>
  <tableColumns count="7">
    <tableColumn id="1" xr3:uid="{1B9B4BDD-EE26-A548-9D9A-83146AD70763}" name="Annees" dataDxfId="902"/>
    <tableColumn id="2" xr3:uid="{8F3F1BA9-F4A8-1140-BA41-B8CF77DAC7CF}" name="VE" dataDxfId="901"/>
    <tableColumn id="3" xr3:uid="{B56B054E-BDF3-C345-AE46-482BF2217C29}" name="Vprel" dataDxfId="900">
      <calculatedColumnFormula>IF(OR(C177="",C177=0),0,IF(B177=1,((VLOOKUP(B$174,$G$4:$N$7,6,FALSE)-VLOOKUP(B$174,$G$4:$N$7,8,FALSE))/20),((VLOOKUP(B$174,$G$4:$N$7,6,FALSE)-VLOOKUP(B$174,$G$4:$N$7,8,FALSE))/20)+C177-E176))</calculatedColumnFormula>
    </tableColumn>
    <tableColumn id="4" xr3:uid="{77ABB9BE-9059-C94B-8AD2-0A49D504E0CA}" name="VF" dataDxfId="899">
      <calculatedColumnFormula>IF(C177="",0,C177-D177)</calculatedColumnFormula>
    </tableColumn>
    <tableColumn id="7" xr3:uid="{57D84AD1-91BF-6D4B-96A1-835CBB6B41F5}" name="BA" dataDxfId="898">
      <calculatedColumnFormula>IF(Tableau123159161389428467[[#This Row],[VF]]=0,0,Tableau123159161389428467[[#This Row],[VF]]*C$58)</calculatedColumnFormula>
    </tableColumn>
    <tableColumn id="6" xr3:uid="{25C62AD9-D70C-F846-9600-BA71FF4949A5}" name="BR" dataDxfId="897">
      <calculatedColumnFormula>IF(F177&gt;0,EXP(-1.0587+0.8836*LN(F177)+0.284),0)</calculatedColumnFormula>
    </tableColumn>
    <tableColumn id="5" xr3:uid="{15204FB7-94E9-4148-BB6D-B3484D9A485C}" name="CO2e_VE" dataDxfId="896">
      <calculatedColumnFormula>SUM(F177:G177)*0.475*44/12</calculatedColumnFormula>
    </tableColumn>
  </tableColumns>
  <tableStyleInfo name="TableStyleMedium5" showFirstColumn="0" showLastColumn="0" showRowStripes="1" showColumnStripes="0"/>
</table>
</file>

<file path=xl/tables/table1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7" xr:uid="{EF171A44-D70C-AB47-9806-50FD977C883F}" name="Tableau12163260162390429468" displayName="Tableau12163260162390429468" ref="B232:I252" totalsRowShown="0" headerRowDxfId="895" dataDxfId="894">
  <autoFilter ref="B232:I252" xr:uid="{00000000-0009-0000-0100-0000A1000000}"/>
  <tableColumns count="8">
    <tableColumn id="1" xr3:uid="{C6A77560-0A35-8445-B93D-07A630B1AD42}" name="Annees" dataDxfId="893"/>
    <tableColumn id="2" xr3:uid="{C7CB9998-2E27-AA4B-81C3-8883BCE69482}" name="V_prel" dataDxfId="892">
      <calculatedColumnFormula>D177</calculatedColumnFormula>
    </tableColumn>
    <tableColumn id="7" xr3:uid="{764B7FB7-9A64-D846-8EA1-6EADA9EC3F70}" name="C_prel" dataDxfId="891">
      <calculatedColumnFormula>IF(OR(C233="",C233=0),0,C233*C$174*0.475)</calculatedColumnFormula>
    </tableColumn>
    <tableColumn id="9" xr3:uid="{EA470CEF-9175-934D-8FB9-5A19F673D560}" name="C_BE" dataDxfId="890">
      <calculatedColumnFormula>IF(OR(D233=0,D233="",B$116=0),0,D233*INDEX(Listes!$K$1:$Q$12,MATCH(B$116,Listes!$K$1:$K$12,0),MATCH(E$117,Listes!$K$1:$Q$1,0)))</calculatedColumnFormula>
    </tableColumn>
    <tableColumn id="8" xr3:uid="{16BC7A34-CA2F-7B42-A98A-915DA59119F6}" name="C_val" dataDxfId="889">
      <calculatedColumnFormula>D233-E233</calculatedColumnFormula>
    </tableColumn>
    <tableColumn id="3" xr3:uid="{D2826462-8ECE-5B49-AFD7-1F322D1FCF54}" name="C_BO_sc" dataDxfId="888">
      <calculatedColumnFormula>IF(OR(B$231=0,B$231=""),0,F233*INDEX(Listes!$K$15:$P$26,MATCH(B$231,Listes!$K$15:$K$26,0),MATCH(G$232,Listes!$K$15:$P$15,0))*INDEX(Listes!$K$29:$O$31,MATCH(C$231,Listes!$K$29:$K$31,0),MATCH(G$232,Listes!$K$29:$O$29,0)))</calculatedColumnFormula>
    </tableColumn>
    <tableColumn id="4" xr3:uid="{FF0E4BBD-A5FB-6D43-91DA-49601E7B9EDD}" name="C_BO_ps" dataDxfId="887">
      <calculatedColumnFormula>IF(OR(B$231=0,B$231=""),0,F233*INDEX(Listes!$K$15:$P$26,MATCH(B$231,Listes!$K$15:$K$26,0),MATCH(H$232,Listes!$K$15:$P$15,0))*INDEX(Listes!$K$29:$O$31,MATCH(C$231,Listes!$K$29:$K$31,0),MATCH(H$232,Listes!$K$29:$O$29,0)))</calculatedColumnFormula>
    </tableColumn>
    <tableColumn id="6" xr3:uid="{89F6E6FE-BBE3-2946-8E7D-A3F608AA5624}" name="C_BI_pap" dataDxfId="886">
      <calculatedColumnFormula>IF(OR(B$231=0,B$231=""),0,F233*INDEX(Listes!$K$15:$P$26,MATCH(B$231,Listes!$K$15:$K$26,0),MATCH(I$232,Listes!$K$15:$P$15,0))*INDEX(Listes!$K$29:$O$31,MATCH(C$231,Listes!$K$29:$K$31,0),MATCH(I$232,Listes!$K$29:$O$29,0)))</calculatedColumnFormula>
    </tableColumn>
  </tableColumns>
  <tableStyleInfo name="TableStyleMedium5" showFirstColumn="0" showLastColumn="0" showRowStripes="1" showColumnStripes="0"/>
</table>
</file>

<file path=xl/tables/table1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8" xr:uid="{08AD86FD-FB2B-EB47-9C72-772B2C250D62}" name="Tableau1216213461163391430469" displayName="Tableau1216213461163391430469" ref="B259:X279" totalsRowShown="0" headerRowDxfId="885" dataDxfId="884">
  <autoFilter ref="B259:X279" xr:uid="{00000000-0009-0000-0100-0000A2000000}"/>
  <tableColumns count="23">
    <tableColumn id="1" xr3:uid="{FBF1F061-EDD0-A541-85E2-E14220ED458D}" name="Annee" dataDxfId="883"/>
    <tableColumn id="2" xr3:uid="{CD6E19C1-E927-734A-A0BF-A4192EB992F8}" name="C_LD" dataDxfId="882">
      <calculatedColumnFormula>AT233+IF($B260=1,0,C259)</calculatedColumnFormula>
    </tableColumn>
    <tableColumn id="3" xr3:uid="{C9E5F689-718A-8345-8435-C9D542A1071D}" name="C_MD_1" dataDxfId="881">
      <calculatedColumnFormula>IF($B260&gt;=C$256,IF($B260=C$256,C$257,C$257*((20+C$256)-$B260)/20),0)*IF((20+C$256)-$B260&lt;0,0,1)</calculatedColumnFormula>
    </tableColumn>
    <tableColumn id="7" xr3:uid="{AE600379-859A-BA49-B6B3-B1CFE096FF26}" name="C_MD_2" dataDxfId="880">
      <calculatedColumnFormula>IF($B260&gt;=D$256,IF($B260=D$256,D$257,D$257*((20+D$256)-$B260)/20),0)*IF((20+D$256)-$B260&lt;0,0,1)</calculatedColumnFormula>
    </tableColumn>
    <tableColumn id="8" xr3:uid="{DE0E1455-9FAC-FA48-97F2-003ECAAD9761}" name="C_MD_3" dataDxfId="879">
      <calculatedColumnFormula>IF($B260&gt;=E$256,IF($B260=E$256,E$257,E$257*((20+E$256)-$B260)/20),0)*IF((20+E$256)-$B260&lt;0,0,1)</calculatedColumnFormula>
    </tableColumn>
    <tableColumn id="9" xr3:uid="{D4FBBC15-1D0C-DC4D-955B-0FA583A50842}" name="C_MD_4" dataDxfId="878">
      <calculatedColumnFormula>IF($B260&gt;=F$256,IF($B260=F$256,F$257,F$257*((20+F$256)-$B260)/20),0)*IF((20+F$256)-$B260&lt;0,0,1)</calculatedColumnFormula>
    </tableColumn>
    <tableColumn id="10" xr3:uid="{415A5827-141A-D243-9BE5-27AB834971F7}" name="C_MD_5" dataDxfId="877">
      <calculatedColumnFormula>IF($B260&gt;=G$256,IF($B260=G$256,G$257,G$257*((20+G$256)-$B260)/20),0)*IF((20+G$256)-$B260&lt;0,0,1)</calculatedColumnFormula>
    </tableColumn>
    <tableColumn id="11" xr3:uid="{6E5F281A-EC4C-5544-A938-16F46ADAA286}" name="C_MD_6" dataDxfId="876">
      <calculatedColumnFormula>IF($B260&gt;=H$256,IF($B260=H$256,H$257,H$257*((20+H$256)-$B260)/20),0)*IF((20+H$256)-$B260&lt;0,0,1)</calculatedColumnFormula>
    </tableColumn>
    <tableColumn id="12" xr3:uid="{1FD824C8-D7F0-2147-950E-A647250EC33E}" name="C_MD_7" dataDxfId="875">
      <calculatedColumnFormula>IF($B260&gt;=I$256,IF($B260=I$256,I$257,I$257*((20+I$256)-$B260)/20),0)*IF((20+I$256)-$B260&lt;0,0,1)</calculatedColumnFormula>
    </tableColumn>
    <tableColumn id="13" xr3:uid="{FA25A50D-DAA1-A649-92DB-B938D10AE392}" name="C_MD_8" dataDxfId="874">
      <calculatedColumnFormula>IF($B260&gt;=J$256,IF($B260=J$256,J$257,J$257*((20+J$256)-$B260)/20),0)*IF((20+J$256)-$B260&lt;0,0,1)</calculatedColumnFormula>
    </tableColumn>
    <tableColumn id="14" xr3:uid="{F043078E-AE77-2747-9BD9-012B33D2C53C}" name="C_MD_9" dataDxfId="873">
      <calculatedColumnFormula>IF($B260&gt;=K$256,IF($B260=K$256,K$257,K$257*((20+K$256)-$B260)/20),0)*IF((20+K$256)-$B260&lt;0,0,1)</calculatedColumnFormula>
    </tableColumn>
    <tableColumn id="15" xr3:uid="{8373FDE8-F492-174D-A032-10DACABEA4EF}" name="C_MD_10" dataDxfId="872">
      <calculatedColumnFormula>IF($B260&gt;=L$256,IF($B260=L$256,L$257,L$257*((20+L$256)-$B260)/20),0)*IF((20+L$256)-$B260&lt;0,0,1)</calculatedColumnFormula>
    </tableColumn>
    <tableColumn id="16" xr3:uid="{4E910BA9-E670-4E42-8A05-4C467C114BFE}" name="C_MD_11" dataDxfId="871">
      <calculatedColumnFormula>IF($B260&gt;=M$256,IF($B260=M$256,M$257,M$257*((20+M$256)-$B260)/20),0)*IF((20+M$256)-$B260&lt;0,0,1)</calculatedColumnFormula>
    </tableColumn>
    <tableColumn id="17" xr3:uid="{E1CBDD7D-AAF6-7D41-BDA2-5AE95074C04A}" name="C_MD_12" dataDxfId="870">
      <calculatedColumnFormula>IF($B260&gt;=N$256,IF($B260=N$256,N$257,N$257*((20+N$256)-$B260)/20),0)*IF((20+N$256)-$B260&lt;0,0,1)</calculatedColumnFormula>
    </tableColumn>
    <tableColumn id="18" xr3:uid="{754E7762-29E7-E142-BFD7-AF4285741C9B}" name="C_MD_13" dataDxfId="869">
      <calculatedColumnFormula>IF($B260&gt;=O$256,IF($B260=O$256,O$257,O$257*((20+O$256)-$B260)/20),0)*IF((20+O$256)-$B260&lt;0,0,1)</calculatedColumnFormula>
    </tableColumn>
    <tableColumn id="19" xr3:uid="{84D925B6-1462-1A4F-805F-80D24213E80C}" name="C_MD_14" dataDxfId="868">
      <calculatedColumnFormula>IF($B260&gt;=P$256,IF($B260=P$256,P$257,P$257*((20+P$256)-$B260)/20),0)*IF((20+P$256)-$B260&lt;0,0,1)</calculatedColumnFormula>
    </tableColumn>
    <tableColumn id="20" xr3:uid="{F75BE7B2-E0C8-074B-8943-85802947511E}" name="C_MD_15" dataDxfId="867">
      <calculatedColumnFormula>IF($B260&gt;=Q$256,IF($B260=Q$256,Q$257,Q$257*((20+Q$256)-$B260)/20),0)*IF((20+Q$256)-$B260&lt;0,0,1)</calculatedColumnFormula>
    </tableColumn>
    <tableColumn id="21" xr3:uid="{A2A1AA76-702A-CB4D-AC80-778CEFE9AF98}" name="C_MD_16" dataDxfId="866">
      <calculatedColumnFormula>IF($B260&gt;=R$256,IF($B260=R$256,R$257,R$257*((20+R$256)-$B260)/20),0)*IF((20+R$256)-$B260&lt;0,0,1)</calculatedColumnFormula>
    </tableColumn>
    <tableColumn id="22" xr3:uid="{FD8AF9F5-5572-2042-B2A1-292CD117E606}" name="C_MD_17" dataDxfId="865">
      <calculatedColumnFormula>IF($B260&gt;=S$256,IF($B260=S$256,S$257,S$257*((20+S$256)-$B260)/20),0)*IF((20+S$256)-$B260&lt;0,0,1)</calculatedColumnFormula>
    </tableColumn>
    <tableColumn id="23" xr3:uid="{DE3D5D64-EAA0-A347-8D66-B085DBA4D899}" name="C_MD_18" dataDxfId="864">
      <calculatedColumnFormula>IF($B260&gt;=T$256,IF($B260=T$256,T$257,T$257*((20+T$256)-$B260)/20),0)*IF((20+T$256)-$B260&lt;0,0,1)</calculatedColumnFormula>
    </tableColumn>
    <tableColumn id="24" xr3:uid="{1C30188F-0EDF-E541-A92C-F6A752877321}" name="C_MD_19" dataDxfId="863">
      <calculatedColumnFormula>IF($B260&gt;=U$256,IF($B260=U$256,U$257,U$257*((20+U$256)-$B260)/20),0)*IF((20+U$256)-$B260&lt;0,0,1)</calculatedColumnFormula>
    </tableColumn>
    <tableColumn id="25" xr3:uid="{5EE99F77-ED17-6747-AF43-2DBA7FFC198D}" name="C_MD_20" dataDxfId="862">
      <calculatedColumnFormula>IF($B260&gt;=V$256,IF($B260=V$256,V$257,V$257*((20+V$256)-$B260)/20),0)*IF((20+V$256)-$B260&lt;0,0,1)</calculatedColumnFormula>
    </tableColumn>
    <tableColumn id="36" xr3:uid="{6AD82D42-7393-0C4F-B90D-C6076F1B34C6}" name="CO2e_ST_tot" dataDxfId="861">
      <calculatedColumnFormula>SUM(C260:W260)*44/12</calculatedColumnFormula>
    </tableColumn>
  </tableColumns>
  <tableStyleInfo name="TableStyleMedium5" showFirstColumn="0" showLastColumn="0" showRowStripes="1" showColumnStripes="0"/>
</table>
</file>

<file path=xl/tables/table1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9" xr:uid="{E8DA515C-2502-7A48-A554-374921964017}" name="Tableau4668167392431470" displayName="Tableau4668167392431470" ref="AP232:AU252" totalsRowShown="0" headerRowDxfId="860" dataDxfId="859">
  <autoFilter ref="AP232:AU252" xr:uid="{00000000-0009-0000-0100-0000A6000000}"/>
  <tableColumns count="6">
    <tableColumn id="1" xr3:uid="{36BBA0A0-09D1-BC41-80E1-E9137D9F6FC2}" name="Annees" dataDxfId="858"/>
    <tableColumn id="2" xr3:uid="{08C60078-BF69-DB4E-9646-8C58ACA89ADC}" name="C_BO_sc" dataDxfId="857">
      <calculatedColumnFormula>SUM(G233,Q233,AA233,AK233)</calculatedColumnFormula>
    </tableColumn>
    <tableColumn id="3" xr3:uid="{97BE31E7-3E72-6F42-A658-5647EAA470A7}" name="C_BO_ps" dataDxfId="856">
      <calculatedColumnFormula>SUM(H233,R233,AB233,AL233)</calculatedColumnFormula>
    </tableColumn>
    <tableColumn id="5" xr3:uid="{B111FC59-C68E-EF4F-9EF1-358BBFF11419}" name="C_BI_pap" dataDxfId="855">
      <calculatedColumnFormula>SUM(I233,S233,AC233,AM233)</calculatedColumnFormula>
    </tableColumn>
    <tableColumn id="6" xr3:uid="{1C8EC864-A9BD-5948-9C76-36F5A1CC4194}" name="C_LD" dataDxfId="854">
      <calculatedColumnFormula>AQ233*VLOOKUP(AQ$232,Tableau17[],4,FALSE)+AR233*VLOOKUP(AR$232,Tableau17[],4,FALSE)+AS233*VLOOKUP(AS$232,Tableau17[],4,FALSE)</calculatedColumnFormula>
    </tableColumn>
    <tableColumn id="7" xr3:uid="{00057F1E-807E-4A41-ADF3-DF756E0F1A20}" name="C_MD" dataDxfId="853">
      <calculatedColumnFormula>AQ233*VLOOKUP(AQ$232,Tableau17[],3,FALSE)+AR233*VLOOKUP(AR$232,Tableau17[],3,FALSE)+AS233*VLOOKUP(AS$232,Tableau17[],3,FALSE)</calculatedColumnFormula>
    </tableColumn>
  </tableColumns>
  <tableStyleInfo name="TableStyleMedium5" showFirstColumn="0" showLastColumn="0" showRowStripes="1" showColumnStripes="0"/>
</table>
</file>

<file path=xl/tables/table1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0" xr:uid="{EE81B01C-C84A-304D-B654-9B5823350A6A}" name="Tableau122033171393432471" displayName="Tableau122033171393432471" ref="B284:I304" totalsRowShown="0" headerRowDxfId="852" dataDxfId="851">
  <autoFilter ref="B284:I304" xr:uid="{00000000-0009-0000-0100-0000AA000000}"/>
  <tableColumns count="8">
    <tableColumn id="1" xr3:uid="{987D4532-B424-AC4E-81A9-2871E4CF735B}" name="Annees" dataDxfId="850"/>
    <tableColumn id="2" xr3:uid="{2A528CF7-9C53-1A48-BFA0-A987A028CA7E}" name="SQ_REF_CO2e" dataDxfId="849">
      <calculatedColumnFormula>SUM(H61,Q61,Z61,AI61)</calculatedColumnFormula>
    </tableColumn>
    <tableColumn id="4" xr3:uid="{77C23557-5CA8-4642-A0EC-F38C8CFB0E61}" name="JP_REF_CO2e" dataDxfId="848">
      <calculatedColumnFormula>Y92</calculatedColumnFormula>
    </tableColumn>
    <tableColumn id="7" xr3:uid="{B018F70F-7C12-594A-9C69-CF08F48F1A38}" name="ST_REF_CO2e" dataDxfId="847">
      <calculatedColumnFormula>X145</calculatedColumnFormula>
    </tableColumn>
    <tableColumn id="8" xr3:uid="{25460FB2-5C85-0248-A97D-153E7DC2E9E4}" name="SQ_PRJ_CO2e" dataDxfId="846">
      <calculatedColumnFormula>SUM(H177,Q177,Z177,AI177)</calculatedColumnFormula>
    </tableColumn>
    <tableColumn id="5" xr3:uid="{DCD102A5-5801-0845-B9F7-6BD77362A4EE}" name="JP_PRJ_CO2e" dataDxfId="845">
      <calculatedColumnFormula>Y208</calculatedColumnFormula>
    </tableColumn>
    <tableColumn id="9" xr3:uid="{ADF80C64-AD53-1442-B59B-1AB8CD5894D4}" name="ST_PRJ_CO2e" dataDxfId="844">
      <calculatedColumnFormula>X260</calculatedColumnFormula>
    </tableColumn>
    <tableColumn id="3" xr3:uid="{C97A3DB1-15BD-CF47-ABE0-A32F503D1A54}" name="Delta_CO2e" dataDxfId="843">
      <calculatedColumnFormula>F285-C285+G285-D285+H285-E285</calculatedColumnFormula>
    </tableColumn>
  </tableColumns>
  <tableStyleInfo name="TableStyleMedium5" showFirstColumn="0" showLastColumn="0" showRowStripes="1" showColumnStripes="0"/>
</table>
</file>

<file path=xl/tables/table1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1" xr:uid="{E6DA2280-E7CF-9A4C-A955-B46C9057D9DA}" name="Tableau72172394433472" displayName="Tableau72172394433472" ref="L284:O304" totalsRowShown="0" headerRowDxfId="842" dataDxfId="841">
  <autoFilter ref="L284:O304" xr:uid="{00000000-0009-0000-0100-0000AB000000}"/>
  <tableColumns count="4">
    <tableColumn id="1" xr3:uid="{578469AD-7A03-8546-8D00-433AED600C86}" name="Annees" dataDxfId="840"/>
    <tableColumn id="2" xr3:uid="{CB1A1DB5-B036-1148-8648-A30945FE8E8D}" name="DeltaC_SQ" dataDxfId="839">
      <calculatedColumnFormula>F285-C285</calculatedColumnFormula>
    </tableColumn>
    <tableColumn id="3" xr3:uid="{3EA67798-AD65-F847-89A0-5DD42F167068}" name="DeltaC_ST" dataDxfId="838">
      <calculatedColumnFormula>H285-E285</calculatedColumnFormula>
    </tableColumn>
    <tableColumn id="4" xr3:uid="{E1BBE115-E56D-A449-86D3-77AAABC06492}" name="DeltaC_JP" dataDxfId="837">
      <calculatedColumnFormula>G285-D285</calculatedColumnFormula>
    </tableColumn>
  </tableColumns>
  <tableStyleInfo name="TableStyleMedium5" showFirstColumn="0" showLastColumn="0" showRowStripes="1" showColumnStripes="0"/>
</table>
</file>

<file path=xl/tables/table1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2" xr:uid="{3E9A9216-1286-0344-9C3F-811E0322E936}" name="Tableau7274173395434473" displayName="Tableau7274173395434473" ref="B310:K330" totalsRowShown="0" headerRowDxfId="836" dataDxfId="835">
  <autoFilter ref="B310:K330" xr:uid="{00000000-0009-0000-0100-0000AC000000}"/>
  <tableColumns count="10">
    <tableColumn id="1" xr3:uid="{7C832D34-D047-8842-9A68-1B0038CC4592}" name="Annees" dataDxfId="834"/>
    <tableColumn id="2" xr3:uid="{7BA5B0B1-4989-2B4E-AB4F-16A80BC2B6D2}" name="∆CO2e_SQ_an" dataDxfId="833">
      <calculatedColumnFormula>IF(B311=1,M285,M285-M284)</calculatedColumnFormula>
    </tableColumn>
    <tableColumn id="9" xr3:uid="{CF39630D-20B1-234D-867F-57AC34E1C8D7}" name="∆CO2e_JP_an" dataDxfId="832">
      <calculatedColumnFormula>IF(B311=1,O285,O285-O284)</calculatedColumnFormula>
    </tableColumn>
    <tableColumn id="3" xr3:uid="{91F62268-2B36-FC4B-9B65-4A1E24F20203}" name="∆CO2e_ST_an" dataDxfId="831">
      <calculatedColumnFormula>IF(B311=1,N285,N285-N284)</calculatedColumnFormula>
    </tableColumn>
    <tableColumn id="10" xr3:uid="{30610EA4-BFC5-E745-9F44-CE6EC62C0E6F}" name="∆CO2e_tot_an" dataDxfId="830">
      <calculatedColumnFormula>SUM(C311:E311)</calculatedColumnFormula>
    </tableColumn>
    <tableColumn id="5" xr3:uid="{E89ED055-7565-D24B-A5D2-9E2A2C464356}" name="tCO2e_FF" dataDxfId="829">
      <calculatedColumnFormula>F311*$C$306</calculatedColumnFormula>
    </tableColumn>
    <tableColumn id="8" xr3:uid="{5B4DD6AA-ECAD-FD4A-9399-80BC193303AE}" name="tCO2e_INC" dataDxfId="828">
      <calculatedColumnFormula>(F311-G311)*$C$307</calculatedColumnFormula>
    </tableColumn>
    <tableColumn id="11" xr3:uid="{DCFB07D9-B54F-554B-B82B-9817437D7F91}" name="tCO2e_RNP" dataDxfId="827">
      <calculatedColumnFormula>(F311-G311-H311)*$C$308</calculatedColumnFormula>
    </tableColumn>
    <tableColumn id="6" xr3:uid="{6E89609F-A4B0-D342-BC0D-F175C6318DC6}" name="tCO2e_net_an" dataDxfId="826">
      <calculatedColumnFormula>F311-G311-H311-I311</calculatedColumnFormula>
    </tableColumn>
    <tableColumn id="7" xr3:uid="{91D033CF-3159-9249-BC36-6C5F37A5B1BD}" name="tCO2e_net_vente" dataDxfId="825">
      <calculatedColumnFormula>C$336</calculatedColumnFormula>
    </tableColumn>
  </tableColumns>
  <tableStyleInfo name="TableStyleMedium5"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3" xr:uid="{298556F1-2DEA-134F-82B6-898E21781321}" name="Tableau223" displayName="Tableau223" ref="J8:N12" totalsRowShown="0" headerRowDxfId="2125" dataDxfId="2124">
  <autoFilter ref="J8:N12" xr:uid="{298556F1-2DEA-134F-82B6-898E21781321}"/>
  <tableColumns count="5">
    <tableColumn id="1" xr3:uid="{192303B5-5029-1D47-A3CE-8E6E6067D689}" name="strate" dataDxfId="2123"/>
    <tableColumn id="2" xr3:uid="{D48B6E3F-B1F9-A746-8543-CB25220EA572}" name="Traitement" dataDxfId="2122">
      <calculatedColumnFormula>L2</calculatedColumnFormula>
    </tableColumn>
    <tableColumn id="3" xr3:uid="{9B242A39-6C37-6743-8D60-18A070185A7E}" name="Régulier" dataDxfId="2121">
      <calculatedColumnFormula>IF(OR(K9="REG",K9="RASE"),"oui","non")</calculatedColumnFormula>
    </tableColumn>
    <tableColumn id="4" xr3:uid="{5B9E854A-8826-A140-B7E0-299AD2E3A716}" name="Surf" dataDxfId="2120">
      <calculatedColumnFormula>M2</calculatedColumnFormula>
    </tableColumn>
    <tableColumn id="5" xr3:uid="{D33E92B7-4E58-6548-B461-86C1614A820A}" name="%Surf_régulier" dataDxfId="2119" dataCellStyle="Pourcentage">
      <calculatedColumnFormula>IF(L9="non","",M9/SUMIF($L$9:$L$12,"oui",$M$9:$M$12))</calculatedColumnFormula>
    </tableColumn>
  </tableColumns>
  <tableStyleInfo name="TableStyleMedium7" showFirstColumn="0" showLastColumn="0" showRowStripes="1" showColumnStripes="0"/>
</table>
</file>

<file path=xl/tables/table1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3" xr:uid="{49F8DA71-1E15-D340-B8D5-A0560B5D7804}" name="Tableau75174396435474" displayName="Tableau75174396435474" ref="B91:Z111" totalsRowShown="0" headerRowDxfId="824" dataDxfId="823">
  <autoFilter ref="B91:Z111" xr:uid="{00000000-0009-0000-0100-0000AD000000}"/>
  <tableColumns count="25">
    <tableColumn id="1" xr3:uid="{78152598-07C7-ED45-ACC3-F99248A35E8B}" name="Année" dataDxfId="822"/>
    <tableColumn id="2" xr3:uid="{5048B396-3266-6E42-9BA9-24C46E454B5F}" name="JP_1" dataDxfId="821">
      <calculatedColumnFormula>(C$86)*IF($B92&gt;=C$84,IF($B92=C$84,$E$19,VLOOKUP($B92-C$84,$B$19:$E$49,4,FALSE)),0)</calculatedColumnFormula>
    </tableColumn>
    <tableColumn id="3" xr3:uid="{7CD25158-ADB4-D640-9AD9-EF408E6F2F60}" name="JP_2" dataDxfId="820">
      <calculatedColumnFormula>(D$86)*IF($B92&gt;=D$84,IF($B92=D$84,$E$19,VLOOKUP($B92-D$84,$B$19:$E$49,4,FALSE)),0)</calculatedColumnFormula>
    </tableColumn>
    <tableColumn id="4" xr3:uid="{4CFEC0FC-625E-5F48-8EDB-15B6BF3BAB3E}" name="JP_3" dataDxfId="819">
      <calculatedColumnFormula>(E$86)*IF($B92&gt;=E$84,IF($B92=E$84,$E$19,VLOOKUP($B92-E$84,$B$19:$E$49,4,FALSE)),0)</calculatedColumnFormula>
    </tableColumn>
    <tableColumn id="5" xr3:uid="{7AFB1C06-5C1D-A845-8C39-6CBB1DF9C1CE}" name="JP_4" dataDxfId="818">
      <calculatedColumnFormula>(F$86)*IF($B92&gt;=F$84,IF($B92=F$84,$E$19,VLOOKUP($B92-F$84,$B$19:$E$49,4,FALSE)),0)</calculatedColumnFormula>
    </tableColumn>
    <tableColumn id="6" xr3:uid="{8ECA60B6-C19F-B144-A139-E15917ED9E87}" name="JP_5" dataDxfId="817">
      <calculatedColumnFormula>(G$86)*IF($B92&gt;=G$84,IF($B92=G$84,$E$19,VLOOKUP($B92-G$84,$B$19:$E$49,4,FALSE)),0)</calculatedColumnFormula>
    </tableColumn>
    <tableColumn id="7" xr3:uid="{89C8BA53-A37F-3A47-86D0-4E8AA0D8C858}" name="JP_6" dataDxfId="816">
      <calculatedColumnFormula>(H$86)*IF($B92&gt;=H$84,IF($B92=H$84,$E$19,VLOOKUP($B92-H$84,$B$19:$E$49,4,FALSE)),0)</calculatedColumnFormula>
    </tableColumn>
    <tableColumn id="8" xr3:uid="{86BC5331-E45B-9D41-B307-339DA4D86B3B}" name="JP_7" dataDxfId="815">
      <calculatedColumnFormula>(I$86)*IF($B92&gt;=I$84,IF($B92=I$84,$E$19,VLOOKUP($B92-I$84,$B$19:$E$49,4,FALSE)),0)</calculatedColumnFormula>
    </tableColumn>
    <tableColumn id="9" xr3:uid="{DFDC82C8-6224-AD41-B9FC-B75326C52FDC}" name="JP_8" dataDxfId="814">
      <calculatedColumnFormula>(J$86)*IF($B92&gt;=J$84,IF($B92=J$84,$E$19,VLOOKUP($B92-J$84,$B$19:$E$49,4,FALSE)),0)</calculatedColumnFormula>
    </tableColumn>
    <tableColumn id="10" xr3:uid="{E3C5A047-CC9D-1D40-870C-607AEF4884CC}" name="JP_9" dataDxfId="813">
      <calculatedColumnFormula>(K$86)*IF($B92&gt;=K$84,IF($B92=K$84,$E$19,VLOOKUP($B92-K$84,$B$19:$E$49,4,FALSE)),0)</calculatedColumnFormula>
    </tableColumn>
    <tableColumn id="11" xr3:uid="{BF28C6A5-D647-2149-8E53-1293AB8CA387}" name="JP_10" dataDxfId="812">
      <calculatedColumnFormula>(L$86)*IF($B92&gt;=L$84,IF($B92=L$84,$E$19,VLOOKUP($B92-L$84,$B$19:$E$49,4,FALSE)),0)</calculatedColumnFormula>
    </tableColumn>
    <tableColumn id="12" xr3:uid="{091B75D0-0FDF-EE4D-B243-91DFBA981E8E}" name="JP_11" dataDxfId="811">
      <calculatedColumnFormula>(M$86)*IF($B92&gt;=M$84,IF($B92=M$84,$E$19,VLOOKUP($B92-M$84,$B$19:$E$49,4,FALSE)),0)</calculatedColumnFormula>
    </tableColumn>
    <tableColumn id="13" xr3:uid="{51B4E387-9C0B-2E41-9608-783BC4EF56D9}" name="JP_12" dataDxfId="810">
      <calculatedColumnFormula>(N$86)*IF($B92&gt;=N$84,IF($B92=N$84,$E$19,VLOOKUP($B92-N$84,$B$19:$E$49,4,FALSE)),0)</calculatedColumnFormula>
    </tableColumn>
    <tableColumn id="14" xr3:uid="{CCB901E5-FB01-A349-BE3C-534086DC395B}" name="JP_13" dataDxfId="809">
      <calculatedColumnFormula>(O$86)*IF($B92&gt;=O$84,IF($B92=O$84,$E$19,VLOOKUP($B92-O$84,$B$19:$E$49,4,FALSE)),0)</calculatedColumnFormula>
    </tableColumn>
    <tableColumn id="15" xr3:uid="{67EE8809-78FD-5045-8DF3-7B5824887DDA}" name="JP_14" dataDxfId="808">
      <calculatedColumnFormula>(P$86)*IF($B92&gt;=P$84,IF($B92=P$84,$E$19,VLOOKUP($B92-P$84,$B$19:$E$49,4,FALSE)),0)</calculatedColumnFormula>
    </tableColumn>
    <tableColumn id="16" xr3:uid="{8CB76CA2-A936-CD4F-B84A-826FB7A1AB76}" name="JP_15" dataDxfId="807">
      <calculatedColumnFormula>(Q$86)*IF($B92&gt;=Q$84,IF($B92=Q$84,$E$19,VLOOKUP($B92-Q$84,$B$19:$E$49,4,FALSE)),0)</calculatedColumnFormula>
    </tableColumn>
    <tableColumn id="17" xr3:uid="{811A68F7-0C67-8140-B034-6353F2114F6C}" name="JP_16" dataDxfId="806">
      <calculatedColumnFormula>(R$86)*IF($B92&gt;=R$84,IF($B92=R$84,$E$19,VLOOKUP($B92-R$84,$B$19:$E$49,4,FALSE)),0)</calculatedColumnFormula>
    </tableColumn>
    <tableColumn id="18" xr3:uid="{7C5A91A2-4269-E04E-A8F1-6FA03B098406}" name="JP_17" dataDxfId="805">
      <calculatedColumnFormula>(S$86)*IF($B92&gt;=S$84,IF($B92=S$84,$E$19,VLOOKUP($B92-S$84,$B$19:$E$49,4,FALSE)),0)</calculatedColumnFormula>
    </tableColumn>
    <tableColumn id="19" xr3:uid="{0DE1783D-3311-ED40-802B-99C11C5D8753}" name="JP_18" dataDxfId="804">
      <calculatedColumnFormula>(T$86)*IF($B92&gt;=T$84,IF($B92=T$84,$E$19,VLOOKUP($B92-T$84,$B$19:$E$49,4,FALSE)),0)</calculatedColumnFormula>
    </tableColumn>
    <tableColumn id="20" xr3:uid="{8ECEF65F-22B8-A543-A444-D7F0C99E5D2E}" name="JP_19" dataDxfId="803">
      <calculatedColumnFormula>(U$86)*IF($B92&gt;=U$84,IF($B92=U$84,$E$19,VLOOKUP($B92-U$84,$B$19:$E$49,4,FALSE)),0)</calculatedColumnFormula>
    </tableColumn>
    <tableColumn id="21" xr3:uid="{55955F92-32C1-9847-933E-58E797876869}" name="JP_20" dataDxfId="802">
      <calculatedColumnFormula>(V$86)*IF($B92&gt;=V$84,IF($B92=V$84,$E$19,VLOOKUP($B92-V$84,$B$19:$E$49,4,FALSE)),0)</calculatedColumnFormula>
    </tableColumn>
    <tableColumn id="32" xr3:uid="{844297A7-CF90-7D41-9F47-2DF998C97A36}" name="BA_JP" dataDxfId="801">
      <calculatedColumnFormula>SUM(C92:V92)*D$11*C$11</calculatedColumnFormula>
    </tableColumn>
    <tableColumn id="33" xr3:uid="{F04D8403-66A9-9342-BFB6-C35C38B15BC4}" name="BR_JP" dataDxfId="800">
      <calculatedColumnFormula>IF(W92&gt;0,EXP(-1.0587+0.8836*LN(W92)+0.284),0)</calculatedColumnFormula>
    </tableColumn>
    <tableColumn id="34" xr3:uid="{051590A9-16A2-2A4D-9ACB-62ADFBC0DB8A}" name="CO2e_JP" dataDxfId="799">
      <calculatedColumnFormula>SUM(W92:X92)*0.475*44/12</calculatedColumnFormula>
    </tableColumn>
    <tableColumn id="35" xr3:uid="{66429C6C-A768-3A4A-A352-7A96BC80ABB7}" name="V_JP_tot" dataDxfId="798">
      <calculatedColumnFormula>SUM(C92:V92)</calculatedColumnFormula>
    </tableColumn>
  </tableColumns>
  <tableStyleInfo name="TableStyleMedium5" showFirstColumn="0" showLastColumn="0" showRowStripes="1" showColumnStripes="0"/>
</table>
</file>

<file path=xl/tables/table1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4" xr:uid="{B80D1530-3AB3-9D40-926C-5F7C888A968D}" name="Tableau7679177397436475" displayName="Tableau7679177397436475" ref="AL176:AO196" totalsRowShown="0" headerRowDxfId="797" dataDxfId="796">
  <autoFilter ref="AL176:AO196" xr:uid="{00000000-0009-0000-0100-0000B0000000}"/>
  <tableColumns count="4">
    <tableColumn id="1" xr3:uid="{720EDBDA-36AE-7148-A990-171C2EF64268}" name="Annee" dataDxfId="795"/>
    <tableColumn id="2" xr3:uid="{B1FF8794-D5CA-F945-83D6-F437A3A209FC}" name="V_Prel_tot" dataDxfId="794">
      <calculatedColumnFormula>SUM(D177,M177,V177,AE177)</calculatedColumnFormula>
    </tableColumn>
    <tableColumn id="4" xr3:uid="{C4A62D6D-8FCC-2D4F-95CD-CE97D7688D3B}" name="%récolté" dataDxfId="793" dataCellStyle="Pourcentage">
      <calculatedColumnFormula>IF(OR($C$6=0,SUM($M$4:$M$7)=0),0,AM177/SUM($M$4:$M$7))</calculatedColumnFormula>
    </tableColumn>
    <tableColumn id="5" xr3:uid="{497D77A4-8C8A-3640-BB02-7B03FC1CBAA0}" name="%surf_JP" dataDxfId="792">
      <calculatedColumnFormula>AN177*50%</calculatedColumnFormula>
    </tableColumn>
  </tableColumns>
  <tableStyleInfo name="TableStyleMedium5" showFirstColumn="0" showLastColumn="0" showRowStripes="1" showColumnStripes="0"/>
</table>
</file>

<file path=xl/tables/table1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5" xr:uid="{E720786F-8026-5549-BCFA-36941524A174}" name="Tableau12163215214398437476" displayName="Tableau12163215214398437476" ref="L117:S137" totalsRowShown="0" headerRowDxfId="791" dataDxfId="790">
  <autoFilter ref="L117:S137" xr:uid="{00000000-0009-0000-0100-00000D000000}"/>
  <tableColumns count="8">
    <tableColumn id="1" xr3:uid="{CA373F95-D315-A141-8741-DC0A41FE7580}" name="Annees" dataDxfId="789"/>
    <tableColumn id="2" xr3:uid="{13BBF94B-3D23-AF48-80CB-4800DF7457A7}" name="V_prel" dataDxfId="788">
      <calculatedColumnFormula>M61</calculatedColumnFormula>
    </tableColumn>
    <tableColumn id="7" xr3:uid="{A387AB36-0ECC-0543-A012-50E3D5813E5A}" name="C_prel" dataDxfId="787">
      <calculatedColumnFormula>IF(OR(M118=0,M118=""),0,M118*L$58*0.475)</calculatedColumnFormula>
    </tableColumn>
    <tableColumn id="8" xr3:uid="{2D77CE0A-42E3-FA48-ABB4-51873C7BF62D}" name="C_BE" dataDxfId="786">
      <calculatedColumnFormula>IF(OR(N118=0,N118="",L$116=0),0,N118*INDEX(Listes!$K$1:$Q$12,MATCH(L$116,Listes!$K$1:$K$12,0),MATCH(O$117,Listes!$K$1:$Q$1,0)))</calculatedColumnFormula>
    </tableColumn>
    <tableColumn id="9" xr3:uid="{34097E2F-A571-6C41-A9F1-EC01382FBCE9}" name="C_val" dataDxfId="785">
      <calculatedColumnFormula>N118-O118</calculatedColumnFormula>
    </tableColumn>
    <tableColumn id="3" xr3:uid="{266D7B60-778A-6E44-B2C7-51BAD2ECEE98}" name="C_BO_sc" dataDxfId="784">
      <calculatedColumnFormula>IF(OR(L$116=0,L$116=""),0,P118*INDEX(Listes!$K$15:$P$26,MATCH(L$116,Listes!$K$15:$K$26,0),MATCH(Q$117,Listes!$K$15:$P$15,0))*INDEX(Listes!$K$29:$O$31,MATCH(M$116,Listes!$K$29:$K$31,0),MATCH(Q$117,Listes!$K$29:$O$29,0)))</calculatedColumnFormula>
    </tableColumn>
    <tableColumn id="4" xr3:uid="{E20B600C-EE22-FA42-A9F4-355518DB5C1F}" name="C_BO_ps" dataDxfId="783">
      <calculatedColumnFormula>IF(OR(L$116=0,L$116=""),0,P118*INDEX(Listes!$K$15:$P$26,MATCH(L$116,Listes!$K$15:$K$26,0),MATCH(R$117,Listes!$K$15:$P$15,0))*INDEX(Listes!$K$29:$O$31,MATCH(M$116,Listes!$K$29:$K$31,0),MATCH(R$117,Listes!$K$29:$O$29,0)))</calculatedColumnFormula>
    </tableColumn>
    <tableColumn id="6" xr3:uid="{B812772C-D27F-3D4E-90AA-D65CAEC04F65}" name="C_BI_pap" dataDxfId="782">
      <calculatedColumnFormula>IF(OR(L$116=0,L$116=""),0,P118*INDEX(Listes!$K$15:$P$26,MATCH(L$116,Listes!$K$15:$K$26,0),MATCH(S$117,Listes!$K$15:$P$15,0))*INDEX(Listes!$K$29:$O$31,MATCH(M$116,Listes!$K$29:$K$31,0),MATCH(S$117,Listes!$K$29:$O$29,0)))</calculatedColumnFormula>
    </tableColumn>
  </tableColumns>
  <tableStyleInfo name="TableStyleMedium5" showFirstColumn="0" showLastColumn="0" showRowStripes="1" showColumnStripes="0"/>
</table>
</file>

<file path=xl/tables/table1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6" xr:uid="{AE9E6F64-F7EB-7948-B803-88956C11DC7F}" name="Tableau12163215216399438477" displayName="Tableau12163215216399438477" ref="V117:AC137" totalsRowShown="0" headerRowDxfId="781" dataDxfId="780">
  <autoFilter ref="V117:AC137" xr:uid="{00000000-0009-0000-0100-00000F000000}"/>
  <tableColumns count="8">
    <tableColumn id="1" xr3:uid="{D5FD96EB-A3C0-C24B-82EE-EF2F3FA44E6B}" name="Annees" dataDxfId="779"/>
    <tableColumn id="2" xr3:uid="{3E4CC0CB-9FA9-CF4C-81AF-E6968781221F}" name="V_prel" dataDxfId="778">
      <calculatedColumnFormula>V61</calculatedColumnFormula>
    </tableColumn>
    <tableColumn id="7" xr3:uid="{B74EDDDB-65AF-774C-BBC4-D97A82F11708}" name="C_prel" dataDxfId="777">
      <calculatedColumnFormula>IF(OR(W118=0,W118=""),0,W118*U$58*0.475)</calculatedColumnFormula>
    </tableColumn>
    <tableColumn id="8" xr3:uid="{37996FAD-4384-0743-8E02-4813A62A1872}" name="C_BE" dataDxfId="776">
      <calculatedColumnFormula>IF(OR(X118=0,X118="",V$116=0),0,X118*INDEX(Listes!$K$1:$Q$12,MATCH(V$116,Listes!$K$1:$K$12,0),MATCH(Y$117,Listes!$K$1:$Q$1,0)))</calculatedColumnFormula>
    </tableColumn>
    <tableColumn id="9" xr3:uid="{EB60DE1C-413E-F04E-9E61-3AED97856062}" name="C_val" dataDxfId="775">
      <calculatedColumnFormula>X118-Y118</calculatedColumnFormula>
    </tableColumn>
    <tableColumn id="3" xr3:uid="{FC479BDA-5FF1-3449-ADFF-FD8D72F64689}" name="C_BO_sc" dataDxfId="774">
      <calculatedColumnFormula>IF(OR(V$116=0,V$116=""),0,Z118*INDEX(Listes!$K$15:$P$26,MATCH(V$116,Listes!$K$15:$K$26,0),MATCH(AA$117,Listes!$K$15:$P$15,0))*INDEX(Listes!$K$29:$O$31,MATCH(W$116,Listes!$K$29:$K$31,0),MATCH(AA$117,Listes!$K$29:$O$29,0)))</calculatedColumnFormula>
    </tableColumn>
    <tableColumn id="4" xr3:uid="{EC97501A-4004-1049-A76D-0793312AFD02}" name="C_BO_ps" dataDxfId="773">
      <calculatedColumnFormula>IF(OR(V$116=0,V$116=""),0,Z118*INDEX(Listes!$K$15:$P$26,MATCH(V$116,Listes!$K$15:$K$26,0),MATCH(AB$117,Listes!$K$15:$P$15,0))*INDEX(Listes!$K$29:$O$31,MATCH(W$116,Listes!$K$29:$K$31,0),MATCH(AB$117,Listes!$K$29:$O$29,0)))</calculatedColumnFormula>
    </tableColumn>
    <tableColumn id="6" xr3:uid="{96F9C447-88C7-B04F-94A5-B270BC170D8A}" name="C_BI_pap" dataDxfId="772">
      <calculatedColumnFormula>IF(OR(V$116=0,V$116=""),0,Z118*INDEX(Listes!$K$15:$P$26,MATCH(V$116,Listes!$K$15:$K$26,0),MATCH(AC$117,Listes!$K$15:$P$15,0))*INDEX(Listes!$K$29:$O$31,MATCH(W$116,Listes!$K$29:$K$31,0),MATCH(AC$117,Listes!$K$29:$O$29,0)))</calculatedColumnFormula>
    </tableColumn>
  </tableColumns>
  <tableStyleInfo name="TableStyleMedium5" showFirstColumn="0" showLastColumn="0" showRowStripes="1" showColumnStripes="0"/>
</table>
</file>

<file path=xl/tables/table1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7" xr:uid="{95BFC5C5-1124-3E41-90F8-CAD15145ECEA}" name="Tableau12163215220400439478" displayName="Tableau12163215220400439478" ref="AF117:AM137" totalsRowShown="0" headerRowDxfId="771" dataDxfId="770">
  <autoFilter ref="AF117:AM137" xr:uid="{00000000-0009-0000-0100-000013000000}"/>
  <tableColumns count="8">
    <tableColumn id="1" xr3:uid="{B27196E5-C3B2-8448-85AC-1AD22C71F364}" name="Annees" dataDxfId="769"/>
    <tableColumn id="2" xr3:uid="{DE56ACE5-CB4D-6043-8CC4-758F04B7752E}" name="V_prel" dataDxfId="768">
      <calculatedColumnFormula>AE61</calculatedColumnFormula>
    </tableColumn>
    <tableColumn id="7" xr3:uid="{734FACA6-2574-2F47-8482-C8828E26F51A}" name="C_prel" dataDxfId="767">
      <calculatedColumnFormula>IF(OR(AG118=0,AG118=""),0,AG118*AD$58*0.475)</calculatedColumnFormula>
    </tableColumn>
    <tableColumn id="8" xr3:uid="{4EA24391-E5D2-CB47-B010-617E012402FE}" name="C_BE" dataDxfId="766">
      <calculatedColumnFormula>IF(OR(AH118=0,AH118="",AF$116=0),0,AH118*INDEX(Listes!$K$1:$Q$12,MATCH(AF$116,Listes!$K$1:$K$12,0),MATCH(AI$117,Listes!$K$1:$Q$1,0)))</calculatedColumnFormula>
    </tableColumn>
    <tableColumn id="9" xr3:uid="{15B853A8-821C-3343-AE7C-13EF720DEB7B}" name="C_val" dataDxfId="765">
      <calculatedColumnFormula>AH118-AI118</calculatedColumnFormula>
    </tableColumn>
    <tableColumn id="3" xr3:uid="{9CE200D7-4D7A-4C41-A753-5AC09A1E86AF}" name="C_BO_sc" dataDxfId="764">
      <calculatedColumnFormula>IF(OR(AF$116=0,AF$116=""),0,AJ118*INDEX(Listes!$K$15:$P$26,MATCH(AF$116,Listes!$K$15:$K$26,0),MATCH(AK$117,Listes!$K$15:$P$15,0))*INDEX(Listes!$K$29:$O$31,MATCH(AG$116,Listes!$K$29:$K$31,0),MATCH(AK$117,Listes!$K$29:$O$29,0)))</calculatedColumnFormula>
    </tableColumn>
    <tableColumn id="4" xr3:uid="{5822F6E4-D0C5-4948-9150-259634FEC061}" name="C_BO_ps" dataDxfId="763">
      <calculatedColumnFormula>IF(OR(AF$116=0,AF$116=""),0,AJ118*INDEX(Listes!$K$15:$P$26,MATCH(AF$116,Listes!$K$15:$K$26,0),MATCH(AL$117,Listes!$K$15:$P$15,0))*INDEX(Listes!$K$29:$O$31,MATCH(AG$116,Listes!$K$29:$K$31,0),MATCH(AL$117,Listes!$K$29:$O$29,0)))</calculatedColumnFormula>
    </tableColumn>
    <tableColumn id="6" xr3:uid="{A9C02DB9-E202-8947-A733-6494BAF74BC7}" name="C_BI_pap" dataDxfId="762">
      <calculatedColumnFormula>IF(OR(AF$116=0,AF$116=""),0,AJ118*INDEX(Listes!$K$15:$P$26,MATCH(AF$116,Listes!$K$15:$K$26,0),MATCH(AM$117,Listes!$K$15:$P$15,0))*INDEX(Listes!$K$29:$O$31,MATCH(AG$116,Listes!$K$29:$K$31,0),MATCH(AM$117,Listes!$K$29:$O$29,0)))</calculatedColumnFormula>
    </tableColumn>
  </tableColumns>
  <tableStyleInfo name="TableStyleMedium5" showFirstColumn="0" showLastColumn="0" showRowStripes="1" showColumnStripes="0"/>
</table>
</file>

<file path=xl/tables/table1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8" xr:uid="{712D2FFB-4DCD-4E4F-8E59-609618686F6F}" name="Tableau1216326016221401440479" displayName="Tableau1216326016221401440479" ref="L232:S252" totalsRowShown="0" headerRowDxfId="761" dataDxfId="760">
  <autoFilter ref="L232:S252" xr:uid="{00000000-0009-0000-0100-000014000000}"/>
  <tableColumns count="8">
    <tableColumn id="1" xr3:uid="{9A24689C-970E-F945-A7A1-E07FE18D2E61}" name="Annees" dataDxfId="759"/>
    <tableColumn id="2" xr3:uid="{B435C79F-CE96-8E40-B194-01F2BD018CFF}" name="V_prel" dataDxfId="758">
      <calculatedColumnFormula>M177</calculatedColumnFormula>
    </tableColumn>
    <tableColumn id="7" xr3:uid="{BD85D083-76E2-674B-BFA5-112308166C61}" name="C_prel" dataDxfId="757">
      <calculatedColumnFormula>IF(OR(M233="",M233=0),0,M233*L$174*0.475)</calculatedColumnFormula>
    </tableColumn>
    <tableColumn id="9" xr3:uid="{4D0C49AF-1DE2-254F-8FBF-455C3F6CE172}" name="C_BE" dataDxfId="756">
      <calculatedColumnFormula>IF(OR(N233=0,N233="",L$116=0),0,N233*INDEX(Listes!$K$1:$Q$12,MATCH(L$116,Listes!$K$1:$K$12,0),MATCH(O$117,Listes!$K$1:$Q$1,0)))</calculatedColumnFormula>
    </tableColumn>
    <tableColumn id="8" xr3:uid="{5CB591A0-5597-6D4B-86C2-A722E65767A6}" name="C_val" dataDxfId="755">
      <calculatedColumnFormula>N233-O233</calculatedColumnFormula>
    </tableColumn>
    <tableColumn id="3" xr3:uid="{5BF60786-73E1-A44A-8239-1685F0D6E62C}" name="C_BO_sc" dataDxfId="754">
      <calculatedColumnFormula>IF(OR(L$231=0,L$231=""),0,P233*INDEX(Listes!$K$15:$P$26,MATCH(L$231,Listes!$K$15:$K$26,0),MATCH(Q$232,Listes!$K$15:$P$15,0))*INDEX(Listes!$K$29:$O$31,MATCH(M$231,Listes!$K$29:$K$31,0),MATCH(Q$232,Listes!$K$29:$O$29,0)))</calculatedColumnFormula>
    </tableColumn>
    <tableColumn id="4" xr3:uid="{084C819E-18A9-BD46-80DC-1E14885B3177}" name="C_BO_ps" dataDxfId="753">
      <calculatedColumnFormula>IF(OR(L$231=0,L$231=""),0,P233*INDEX(Listes!$K$15:$P$26,MATCH(L$231,Listes!$K$15:$K$26,0),MATCH(R$232,Listes!$K$15:$P$15,0))*INDEX(Listes!$K$29:$O$31,MATCH(M$231,Listes!$K$29:$K$31,0),MATCH(R$232,Listes!$K$29:$O$29,0)))</calculatedColumnFormula>
    </tableColumn>
    <tableColumn id="6" xr3:uid="{E97C3135-3152-4246-9CDC-7414A3D17A80}" name="C_BI_pap" dataDxfId="752">
      <calculatedColumnFormula>IF(OR(L$231=0,L$231=""),0,P233*INDEX(Listes!$K$15:$P$26,MATCH(L$231,Listes!$K$15:$K$26,0),MATCH(S$232,Listes!$K$15:$P$15,0))*INDEX(Listes!$K$29:$O$31,MATCH(M$231,Listes!$K$29:$K$31,0),MATCH(S$232,Listes!$K$29:$O$29,0)))</calculatedColumnFormula>
    </tableColumn>
  </tableColumns>
  <tableStyleInfo name="TableStyleMedium5" showFirstColumn="0" showLastColumn="0" showRowStripes="1" showColumnStripes="0"/>
</table>
</file>

<file path=xl/tables/table1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9" xr:uid="{6750D52F-0285-824C-9856-8B09262712AF}" name="Tableau1216326016222402441480" displayName="Tableau1216326016222402441480" ref="V232:AC252" totalsRowShown="0" headerRowDxfId="751" dataDxfId="750">
  <autoFilter ref="V232:AC252" xr:uid="{00000000-0009-0000-0100-000015000000}"/>
  <tableColumns count="8">
    <tableColumn id="1" xr3:uid="{F90DBFD9-B04D-094E-A094-B1C8D83873CD}" name="Annees" dataDxfId="749"/>
    <tableColumn id="2" xr3:uid="{831E41EF-A46A-0940-B3D0-BABA7C67E510}" name="V_prel" dataDxfId="748">
      <calculatedColumnFormula>V177</calculatedColumnFormula>
    </tableColumn>
    <tableColumn id="7" xr3:uid="{4CB4CCB7-0791-EC4B-AF24-1114BDB3AA85}" name="C_prel" dataDxfId="747">
      <calculatedColumnFormula>IF(OR(W233="",W233=0),0,W233*U$174*0.475)</calculatedColumnFormula>
    </tableColumn>
    <tableColumn id="9" xr3:uid="{36985CC5-4E75-9148-9E28-39B1EF965290}" name="C_BE" dataDxfId="746">
      <calculatedColumnFormula>IF(OR(X233=0,X233="",V$116=0),0,X233*INDEX(Listes!$K$1:$Q$12,MATCH(V$116,Listes!$K$1:$K$12,0),MATCH(Y$117,Listes!$K$1:$Q$1,0)))</calculatedColumnFormula>
    </tableColumn>
    <tableColumn id="8" xr3:uid="{D2FB8FE7-6FEB-D14D-8684-F4F282671069}" name="C_val" dataDxfId="745">
      <calculatedColumnFormula>X233-Y233</calculatedColumnFormula>
    </tableColumn>
    <tableColumn id="3" xr3:uid="{4C3E91F6-C3D0-D042-A73D-082CB1F7B142}" name="C_BO_sc" dataDxfId="744">
      <calculatedColumnFormula>IF(OR(V$231=0,V$231=""),0,Z233*INDEX(Listes!$K$15:$P$26,MATCH(V$231,Listes!$K$15:$K$26,0),MATCH(AA$232,Listes!$K$15:$P$15,0))*INDEX(Listes!$K$29:$O$31,MATCH(W$231,Listes!$K$29:$K$31,0),MATCH(AA$232,Listes!$K$29:$O$29,0)))</calculatedColumnFormula>
    </tableColumn>
    <tableColumn id="4" xr3:uid="{F3BCF97F-6AF1-3848-B360-7A6F98E26E43}" name="C_BO_ps" dataDxfId="743">
      <calculatedColumnFormula>IF(OR(V$231=0,V$231=""),0,Z233*INDEX(Listes!$K$15:$P$26,MATCH(V$231,Listes!$K$15:$K$26,0),MATCH(AB$232,Listes!$K$15:$P$15,0))*INDEX(Listes!$K$29:$O$31,MATCH(W$231,Listes!$K$29:$K$31,0),MATCH(AB$232,Listes!$K$29:$O$29,0)))</calculatedColumnFormula>
    </tableColumn>
    <tableColumn id="6" xr3:uid="{17E4303C-689B-B045-A6FC-43DE3B1750F6}" name="C_BI_pap" dataDxfId="742">
      <calculatedColumnFormula>IF(OR(V$231=0,V$231=""),0,Z233*INDEX(Listes!$K$15:$P$26,MATCH(V$231,Listes!$K$15:$K$26,0),MATCH(AC$232,Listes!$K$15:$P$15,0))*INDEX(Listes!$K$29:$O$31,MATCH(W$231,Listes!$K$29:$K$31,0),MATCH(AC$232,Listes!$K$29:$O$29,0)))</calculatedColumnFormula>
    </tableColumn>
  </tableColumns>
  <tableStyleInfo name="TableStyleMedium5" showFirstColumn="0" showLastColumn="0" showRowStripes="1" showColumnStripes="0"/>
</table>
</file>

<file path=xl/tables/table1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0" xr:uid="{8D6CC5CA-01E8-9442-A9A4-CF230E387C83}" name="Tableau1216326016223403442481" displayName="Tableau1216326016223403442481" ref="AF232:AM252" totalsRowShown="0" headerRowDxfId="741" dataDxfId="740">
  <autoFilter ref="AF232:AM252" xr:uid="{00000000-0009-0000-0100-000016000000}"/>
  <tableColumns count="8">
    <tableColumn id="1" xr3:uid="{75567D89-012E-B940-A659-01F0F58DFCB1}" name="Annees" dataDxfId="739"/>
    <tableColumn id="2" xr3:uid="{192370D9-02B8-6148-9BDF-35C89EE845D3}" name="V_prel" dataDxfId="738">
      <calculatedColumnFormula>AE177</calculatedColumnFormula>
    </tableColumn>
    <tableColumn id="7" xr3:uid="{A4CF0516-A7D0-4B44-ABC5-22C9FFF8F99B}" name="C_prel" dataDxfId="737">
      <calculatedColumnFormula>IF(OR(AG233="",AG233=0),0,AG233*AD$174*0.475)</calculatedColumnFormula>
    </tableColumn>
    <tableColumn id="9" xr3:uid="{ED850B70-7E10-FC48-9C79-F7249E70AA41}" name="C_BE" dataDxfId="736">
      <calculatedColumnFormula>IF(OR(AH233=0,AH233="",AF$116=0),0,AH233*INDEX(Listes!$K$1:$Q$12,MATCH(AF$116,Listes!$K$1:$K$12,0),MATCH(AI$117,Listes!$K$1:$Q$1,0)))</calculatedColumnFormula>
    </tableColumn>
    <tableColumn id="8" xr3:uid="{E04C68E7-C921-6D4F-822B-E9C559100894}" name="C_val" dataDxfId="735">
      <calculatedColumnFormula>AH233-AI233</calculatedColumnFormula>
    </tableColumn>
    <tableColumn id="3" xr3:uid="{DDD13A04-F196-D64B-AE98-97DE3DA147F9}" name="C_BO_sc" dataDxfId="734">
      <calculatedColumnFormula>IF(OR(AF$231=0,AF$231=""),0,AJ233*INDEX(Listes!$K$15:$P$26,MATCH(AF$231,Listes!$K$15:$K$26,0),MATCH(AK$232,Listes!$K$15:$P$15,0))*INDEX(Listes!$K$29:$O$31,MATCH(AG$231,Listes!$K$29:$K$31,0),MATCH(AK$232,Listes!$K$29:$O$29,0)))</calculatedColumnFormula>
    </tableColumn>
    <tableColumn id="4" xr3:uid="{3B0965D9-0F5C-734C-8A8D-94796BD77F0A}" name="C_BO_ps" dataDxfId="733">
      <calculatedColumnFormula>IF(OR(AF$231=0,AF$231=""),0,AJ233*INDEX(Listes!$K$15:$P$26,MATCH(AF$231,Listes!$K$15:$K$26,0),MATCH(AL$232,Listes!$K$15:$P$15,0))*INDEX(Listes!$K$29:$O$31,MATCH(AG$231,Listes!$K$29:$K$31,0),MATCH(AL$232,Listes!$K$29:$O$29,0)))</calculatedColumnFormula>
    </tableColumn>
    <tableColumn id="6" xr3:uid="{23EB86CF-02CF-2144-A8BE-F2E681DCDC4A}" name="C_BI_pap" dataDxfId="732">
      <calculatedColumnFormula>IF(OR(AF$231=0,AF$231=""),0,AJ233*INDEX(Listes!$K$15:$P$26,MATCH(AF$231,Listes!$K$15:$K$26,0),MATCH(AM$232,Listes!$K$15:$P$15,0))*INDEX(Listes!$K$29:$O$31,MATCH(AG$231,Listes!$K$29:$K$31,0),MATCH(AM$232,Listes!$K$29:$O$29,0)))</calculatedColumnFormula>
    </tableColumn>
  </tableColumns>
  <tableStyleInfo name="TableStyleMedium5" showFirstColumn="0" showLastColumn="0" showRowStripes="1" showColumnStripes="0"/>
</table>
</file>

<file path=xl/tables/table1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1" xr:uid="{6F09C817-B5D3-B84A-AB69-7A4848DBBFF5}" name="Tableau76175404443482" displayName="Tableau76175404443482" ref="AL60:AO80" totalsRowShown="0" headerRowDxfId="731" dataDxfId="730">
  <autoFilter ref="AL60:AO80" xr:uid="{00000000-0009-0000-0100-0000AE000000}"/>
  <tableColumns count="4">
    <tableColumn id="1" xr3:uid="{91496C92-510B-3148-9B69-B074B814D357}" name="Annee" dataDxfId="729"/>
    <tableColumn id="2" xr3:uid="{C489A90F-C6F7-3041-AE32-A3B9CD18CE41}" name="V_Prel_tot" dataDxfId="728">
      <calculatedColumnFormula>SUM(D61,M61,V61,AE61)</calculatedColumnFormula>
    </tableColumn>
    <tableColumn id="4" xr3:uid="{B6D8A639-E3D2-1D40-9996-23BBABB70F4D}" name="%récolté/Vtot_i" dataDxfId="727" dataCellStyle="Pourcentage">
      <calculatedColumnFormula>IF(OR($C$6=0,SUM($M$4:$M$7)=0),0,AM61/SUM($M$4:$M$7))</calculatedColumnFormula>
    </tableColumn>
    <tableColumn id="5" xr3:uid="{10A84B5B-8D39-BB48-B1F8-59F5F6BD7812}" name="%surftot_JP" dataDxfId="726">
      <calculatedColumnFormula>AN61*50%</calculatedColumnFormula>
    </tableColumn>
  </tableColumns>
  <tableStyleInfo name="TableStyleMedium5" showFirstColumn="0" showLastColumn="0" showRowStripes="1" showColumnStripes="0"/>
</table>
</file>

<file path=xl/tables/table1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2" xr:uid="{BC6CE556-93F0-C44C-AB73-EA347E42A926}" name="Tableau1231151405444483" displayName="Tableau1231151405444483" ref="B60:H80" totalsRowShown="0" headerRowDxfId="725" dataDxfId="724">
  <autoFilter ref="B60:H80" xr:uid="{00000000-0009-0000-0100-000096000000}"/>
  <tableColumns count="7">
    <tableColumn id="1" xr3:uid="{5533873D-80CC-7D43-B2D1-8298CC3ECD2D}" name="Annees" dataDxfId="723"/>
    <tableColumn id="2" xr3:uid="{314E8E01-F1DB-5F41-9E88-E4244A53859C}" name="VE" dataDxfId="722"/>
    <tableColumn id="3" xr3:uid="{11830A58-EB57-9148-B957-5CFED4D40ECF}" name="Vprel" dataDxfId="721">
      <calculatedColumnFormula>IF(OR(C61="",C61=0),0,IF(B61=1,INDEX($J$19:$M$38,MATCH(B61,$H$19:$H$38,0),MATCH(RIGHT(A$57,5),$J$18:$M$18,0)),INDEX($J$19:$M$38,MATCH(B61,$H$19:$H$38,0),MATCH(RIGHT(A$57,5),$J$18:$M$18,0))+C61-E60))</calculatedColumnFormula>
    </tableColumn>
    <tableColumn id="4" xr3:uid="{D9CAB7AF-54AB-C141-9EBA-4E71FD49C931}" name="VF" dataDxfId="720">
      <calculatedColumnFormula>IF(D61="",0,C61-D61)</calculatedColumnFormula>
    </tableColumn>
    <tableColumn id="7" xr3:uid="{656D1A35-AAA4-C046-99AE-9BE4FCE0B84D}" name="BA" dataDxfId="719">
      <calculatedColumnFormula>IF(C61=0,0,C61*C$58)</calculatedColumnFormula>
    </tableColumn>
    <tableColumn id="6" xr3:uid="{2188E024-0F09-F54D-9ACE-3731F9BF97EA}" name="BR" dataDxfId="718">
      <calculatedColumnFormula>IF(F61&gt;0,EXP(-1.0587+0.8836*LN(F61)+0.284),0)</calculatedColumnFormula>
    </tableColumn>
    <tableColumn id="5" xr3:uid="{F6758E6F-36FB-6546-8EC6-D456AF68C25C}" name="CO2e_VE" dataDxfId="717">
      <calculatedColumnFormula>SUM(F61:G61)*0.475*44/12</calculatedColumnFormula>
    </tableColumn>
  </tableColumns>
  <tableStyleInfo name="TableStyleMedium5"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4" xr:uid="{E13695AF-22EE-5741-8851-EBC7790408B8}" name="Tableau224" displayName="Tableau224" ref="J20:K40" totalsRowShown="0" headerRowDxfId="2118" dataDxfId="2117">
  <autoFilter ref="J20:K40" xr:uid="{E13695AF-22EE-5741-8851-EBC7790408B8}"/>
  <tableColumns count="2">
    <tableColumn id="1" xr3:uid="{8113390B-FC5E-9A4F-9E86-DEDEB492722B}" name="Année" dataDxfId="2116"/>
    <tableColumn id="2" xr3:uid="{1C9D4B00-8AD6-9948-94B1-329AD9E97669}" name="Surf_rég" dataDxfId="2115">
      <calculatedColumnFormula>IF(J21=1,#REF!,IF(SUM(K20:K$21)=$C$18,0,IF(SUM(K20:K$21)+#REF!&gt;$C$18,$C$18-SUM(K20:K$21),#REF!)))</calculatedColumnFormula>
    </tableColumn>
  </tableColumns>
  <tableStyleInfo name="TableStyleMedium7" showFirstColumn="0" showLastColumn="0" showRowStripes="1" showColumnStripes="0"/>
</table>
</file>

<file path=xl/tables/table1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3" xr:uid="{940A593F-F893-DC4E-ADC8-50C5D4B5B3B0}" name="Tableau15615178406445484" displayName="Tableau15615178406445484" ref="F3:S7" totalsRowShown="0" headerRowDxfId="716" dataDxfId="715">
  <autoFilter ref="F3:S7" xr:uid="{00000000-0009-0000-0100-0000B1000000}"/>
  <tableColumns count="14">
    <tableColumn id="1" xr3:uid="{209BBA66-18FA-B042-BC53-B9448C5A7EC8}" name="Strate" dataDxfId="714">
      <calculatedColumnFormula>C$1</calculatedColumnFormula>
    </tableColumn>
    <tableColumn id="2" xr3:uid="{84E3B95B-10FB-6442-BE96-C1FC8F90CF77}" name="Essence" dataDxfId="713">
      <calculatedColumnFormula>INITIAL_FORET!Y14</calculatedColumnFormula>
    </tableColumn>
    <tableColumn id="13" xr3:uid="{9D7E9850-ECB5-C64C-9B44-893AAB061D04}" name="%acc" dataDxfId="1">
      <calculatedColumnFormula>IF(OR(G4=0,G4=""),"",VLOOKUP(G4,Tableau45[],3,FALSE))</calculatedColumnFormula>
    </tableColumn>
    <tableColumn id="8" xr3:uid="{550398F1-6530-214D-A487-67D710AA026A}" name="Vol_tot" dataDxfId="712">
      <calculatedColumnFormula>IF(OR(F4="",G4=""),"",VLOOKUP(CONCATENATE(F4,"_",G4),INITIAL_FORET!$AB$40:$AQ$55,5,FALSE))</calculatedColumnFormula>
    </tableColumn>
    <tableColumn id="12" xr3:uid="{59D0723D-BF91-0641-9375-12368C9A4EA5}" name="%RiskEss" dataDxfId="9" dataCellStyle="Pourcentage">
      <calculatedColumnFormula>IF(OR(I4=0,I4=""),"",VLOOKUP(G4,Tableau45[[Essence]:[RiskEss_choisi]],2,FALSE))</calculatedColumnFormula>
    </tableColumn>
    <tableColumn id="7" xr3:uid="{1022E264-CE31-9B49-91AA-53CC55E07444}" name="Vtot_sansRE" dataDxfId="711" dataCellStyle="Pourcentage">
      <calculatedColumnFormula>IF(OR(G4=0,G4=""),"",I4*(1-J4))</calculatedColumnFormula>
    </tableColumn>
    <tableColumn id="9" xr3:uid="{DCBFE8FA-D7C0-C74A-8CA1-C716AB0C324B}" name="Vrec_sansRE" dataDxfId="710" dataCellStyle="Pourcentage">
      <calculatedColumnFormula>IF(OR(G4=0,G4=""),"",VLOOKUP(CONCATENATE(F4,"_",G4),INITIAL_FORET!$AB$40:$AQ$55,10,FALSE))</calculatedColumnFormula>
    </tableColumn>
    <tableColumn id="4" xr3:uid="{F59AF028-ABD9-4A42-9EE4-38549E6C5A8D}" name="VR_max_REF" dataDxfId="709">
      <calculatedColumnFormula>IF(OR(G4=0,G4=""),"",VLOOKUP(CONCATENATE(F4,"_",G4),INITIAL_FORET!$AB$40:$AQ$55,12,FALSE))</calculatedColumnFormula>
    </tableColumn>
    <tableColumn id="3" xr3:uid="{CCFC40A2-A016-C64C-AF93-9ADEA8A1CCC6}" name="VR_obj_PRJ" dataDxfId="708">
      <calculatedColumnFormula>IF(OR(G4=0,G4=""),"",VLOOKUP(CONCATENATE(F4,"_",G4),INITIAL_FORET!$AB$40:$AQ$55,11,FALSE))</calculatedColumnFormula>
    </tableColumn>
    <tableColumn id="5" xr3:uid="{451C34F5-F7D3-C14D-98D0-904347618E67}" name="VR_nonrec_sansRE" dataDxfId="707">
      <calculatedColumnFormula>IF(OR(G4=0,G4=""),"",IF($C$4="IRR",VLOOKUP(CONCATENATE(F4,"_",G4),INITIAL_FORET!$AB$40:$AQ$55,13,FALSE),K4-(K4/$C$6)*SUM($I$19:$I$38)))</calculatedColumnFormula>
    </tableColumn>
    <tableColumn id="6" xr3:uid="{4F44586B-9A3B-0640-A80C-8924B5CBDD09}" name="Type_ess" dataDxfId="10">
      <calculatedColumnFormula>IF(OR(G4=0,G4=""),"",IF(VLOOKUP(G4,Tableau45[],5,FALSE)="Feuillus","Feuillus","Résineux"))</calculatedColumnFormula>
    </tableColumn>
    <tableColumn id="10" xr3:uid="{9D052162-95E6-5B48-96B1-6A1C7DE4D201}" name="BA_i (tMS)" dataDxfId="706">
      <calculatedColumnFormula>IF(L4="",0,L4*VLOOKUP(G4,Tableau44[[Code_ess]:[FEB]],4,FALSE))</calculatedColumnFormula>
    </tableColumn>
    <tableColumn id="11" xr3:uid="{9A3A3E7D-D085-214B-97A6-F7C0A22854FB}" name="BR_i (tMS)" dataDxfId="705">
      <calculatedColumnFormula>IF(Q4&gt;0,EXP(-1.0587+0.8836*LN(Q4)+0.284),0)</calculatedColumnFormula>
    </tableColumn>
    <tableColumn id="14" xr3:uid="{681B11B6-11B4-D844-9D7F-E670C6061DA7}" name="tCO2e_i" dataDxfId="704">
      <calculatedColumnFormula>SUM(Q4:R4)*0.475*44/12</calculatedColumnFormula>
    </tableColumn>
  </tableColumns>
  <tableStyleInfo name="TableStyleMedium5" showFirstColumn="0" showLastColumn="0" showRowStripes="1" showColumnStripes="0"/>
</table>
</file>

<file path=xl/tables/table1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4" xr:uid="{FBC31405-6373-BF4E-AA51-FB6FD9888328}" name="Tableau827179407446485" displayName="Tableau827179407446485" ref="B3:C7" totalsRowShown="0" headerRowDxfId="703" dataDxfId="702">
  <autoFilter ref="B3:C7" xr:uid="{00000000-0009-0000-0100-0000B2000000}"/>
  <tableColumns count="2">
    <tableColumn id="1" xr3:uid="{53417DD1-A910-374D-A701-16BA935EC6A3}" name="Colonne1" dataDxfId="701"/>
    <tableColumn id="2" xr3:uid="{230DBB13-54A3-9144-B7C7-A1F5CB1C9A27}" name="Colonne2" dataDxfId="700"/>
  </tableColumns>
  <tableStyleInfo name="TableStyleMedium5" showFirstColumn="0" showLastColumn="0" showRowStripes="1" showColumnStripes="0"/>
</table>
</file>

<file path=xl/tables/table1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5" xr:uid="{A046D747-EACE-8D47-8A88-D9B89C2DBC5D}" name="Tableau180408447486" displayName="Tableau180408447486" ref="B10:D11" totalsRowShown="0" headerRowDxfId="699" dataDxfId="698">
  <autoFilter ref="B10:D11" xr:uid="{00000000-0009-0000-0100-0000B4000000}"/>
  <tableColumns count="3">
    <tableColumn id="1" xr3:uid="{29BA7D05-C355-B440-8379-15C88122C8CF}" name="Essence_dom" dataDxfId="697">
      <calculatedColumnFormula>IF(I4=I10,G4,IF(I5=I10,G5,IF(I6=I10,G6,G7)))</calculatedColumnFormula>
    </tableColumn>
    <tableColumn id="2" xr3:uid="{D1F00415-C95F-DB48-93E8-798C732F0986}" name="ID" dataDxfId="696">
      <calculatedColumnFormula>IF(OR(B11=0,B11=""),0,VLOOKUP(B11,Tableau44[[Code_ess]:[FEB]],4,FALSE))</calculatedColumnFormula>
    </tableColumn>
    <tableColumn id="3" xr3:uid="{8AEA464A-96D8-5546-B85B-30EE34C386C4}" name="FEB" dataDxfId="695">
      <calculatedColumnFormula>IF(OR(B11=0,B11=""),0,VLOOKUP(B11,Tableau44[[Code_ess]:[FEB]],5,FALSE))</calculatedColumnFormula>
    </tableColumn>
  </tableColumns>
  <tableStyleInfo name="TableStyleMedium5" showFirstColumn="0" showLastColumn="0" showRowStripes="1" showColumnStripes="0"/>
</table>
</file>

<file path=xl/tables/table1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6" xr:uid="{07247306-012C-CC4C-849A-9C06EAF1AA38}" name="Tableau75122409448487" displayName="Tableau75122409448487" ref="B18:E49" totalsRowShown="0" headerRowDxfId="694" dataDxfId="693">
  <autoFilter ref="B18:E49" xr:uid="{00000000-0009-0000-0100-000079000000}"/>
  <tableColumns count="4">
    <tableColumn id="1" xr3:uid="{E2E6A0C8-3F7B-3F4C-97A8-0A1B05923F28}" name="Année" dataDxfId="692"/>
    <tableColumn id="4" xr3:uid="{19A2CBBC-A7CC-FC40-A4E5-46F4830589F7}" name="VI_JP/HA" dataDxfId="691">
      <calculatedColumnFormula>'3.ESS_RÉGÉ'!U22</calculatedColumnFormula>
    </tableColumn>
    <tableColumn id="3" xr3:uid="{88B072D9-903B-2D46-8B2A-3522127C2CD9}" name="VP_JP/HA" dataDxfId="690">
      <calculatedColumnFormula>'3.ESS_RÉGÉ'!V22</calculatedColumnFormula>
    </tableColumn>
    <tableColumn id="2" xr3:uid="{5071BD1D-4A11-4C4F-BB89-01BC8009BB24}" name="VF_JP/HA" dataDxfId="689">
      <calculatedColumnFormula>'3.ESS_RÉGÉ'!W22</calculatedColumnFormula>
    </tableColumn>
  </tableColumns>
  <tableStyleInfo name="TableStyleMedium5" showFirstColumn="0" showLastColumn="0" showRowStripes="1" showColumnStripes="0"/>
</table>
</file>

<file path=xl/tables/table1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7" xr:uid="{0F87923E-3127-7E40-AD81-F0E5EBECD077}" name="Tableau123115139410449488" displayName="Tableau123115139410449488" ref="K60:Q80" totalsRowShown="0" headerRowDxfId="688" dataDxfId="687">
  <autoFilter ref="K60:Q80" xr:uid="{36090715-A2DE-F448-B746-C9D229A16A12}"/>
  <tableColumns count="7">
    <tableColumn id="1" xr3:uid="{4C0733C4-5BC9-6447-91C6-CDD4EB213E0C}" name="Annees" dataDxfId="686"/>
    <tableColumn id="2" xr3:uid="{238D5674-2A5A-EC4E-B50E-C21DBA6D9F4B}" name="VE" dataDxfId="685"/>
    <tableColumn id="3" xr3:uid="{ECA6A707-44D1-6C47-B7D4-A10BA3101F24}" name="Vprel" dataDxfId="684">
      <calculatedColumnFormula>IF(OR(L61="",L61=0),0,IF(K61=1,INDEX($J$19:$M$38,MATCH(K61,$H$19:$H$38,0),MATCH(RIGHT(J$57,5),$J$18:$M$18,0)),INDEX($J$19:$M$38,MATCH(K61,$H$19:$H$38,0),MATCH(RIGHT(J$57,5),$J$18:$M$18,0))+L61-N60))</calculatedColumnFormula>
    </tableColumn>
    <tableColumn id="4" xr3:uid="{B5B2063F-97E3-0141-9773-A940BC4F6318}" name="VF" dataDxfId="683">
      <calculatedColumnFormula>IF(M61="",0,L61-M61)</calculatedColumnFormula>
    </tableColumn>
    <tableColumn id="7" xr3:uid="{7E299A6F-7B54-8143-A24D-A9F03EC133DB}" name="BA" dataDxfId="682">
      <calculatedColumnFormula>IF(N61=0,0,N61*L$58)</calculatedColumnFormula>
    </tableColumn>
    <tableColumn id="6" xr3:uid="{DB428C77-177C-3344-A839-C11AED0CD7BC}" name="BR" dataDxfId="681">
      <calculatedColumnFormula>IF(O61&gt;0,EXP(-1.0587+0.8836*LN(O61)+0.284),0)</calculatedColumnFormula>
    </tableColumn>
    <tableColumn id="5" xr3:uid="{3086A33B-9048-F74D-9F51-AA457C5913AB}" name="CO2e_VE" dataDxfId="680">
      <calculatedColumnFormula>SUM(O61:P61)*0.475*44/12</calculatedColumnFormula>
    </tableColumn>
  </tableColumns>
  <tableStyleInfo name="TableStyleMedium5" showFirstColumn="0" showLastColumn="0" showRowStripes="1" showColumnStripes="0"/>
</table>
</file>

<file path=xl/tables/table1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8" xr:uid="{4BD07BC3-A437-8C4B-819B-B82F3BF17499}" name="Tableau123115140411450489" displayName="Tableau123115140411450489" ref="T60:Z80" totalsRowShown="0" headerRowDxfId="679" dataDxfId="678">
  <autoFilter ref="T60:Z80" xr:uid="{274723B4-34E2-9E42-A9C4-B39ABF9885A4}"/>
  <tableColumns count="7">
    <tableColumn id="1" xr3:uid="{44E86115-2539-D248-BD60-D65A10AE402A}" name="Annees" dataDxfId="677"/>
    <tableColumn id="2" xr3:uid="{EB2988DF-3DC3-CE44-AADC-F110E5FAD23F}" name="VE" dataDxfId="676"/>
    <tableColumn id="3" xr3:uid="{8B7D1B5B-FB34-9C41-ABE9-C16E68A9CBC4}" name="Vprel" dataDxfId="675">
      <calculatedColumnFormula>IF(OR(U61="",U61=0),0,IF(T61=1,INDEX($J$19:$M$38,MATCH(T61,$H$19:$H$38,0),MATCH(RIGHT(S$57,5),$J$18:$M$18,0)),INDEX($J$19:$M$38,MATCH(T61,$H$19:$H$38,0),MATCH(RIGHT(S$57,5),$J$18:$M$18,0))+U61-W60))</calculatedColumnFormula>
    </tableColumn>
    <tableColumn id="4" xr3:uid="{81AECFAD-3E9E-144E-97C0-EE5A027236EB}" name="VF" dataDxfId="674">
      <calculatedColumnFormula>IF(V61="",0,U61-V61)</calculatedColumnFormula>
    </tableColumn>
    <tableColumn id="7" xr3:uid="{60B202B5-0967-5542-B435-2AD3EA1EECD0}" name="BA" dataDxfId="673">
      <calculatedColumnFormula>IF(W61=0,0,W61*U$58)</calculatedColumnFormula>
    </tableColumn>
    <tableColumn id="6" xr3:uid="{71D38CF1-5899-4546-9E44-72FA6DEF27B8}" name="BR" dataDxfId="672">
      <calculatedColumnFormula>IF(X61&gt;0,EXP(-1.0587+0.8836*LN(X61)+0.284),0)</calculatedColumnFormula>
    </tableColumn>
    <tableColumn id="5" xr3:uid="{68D17A62-D746-3C49-A011-8CE93B715F56}" name="CO2e_VE" dataDxfId="671">
      <calculatedColumnFormula>SUM(X61:Y61)*0.475*44/12</calculatedColumnFormula>
    </tableColumn>
  </tableColumns>
  <tableStyleInfo name="TableStyleMedium5" showFirstColumn="0" showLastColumn="0" showRowStripes="1" showColumnStripes="0"/>
</table>
</file>

<file path=xl/tables/table1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9" xr:uid="{8C320242-150D-8C43-8023-E27BBD6ABC18}" name="Tableau123115141412451490" displayName="Tableau123115141412451490" ref="AC60:AI80" totalsRowShown="0" headerRowDxfId="670" dataDxfId="669">
  <autoFilter ref="AC60:AI80" xr:uid="{8E5467D8-60DE-CB40-A3DB-B62D3A008683}"/>
  <tableColumns count="7">
    <tableColumn id="1" xr3:uid="{EF03B97F-757A-2541-A27C-05EDFDB22328}" name="Annees" dataDxfId="668"/>
    <tableColumn id="2" xr3:uid="{FFBDA047-D8A1-BE4F-96A0-AF7ABB9E0F48}" name="VE" dataDxfId="667"/>
    <tableColumn id="3" xr3:uid="{A7198D5B-42BD-694D-8E74-1E757B11DF03}" name="Vprel" dataDxfId="666">
      <calculatedColumnFormula>IF(OR(AD61="",AD61=0),0,IF(AC61=1,INDEX($J$19:$M$38,MATCH(AC61,$H$19:$H$38,0),MATCH(RIGHT(AB$57,5),$J$18:$M$18,0)),INDEX($J$19:$M$38,MATCH(AC61,$H$19:$H$38,0),MATCH(RIGHT(AB$57,5),$J$18:$M$18,0))+AD61-AF60))</calculatedColumnFormula>
    </tableColumn>
    <tableColumn id="4" xr3:uid="{8C1A065F-FFBC-094A-8132-1F6B2C8A1F4B}" name="VF" dataDxfId="665">
      <calculatedColumnFormula>IF(AE61="",0,AD61-AE61)</calculatedColumnFormula>
    </tableColumn>
    <tableColumn id="7" xr3:uid="{38C47012-20B1-474C-A939-C406D22A0D16}" name="BA" dataDxfId="664">
      <calculatedColumnFormula>IF(AF61=0,0,AF61*AD$58)</calculatedColumnFormula>
    </tableColumn>
    <tableColumn id="6" xr3:uid="{1E83B533-F2FE-5C49-9ADD-9AA05AC45B03}" name="BR" dataDxfId="663">
      <calculatedColumnFormula>IF(AG61&gt;0,EXP(-1.0587+0.8836*LN(AG61)+0.284),0)</calculatedColumnFormula>
    </tableColumn>
    <tableColumn id="5" xr3:uid="{CD84783B-BA7E-6240-9BF1-BB4AC4CABA02}" name="CO2e_VE" dataDxfId="662">
      <calculatedColumnFormula>SUM(AG61:AH61)*0.475*44/12</calculatedColumnFormula>
    </tableColumn>
  </tableColumns>
  <tableStyleInfo name="TableStyleMedium5" showFirstColumn="0" showLastColumn="0" showRowStripes="1" showColumnStripes="0"/>
</table>
</file>

<file path=xl/tables/table1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0" xr:uid="{0AB909A7-40AD-9A41-9F0D-CF2E67CCA4D9}" name="Tableau12315916148413452491" displayName="Tableau12315916148413452491" ref="K176:Q196" totalsRowShown="0" headerRowDxfId="661" dataDxfId="660">
  <autoFilter ref="K176:Q196" xr:uid="{E87A25EC-F286-9D4B-AD2F-56962ABEBA58}"/>
  <tableColumns count="7">
    <tableColumn id="1" xr3:uid="{C718975A-AFE6-BF41-9656-E871C05A616A}" name="Annees" dataDxfId="659"/>
    <tableColumn id="2" xr3:uid="{DB7E74A4-FA94-FE41-B971-D97943FB3EFC}" name="VE" dataDxfId="658"/>
    <tableColumn id="3" xr3:uid="{60A11CFC-3D73-9848-8A69-D96B8F659EF1}" name="Vprel" dataDxfId="657">
      <calculatedColumnFormula>IF(OR(L177="",L177=0),0,IF(K177=1,((VLOOKUP(K$174,$G$4:$N$7,6,FALSE)-VLOOKUP(K$174,$G$4:$N$7,8,FALSE))/20),((VLOOKUP(K$174,$G$4:$N$7,6,FALSE)-VLOOKUP(K$174,$G$4:$N$7,8,FALSE))/20)+L177-N176))</calculatedColumnFormula>
    </tableColumn>
    <tableColumn id="4" xr3:uid="{4A280546-7748-1F44-A533-AB6DDAF7A23F}" name="VF" dataDxfId="656">
      <calculatedColumnFormula>IF(L177="",0,L177-M177)</calculatedColumnFormula>
    </tableColumn>
    <tableColumn id="7" xr3:uid="{C9BE5D18-8BE1-4A4A-8E24-86530C66B4F4}" name="BA" dataDxfId="655"/>
    <tableColumn id="6" xr3:uid="{07EFDF6D-0A36-3448-91E1-42AEC4E84AE1}" name="BR" dataDxfId="654">
      <calculatedColumnFormula>IF(O177&gt;0,EXP(-1.0587+0.8836*LN(O177)+0.284),0)</calculatedColumnFormula>
    </tableColumn>
    <tableColumn id="5" xr3:uid="{D7BFC4E1-0F59-3344-8F11-971A5D4478A2}" name="CO2e_VE" dataDxfId="653">
      <calculatedColumnFormula>SUM(O177:P177)*0.475*44/12</calculatedColumnFormula>
    </tableColumn>
  </tableColumns>
  <tableStyleInfo name="TableStyleMedium5" showFirstColumn="0" showLastColumn="0" showRowStripes="1" showColumnStripes="0"/>
</table>
</file>

<file path=xl/tables/table1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1" xr:uid="{51289389-42F1-6448-892E-9FC9B1C79FD0}" name="Tableau12315916149414453492" displayName="Tableau12315916149414453492" ref="T176:Z196" totalsRowShown="0" headerRowDxfId="652" dataDxfId="651">
  <autoFilter ref="T176:Z196" xr:uid="{00AF933F-5FC7-A64D-8FD8-F28E6AD188D3}"/>
  <tableColumns count="7">
    <tableColumn id="1" xr3:uid="{D9F98376-E523-674F-817B-315411E6C066}" name="Annees" dataDxfId="650"/>
    <tableColumn id="2" xr3:uid="{B7F9FF3D-1455-AE46-8396-AF124B8D19AB}" name="VE" dataDxfId="649"/>
    <tableColumn id="3" xr3:uid="{CB2D7CD7-72D4-E949-99D6-0C903D444A81}" name="Vprel" dataDxfId="648">
      <calculatedColumnFormula>IF(OR(U177="",U177=0),0,IF(T177=1,((VLOOKUP(T$174,$G$4:$N$7,6,FALSE)-VLOOKUP(T$174,$G$4:$N$7,8,FALSE))/20),((VLOOKUP(T$174,$G$4:$N$7,6,FALSE)-VLOOKUP(T$174,$G$4:$N$7,8,FALSE))/20)+U177-W176))</calculatedColumnFormula>
    </tableColumn>
    <tableColumn id="4" xr3:uid="{91CFA271-F5E6-1A4D-9962-C48620516CAB}" name="VF" dataDxfId="647">
      <calculatedColumnFormula>IF(U177="",0,U177-V177)</calculatedColumnFormula>
    </tableColumn>
    <tableColumn id="7" xr3:uid="{2862606A-0565-5B4F-914E-5900ACA53080}" name="BA" dataDxfId="646"/>
    <tableColumn id="6" xr3:uid="{F3D8A9E7-838D-054E-A596-CC5E36574BAF}" name="BR" dataDxfId="645">
      <calculatedColumnFormula>IF(X177&gt;0,EXP(-1.0587+0.8836*LN(X177)+0.284),0)</calculatedColumnFormula>
    </tableColumn>
    <tableColumn id="5" xr3:uid="{66D9D4DB-732C-6E4C-90EE-0116FD8FC782}" name="CO2e_VE" dataDxfId="644">
      <calculatedColumnFormula>SUM(X177:Y177)*0.475*44/12</calculatedColumnFormula>
    </tableColumn>
  </tableColumns>
  <tableStyleInfo name="TableStyleMedium5" showFirstColumn="0" showLastColumn="0" showRowStripes="1" showColumnStripes="0"/>
</table>
</file>

<file path=xl/tables/table1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2" xr:uid="{E0C32EB8-E96E-A142-8BD9-6DD920FEA8EF}" name="Tableau12315916150415454493" displayName="Tableau12315916150415454493" ref="AC176:AI196" totalsRowShown="0" headerRowDxfId="643" dataDxfId="642">
  <autoFilter ref="AC176:AI196" xr:uid="{C6A80F40-886D-704F-AC51-4B4DF58DDF6E}"/>
  <tableColumns count="7">
    <tableColumn id="1" xr3:uid="{AD5FDBFB-CA4A-704D-8264-1E7C9298B92B}" name="Annees" dataDxfId="641"/>
    <tableColumn id="2" xr3:uid="{561DD84B-AF75-2847-8BDD-A666ACD61480}" name="VE" dataDxfId="640"/>
    <tableColumn id="3" xr3:uid="{74E16DCD-4F3E-5649-A579-BE2226FFB30D}" name="Vprel" dataDxfId="639">
      <calculatedColumnFormula>IF(OR(AD177="",AD177=0),0,IF(AC177=1,((VLOOKUP(AC$174,$G$4:$N$7,6,FALSE)-VLOOKUP(AC$174,$G$4:$N$7,8,FALSE))/20),((VLOOKUP(AC$174,$G$4:$N$7,6,FALSE)-VLOOKUP(AC$174,$G$4:$N$7,8,FALSE))/20)+AD177-AF176))</calculatedColumnFormula>
    </tableColumn>
    <tableColumn id="4" xr3:uid="{E9F776C1-6494-FE4B-9DC1-E62C74DE53C1}" name="VF" dataDxfId="638">
      <calculatedColumnFormula>IF(AD177="",0,AD177-AE177)</calculatedColumnFormula>
    </tableColumn>
    <tableColumn id="7" xr3:uid="{E0B4AB39-8E30-7B45-BA26-51CE57A4984C}" name="BA" dataDxfId="637"/>
    <tableColumn id="6" xr3:uid="{B587A66F-0372-714B-95AA-1447F2AD01CF}" name="BR" dataDxfId="636">
      <calculatedColumnFormula>IF(AG177&gt;0,EXP(-1.0587+0.8836*LN(AG177)+0.284),0)</calculatedColumnFormula>
    </tableColumn>
    <tableColumn id="5" xr3:uid="{B8A26145-E7D9-1742-AF21-AC661164D6BA}" name="CO2e_VE" dataDxfId="635">
      <calculatedColumnFormula>SUM(AG177:AH177)*0.475*44/12</calculatedColumnFormula>
    </tableColumn>
  </tableColumns>
  <tableStyleInfo name="TableStyleMedium5"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1" xr:uid="{00000000-000C-0000-FFFF-FFFF2A000000}" name="Tableau121632152" displayName="Tableau121632152" ref="B117:I137" totalsRowShown="0" headerRowDxfId="2114" dataDxfId="2113">
  <autoFilter ref="B117:I137" xr:uid="{00000000-0009-0000-0100-000097000000}"/>
  <tableColumns count="8">
    <tableColumn id="1" xr3:uid="{00000000-0010-0000-2A00-000001000000}" name="Annees" dataDxfId="2112"/>
    <tableColumn id="2" xr3:uid="{00000000-0010-0000-2A00-000002000000}" name="V_prel" dataDxfId="2111">
      <calculatedColumnFormula>D61</calculatedColumnFormula>
    </tableColumn>
    <tableColumn id="7" xr3:uid="{00000000-0010-0000-2A00-000007000000}" name="C_prel" dataDxfId="2110">
      <calculatedColumnFormula>IF(OR(C118=0,C118=""),0,C118*C$58*0.475)</calculatedColumnFormula>
    </tableColumn>
    <tableColumn id="8" xr3:uid="{00000000-0010-0000-2A00-000008000000}" name="C_BE" dataDxfId="2109">
      <calculatedColumnFormula>IF(OR(D118=0,D118="",B$116=0),0,D118*INDEX(Listes!$K$1:$Q$12,MATCH(B$116,Listes!$K$1:$K$12,0),MATCH(E$117,Listes!$K$1:$Q$1,0)))</calculatedColumnFormula>
    </tableColumn>
    <tableColumn id="5" xr3:uid="{00000000-0010-0000-2A00-000005000000}" name="C_val" dataDxfId="2108">
      <calculatedColumnFormula>D118-E118</calculatedColumnFormula>
    </tableColumn>
    <tableColumn id="3" xr3:uid="{00000000-0010-0000-2A00-000003000000}" name="C_BO_sc" dataDxfId="2107">
      <calculatedColumnFormula>IF(OR(B$116=0,B$116=""),0,F118*INDEX(Listes!$K$15:$P$26,MATCH(B$116,Listes!$K$15:$K$26,0),MATCH(G$117,Listes!$K$15:$P$15,0))*INDEX(Listes!$K$29:$O$31,MATCH(C$116,Listes!$K$29:$K$31,0),MATCH(G$117,Listes!$K$29:$O$29,0)))</calculatedColumnFormula>
    </tableColumn>
    <tableColumn id="4" xr3:uid="{00000000-0010-0000-2A00-000004000000}" name="C_BO_ps" dataDxfId="2106">
      <calculatedColumnFormula>IF(OR(B$116=0,B$116=""),0,F118*INDEX(Listes!$K$15:$P$26,MATCH(B$116,Listes!$K$15:$K$26,0),MATCH(H$117,Listes!$K$15:$P$15,0))*INDEX(Listes!$K$29:$O$31,MATCH(C$116,Listes!$K$29:$K$31,0),MATCH(H$117,Listes!$K$29:$O$29,0)))</calculatedColumnFormula>
    </tableColumn>
    <tableColumn id="6" xr3:uid="{00000000-0010-0000-2A00-000006000000}" name="C_BI_pap" dataDxfId="2105">
      <calculatedColumnFormula>IF(OR(B$116=0,B$116=""),0,F118*INDEX(Listes!$K$15:$P$26,MATCH(B$116,Listes!$K$15:$K$26,0),MATCH(I$117,Listes!$K$15:$P$15,0))*INDEX(Listes!$K$29:$O$31,MATCH(C$116,Listes!$K$29:$K$31,0),MATCH(I$117,Listes!$K$29:$O$29,0)))</calculatedColumnFormula>
    </tableColumn>
  </tableColumns>
  <tableStyleInfo name="TableStyleMedium5" showFirstColumn="0" showLastColumn="0" showRowStripes="1" showColumnStripes="0"/>
</table>
</file>

<file path=xl/tables/table1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4" xr:uid="{3E10AE83-852F-CD4C-A228-27A916E66BDA}" name="Tableau50417456495" displayName="Tableau50417456495" ref="A369:D389" totalsRowShown="0" headerRowDxfId="634" dataDxfId="633">
  <autoFilter ref="A369:D389" xr:uid="{808653D7-CA0C-C247-AD37-3D18E3BC0EC2}"/>
  <tableColumns count="4">
    <tableColumn id="1" xr3:uid="{B0E13350-E39C-0441-8C7A-0D465692C9A5}" name="Année" dataDxfId="632"/>
    <tableColumn id="2" xr3:uid="{3B749111-DE50-184C-AC1D-687B41740CB9}" name="SQ_an" dataDxfId="631">
      <calculatedColumnFormula>M285</calculatedColumnFormula>
    </tableColumn>
    <tableColumn id="3" xr3:uid="{88E942A2-834F-0242-9830-9DAB22127924}" name="JP_an" dataDxfId="630">
      <calculatedColumnFormula>N285</calculatedColumnFormula>
    </tableColumn>
    <tableColumn id="4" xr3:uid="{8D5AD9B1-16B4-3D4A-A6E2-6C7F9B86103E}" name="ST_an" dataDxfId="629">
      <calculatedColumnFormula>O285</calculatedColumnFormula>
    </tableColumn>
  </tableColumns>
  <tableStyleInfo name="TableStyleMedium5" showFirstColumn="0" showLastColumn="0" showRowStripes="1" showColumnStripes="0"/>
</table>
</file>

<file path=xl/tables/table1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5" xr:uid="{D44E6371-F758-AC44-9088-ED8B6214B6D2}" name="Tableau61418457496" displayName="Tableau61418457496" ref="A345:D366" totalsRowShown="0" headerRowDxfId="628" dataDxfId="627">
  <autoFilter ref="A345:D366" xr:uid="{FD2D6578-FF72-6C4C-B85F-1D85880865FA}"/>
  <tableColumns count="4">
    <tableColumn id="1" xr3:uid="{548BD8C2-1886-1B4C-B6ED-92E2A7D19A78}" name="Année" dataDxfId="626"/>
    <tableColumn id="2" xr3:uid="{96E4ADF9-5F53-A64F-827C-48C2E65C73D9}" name="C02e_REF" dataDxfId="625">
      <calculatedColumnFormula>IF(A346=0,SUM($S$4:$S$7),C284+D284+E284)</calculatedColumnFormula>
    </tableColumn>
    <tableColumn id="3" xr3:uid="{6E4658C3-C534-184E-AC41-653329B020F4}" name="CO2e_PRJ" dataDxfId="624">
      <calculatedColumnFormula>IF(A346=0,SUM($S$4:$S$7),F284+G284+H284)</calculatedColumnFormula>
    </tableColumn>
    <tableColumn id="4" xr3:uid="{B3E9F901-3632-E440-86ED-79D27B51DB1A}" name="∆CO2e" dataDxfId="623">
      <calculatedColumnFormula>C346-B346</calculatedColumnFormula>
    </tableColumn>
  </tableColumns>
  <tableStyleInfo name="TableStyleMedium5" showFirstColumn="0" showLastColumn="0" showRowStripes="1" showColumnStripes="0"/>
</table>
</file>

<file path=xl/tables/table1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8" xr:uid="{130A2D77-082C-354E-919F-BC9050D116A4}" name="Tableau201421460499" displayName="Tableau201421460499" ref="AR60:AS80" totalsRowShown="0" headerRowDxfId="622" dataDxfId="621" tableBorderDxfId="620">
  <autoFilter ref="AR60:AS80" xr:uid="{95A33E00-52B1-D847-A10F-033BDE2D4A60}"/>
  <tableColumns count="2">
    <tableColumn id="1" xr3:uid="{CB114AC5-C3A9-B248-9343-CC6202151B84}" name="Année" dataDxfId="619"/>
    <tableColumn id="2" xr3:uid="{4B09ACB1-CA40-F647-A35D-963DBB076CC8}" name="VR" dataDxfId="618">
      <calculatedColumnFormula>C61+L61+U61+AD61</calculatedColumnFormula>
    </tableColumn>
  </tableColumns>
  <tableStyleInfo name="TableStyleMedium5" showFirstColumn="0" showLastColumn="0" showRowStripes="1" showColumnStripes="0"/>
</table>
</file>

<file path=xl/tables/table1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9" xr:uid="{83C48F9C-7CE1-9B46-B74A-9FF64DADF2B6}" name="Tableau201204422461500" displayName="Tableau201204422461500" ref="AR176:AS196" totalsRowShown="0" headerRowDxfId="617" dataDxfId="616" tableBorderDxfId="615">
  <autoFilter ref="AR176:AS196" xr:uid="{EC245EC4-4BFE-7445-87C7-32B506FA8737}"/>
  <tableColumns count="2">
    <tableColumn id="1" xr3:uid="{84442D4E-8044-0742-AAFD-2EE53225EE93}" name="Année" dataDxfId="614"/>
    <tableColumn id="2" xr3:uid="{37CA11AA-0FC0-CE46-ACF4-26F39154FDDC}" name="VR" dataDxfId="613">
      <calculatedColumnFormula>C177+L177+U177+AD177</calculatedColumnFormula>
    </tableColumn>
  </tableColumns>
  <tableStyleInfo name="TableStyleMedium5" showFirstColumn="0" showLastColumn="0" showRowStripes="1" showColumnStripes="0"/>
</table>
</file>

<file path=xl/tables/table1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0" xr:uid="{41791BDC-6028-D047-BDE6-C5B1048B20B1}" name="Tableau7578176423462501" displayName="Tableau7578176423462501" ref="B207:Z227" totalsRowShown="0" headerRowDxfId="612" dataDxfId="611">
  <autoFilter ref="B207:Z227" xr:uid="{00000000-0009-0000-0100-0000AF000000}"/>
  <tableColumns count="25">
    <tableColumn id="1" xr3:uid="{F3D6F8AE-DB55-C54C-881B-133E3AFB1C00}" name="Année" dataDxfId="610"/>
    <tableColumn id="2" xr3:uid="{3D41B3BC-3412-9045-96CE-6C24918A0643}" name="JP_1" dataDxfId="609">
      <calculatedColumnFormula>(C$202)*IF($B208&gt;=C$200,IF($B208=C$200,$E$19,VLOOKUP($B208-C$200,$B$19:$E$49,4,FALSE)),0)</calculatedColumnFormula>
    </tableColumn>
    <tableColumn id="3" xr3:uid="{C4B7BAE0-7FCA-534D-8DD4-962CA0B789BB}" name="JP_2" dataDxfId="608">
      <calculatedColumnFormula>(D$202)*IF($B208&gt;=D$200,IF($B208=D$200,$E$19,VLOOKUP($B208-D$200,$B$19:$E$49,4,FALSE)),0)</calculatedColumnFormula>
    </tableColumn>
    <tableColumn id="4" xr3:uid="{F042504C-3A09-9843-B91D-8541AC2BD37A}" name="JP_3" dataDxfId="607">
      <calculatedColumnFormula>(E$202)*IF($B208&gt;=E$200,IF($B208=E$200,$E$19,VLOOKUP($B208-E$200,$B$19:$E$49,4,FALSE)),0)</calculatedColumnFormula>
    </tableColumn>
    <tableColumn id="5" xr3:uid="{C315DFA6-2AF6-E54F-9389-24025E693059}" name="JP_4" dataDxfId="606">
      <calculatedColumnFormula>(F$202)*IF($B208&gt;=F$200,IF($B208=F$200,$E$19,VLOOKUP($B208-F$200,$B$19:$E$49,4,FALSE)),0)</calculatedColumnFormula>
    </tableColumn>
    <tableColumn id="6" xr3:uid="{D32F3A79-6236-084B-A408-C83FD93BCA77}" name="JP_5" dataDxfId="605">
      <calculatedColumnFormula>(G$202)*IF($B208&gt;=G$200,IF($B208=G$200,$E$19,VLOOKUP($B208-G$200,$B$19:$E$49,4,FALSE)),0)</calculatedColumnFormula>
    </tableColumn>
    <tableColumn id="7" xr3:uid="{E4223F6E-1B73-F142-AD5D-B3EE56C5C766}" name="JP_6" dataDxfId="604">
      <calculatedColumnFormula>(H$202)*IF($B208&gt;=H$200,IF($B208=H$200,$E$19,VLOOKUP($B208-H$200,$B$19:$E$49,4,FALSE)),0)</calculatedColumnFormula>
    </tableColumn>
    <tableColumn id="8" xr3:uid="{3199528B-C098-8446-9879-32554CDC69EE}" name="JP_7" dataDxfId="603">
      <calculatedColumnFormula>(I$202)*IF($B208&gt;=I$200,IF($B208=I$200,$E$19,VLOOKUP($B208-I$200,$B$19:$E$49,4,FALSE)),0)</calculatedColumnFormula>
    </tableColumn>
    <tableColumn id="9" xr3:uid="{FDE6C7DB-E69B-F342-A1F4-4753FE13052D}" name="JP_8" dataDxfId="602">
      <calculatedColumnFormula>(J$202)*IF($B208&gt;=J$200,IF($B208=J$200,$E$19,VLOOKUP($B208-J$200,$B$19:$E$49,4,FALSE)),0)</calculatedColumnFormula>
    </tableColumn>
    <tableColumn id="10" xr3:uid="{EB8B514B-3734-F44E-80C8-FF6F39FB52E5}" name="JP_9" dataDxfId="601">
      <calculatedColumnFormula>(K$202)*IF($B208&gt;=K$200,IF($B208=K$200,$E$19,VLOOKUP($B208-K$200,$B$19:$E$49,4,FALSE)),0)</calculatedColumnFormula>
    </tableColumn>
    <tableColumn id="11" xr3:uid="{4EA1B646-9FD3-CB45-B399-C0537E50CD75}" name="JP_10" dataDxfId="600">
      <calculatedColumnFormula>(L$202)*IF($B208&gt;=L$200,IF($B208=L$200,$E$19,VLOOKUP($B208-L$200,$B$19:$E$49,4,FALSE)),0)</calculatedColumnFormula>
    </tableColumn>
    <tableColumn id="12" xr3:uid="{03D9B085-1314-F74F-92E0-B91BB49E94FB}" name="JP_11" dataDxfId="599">
      <calculatedColumnFormula>(M$202)*IF($B208&gt;=M$200,IF($B208=M$200,$E$19,VLOOKUP($B208-M$200,$B$19:$E$49,4,FALSE)),0)</calculatedColumnFormula>
    </tableColumn>
    <tableColumn id="13" xr3:uid="{88932907-700E-CD4B-A412-5AEE9A24533A}" name="JP_12" dataDxfId="598">
      <calculatedColumnFormula>(N$202)*IF($B208&gt;=N$200,IF($B208=N$200,$E$19,VLOOKUP($B208-N$200,$B$19:$E$49,4,FALSE)),0)</calculatedColumnFormula>
    </tableColumn>
    <tableColumn id="14" xr3:uid="{4B73A1D2-1A94-B14A-9828-0E9E19EE2663}" name="JP_13" dataDxfId="597">
      <calculatedColumnFormula>(O$202)*IF($B208&gt;=O$200,IF($B208=O$200,$E$19,VLOOKUP($B208-O$200,$B$19:$E$49,4,FALSE)),0)</calculatedColumnFormula>
    </tableColumn>
    <tableColumn id="15" xr3:uid="{B95271F0-FB6C-7846-AE66-0F23AAFF2BEA}" name="JP_14" dataDxfId="596">
      <calculatedColumnFormula>(P$202)*IF($B208&gt;=P$200,IF($B208=P$200,$E$19,VLOOKUP($B208-P$200,$B$19:$E$49,4,FALSE)),0)</calculatedColumnFormula>
    </tableColumn>
    <tableColumn id="16" xr3:uid="{C313C23D-D96C-2C46-A237-27FA6569DC80}" name="JP_15" dataDxfId="595">
      <calculatedColumnFormula>(Q$202)*IF($B208&gt;=Q$200,IF($B208=Q$200,$E$19,VLOOKUP($B208-Q$200,$B$19:$E$49,4,FALSE)),0)</calculatedColumnFormula>
    </tableColumn>
    <tableColumn id="17" xr3:uid="{2CF45F9F-5092-324F-9440-842A3BF66ACD}" name="JP_16" dataDxfId="594">
      <calculatedColumnFormula>(R$202)*IF($B208&gt;=R$200,IF($B208=R$200,$E$19,VLOOKUP($B208-R$200,$B$19:$E$49,4,FALSE)),0)</calculatedColumnFormula>
    </tableColumn>
    <tableColumn id="18" xr3:uid="{30A9A477-8CA8-534B-8F1B-B24B48DDC7D0}" name="JP_17" dataDxfId="593">
      <calculatedColumnFormula>(S$202)*IF($B208&gt;=S$200,IF($B208=S$200,$E$19,VLOOKUP($B208-S$200,$B$19:$E$49,4,FALSE)),0)</calculatedColumnFormula>
    </tableColumn>
    <tableColumn id="19" xr3:uid="{DF5D614D-BE45-AD44-97D6-4E703C7FFBAF}" name="JP_18" dataDxfId="592">
      <calculatedColumnFormula>(T$202)*IF($B208&gt;=T$200,IF($B208=T$200,$E$19,VLOOKUP($B208-T$200,$B$19:$E$49,4,FALSE)),0)</calculatedColumnFormula>
    </tableColumn>
    <tableColumn id="20" xr3:uid="{595E2750-98EC-6D45-B824-0861DE90517C}" name="JP_19" dataDxfId="591">
      <calculatedColumnFormula>(U$202)*IF($B208&gt;=U$200,IF($B208=U$200,$E$19,VLOOKUP($B208-U$200,$B$19:$E$49,4,FALSE)),0)</calculatedColumnFormula>
    </tableColumn>
    <tableColumn id="21" xr3:uid="{E271ABB1-BAFE-AE46-AE1E-A77C2132A6E0}" name="JP_20" dataDxfId="590">
      <calculatedColumnFormula>(V$202)*IF($B208&gt;=V$200,IF($B208=V$200,$E$19,VLOOKUP($B208-V$200,$B$19:$E$49,4,FALSE)),0)</calculatedColumnFormula>
    </tableColumn>
    <tableColumn id="32" xr3:uid="{C239D707-1280-984F-9E4A-242F0F574937}" name="BA_JP" dataDxfId="589">
      <calculatedColumnFormula>SUM(C208:V208)*D$11*C$11</calculatedColumnFormula>
    </tableColumn>
    <tableColumn id="33" xr3:uid="{865BBFC1-89A8-2B42-A3CA-8109E5680413}" name="BR_JP" dataDxfId="588">
      <calculatedColumnFormula>IF(W208&gt;0,EXP(-1.0587+0.8836*LN(W208)+0.284),0)</calculatedColumnFormula>
    </tableColumn>
    <tableColumn id="34" xr3:uid="{57CB8484-87CD-D34B-A5E2-7CED0A92FEDD}" name="CO2e_JP" dataDxfId="587">
      <calculatedColumnFormula>SUM(W208:X208)*0.475*44/12</calculatedColumnFormula>
    </tableColumn>
    <tableColumn id="35" xr3:uid="{B2DD0EB1-AA46-144B-90AD-4CF193BAE10C}" name="V_JP_tot" dataDxfId="586">
      <calculatedColumnFormula>SUM(C208:V208)</calculatedColumnFormula>
    </tableColumn>
  </tableColumns>
  <tableStyleInfo name="TableStyleMedium5" showFirstColumn="0" showLastColumn="0" showRowStripes="1" showColumnStripes="0"/>
</table>
</file>

<file path=xl/tables/table1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1" xr:uid="{053BBFC7-B27B-6A49-A8B9-E438DB929110}" name="Tableau222424463502" displayName="Tableau222424463502" ref="H18:N38" totalsRowShown="0" headerRowDxfId="585" dataDxfId="584">
  <autoFilter ref="H18:N38" xr:uid="{03AA723C-C13B-D048-AD45-FE162C87DF1A}"/>
  <tableColumns count="7">
    <tableColumn id="1" xr3:uid="{2F9BEED7-68A4-E24B-9CB2-9DFB83C790F9}" name="Colonne1" dataDxfId="583"/>
    <tableColumn id="7" xr3:uid="{15A2D1CF-9530-8E48-8D40-5AFB5C33661A}" name="Surf_max" dataDxfId="582">
      <calculatedColumnFormula>IF($C$4="REG",$C$7*INITIAL_FORET!K21,IF($C$4="RASE",$C$7*INITIAL_FORET!L24,0))</calculatedColumnFormula>
    </tableColumn>
    <tableColumn id="3" xr3:uid="{71AC481B-1B59-8345-B5CF-72880078913F}" name="ESS_1" dataDxfId="581">
      <calculatedColumnFormula array="1">IF($C$6=0,0,IF(INDEX($G$4:$M$7,RIGHT(J$18,1),6)="",0,IF($C$4="IRR",INDEX($G$4:$M$7,RIGHT(J$18,1),7)*80%/20,((INDEX($G$4:$M$7,RIGHT(J$18,1),7))/$C$6)*$I19)))</calculatedColumnFormula>
    </tableColumn>
    <tableColumn id="4" xr3:uid="{946352C8-7CDF-1048-AD33-4EEDC9DB08AB}" name="ESS_2" dataDxfId="580">
      <calculatedColumnFormula array="1">IF($C$6=0,0,IF(INDEX($G$4:$M$7,RIGHT(K$18,1),6)="",0,IF($C$4="IRR",INDEX($G$4:$M$7,RIGHT(K$18,1),7)*80%/20,((INDEX($G$4:$M$7,RIGHT(K$18,1),7))/$C$6)*$I19)))</calculatedColumnFormula>
    </tableColumn>
    <tableColumn id="5" xr3:uid="{C4777BF4-E7DA-0A46-A942-A3E3E673D6BB}" name="ESS_3" dataDxfId="579">
      <calculatedColumnFormula array="1">IF($C$6=0,0,IF(INDEX($G$4:$M$7,RIGHT(L$18,1),6)="",0,IF($C$4="IRR",INDEX($G$4:$M$7,RIGHT(L$18,1),7)*80%/20,((INDEX($G$4:$M$7,RIGHT(L$18,1),7))/$C$6)*$I19)))</calculatedColumnFormula>
    </tableColumn>
    <tableColumn id="6" xr3:uid="{5CC26462-849C-A14E-AD71-D1731424F622}" name="ESS_4" dataDxfId="578">
      <calculatedColumnFormula array="1">IF($C$6=0,0,IF(INDEX($G$4:$M$7,RIGHT(M$18,1),6)="",0,IF($C$4="IRR",INDEX($G$4:$M$7,RIGHT(M$18,1),7)*80%/20,((INDEX($G$4:$M$7,RIGHT(M$18,1),7))/$C$6)*$I19)))</calculatedColumnFormula>
    </tableColumn>
    <tableColumn id="8" xr3:uid="{34826EA6-A585-5145-B6BD-901B5BE736EE}" name="TOTAL" dataDxfId="577">
      <calculatedColumnFormula>SUM(J19:M19)</calculatedColumnFormula>
    </tableColumn>
  </tableColumns>
  <tableStyleInfo name="TableStyleMedium5" showFirstColumn="0" showLastColumn="0" showRowStripes="1" showColumnStripes="0"/>
</table>
</file>

<file path=xl/tables/table1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7" xr:uid="{6A2E0E6F-54CD-A149-A05E-5CB6CA69948B}" name="Tableau50196420459498" displayName="Tableau50196420459498" ref="A393:G413" totalsRowShown="0" headerRowDxfId="576" dataDxfId="575">
  <autoFilter ref="A393:G413" xr:uid="{A50B75D6-5903-EB44-8F19-04CE50A7A909}"/>
  <tableColumns count="7">
    <tableColumn id="1" xr3:uid="{A4979621-3A98-2A44-AACB-B80A5D6F5585}" name="Année" dataDxfId="574"/>
    <tableColumn id="2" xr3:uid="{FFEACBD9-0A76-004F-8FE7-EB731541C9E5}" name="Vol_non récoltable" dataDxfId="573">
      <calculatedColumnFormula>D$15</calculatedColumnFormula>
    </tableColumn>
    <tableColumn id="7" xr3:uid="{E88A5780-F9DF-404A-BBB7-8DF178306607}" name="Vol_non prélevable" dataDxfId="572">
      <calculatedColumnFormula>D$16+D$15</calculatedColumnFormula>
    </tableColumn>
    <tableColumn id="3" xr3:uid="{3FB73F6D-4570-8D4C-8B4C-5FF6EEF5B970}" name="VRE_REF" dataDxfId="571">
      <calculatedColumnFormula>AS61</calculatedColumnFormula>
    </tableColumn>
    <tableColumn id="4" xr3:uid="{4510228A-DF51-0849-854A-B60E7E06E7F6}" name="VRE_PRJ" dataDxfId="570">
      <calculatedColumnFormula>AS177</calculatedColumnFormula>
    </tableColumn>
    <tableColumn id="5" xr3:uid="{36412647-7032-9B46-8FBC-DF2AC0054DD2}" name="Vol_tot_Référence" dataDxfId="569">
      <calculatedColumnFormula>IF($C$4="iRR",D394+B394,D394)</calculatedColumnFormula>
    </tableColumn>
    <tableColumn id="6" xr3:uid="{45352F69-B7A1-B04E-8500-7F935AE9BE9A}" name="Vol_tot_Projet" dataDxfId="568">
      <calculatedColumnFormula>IF($C$4="IRR",B394+E394,E394)</calculatedColumnFormula>
    </tableColumn>
  </tableColumns>
  <tableStyleInfo name="TableStyleMedium5" showFirstColumn="0" showLastColumn="0" showRowStripes="1" showColumnStripes="0"/>
</table>
</file>

<file path=xl/tables/table1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43658DD5-2722-6146-86C6-FBB29D697D13}" name="Tableau50196912" displayName="Tableau50196912" ref="A416:G436" totalsRowShown="0" headerRowDxfId="567" dataDxfId="566">
  <autoFilter ref="A416:G436" xr:uid="{43658DD5-2722-6146-86C6-FBB29D697D13}"/>
  <tableColumns count="7">
    <tableColumn id="1" xr3:uid="{D4ADEE64-E60C-8846-9BBF-2A3BEE5D8748}" name="Année" dataDxfId="565"/>
    <tableColumn id="2" xr3:uid="{1ED5812F-308C-0149-B39D-2E6244017BCA}" name="Vol_non récoltable" dataDxfId="564">
      <calculatedColumnFormula>D$15/$C$6</calculatedColumnFormula>
    </tableColumn>
    <tableColumn id="7" xr3:uid="{90A94BFB-65C2-994C-B421-01E00D23E796}" name="Vol_non prélevable" dataDxfId="563">
      <calculatedColumnFormula>(D$16+D$15)/$C$6</calculatedColumnFormula>
    </tableColumn>
    <tableColumn id="3" xr3:uid="{B5AC6804-2DBA-FA49-AA87-5344A66B9463}" name="VRE_REF" dataDxfId="562">
      <calculatedColumnFormula>AS61/$C$6</calculatedColumnFormula>
    </tableColumn>
    <tableColumn id="4" xr3:uid="{28CB6DCF-5A86-A64F-88ED-B0034B030B7B}" name="VRE_PRJ" dataDxfId="561">
      <calculatedColumnFormula>AS177/$C$6</calculatedColumnFormula>
    </tableColumn>
    <tableColumn id="5" xr3:uid="{6AB19D73-C488-804E-889F-92EC9F0C50AD}" name="Vol_tot_Référence" dataDxfId="560">
      <calculatedColumnFormula>IF($C$4="iRR",D417+B417,D417)</calculatedColumnFormula>
    </tableColumn>
    <tableColumn id="6" xr3:uid="{862632D7-FACB-ED40-BF0A-44352BD0F83B}" name="Vol_tot_Projet" dataDxfId="559">
      <calculatedColumnFormula>IF($C$4="IRR",B417+E417,E417)</calculatedColumnFormula>
    </tableColumn>
  </tableColumns>
  <tableStyleInfo name="TableStyleMedium5" showFirstColumn="0" showLastColumn="0" showRowStripes="1" showColumnStripes="0"/>
</table>
</file>

<file path=xl/tables/table1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0" xr:uid="{0C0E178A-4666-504B-BF03-CC1A4F279E12}" name="Tableau4319897101" displayName="Tableau4319897101" ref="A3:D23" totalsRowShown="0" headerRowDxfId="558" dataDxfId="557">
  <autoFilter ref="A3:D23" xr:uid="{0C0E178A-4666-504B-BF03-CC1A4F279E12}"/>
  <tableColumns count="4">
    <tableColumn id="1" xr3:uid="{5D236CCF-C327-064D-AA68-CFA32072C7A8}" name="Année" dataDxfId="556"/>
    <tableColumn id="2" xr3:uid="{F4EB818D-B647-154C-A028-37222AA42360}" name="CO2e_REF" dataDxfId="555">
      <calculatedColumnFormula>StrateA!B347</calculatedColumnFormula>
    </tableColumn>
    <tableColumn id="3" xr3:uid="{D427FADE-731B-4247-B773-B056FCC7BBAA}" name="CO2e_PRJ" dataDxfId="554">
      <calculatedColumnFormula>StrateA!C347</calculatedColumnFormula>
    </tableColumn>
    <tableColumn id="4" xr3:uid="{33EF6391-9AE4-C246-9E19-A530119D3769}" name="∆CO2e" dataDxfId="553">
      <calculatedColumnFormula>StrateA!D347</calculatedColumnFormula>
    </tableColumn>
  </tableColumns>
  <tableStyleInfo name="TableStyleMedium7" showFirstColumn="0" showLastColumn="0" showRowStripes="1" showColumnStripes="0"/>
</table>
</file>

<file path=xl/tables/table1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8" xr:uid="{FC26FE0B-00EF-A246-8377-8CE8B1D510B8}" name="Tableau4319897101159" displayName="Tableau4319897101159" ref="F3:I23" totalsRowShown="0" headerRowDxfId="552" dataDxfId="551">
  <autoFilter ref="F3:I23" xr:uid="{FC26FE0B-00EF-A246-8377-8CE8B1D510B8}"/>
  <tableColumns count="4">
    <tableColumn id="1" xr3:uid="{FE34DD58-6287-FF48-83AE-F7581EBA4B2C}" name="Année" dataDxfId="550"/>
    <tableColumn id="2" xr3:uid="{ADCA19CA-FC0B-694D-8B27-9988F0175C5A}" name="∆SQ_an" dataDxfId="549">
      <calculatedColumnFormula>StrateA!B370</calculatedColumnFormula>
    </tableColumn>
    <tableColumn id="3" xr3:uid="{728CB73A-67A9-D041-BCAB-64B5D727157E}" name="∆JP_an" dataDxfId="548">
      <calculatedColumnFormula>StrateA!C370</calculatedColumnFormula>
    </tableColumn>
    <tableColumn id="4" xr3:uid="{55354C86-4861-8B4D-AA00-BCD0FD4F4628}" name="∆ST_an" dataDxfId="547">
      <calculatedColumnFormula>StrateA!D370</calculatedColumnFormula>
    </tableColumn>
  </tableColumns>
  <tableStyleInfo name="TableStyleMedium7"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2" xr:uid="{00000000-000C-0000-FFFF-FFFF2B000000}" name="Tableau12162134153" displayName="Tableau12162134153" ref="B144:X164" totalsRowShown="0" headerRowDxfId="2104" dataDxfId="2103">
  <autoFilter ref="B144:X164" xr:uid="{00000000-0009-0000-0100-000098000000}"/>
  <tableColumns count="23">
    <tableColumn id="1" xr3:uid="{00000000-0010-0000-2B00-000001000000}" name="Annee" dataDxfId="2102"/>
    <tableColumn id="2" xr3:uid="{00000000-0010-0000-2B00-000002000000}" name="C_LD" dataDxfId="2101">
      <calculatedColumnFormula>AT118+IF($B145=1,0,C144)</calculatedColumnFormula>
    </tableColumn>
    <tableColumn id="3" xr3:uid="{00000000-0010-0000-2B00-000003000000}" name="C_MD_1" dataDxfId="2100">
      <calculatedColumnFormula>IF($B145&gt;=C$141,IF($B145=C$141,C$142,C$142*((20+C$141)-$B145)/20),0)*IF((20+C$141)-$B145&lt;0,0,1)</calculatedColumnFormula>
    </tableColumn>
    <tableColumn id="7" xr3:uid="{00000000-0010-0000-2B00-000007000000}" name="C_MD_2" dataDxfId="2099">
      <calculatedColumnFormula>IF($B145&gt;=D$141,IF($B145=D$141,D$142,D$142*((20+D$141)-$B145)/20),0)*IF((20+D$141)-$B145&lt;0,0,1)</calculatedColumnFormula>
    </tableColumn>
    <tableColumn id="8" xr3:uid="{00000000-0010-0000-2B00-000008000000}" name="C_MD_3" dataDxfId="2098">
      <calculatedColumnFormula>IF($B145&gt;=E$141,IF($B145=E$141,E$142,E$142*((20+E$141)-$B145)/20),0)*IF((20+E$141)-$B145&lt;0,0,1)</calculatedColumnFormula>
    </tableColumn>
    <tableColumn id="9" xr3:uid="{00000000-0010-0000-2B00-000009000000}" name="C_MD_4" dataDxfId="2097">
      <calculatedColumnFormula>IF($B145&gt;=F$141,IF($B145=F$141,F$142,F$142*((20+F$141)-$B145)/20),0)*IF((20+F$141)-$B145&lt;0,0,1)</calculatedColumnFormula>
    </tableColumn>
    <tableColumn id="10" xr3:uid="{00000000-0010-0000-2B00-00000A000000}" name="C_MD_5" dataDxfId="2096">
      <calculatedColumnFormula>IF($B145&gt;=G$141,IF($B145=G$141,G$142,G$142*((20+G$141)-$B145)/20),0)*IF((20+G$141)-$B145&lt;0,0,1)</calculatedColumnFormula>
    </tableColumn>
    <tableColumn id="11" xr3:uid="{00000000-0010-0000-2B00-00000B000000}" name="C_MD_6" dataDxfId="2095">
      <calculatedColumnFormula>IF($B145&gt;=H$141,IF($B145=H$141,H$142,H$142*((20+H$141)-$B145)/20),0)*IF((20+H$141)-$B145&lt;0,0,1)</calculatedColumnFormula>
    </tableColumn>
    <tableColumn id="12" xr3:uid="{00000000-0010-0000-2B00-00000C000000}" name="C_MD_7" dataDxfId="2094">
      <calculatedColumnFormula>IF($B145&gt;=I$141,IF($B145=I$141,I$142,I$142*((20+I$141)-$B145)/20),0)*IF((20+I$141)-$B145&lt;0,0,1)</calculatedColumnFormula>
    </tableColumn>
    <tableColumn id="13" xr3:uid="{00000000-0010-0000-2B00-00000D000000}" name="C_MD_8" dataDxfId="2093">
      <calculatedColumnFormula>IF($B145&gt;=J$141,IF($B145=J$141,J$142,J$142*((20+J$141)-$B145)/20),0)*IF((20+J$141)-$B145&lt;0,0,1)</calculatedColumnFormula>
    </tableColumn>
    <tableColumn id="14" xr3:uid="{00000000-0010-0000-2B00-00000E000000}" name="C_MD_9" dataDxfId="2092">
      <calculatedColumnFormula>IF($B145&gt;=K$141,IF($B145=K$141,K$142,K$142*((20+K$141)-$B145)/20),0)*IF((20+K$141)-$B145&lt;0,0,1)</calculatedColumnFormula>
    </tableColumn>
    <tableColumn id="15" xr3:uid="{00000000-0010-0000-2B00-00000F000000}" name="C_MD_10" dataDxfId="2091">
      <calculatedColumnFormula>IF($B145&gt;=L$141,IF($B145=L$141,L$142,L$142*((20+L$141)-$B145)/20),0)*IF((20+L$141)-$B145&lt;0,0,1)</calculatedColumnFormula>
    </tableColumn>
    <tableColumn id="16" xr3:uid="{00000000-0010-0000-2B00-000010000000}" name="C_MD_11" dataDxfId="2090">
      <calculatedColumnFormula>IF($B145&gt;=M$141,IF($B145=M$141,M$142,M$142*((20+M$141)-$B145)/20),0)*IF((20+M$141)-$B145&lt;0,0,1)</calculatedColumnFormula>
    </tableColumn>
    <tableColumn id="17" xr3:uid="{00000000-0010-0000-2B00-000011000000}" name="C_MD_12" dataDxfId="2089">
      <calculatedColumnFormula>IF($B145&gt;=N$141,IF($B145=N$141,N$142,N$142*((20+N$141)-$B145)/20),0)*IF((20+N$141)-$B145&lt;0,0,1)</calculatedColumnFormula>
    </tableColumn>
    <tableColumn id="18" xr3:uid="{00000000-0010-0000-2B00-000012000000}" name="C_MD_13" dataDxfId="2088">
      <calculatedColumnFormula>IF($B145&gt;=O$141,IF($B145=O$141,O$142,O$142*((20+O$141)-$B145)/20),0)*IF((20+O$141)-$B145&lt;0,0,1)</calculatedColumnFormula>
    </tableColumn>
    <tableColumn id="19" xr3:uid="{00000000-0010-0000-2B00-000013000000}" name="C_MD_14" dataDxfId="2087">
      <calculatedColumnFormula>IF($B145&gt;=P$141,IF($B145=P$141,P$142,P$142*((20+P$141)-$B145)/20),0)*IF((20+P$141)-$B145&lt;0,0,1)</calculatedColumnFormula>
    </tableColumn>
    <tableColumn id="20" xr3:uid="{00000000-0010-0000-2B00-000014000000}" name="C_MD_15" dataDxfId="2086">
      <calculatedColumnFormula>IF($B145&gt;=Q$141,IF($B145=Q$141,Q$142,Q$142*((20+Q$141)-$B145)/20),0)*IF((20+Q$141)-$B145&lt;0,0,1)</calculatedColumnFormula>
    </tableColumn>
    <tableColumn id="21" xr3:uid="{00000000-0010-0000-2B00-000015000000}" name="C_MD_16" dataDxfId="2085">
      <calculatedColumnFormula>IF($B145&gt;=R$141,IF($B145=R$141,R$142,R$142*((20+R$141)-$B145)/20),0)*IF((20+R$141)-$B145&lt;0,0,1)</calculatedColumnFormula>
    </tableColumn>
    <tableColumn id="22" xr3:uid="{00000000-0010-0000-2B00-000016000000}" name="C_MD_17" dataDxfId="2084">
      <calculatedColumnFormula>IF($B145&gt;=S$141,IF($B145=S$141,S$142,S$142*((20+S$141)-$B145)/20),0)*IF((20+S$141)-$B145&lt;0,0,1)</calculatedColumnFormula>
    </tableColumn>
    <tableColumn id="23" xr3:uid="{00000000-0010-0000-2B00-000017000000}" name="C_MD_18" dataDxfId="2083">
      <calculatedColumnFormula>IF($B145&gt;=T$141,IF($B145=T$141,T$142,T$142*((20+T$141)-$B145)/20),0)*IF((20+T$141)-$B145&lt;0,0,1)</calculatedColumnFormula>
    </tableColumn>
    <tableColumn id="24" xr3:uid="{00000000-0010-0000-2B00-000018000000}" name="C_MD_19" dataDxfId="2082">
      <calculatedColumnFormula>IF($B145&gt;=U$141,IF($B145=U$141,U$142,U$142*((20+U$141)-$B145)/20),0)*IF((20+U$141)-$B145&lt;0,0,1)</calculatedColumnFormula>
    </tableColumn>
    <tableColumn id="25" xr3:uid="{00000000-0010-0000-2B00-000019000000}" name="C_MD_20" dataDxfId="2081">
      <calculatedColumnFormula>IF($B145&gt;=V$141,IF($B145=V$141,V$142,V$142*((20+V$141)-$B145)/20),0)*IF((20+V$141)-$B145&lt;0,0,1)</calculatedColumnFormula>
    </tableColumn>
    <tableColumn id="36" xr3:uid="{00000000-0010-0000-2B00-000024000000}" name="CO2e_ST_tot" dataDxfId="2080">
      <calculatedColumnFormula>SUM(#REF!)*44/12</calculatedColumnFormula>
    </tableColumn>
  </tableColumns>
  <tableStyleInfo name="TableStyleMedium5" showFirstColumn="0" showLastColumn="0" showRowStripes="1" showColumnStripes="0"/>
</table>
</file>

<file path=xl/tables/table1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6" xr:uid="{A858AE7F-2C51-7541-9657-B8AF1768BECF}" name="Tableau4319897101187" displayName="Tableau4319897101187" ref="A30:D50" totalsRowShown="0" headerRowDxfId="546" dataDxfId="545">
  <autoFilter ref="A30:D50" xr:uid="{A858AE7F-2C51-7541-9657-B8AF1768BECF}"/>
  <tableColumns count="4">
    <tableColumn id="1" xr3:uid="{D5E014C7-CFD2-B74E-A1A6-CDE3986F7582}" name="Année" dataDxfId="544"/>
    <tableColumn id="2" xr3:uid="{FCAC8359-C61C-564C-AF88-D257F74429B6}" name="CO2e_REF" dataDxfId="543">
      <calculatedColumnFormula>StrateB!B347</calculatedColumnFormula>
    </tableColumn>
    <tableColumn id="3" xr3:uid="{F7A78044-B707-6342-99E9-40216FF0CE03}" name="CO2e_PRJ" dataDxfId="542">
      <calculatedColumnFormula>StrateB!C347</calculatedColumnFormula>
    </tableColumn>
    <tableColumn id="4" xr3:uid="{B7534D1C-91CE-F74A-90A3-299E6133DFF4}" name="∆CO2e" dataDxfId="541">
      <calculatedColumnFormula>StrateB!D347</calculatedColumnFormula>
    </tableColumn>
  </tableColumns>
  <tableStyleInfo name="TableStyleMedium7" showFirstColumn="0" showLastColumn="0" showRowStripes="1" showColumnStripes="0"/>
</table>
</file>

<file path=xl/tables/table1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7" xr:uid="{2595B568-6943-9840-A4DC-B61C616A5437}" name="Tableau4319897101159188" displayName="Tableau4319897101159188" ref="F30:I50" totalsRowShown="0" headerRowDxfId="540" dataDxfId="539">
  <autoFilter ref="F30:I50" xr:uid="{2595B568-6943-9840-A4DC-B61C616A5437}"/>
  <tableColumns count="4">
    <tableColumn id="1" xr3:uid="{DA49D421-7216-9145-8C01-3B48BD6F0D1E}" name="Année" dataDxfId="538"/>
    <tableColumn id="2" xr3:uid="{380DD9EC-B26C-194B-998B-A84B6C0AA055}" name="∆SQ_an" dataDxfId="537">
      <calculatedColumnFormula>StrateB!B370</calculatedColumnFormula>
    </tableColumn>
    <tableColumn id="3" xr3:uid="{CC7F79DC-2675-4D44-9D55-4C2D87193F79}" name="∆JP_an" dataDxfId="536">
      <calculatedColumnFormula>StrateB!C370</calculatedColumnFormula>
    </tableColumn>
    <tableColumn id="4" xr3:uid="{E0413C31-CF72-2845-B90C-92664328CDFD}" name="∆ST_an" dataDxfId="535">
      <calculatedColumnFormula>StrateB!D370</calculatedColumnFormula>
    </tableColumn>
  </tableColumns>
  <tableStyleInfo name="TableStyleMedium7" showFirstColumn="0" showLastColumn="0" showRowStripes="1" showColumnStripes="0"/>
</table>
</file>

<file path=xl/tables/table1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0" xr:uid="{0BCBF269-16DA-144A-92F6-F60675DA30BD}" name="Tableau4319897101191" displayName="Tableau4319897101191" ref="A57:D77" totalsRowShown="0" headerRowDxfId="534" dataDxfId="533">
  <autoFilter ref="A57:D77" xr:uid="{0BCBF269-16DA-144A-92F6-F60675DA30BD}"/>
  <tableColumns count="4">
    <tableColumn id="1" xr3:uid="{5153C973-CE01-C74D-9050-1773157C7169}" name="Année" dataDxfId="532"/>
    <tableColumn id="2" xr3:uid="{1C8E0F26-D323-874E-8711-0165CBD5F8B1}" name="CO2e_REF" dataDxfId="531">
      <calculatedColumnFormula>StrateC!B347</calculatedColumnFormula>
    </tableColumn>
    <tableColumn id="3" xr3:uid="{135027CC-5049-4D4C-A17A-2461468DA1BF}" name="CO2e_PRJ" dataDxfId="530">
      <calculatedColumnFormula>StrateC!C347</calculatedColumnFormula>
    </tableColumn>
    <tableColumn id="4" xr3:uid="{38D9795C-F9A9-C048-A5A8-4C2F24BF7AC3}" name="∆CO2e" dataDxfId="529">
      <calculatedColumnFormula>StrateC!D347</calculatedColumnFormula>
    </tableColumn>
  </tableColumns>
  <tableStyleInfo name="TableStyleMedium7" showFirstColumn="0" showLastColumn="0" showRowStripes="1" showColumnStripes="0"/>
</table>
</file>

<file path=xl/tables/table1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1" xr:uid="{1D17E82F-99FC-1446-9FF3-1E14DC40A8F5}" name="Tableau4319897101159192" displayName="Tableau4319897101159192" ref="F57:I77" totalsRowShown="0" headerRowDxfId="528" dataDxfId="527">
  <autoFilter ref="F57:I77" xr:uid="{1D17E82F-99FC-1446-9FF3-1E14DC40A8F5}"/>
  <tableColumns count="4">
    <tableColumn id="1" xr3:uid="{192A0216-717C-FC46-B246-FFBC031FD5C9}" name="Année" dataDxfId="526"/>
    <tableColumn id="2" xr3:uid="{A6229E24-E8AB-1C49-A2E2-535BA9F6EE03}" name="∆SQ_an" dataDxfId="525">
      <calculatedColumnFormula>StrateC!B370</calculatedColumnFormula>
    </tableColumn>
    <tableColumn id="3" xr3:uid="{4A9D6BC5-9E4D-B341-B7D4-A853895F6011}" name="∆JP_an" dataDxfId="524">
      <calculatedColumnFormula>StrateC!C370</calculatedColumnFormula>
    </tableColumn>
    <tableColumn id="4" xr3:uid="{C022B432-9307-C94F-A09C-F43D72E38FA7}" name="∆ST_an" dataDxfId="523">
      <calculatedColumnFormula>StrateC!D370</calculatedColumnFormula>
    </tableColumn>
  </tableColumns>
  <tableStyleInfo name="TableStyleMedium7" showFirstColumn="0" showLastColumn="0" showRowStripes="1" showColumnStripes="0"/>
</table>
</file>

<file path=xl/tables/table1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0" xr:uid="{5AC60926-1C1C-F643-B600-703377E30AAB}" name="Tableau4319897101211" displayName="Tableau4319897101211" ref="A84:D104" totalsRowShown="0" headerRowDxfId="522" dataDxfId="521">
  <autoFilter ref="A84:D104" xr:uid="{5AC60926-1C1C-F643-B600-703377E30AAB}"/>
  <tableColumns count="4">
    <tableColumn id="1" xr3:uid="{91C0C8D3-3AD3-C74C-A131-9F59BB2E5A0C}" name="Année" dataDxfId="520"/>
    <tableColumn id="2" xr3:uid="{F9D1A037-7499-2B4B-9F06-79F72318553F}" name="CO2e_REF" dataDxfId="519">
      <calculatedColumnFormula>StrateD!B347</calculatedColumnFormula>
    </tableColumn>
    <tableColumn id="3" xr3:uid="{829D1772-4B91-FA49-866A-49E37CA4EE75}" name="CO2e_PRJ" dataDxfId="518">
      <calculatedColumnFormula>StrateD!C347</calculatedColumnFormula>
    </tableColumn>
    <tableColumn id="4" xr3:uid="{695FFB9C-BE94-8144-9484-7483FDA8F835}" name="∆CO2e" dataDxfId="517">
      <calculatedColumnFormula>StrateD!D347</calculatedColumnFormula>
    </tableColumn>
  </tableColumns>
  <tableStyleInfo name="TableStyleMedium7" showFirstColumn="0" showLastColumn="0" showRowStripes="1" showColumnStripes="0"/>
</table>
</file>

<file path=xl/tables/table1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1" xr:uid="{9C669040-DD50-0B44-B5E5-8B814C4C4026}" name="Tableau4319897101159212" displayName="Tableau4319897101159212" ref="F84:I104" totalsRowShown="0" headerRowDxfId="516" dataDxfId="515">
  <autoFilter ref="F84:I104" xr:uid="{9C669040-DD50-0B44-B5E5-8B814C4C4026}"/>
  <tableColumns count="4">
    <tableColumn id="1" xr3:uid="{D29A28A4-7B02-2A4B-A9BE-B1E609DBEB4A}" name="Année" dataDxfId="514"/>
    <tableColumn id="2" xr3:uid="{4E3CAB1B-EF7C-174B-B760-D28095D29C5D}" name="∆SQ_an" dataDxfId="513">
      <calculatedColumnFormula>StrateD!B370</calculatedColumnFormula>
    </tableColumn>
    <tableColumn id="3" xr3:uid="{988830FC-BA9B-3B42-A24B-73BA967B15E0}" name="∆JP_an" dataDxfId="512">
      <calculatedColumnFormula>StrateD!C370</calculatedColumnFormula>
    </tableColumn>
    <tableColumn id="4" xr3:uid="{15A460EE-6DF1-724F-BE13-DE18D36E9368}" name="∆ST_an" dataDxfId="511">
      <calculatedColumnFormula>StrateD!D370</calculatedColumnFormula>
    </tableColumn>
  </tableColumns>
  <tableStyleInfo name="TableStyleMedium7" showFirstColumn="0" showLastColumn="0" showRowStripes="1" showColumnStripes="0"/>
</table>
</file>

<file path=xl/tables/table1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D9DE554B-AF51-A446-8795-F1E1C1D652B4}" name="Tableau5" displayName="Tableau5" ref="T4:Z8" totalsRowShown="0">
  <autoFilter ref="T4:Z8" xr:uid="{D9DE554B-AF51-A446-8795-F1E1C1D652B4}"/>
  <tableColumns count="7">
    <tableColumn id="1" xr3:uid="{62D1FEDE-2CA0-274A-AE10-68024E5564F0}" name="Essence" dataDxfId="510">
      <calculatedColumnFormula>IF($D$23=0,"",INITIAL_FORET!AA40)</calculatedColumnFormula>
    </tableColumn>
    <tableColumn id="2" xr3:uid="{3B5BC80D-0546-E84F-8F9D-F8E0572F6D34}" name="Vtot_initial" dataDxfId="509">
      <calculatedColumnFormula>IF($T5="","",VLOOKUP(CONCATENATE($B$1,"_",$T5),INITIAL_FORET!$AB$40:$AL$55,5,FALSE))</calculatedColumnFormula>
    </tableColumn>
    <tableColumn id="3" xr3:uid="{13B68579-B2F0-CC43-A4BC-62DF6A69530F}" name="Vrec_initial" dataDxfId="508">
      <calculatedColumnFormula>IF($T5="","",VLOOKUP(CONCATENATE($B$1,"_",$T5),INITIAL_FORET!$AB$40:$AL$55,8,FALSE)*U5)</calculatedColumnFormula>
    </tableColumn>
    <tableColumn id="4" xr3:uid="{E53EF584-F0B7-6A4F-9401-FAC12E2ECFD2}" name="%Risk_ess" dataDxfId="8" dataCellStyle="Pourcentage">
      <calculatedColumnFormula>IF($T5="","",VLOOKUP($T5,INITIAL_FORET!$Q$2:$R$13,2,FALSE))</calculatedColumnFormula>
    </tableColumn>
    <tableColumn id="7" xr3:uid="{AEF4F612-EFA7-6C40-AB64-8801059901DE}" name="Vrec_max_ref_reel" dataDxfId="507" dataCellStyle="Pourcentage">
      <calculatedColumnFormula>IF($T5="","",VLOOKUP(CONCATENATE($B$1,"_",$T5),INITIAL_FORET!$AB$40:$AO$55,14,FALSE))</calculatedColumnFormula>
    </tableColumn>
    <tableColumn id="5" xr3:uid="{AEB2AF1F-C54C-714E-92A7-DFFD8229FC81}" name="Véli_initial" dataDxfId="506">
      <calculatedColumnFormula>IF($T5="","",VLOOKUP(CONCATENATE($B$1,"_",$T5),INITIAL_FORET!$AB$40:$AL$55,10,FALSE))</calculatedColumnFormula>
    </tableColumn>
    <tableColumn id="6" xr3:uid="{790403EC-5F97-9C40-8374-E656673D9B0C}" name="Vobj_final" dataDxfId="505">
      <calculatedColumnFormula>IF($T5="","",VLOOKUP(CONCATENATE($B$1,"_",$T5),INITIAL_FORET!$AB$40:$AL$55,11,FALSE))</calculatedColumnFormula>
    </tableColumn>
  </tableColumns>
  <tableStyleInfo name="TableStyleMedium7" showFirstColumn="0" showLastColumn="0" showRowStripes="1" showColumnStripes="0"/>
</table>
</file>

<file path=xl/tables/table1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EE74A338-90B8-5F47-85D5-0619B9858A31}" name="Tableau12" displayName="Tableau12" ref="T31:Z35" totalsRowShown="0">
  <autoFilter ref="T31:Z35" xr:uid="{EE74A338-90B8-5F47-85D5-0619B9858A31}"/>
  <tableColumns count="7">
    <tableColumn id="1" xr3:uid="{886A26FB-9AED-4245-AD9D-4C350DAB56AF}" name="Essence" dataDxfId="504">
      <calculatedColumnFormula>IF($D$50=0,"",INITIAL_FORET!AA44)</calculatedColumnFormula>
    </tableColumn>
    <tableColumn id="2" xr3:uid="{C5094F1F-A803-FA4A-A480-6200967E4B9F}" name="Vtot_initial" dataDxfId="503">
      <calculatedColumnFormula>IF($T32="","",VLOOKUP(CONCATENATE($B$28,"_",$T32),INITIAL_FORET!$AB$40:$AL$55,5,FALSE))</calculatedColumnFormula>
    </tableColumn>
    <tableColumn id="3" xr3:uid="{097FCC6C-0693-104F-8619-D638C12F5226}" name="Vrec_initial" dataDxfId="502">
      <calculatedColumnFormula>IF($T32="","",VLOOKUP(CONCATENATE($B$28,"_",$T32),INITIAL_FORET!$AB$40:$AL$55,8,FALSE)*U32)</calculatedColumnFormula>
    </tableColumn>
    <tableColumn id="4" xr3:uid="{E064C88A-F07E-A44F-B1C9-5B3B25CF1DFB}" name="%Risk_ess" dataDxfId="7" dataCellStyle="Pourcentage">
      <calculatedColumnFormula>IF($T32="","",VLOOKUP($T32,INITIAL_FORET!$Q$2:$R$13,2,FALSE))</calculatedColumnFormula>
    </tableColumn>
    <tableColumn id="7" xr3:uid="{BC7A712C-2EA4-9E42-8F0A-C90F1E79F971}" name="Vrec_max_ref_reel" dataDxfId="501" dataCellStyle="Pourcentage">
      <calculatedColumnFormula>IF($T32="","",VLOOKUP(CONCATENATE($B$28,"_",$T32),INITIAL_FORET!$AB$40:$AO$55,14,FALSE))</calculatedColumnFormula>
    </tableColumn>
    <tableColumn id="5" xr3:uid="{B0EC08BD-DC03-FF4E-B0BC-93FA7DFD701C}" name="Véli_initial" dataDxfId="500">
      <calculatedColumnFormula>IF($T32="","",VLOOKUP(CONCATENATE($B$28,"_",$T32),INITIAL_FORET!$AB$40:$AL$55,10,FALSE))</calculatedColumnFormula>
    </tableColumn>
    <tableColumn id="6" xr3:uid="{05898626-BC15-0945-9054-5D68842A1425}" name="Vobj_final" dataDxfId="499">
      <calculatedColumnFormula>IF($T32="","",VLOOKUP(CONCATENATE($B$28,"_",$T32),INITIAL_FORET!$AB$40:$AL$55,11,FALSE))</calculatedColumnFormula>
    </tableColumn>
  </tableColumns>
  <tableStyleInfo name="TableStyleMedium7" showFirstColumn="0" showLastColumn="0" showRowStripes="1" showColumnStripes="0"/>
</table>
</file>

<file path=xl/tables/table1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C1ECB28B-D8B9-4949-9F22-F24F7E2229E9}" name="Tableau14" displayName="Tableau14" ref="T58:Z62" totalsRowShown="0">
  <autoFilter ref="T58:Z62" xr:uid="{C1ECB28B-D8B9-4949-9F22-F24F7E2229E9}"/>
  <tableColumns count="7">
    <tableColumn id="1" xr3:uid="{9DD5F818-C517-4D40-8A02-912A39C23B47}" name="Essence" dataDxfId="498">
      <calculatedColumnFormula>IF($D$77=0,"",INITIAL_FORET!AA48)</calculatedColumnFormula>
    </tableColumn>
    <tableColumn id="2" xr3:uid="{5493755D-8FE0-BF4A-9FE9-D09826C96E3F}" name="Vtot_initial" dataDxfId="497">
      <calculatedColumnFormula>IF($T59="","",VLOOKUP(CONCATENATE($B$55,"_",$T59),INITIAL_FORET!$AB$40:$AL$55,5,FALSE))</calculatedColumnFormula>
    </tableColumn>
    <tableColumn id="3" xr3:uid="{54E3A9DA-ECFC-F940-8C88-309125DB8C05}" name="Vrec_initial" dataDxfId="496">
      <calculatedColumnFormula>IF($T59="","",VLOOKUP(CONCATENATE($B$55,"_",$T59),INITIAL_FORET!$AB$40:$AL$55,8,FALSE)*U59)</calculatedColumnFormula>
    </tableColumn>
    <tableColumn id="4" xr3:uid="{697B8880-F414-A84C-9174-EC46EA6B62EB}" name="%Risk_ess" dataDxfId="6" dataCellStyle="Pourcentage">
      <calculatedColumnFormula>IF($T59="","",VLOOKUP($T59,INITIAL_FORET!$Q$2:$R$13,2,FALSE))</calculatedColumnFormula>
    </tableColumn>
    <tableColumn id="7" xr3:uid="{D5E9A187-ECBF-2840-932B-668B753B61A6}" name="Vrec_max_ref_reel" dataDxfId="495" dataCellStyle="Pourcentage">
      <calculatedColumnFormula>IF($T59="","",VLOOKUP(CONCATENATE($B$55,"_",$T59),INITIAL_FORET!$AB$40:$AO$55,14,FALSE))</calculatedColumnFormula>
    </tableColumn>
    <tableColumn id="5" xr3:uid="{6DFD082D-0120-3B4A-873C-5FD83F5C60BA}" name="Véli_initial">
      <calculatedColumnFormula>IF($T59="","",VLOOKUP(CONCATENATE($B$55,"_",$T59),INITIAL_FORET!$AB$40:$AL$55,10,FALSE))</calculatedColumnFormula>
    </tableColumn>
    <tableColumn id="6" xr3:uid="{4203D9E0-D368-CC4A-988C-42E3486C1250}" name="Vobj_final" dataDxfId="494">
      <calculatedColumnFormula>IF($T59="","",VLOOKUP(CONCATENATE($B$55,"_",$T59),INITIAL_FORET!$AB$40:$AL$55,11,FALSE))</calculatedColumnFormula>
    </tableColumn>
  </tableColumns>
  <tableStyleInfo name="TableStyleMedium7" showFirstColumn="0" showLastColumn="0" showRowStripes="1" showColumnStripes="0"/>
</table>
</file>

<file path=xl/tables/table1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3E6C29E3-DF50-8242-8C01-958B8D1FC57E}" name="Tableau23" displayName="Tableau23" ref="T85:Z89" totalsRowShown="0">
  <autoFilter ref="T85:Z89" xr:uid="{3E6C29E3-DF50-8242-8C01-958B8D1FC57E}"/>
  <tableColumns count="7">
    <tableColumn id="1" xr3:uid="{316E44CF-5720-414B-9034-93C7B2222B84}" name="Essence" dataDxfId="493">
      <calculatedColumnFormula>IF($D$104=0,"",INITIAL_FORET!AA52)</calculatedColumnFormula>
    </tableColumn>
    <tableColumn id="2" xr3:uid="{EE1F5A7C-171A-6643-B088-356BB1C82919}" name="Vtot_initial" dataDxfId="492">
      <calculatedColumnFormula>IF($T86="","",VLOOKUP(CONCATENATE($B$82,"_",$T86),INITIAL_FORET!$AB$40:$AL$55,5,FALSE))</calculatedColumnFormula>
    </tableColumn>
    <tableColumn id="3" xr3:uid="{F44CF866-10D1-2341-9EBD-82EFC01C02DD}" name="Vrec_initial" dataDxfId="491">
      <calculatedColumnFormula>IF($T86="","",VLOOKUP(CONCATENATE($B$82,"_",$T86),INITIAL_FORET!$AB$40:$AL$55,8,FALSE)*U86)</calculatedColumnFormula>
    </tableColumn>
    <tableColumn id="4" xr3:uid="{4A57EAF4-FF36-B748-B97B-83B775738C5D}" name="%Risk_ess" dataDxfId="5" dataCellStyle="Pourcentage">
      <calculatedColumnFormula>IF($T86="","",VLOOKUP($T86,INITIAL_FORET!$Q$2:$R$13,2,FALSE))</calculatedColumnFormula>
    </tableColumn>
    <tableColumn id="7" xr3:uid="{AC625ED3-D7A3-834E-930E-346B5110198F}" name="Vrec_max_ref_reel" dataDxfId="490" dataCellStyle="Pourcentage">
      <calculatedColumnFormula>IF($T86="","",VLOOKUP(CONCATENATE($B$82,"_",$T86),INITIAL_FORET!$AB$40:$AO$55,14,FALSE))</calculatedColumnFormula>
    </tableColumn>
    <tableColumn id="5" xr3:uid="{B0C7110F-9CA6-304A-ABD4-BC02E388DAEA}" name="Véli_initial">
      <calculatedColumnFormula>IF($T86="","",VLOOKUP(CONCATENATE($B$82,"_",$T86),INITIAL_FORET!$AB$40:$AL$55,10,FALSE))</calculatedColumnFormula>
    </tableColumn>
    <tableColumn id="6" xr3:uid="{AAAB63EE-BEA3-6C4B-9F57-DE4725096CE5}" name="Vobj_final" dataDxfId="489">
      <calculatedColumnFormula>IF($T86="","",VLOOKUP(CONCATENATE($B$82,"_",$T86),INITIAL_FORET!$AB$40:$AL$55,11,FALSE))</calculatedColumnFormula>
    </tableColumn>
  </tableColumns>
  <tableStyleInfo name="TableStyleMedium7"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9" xr:uid="{00000000-000C-0000-FFFF-FFFF2C000000}" name="Tableau46160" displayName="Tableau46160" ref="AP117:AU137" totalsRowShown="0" headerRowDxfId="2079" dataDxfId="2078">
  <autoFilter ref="AP117:AU137" xr:uid="{00000000-0009-0000-0100-00009F000000}"/>
  <tableColumns count="6">
    <tableColumn id="1" xr3:uid="{00000000-0010-0000-2C00-000001000000}" name="Annees" dataDxfId="2077"/>
    <tableColumn id="2" xr3:uid="{00000000-0010-0000-2C00-000002000000}" name="C_BO_sc" dataDxfId="2076">
      <calculatedColumnFormula>SUM(G118,Q118,AA118,AK118)</calculatedColumnFormula>
    </tableColumn>
    <tableColumn id="3" xr3:uid="{00000000-0010-0000-2C00-000003000000}" name="C_BO_ps" dataDxfId="2075">
      <calculatedColumnFormula>SUM(H118,R118,AB118,AL118)</calculatedColumnFormula>
    </tableColumn>
    <tableColumn id="5" xr3:uid="{00000000-0010-0000-2C00-000005000000}" name="C_BI_pap" dataDxfId="2074">
      <calculatedColumnFormula>SUM(I118,S118,AC118,AM118)</calculatedColumnFormula>
    </tableColumn>
    <tableColumn id="6" xr3:uid="{00000000-0010-0000-2C00-000006000000}" name="C_LD" dataDxfId="2073">
      <calculatedColumnFormula>AQ118*VLOOKUP(AQ$117,Tableau17[],4,FALSE)+AR118*VLOOKUP(AR$117,Tableau17[],4,FALSE)+AS118*VLOOKUP(AS$117,Tableau17[],4,FALSE)</calculatedColumnFormula>
    </tableColumn>
    <tableColumn id="7" xr3:uid="{00000000-0010-0000-2C00-000007000000}" name="C_MD" dataDxfId="2072">
      <calculatedColumnFormula>AQ118*VLOOKUP(AQ$117,Tableau17[],3,FALSE)+AR118*VLOOKUP(AR$117,Tableau17[],3,FALSE)+AS118*VLOOKUP(AS$117,Tableau17[],3,FALSE)</calculatedColumnFormula>
    </tableColumn>
  </tableColumns>
  <tableStyleInfo name="TableStyleMedium5" showFirstColumn="0" showLastColumn="0" showRowStripes="1" showColumnStripes="0"/>
</table>
</file>

<file path=xl/tables/table1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A81C2084-994E-0D46-A52A-264F2BA9E7C5}" name="Tableau525" displayName="Tableau525" ref="T11:Z15" totalsRowShown="0">
  <autoFilter ref="T11:Z15" xr:uid="{A81C2084-994E-0D46-A52A-264F2BA9E7C5}"/>
  <tableColumns count="7">
    <tableColumn id="1" xr3:uid="{752F3A7B-3A08-864B-98AE-AB49AF093278}" name="Essence" dataDxfId="488">
      <calculatedColumnFormula>IF(T5="","",T5)</calculatedColumnFormula>
    </tableColumn>
    <tableColumn id="2" xr3:uid="{E4E75792-76E4-B44E-A408-2D5A67526E91}" name="Vtot_initial" dataDxfId="487">
      <calculatedColumnFormula>IF($T12="","",U5/N$3)</calculatedColumnFormula>
    </tableColumn>
    <tableColumn id="3" xr3:uid="{8FA1D530-90A7-4F4C-AD38-FBF32945C79F}" name="Vrec_initial" dataDxfId="486">
      <calculatedColumnFormula>IF($T12="","",V5/N$3)</calculatedColumnFormula>
    </tableColumn>
    <tableColumn id="4" xr3:uid="{ACCF570E-6CFB-7042-8DF4-CF757A0AFFBE}" name="%Risk_ess" dataDxfId="485" dataCellStyle="Pourcentage">
      <calculatedColumnFormula>W5</calculatedColumnFormula>
    </tableColumn>
    <tableColumn id="7" xr3:uid="{97B6179E-F2F1-BD47-8F4A-A28B10058997}" name="Vrec_max_ref_reel" dataDxfId="484" dataCellStyle="Pourcentage">
      <calculatedColumnFormula>IF($T12="","",X5/N$3)</calculatedColumnFormula>
    </tableColumn>
    <tableColumn id="5" xr3:uid="{E4C6D6DE-CAA5-E941-9CAF-FD1C26749EF6}" name="Véli_initial" dataDxfId="483">
      <calculatedColumnFormula>IF($T12="","",Y5/N$3)</calculatedColumnFormula>
    </tableColumn>
    <tableColumn id="6" xr3:uid="{18C36295-DE33-9246-BF1A-E41AB70816BC}" name="Vobj_final" dataDxfId="482">
      <calculatedColumnFormula>IF($T12="","",Z5/N$3)</calculatedColumnFormula>
    </tableColumn>
  </tableColumns>
  <tableStyleInfo name="TableStyleMedium7" showFirstColumn="0" showLastColumn="0" showRowStripes="1" showColumnStripes="0"/>
</table>
</file>

<file path=xl/tables/table1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82907B90-C2A8-2942-ACAA-1A0253516905}" name="Tableau52526" displayName="Tableau52526" ref="T38:Z42" totalsRowShown="0">
  <autoFilter ref="T38:Z42" xr:uid="{82907B90-C2A8-2942-ACAA-1A0253516905}"/>
  <tableColumns count="7">
    <tableColumn id="1" xr3:uid="{096A5799-D3EA-634C-9CC9-B82A3400B972}" name="Essence" dataDxfId="481">
      <calculatedColumnFormula>IF(T32="","",T32)</calculatedColumnFormula>
    </tableColumn>
    <tableColumn id="2" xr3:uid="{4235E0C4-3A94-3E48-9222-401644460CA7}" name="Vtot_initial" dataDxfId="480">
      <calculatedColumnFormula>IF($T39="","",U32/$N$30)</calculatedColumnFormula>
    </tableColumn>
    <tableColumn id="3" xr3:uid="{AE422A4A-5BD3-F145-B6B7-16C8CF04CF83}" name="Vrec_initial" dataDxfId="479">
      <calculatedColumnFormula>IF($T39="","",V32/$N$30)</calculatedColumnFormula>
    </tableColumn>
    <tableColumn id="4" xr3:uid="{2608447B-4641-3743-A1DA-59488BFC352F}" name="%Risk_ess" dataDxfId="478" dataCellStyle="Pourcentage">
      <calculatedColumnFormula>W32</calculatedColumnFormula>
    </tableColumn>
    <tableColumn id="7" xr3:uid="{BC05CED8-1875-644F-B5D5-181209C2AC90}" name="Vrec_max_ref_reel" dataDxfId="477" dataCellStyle="Pourcentage">
      <calculatedColumnFormula>IF($T39="","",X32/$N$30)</calculatedColumnFormula>
    </tableColumn>
    <tableColumn id="5" xr3:uid="{A010D44E-14FA-C546-A46E-92798884D040}" name="Véli_initial" dataDxfId="476">
      <calculatedColumnFormula>IF($T39="","",Y32/$N$30)</calculatedColumnFormula>
    </tableColumn>
    <tableColumn id="6" xr3:uid="{61E1CC13-5FA7-AA4A-A17A-4D8935FA1971}" name="Vobj_final" dataDxfId="475">
      <calculatedColumnFormula>IF($T39="","",Z32/$N$30)</calculatedColumnFormula>
    </tableColumn>
  </tableColumns>
  <tableStyleInfo name="TableStyleMedium7" showFirstColumn="0" showLastColumn="0" showRowStripes="1" showColumnStripes="0"/>
</table>
</file>

<file path=xl/tables/table1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8E10A588-DF5D-4547-8CA3-162241C45E10}" name="Tableau5252629" displayName="Tableau5252629" ref="T65:Z69" totalsRowShown="0">
  <autoFilter ref="T65:Z69" xr:uid="{8E10A588-DF5D-4547-8CA3-162241C45E10}"/>
  <tableColumns count="7">
    <tableColumn id="1" xr3:uid="{4CC2AFE9-310F-8F41-8D56-DC35ED414463}" name="Essence" dataDxfId="474">
      <calculatedColumnFormula>IF(T59="","",T59)</calculatedColumnFormula>
    </tableColumn>
    <tableColumn id="2" xr3:uid="{F01692BC-D366-6741-B6F9-7A4F4D1C7092}" name="Vtot_initial" dataDxfId="473">
      <calculatedColumnFormula>IF($T66="","",U59/$N$57)</calculatedColumnFormula>
    </tableColumn>
    <tableColumn id="3" xr3:uid="{0B6A49B7-44A4-364F-A394-882268025B85}" name="Vrec_initial" dataDxfId="472">
      <calculatedColumnFormula>IF($T66="","",V59/$N$57)</calculatedColumnFormula>
    </tableColumn>
    <tableColumn id="4" xr3:uid="{16411F0F-6A2F-7047-BBDE-97F14482C3D6}" name="%Risk_ess" dataDxfId="471" dataCellStyle="Pourcentage">
      <calculatedColumnFormula>W59</calculatedColumnFormula>
    </tableColumn>
    <tableColumn id="7" xr3:uid="{9E7C04D2-5E58-3542-AD21-135725BB22C5}" name="Vrec_max_ref_reel" dataDxfId="470" dataCellStyle="Pourcentage">
      <calculatedColumnFormula>IF($T66="","",X59/$N$57)</calculatedColumnFormula>
    </tableColumn>
    <tableColumn id="5" xr3:uid="{CDF51E66-5440-2E46-B6C9-374C0C46CB0F}" name="Véli_initial" dataDxfId="469">
      <calculatedColumnFormula>IF($T66="","",Y59/$N$57)</calculatedColumnFormula>
    </tableColumn>
    <tableColumn id="6" xr3:uid="{253AE019-67C2-6847-A789-251AD6B1AF84}" name="Vobj_final" dataDxfId="468">
      <calculatedColumnFormula>IF($T66="","",Z59/$N$57)</calculatedColumnFormula>
    </tableColumn>
  </tableColumns>
  <tableStyleInfo name="TableStyleMedium7" showFirstColumn="0" showLastColumn="0" showRowStripes="1" showColumnStripes="0"/>
</table>
</file>

<file path=xl/tables/table1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4FA930A9-8FDE-8F40-971D-FEA791006752}" name="Tableau5252630" displayName="Tableau5252630" ref="T92:Z96" totalsRowShown="0">
  <autoFilter ref="T92:Z96" xr:uid="{4FA930A9-8FDE-8F40-971D-FEA791006752}"/>
  <tableColumns count="7">
    <tableColumn id="1" xr3:uid="{BC11AE4A-ACAB-BC47-9FE1-4F69414BEA9B}" name="Essence" dataDxfId="467">
      <calculatedColumnFormula>IF(T86="","",T86)</calculatedColumnFormula>
    </tableColumn>
    <tableColumn id="2" xr3:uid="{806E3AE8-39AA-3C48-A604-5B89834364B0}" name="Vtot_initial" dataDxfId="466">
      <calculatedColumnFormula>IF($T93="","",U86/$N$84)</calculatedColumnFormula>
    </tableColumn>
    <tableColumn id="3" xr3:uid="{0F8BE74F-101C-5343-8861-487E8EC2B9C3}" name="Vrec_initial" dataDxfId="465">
      <calculatedColumnFormula>IF($T93="","",V86/$N$84)</calculatedColumnFormula>
    </tableColumn>
    <tableColumn id="4" xr3:uid="{2A6D0286-AEB4-2840-97F7-03A5CF26EBE7}" name="%Risk_ess" dataDxfId="464" dataCellStyle="Pourcentage">
      <calculatedColumnFormula>W86</calculatedColumnFormula>
    </tableColumn>
    <tableColumn id="7" xr3:uid="{2DC81EA4-A9A8-D64F-854E-AB91879D00DF}" name="Vrec_max_ref_reel" dataDxfId="463" dataCellStyle="Pourcentage">
      <calculatedColumnFormula>IF($T93="","",X86/$N$84)</calculatedColumnFormula>
    </tableColumn>
    <tableColumn id="5" xr3:uid="{DD646557-EB2B-E341-A395-8BFCA3CCB7DD}" name="Véli_initial" dataDxfId="462">
      <calculatedColumnFormula>IF($T93="","",Y86/$N$84)</calculatedColumnFormula>
    </tableColumn>
    <tableColumn id="6" xr3:uid="{B9B0306B-A08B-F34C-B641-BA3C25B6BBED}" name="Vobj_final" dataDxfId="461">
      <calculatedColumnFormula>IF($T93="","",Z86/$N$84)</calculatedColumnFormula>
    </tableColumn>
  </tableColumns>
  <tableStyleInfo name="TableStyleMedium7" showFirstColumn="0" showLastColumn="0" showRowStripes="1" showColumnStripes="0"/>
</table>
</file>

<file path=xl/tables/table1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1" xr:uid="{B02093E5-CE46-7F44-B016-BE3F3E79610B}" name="Tableau181" displayName="Tableau181" ref="B24:C26" totalsRowShown="0">
  <autoFilter ref="B24:C26" xr:uid="{B02093E5-CE46-7F44-B016-BE3F3E79610B}"/>
  <tableColumns count="2">
    <tableColumn id="1" xr3:uid="{78410372-9FC9-D74B-9B10-145E0083BE7A}" name="Type risque"/>
    <tableColumn id="2" xr3:uid="{DEBBE33C-A916-7945-8C6A-B8912CF59E65}" name="%risque" dataDxfId="460"/>
  </tableColumns>
  <tableStyleInfo name="TableStyleMedium7" showFirstColumn="0" showLastColumn="0" showRowStripes="1" showColumnStripes="0"/>
</table>
</file>

<file path=xl/tables/table1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3" xr:uid="{418BD794-B641-1B4E-9DF6-0E3BB9FBC0BF}" name="Tableau183" displayName="Tableau183" ref="B34:J38" totalsRowShown="0">
  <autoFilter ref="B34:J38" xr:uid="{418BD794-B641-1B4E-9DF6-0E3BB9FBC0BF}"/>
  <tableColumns count="9">
    <tableColumn id="1" xr3:uid="{58A27F2D-6FF6-034C-A108-38361B50B1B0}" name="Strate" dataDxfId="459"/>
    <tableColumn id="13" xr3:uid="{17D1BBDD-F7EF-E342-AC92-6E8ED47B109F}" name="VEI (m3)" dataDxfId="458">
      <calculatedColumnFormula>SUM(Tableau15615178[VR_max_REF])</calculatedColumnFormula>
    </tableColumn>
    <tableColumn id="12" xr3:uid="{AD122600-4036-E74A-85F9-79F490967D24}" name="CO2E_BRUT" dataDxfId="457">
      <calculatedColumnFormula>SUM(StrateA!C332:E332)</calculatedColumnFormula>
    </tableColumn>
    <tableColumn id="11" xr3:uid="{D55095E0-5B5F-E849-BFFB-7CA12DDD0F1B}" name="- FUITES" dataDxfId="456">
      <calculatedColumnFormula>StrateA!G332</calculatedColumnFormula>
    </tableColumn>
    <tableColumn id="10" xr3:uid="{FD66A1B7-AB02-C546-A2AA-BFCCE287BBFF}" name="- INC" dataDxfId="455">
      <calculatedColumnFormula>StrateA!H332</calculatedColumnFormula>
    </tableColumn>
    <tableColumn id="5" xr3:uid="{8B6A8F5C-5075-FE4B-B543-C5665242D35F}" name="- RNP" dataDxfId="454"/>
    <tableColumn id="16" xr3:uid="{B2652BBF-5AC7-A640-97B5-D5E3CB3FA7A7}" name="CO2E_NET" dataDxfId="453" dataCellStyle="Pourcentage">
      <calculatedColumnFormula>SUM(D35:G35)</calculatedColumnFormula>
    </tableColumn>
    <tableColumn id="7" xr3:uid="{0BBD19C8-9A1E-BE4B-99A3-7D709458B25B}" name="tCO2e/an" dataDxfId="452">
      <calculatedColumnFormula>IF(H35=0,0,H35/20)</calculatedColumnFormula>
    </tableColumn>
    <tableColumn id="8" xr3:uid="{4363F8D8-6B7D-8740-AFD9-010589893AEB}" name="tCO2e/ha.an" dataDxfId="451">
      <calculatedColumnFormula>StrateA!C$337</calculatedColumnFormula>
    </tableColumn>
  </tableColumns>
  <tableStyleInfo name="TableStyleMedium7" showFirstColumn="0" showLastColumn="0" showRowStripes="1" showColumnStripes="0"/>
</table>
</file>

<file path=xl/tables/table1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4" xr:uid="{4FD883E0-6B87-AC44-9097-1366778BD0EB}" name="Tableau168185" displayName="Tableau168185" ref="B3:E8" totalsRowShown="0" headerRowDxfId="450">
  <autoFilter ref="B3:E8" xr:uid="{4FD883E0-6B87-AC44-9097-1366778BD0EB}"/>
  <tableColumns count="4">
    <tableColumn id="1" xr3:uid="{1C084D0D-8599-8143-ADAC-EA39AE59EAC3}" name="Strate" dataDxfId="449"/>
    <tableColumn id="2" xr3:uid="{7C53A035-11A3-A241-ABAA-3D0D6AEA0D97}" name="Vprel_tot_REF" dataDxfId="448">
      <calculatedColumnFormula>SUM(StrateA!$AM$61:$AM$80)</calculatedColumnFormula>
    </tableColumn>
    <tableColumn id="3" xr3:uid="{F8262BCD-414B-8B44-866A-F3107A9F24DE}" name="Vprel_tot_PRJ" dataDxfId="447">
      <calculatedColumnFormula>SUM(StrateA!$AM$177:$AM$196)</calculatedColumnFormula>
    </tableColumn>
    <tableColumn id="4" xr3:uid="{EB20434E-A25A-4840-A03C-AC7E7F8BBBAF}" name="Vol_manquant (m3)" dataDxfId="446">
      <calculatedColumnFormula>C4-D4</calculatedColumnFormula>
    </tableColumn>
  </tableColumns>
  <tableStyleInfo name="TableStyleMedium7" showFirstColumn="0" showLastColumn="0" showRowStripes="1" showColumnStripes="0"/>
</table>
</file>

<file path=xl/tables/table1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0C880D46-C4BC-4B45-BA63-11D72697DB6C}" name="Tableau35" displayName="Tableau35" ref="B16:C20" totalsRowShown="0" headerRowDxfId="445">
  <autoFilter ref="B16:C20" xr:uid="{0C880D46-C4BC-4B45-BA63-11D72697DB6C}"/>
  <tableColumns count="2">
    <tableColumn id="1" xr3:uid="{F2BD8CC5-BE3F-A34F-A211-9F1D47A782B8}" name="Strate" dataDxfId="444"/>
    <tableColumn id="2" xr3:uid="{F92F6682-C802-4B41-BE4B-0EF9D1109545}" name="%_incertitude" dataDxfId="443" dataCellStyle="Pourcentage">
      <calculatedColumnFormula>IF(INITIAL_FORET!M2=0,"",INITIAL_FORET!N2)</calculatedColumnFormula>
    </tableColumn>
  </tableColumns>
  <tableStyleInfo name="TableStyleMedium7" showFirstColumn="0" showLastColumn="0" showRowStripes="1" showColumnStripes="0"/>
</table>
</file>

<file path=xl/tables/table1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C59A816B-E46B-E94F-B299-23B9766809F7}" name="Tableau30" displayName="Tableau30" ref="AI4:AO24" totalsRowShown="0" headerRowDxfId="442" dataDxfId="441" dataCellStyle="Monétaire">
  <autoFilter ref="AI4:AO24" xr:uid="{C59A816B-E46B-E94F-B299-23B9766809F7}"/>
  <tableColumns count="7">
    <tableColumn id="1" xr3:uid="{0F6ACAB0-0387-8845-B338-FA9CDE278D58}" name="Année" dataDxfId="440"/>
    <tableColumn id="2" xr3:uid="{A8D5F74D-C9F3-3E45-A831-290775A8649D}" name="Revenu_net_référence" dataDxfId="439" dataCellStyle="Monétaire">
      <calculatedColumnFormula>SUM(D8,I8,N8,S8,D58,I58,N58,S58,D108,I108,N108,S108,D158,I158,N158,S158)</calculatedColumnFormula>
    </tableColumn>
    <tableColumn id="3" xr3:uid="{D786CD8C-3F1E-7544-813E-38EB970AFA18}" name="Coûts_référence" dataDxfId="438">
      <calculatedColumnFormula>SUM(Y8,Y34,Y60,Y86)</calculatedColumnFormula>
    </tableColumn>
    <tableColumn id="4" xr3:uid="{CA06AF6A-E8C7-DD48-89C8-9254E1F08444}" name="VAN_réf" dataDxfId="437" dataCellStyle="Monétaire">
      <calculatedColumnFormula>IF($AI5=1,AJ5-AK5,((AJ5-AK5)/(1+4.5%)^$AI5))</calculatedColumnFormula>
    </tableColumn>
    <tableColumn id="5" xr3:uid="{00D3E081-3607-D743-BDC1-2363F059496F}" name="Revenu_net_projet" dataDxfId="436" dataCellStyle="Monétaire">
      <calculatedColumnFormula>SUM(D31,I31,N31,S31,D81,I81,N81,S81,D131,I131,N131,S131,D181,I181,N181,S181)</calculatedColumnFormula>
    </tableColumn>
    <tableColumn id="6" xr3:uid="{65063DCA-3694-9D43-B6CE-B9896388DDFB}" name="Coûts_projet" dataDxfId="435">
      <calculatedColumnFormula>SUM(AC8,AC34,AC60,AC86)</calculatedColumnFormula>
    </tableColumn>
    <tableColumn id="7" xr3:uid="{A9F4D048-3CB5-8746-987A-5AF84F2866DE}" name="VAN_projet" dataDxfId="434" dataCellStyle="Monétaire">
      <calculatedColumnFormula>IF($AI5=1,AM5-AN5,((AM5-AN5)/(1+4.5%)^$AI5))</calculatedColumnFormula>
    </tableColumn>
  </tableColumns>
  <tableStyleInfo name="TableStyleMedium7" showFirstColumn="0" showLastColumn="0" showRowStripes="1" showColumnStripes="0"/>
</table>
</file>

<file path=xl/tables/table1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9" xr:uid="{00000000-000C-0000-FFFF-FFFF00000000}" name="Do_1123" displayName="Do_1123" ref="C4:G39" totalsRowShown="0">
  <autoFilter ref="C4:G39" xr:uid="{00000000-0009-0000-0100-000081000000}"/>
  <tableColumns count="5">
    <tableColumn id="1" xr3:uid="{00000000-0010-0000-0000-000001000000}" name="AGE"/>
    <tableColumn id="2" xr3:uid="{00000000-0010-0000-0000-000002000000}" name="V_av"/>
    <tableColumn id="3" xr3:uid="{00000000-0010-0000-0000-000003000000}" name="V_prel"/>
    <tableColumn id="4" xr3:uid="{00000000-0010-0000-0000-000004000000}" name="V_ap"/>
    <tableColumn id="5" xr3:uid="{E29DA51F-26E4-CF4D-AF18-FCC8840AD8D8}" name="Acct (%)" dataDxfId="433" dataCellStyle="Pourcentage">
      <calculatedColumnFormula>(D5-D4)/D5</calculatedColumnFormula>
    </tableColumn>
  </tableColumns>
  <tableStyleInfo name="TableStyleMedium3"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0" xr:uid="{00000000-000C-0000-FFFF-FFFF2D000000}" name="Tableau123159161" displayName="Tableau123159161" ref="B176:H196" totalsRowShown="0" headerRowDxfId="2071" dataDxfId="2070">
  <autoFilter ref="B176:H196" xr:uid="{00000000-0009-0000-0100-0000A0000000}"/>
  <tableColumns count="7">
    <tableColumn id="1" xr3:uid="{00000000-0010-0000-2D00-000001000000}" name="Annees" dataDxfId="2069"/>
    <tableColumn id="2" xr3:uid="{00000000-0010-0000-2D00-000002000000}" name="VE" dataDxfId="2068"/>
    <tableColumn id="3" xr3:uid="{00000000-0010-0000-2D00-000003000000}" name="Vprel" dataDxfId="2067">
      <calculatedColumnFormula>IF(OR(C177="",C177=0),0,IF(B177=1,((VLOOKUP(B$174,$G$4:$N$7,6,FALSE)-VLOOKUP(B$174,$G$4:$N$7,8,FALSE))/20),((VLOOKUP(B$174,$G$4:$N$7,6,FALSE)-VLOOKUP(B$174,$G$4:$N$7,8,FALSE))/20)+C177-E176))</calculatedColumnFormula>
    </tableColumn>
    <tableColumn id="4" xr3:uid="{00000000-0010-0000-2D00-000004000000}" name="VF" dataDxfId="2066">
      <calculatedColumnFormula>IF(C177="",0,C177-D177)</calculatedColumnFormula>
    </tableColumn>
    <tableColumn id="7" xr3:uid="{00000000-0010-0000-2D00-000007000000}" name="BA" dataDxfId="2065">
      <calculatedColumnFormula>IF(Tableau123159161[[#This Row],[VF]]=0,0,Tableau123159161[[#This Row],[VF]]*C$58)</calculatedColumnFormula>
    </tableColumn>
    <tableColumn id="6" xr3:uid="{00000000-0010-0000-2D00-000006000000}" name="BR" dataDxfId="2064">
      <calculatedColumnFormula>IF(F177&gt;0,EXP(-1.0587+0.8836*LN(F177)+0.284),0)</calculatedColumnFormula>
    </tableColumn>
    <tableColumn id="5" xr3:uid="{00000000-0010-0000-2D00-000005000000}" name="CO2e_VE" dataDxfId="2063">
      <calculatedColumnFormula>SUM(F177:G177)*0.475*44/12</calculatedColumnFormula>
    </tableColumn>
  </tableColumns>
  <tableStyleInfo name="TableStyleMedium5" showFirstColumn="0" showLastColumn="0" showRowStripes="1" showColumnStripes="0"/>
</table>
</file>

<file path=xl/tables/table1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0" xr:uid="{00000000-000C-0000-FFFF-FFFF01000000}" name="Ps_1126" displayName="Ps_1126" ref="C241:G279" totalsRowShown="0" headerRowCellStyle="Normal 2" dataCellStyle="Normal 2">
  <autoFilter ref="C241:G279" xr:uid="{00000000-0009-0000-0100-000082000000}"/>
  <tableColumns count="5">
    <tableColumn id="1" xr3:uid="{00000000-0010-0000-0100-000001000000}" name="AGE" dataCellStyle="Normal 2"/>
    <tableColumn id="2" xr3:uid="{00000000-0010-0000-0100-000002000000}" name="V_av" dataCellStyle="Normal 2"/>
    <tableColumn id="3" xr3:uid="{00000000-0010-0000-0100-000003000000}" name="V_prel" dataCellStyle="Normal 2"/>
    <tableColumn id="4" xr3:uid="{00000000-0010-0000-0100-000004000000}" name="V_ap" dataCellStyle="Normal 2"/>
    <tableColumn id="5" xr3:uid="{4F05E1CD-89F5-8C4B-A68D-62FEF7327552}" name="Acct (%)" dataCellStyle="Pourcentage"/>
  </tableColumns>
  <tableStyleInfo name="TableStyleMedium3" showFirstColumn="0" showLastColumn="0" showRowStripes="1" showColumnStripes="0"/>
</table>
</file>

<file path=xl/tables/table1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1" xr:uid="{00000000-000C-0000-FFFF-FFFF02000000}" name="Plc_1131" displayName="Plc_1131" ref="C283:G321" totalsRowShown="0" headerRowCellStyle="Normal 2" dataCellStyle="Normal 2">
  <autoFilter ref="C283:G321" xr:uid="{00000000-0009-0000-0100-000083000000}"/>
  <tableColumns count="5">
    <tableColumn id="1" xr3:uid="{00000000-0010-0000-0200-000001000000}" name="AGE" dataCellStyle="Normal 2"/>
    <tableColumn id="2" xr3:uid="{00000000-0010-0000-0200-000002000000}" name="V_av" dataCellStyle="Normal 2"/>
    <tableColumn id="3" xr3:uid="{00000000-0010-0000-0200-000003000000}" name="V_prel" dataCellStyle="Normal 2"/>
    <tableColumn id="4" xr3:uid="{00000000-0010-0000-0200-000004000000}" name="V_ap" dataCellStyle="Normal 2"/>
    <tableColumn id="5" xr3:uid="{15B5964D-9BFA-6F44-B171-342FFDC7DD79}" name="Acct (%)" dataCellStyle="Pourcentage"/>
  </tableColumns>
  <tableStyleInfo name="TableStyleMedium3" showFirstColumn="0" showLastColumn="0" showRowStripes="1" showColumnStripes="0"/>
</table>
</file>

<file path=xl/tables/table1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2" xr:uid="{00000000-000C-0000-FFFF-FFFF03000000}" name="Pn_1134" displayName="Pn_1134" ref="C324:G362" totalsRowShown="0" headerRowCellStyle="Normal 2" dataCellStyle="Normal 2">
  <autoFilter ref="C324:G362" xr:uid="{00000000-0009-0000-0100-000084000000}"/>
  <tableColumns count="5">
    <tableColumn id="1" xr3:uid="{00000000-0010-0000-0300-000001000000}" name="AGE" dataCellStyle="Normal 2"/>
    <tableColumn id="2" xr3:uid="{00000000-0010-0000-0300-000002000000}" name="V_av" dataCellStyle="Normal 2"/>
    <tableColumn id="3" xr3:uid="{00000000-0010-0000-0300-000003000000}" name="V_prel" dataCellStyle="Normal 2"/>
    <tableColumn id="4" xr3:uid="{00000000-0010-0000-0300-000004000000}" name="V_ap" dataCellStyle="Normal 2"/>
    <tableColumn id="5" xr3:uid="{42D682D0-821C-9740-BF54-1223D0E3BA11}" name="Acct (%)" dataCellStyle="Pourcentage"/>
  </tableColumns>
  <tableStyleInfo name="TableStyleMedium3" showFirstColumn="0" showLastColumn="0" showRowStripes="1" showColumnStripes="0"/>
</table>
</file>

<file path=xl/tables/table1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3" xr:uid="{00000000-000C-0000-FFFF-FFFF04000000}" name="Ec_1138" displayName="Ec_1138" ref="C365:G405" totalsRowShown="0" headerRowCellStyle="Normal 2" dataCellStyle="Normal 2">
  <autoFilter ref="C365:G405" xr:uid="{00000000-0009-0000-0100-000085000000}"/>
  <tableColumns count="5">
    <tableColumn id="1" xr3:uid="{00000000-0010-0000-0400-000001000000}" name="AGE" dataCellStyle="Normal 2"/>
    <tableColumn id="2" xr3:uid="{00000000-0010-0000-0400-000002000000}" name="V_av" dataCellStyle="Normal 2"/>
    <tableColumn id="3" xr3:uid="{00000000-0010-0000-0400-000003000000}" name="V_prel" dataCellStyle="Normal 2"/>
    <tableColumn id="4" xr3:uid="{00000000-0010-0000-0400-000004000000}" name="V_ap" dataCellStyle="Normal 2"/>
    <tableColumn id="5" xr3:uid="{A709DE4F-C159-5D42-B490-1B10DA3AFFFF}" name="Acct (%)" dataCellStyle="Pourcentage"/>
  </tableColumns>
  <tableStyleInfo name="TableStyleMedium3" showFirstColumn="0" showLastColumn="0" showRowStripes="1" showColumnStripes="0"/>
</table>
</file>

<file path=xl/tables/table1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4" xr:uid="{00000000-000C-0000-FFFF-FFFF05000000}" name="Do_mc_1144" displayName="Do_mc_1144" ref="C46:G84" totalsRowShown="0" headerRowCellStyle="Normal 2" dataCellStyle="Normal 2">
  <autoFilter ref="C46:G84" xr:uid="{00000000-0009-0000-0100-000086000000}"/>
  <tableColumns count="5">
    <tableColumn id="1" xr3:uid="{00000000-0010-0000-0500-000001000000}" name="AGE" dataCellStyle="Normal 2"/>
    <tableColumn id="2" xr3:uid="{00000000-0010-0000-0500-000002000000}" name="V_av" dataCellStyle="Normal 2"/>
    <tableColumn id="3" xr3:uid="{00000000-0010-0000-0500-000003000000}" name="V_prel" dataCellStyle="Normal 2"/>
    <tableColumn id="4" xr3:uid="{00000000-0010-0000-0500-000004000000}" name="V_ap" dataCellStyle="Normal 2"/>
    <tableColumn id="5" xr3:uid="{550FA026-A5C0-EA49-A4FE-722E599D9752}" name="Acct (%)" dataCellStyle="Pourcentage"/>
  </tableColumns>
  <tableStyleInfo name="TableStyleMedium3" showFirstColumn="0" showLastColumn="0" showRowStripes="1" showColumnStripes="0"/>
</table>
</file>

<file path=xl/tables/table1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5" xr:uid="{00000000-000C-0000-FFFF-FFFF06000000}" name="Pm_1147" displayName="Pm_1147" ref="C409:G448" totalsRowShown="0" headerRowCellStyle="Normal 2" dataCellStyle="Normal 2">
  <autoFilter ref="C409:G448" xr:uid="{00000000-0009-0000-0100-000087000000}"/>
  <tableColumns count="5">
    <tableColumn id="1" xr3:uid="{00000000-0010-0000-0600-000001000000}" name="AGE" dataCellStyle="Normal 2"/>
    <tableColumn id="2" xr3:uid="{00000000-0010-0000-0600-000002000000}" name="V_av" dataCellStyle="Normal 2"/>
    <tableColumn id="3" xr3:uid="{00000000-0010-0000-0600-000003000000}" name="V_prel" dataDxfId="432" dataCellStyle="Normal 2"/>
    <tableColumn id="4" xr3:uid="{00000000-0010-0000-0600-000004000000}" name="V_ap" dataDxfId="431" dataCellStyle="Normal 2"/>
    <tableColumn id="5" xr3:uid="{DF520C17-55AF-0843-B130-973016B142B6}" name="Acct (%)" dataCellStyle="Pourcentage"/>
  </tableColumns>
  <tableStyleInfo name="TableStyleMedium3" showFirstColumn="0" showLastColumn="0" showRowStripes="1" showColumnStripes="0"/>
</table>
</file>

<file path=xl/tables/table1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6" xr:uid="{00000000-000C-0000-FFFF-FFFF07000000}" name="Ce_1152" displayName="Ce_1152" ref="C451:G488" totalsRowShown="0" headerRowCellStyle="Normal 2" dataCellStyle="Normal 2">
  <autoFilter ref="C451:G488" xr:uid="{00000000-0009-0000-0100-000088000000}"/>
  <tableColumns count="5">
    <tableColumn id="1" xr3:uid="{00000000-0010-0000-0700-000001000000}" name="AGE" dataCellStyle="Normal 2"/>
    <tableColumn id="2" xr3:uid="{00000000-0010-0000-0700-000002000000}" name="V_av" dataCellStyle="Normal 2"/>
    <tableColumn id="3" xr3:uid="{00000000-0010-0000-0700-000003000000}" name="V_prel" dataCellStyle="Normal 2"/>
    <tableColumn id="4" xr3:uid="{00000000-0010-0000-0700-000004000000}" name="V_ap" dataCellStyle="Normal 2"/>
    <tableColumn id="5" xr3:uid="{AD00D72C-D352-B144-83B4-22F2AE7FF6B7}" name="Acct (%)" dataCellStyle="Pourcentage"/>
  </tableColumns>
  <tableStyleInfo name="TableStyleMedium3" showFirstColumn="0" showLastColumn="0" showRowStripes="1" showColumnStripes="0"/>
</table>
</file>

<file path=xl/tables/table1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7" xr:uid="{00000000-000C-0000-FFFF-FFFF08000000}" name="He_9156" displayName="He_9156" ref="C494:G549" totalsRowShown="0" headerRowCellStyle="Normal 2" dataCellStyle="Normal 2">
  <autoFilter ref="C494:G549" xr:uid="{00000000-0009-0000-0100-000089000000}"/>
  <tableColumns count="5">
    <tableColumn id="1" xr3:uid="{00000000-0010-0000-0800-000001000000}" name="AGE" dataCellStyle="Normal 2"/>
    <tableColumn id="2" xr3:uid="{00000000-0010-0000-0800-000002000000}" name="V_av" dataCellStyle="Normal 2"/>
    <tableColumn id="3" xr3:uid="{00000000-0010-0000-0800-000003000000}" name="V_prel" dataCellStyle="Normal 2"/>
    <tableColumn id="4" xr3:uid="{00000000-0010-0000-0800-000004000000}" name="V_ap" dataCellStyle="Normal 2"/>
    <tableColumn id="5" xr3:uid="{E232B05A-E06E-BD49-B165-7F2CB6B71A5A}" name="Acct (%)" dataCellStyle="Pourcentage"/>
  </tableColumns>
  <tableStyleInfo name="TableStyleMedium3" showFirstColumn="0" showLastColumn="0" showRowStripes="1" showColumnStripes="0"/>
</table>
</file>

<file path=xl/tables/table1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8" xr:uid="{00000000-000C-0000-FFFF-FFFF09000000}" name="He_10160" displayName="He_10160" ref="C552:G607" totalsRowShown="0" headerRowCellStyle="Normal 2" dataCellStyle="Normal 2">
  <autoFilter ref="C552:G607" xr:uid="{00000000-0009-0000-0100-00008A000000}"/>
  <tableColumns count="5">
    <tableColumn id="1" xr3:uid="{00000000-0010-0000-0900-000001000000}" name="AGE" dataCellStyle="Normal 2"/>
    <tableColumn id="2" xr3:uid="{00000000-0010-0000-0900-000002000000}" name="V_av" dataCellStyle="Normal 2"/>
    <tableColumn id="3" xr3:uid="{00000000-0010-0000-0900-000003000000}" name="V_prel" dataCellStyle="Normal 2"/>
    <tableColumn id="4" xr3:uid="{00000000-0010-0000-0900-000004000000}" name="V_ap" dataCellStyle="Normal 2"/>
    <tableColumn id="5" xr3:uid="{5BA9D686-6FB5-484F-82D6-C6E59197DC16}" name="Acct (%)" dataCellStyle="Pourcentage"/>
  </tableColumns>
  <tableStyleInfo name="TableStyleMedium3" showFirstColumn="0" showLastColumn="0" showRowStripes="1" showColumnStripes="0"/>
</table>
</file>

<file path=xl/tables/table1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9" xr:uid="{00000000-000C-0000-FFFF-FFFF0A000000}" name="Ch_0164" displayName="Ch_0164" ref="C610:G666" totalsRowShown="0" headerRowCellStyle="Normal 2" dataCellStyle="Normal 2">
  <autoFilter ref="C610:G666" xr:uid="{00000000-0009-0000-0100-00008B000000}"/>
  <tableColumns count="5">
    <tableColumn id="1" xr3:uid="{00000000-0010-0000-0A00-000001000000}" name="AGE" dataCellStyle="Normal 2"/>
    <tableColumn id="2" xr3:uid="{00000000-0010-0000-0A00-000002000000}" name="V_av" dataCellStyle="Normal 2"/>
    <tableColumn id="3" xr3:uid="{00000000-0010-0000-0A00-000003000000}" name="V_prel" dataCellStyle="Normal 2"/>
    <tableColumn id="4" xr3:uid="{00000000-0010-0000-0A00-000004000000}" name="V_ap" dataCellStyle="Normal 2"/>
    <tableColumn id="5" xr3:uid="{7F3A1098-6F45-EC40-907F-C56A8A3DC3C3}" name="Acct (%)" dataCellStyle="Pourcentage"/>
  </tableColumns>
  <tableStyleInfo name="TableStyleMedium3"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7" xr:uid="{8F22B518-89A3-EC4A-9E5D-DF57767E16B7}" name="Tableau227" displayName="Tableau227" ref="C5:E9" totalsRowShown="0" dataDxfId="2261">
  <autoFilter ref="C5:E9" xr:uid="{8F22B518-89A3-EC4A-9E5D-DF57767E16B7}"/>
  <tableColumns count="3">
    <tableColumn id="1" xr3:uid="{AE856F3C-1C1A-BF47-AAF5-5CC19B361E2A}" name="STRATE" dataDxfId="2260"/>
    <tableColumn id="2" xr3:uid="{B2D31A02-E421-5A43-8EBD-BCA0441885F3}" name="VOL_MAJ" dataDxfId="2259"/>
    <tableColumn id="3" xr3:uid="{B0F07354-4CD4-CD47-9A9C-2D7A15D26ADB}" name="ESS_MAJ" dataDxfId="2258"/>
  </tableColumns>
  <tableStyleInfo name="TableStyleMedium5"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1" xr:uid="{00000000-000C-0000-FFFF-FFFF2E000000}" name="Tableau12163260162" displayName="Tableau12163260162" ref="B232:I252" totalsRowShown="0" headerRowDxfId="2062" dataDxfId="2061">
  <autoFilter ref="B232:I252" xr:uid="{00000000-0009-0000-0100-0000A1000000}"/>
  <tableColumns count="8">
    <tableColumn id="1" xr3:uid="{00000000-0010-0000-2E00-000001000000}" name="Annees" dataDxfId="2060"/>
    <tableColumn id="2" xr3:uid="{00000000-0010-0000-2E00-000002000000}" name="V_prel" dataDxfId="2059">
      <calculatedColumnFormula>D177</calculatedColumnFormula>
    </tableColumn>
    <tableColumn id="7" xr3:uid="{00000000-0010-0000-2E00-000007000000}" name="C_prel" dataDxfId="2058">
      <calculatedColumnFormula>IF(OR(C233="",C233=0),0,C233*C$174*0.475)</calculatedColumnFormula>
    </tableColumn>
    <tableColumn id="9" xr3:uid="{00000000-0010-0000-2E00-000009000000}" name="C_BE" dataDxfId="2057">
      <calculatedColumnFormula>IF(OR(D233=0,D233="",B$116=0),0,D233*INDEX(Listes!$K$1:$Q$12,MATCH(B$116,Listes!$K$1:$K$12,0),MATCH(E$117,Listes!$K$1:$Q$1,0)))</calculatedColumnFormula>
    </tableColumn>
    <tableColumn id="8" xr3:uid="{00000000-0010-0000-2E00-000008000000}" name="C_val" dataDxfId="2056">
      <calculatedColumnFormula>D233-E233</calculatedColumnFormula>
    </tableColumn>
    <tableColumn id="3" xr3:uid="{00000000-0010-0000-2E00-000003000000}" name="C_BO_sc" dataDxfId="2055">
      <calculatedColumnFormula>IF(OR(B$231=0,B$231=""),0,F233*INDEX(Listes!$K$15:$P$26,MATCH(B$231,Listes!$K$15:$K$26,0),MATCH(G$232,Listes!$K$15:$P$15,0))*INDEX(Listes!$K$29:$O$31,MATCH(C$231,Listes!$K$29:$K$31,0),MATCH(G$232,Listes!$K$29:$O$29,0)))</calculatedColumnFormula>
    </tableColumn>
    <tableColumn id="4" xr3:uid="{00000000-0010-0000-2E00-000004000000}" name="C_BO_ps" dataDxfId="2054">
      <calculatedColumnFormula>IF(OR(B$231=0,B$231=""),0,F233*INDEX(Listes!$K$15:$P$26,MATCH(B$231,Listes!$K$15:$K$26,0),MATCH(H$232,Listes!$K$15:$P$15,0))*INDEX(Listes!$K$29:$O$31,MATCH(C$231,Listes!$K$29:$K$31,0),MATCH(H$232,Listes!$K$29:$O$29,0)))</calculatedColumnFormula>
    </tableColumn>
    <tableColumn id="6" xr3:uid="{00000000-0010-0000-2E00-000006000000}" name="C_BI_pap" dataDxfId="2053">
      <calculatedColumnFormula>IF(OR(B$231=0,B$231=""),0,F233*INDEX(Listes!$K$15:$P$26,MATCH(B$231,Listes!$K$15:$K$26,0),MATCH(I$232,Listes!$K$15:$P$15,0))*INDEX(Listes!$K$29:$O$31,MATCH(C$231,Listes!$K$29:$K$31,0),MATCH(I$232,Listes!$K$29:$O$29,0)))</calculatedColumnFormula>
    </tableColumn>
  </tableColumns>
  <tableStyleInfo name="TableStyleMedium5" showFirstColumn="0" showLastColumn="0" showRowStripes="1" showColumnStripes="0"/>
</table>
</file>

<file path=xl/tables/table2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0" xr:uid="{00000000-000C-0000-FFFF-FFFF0B000000}" name="ChA_1165" displayName="ChA_1165" ref="C704:G750" totalsRowShown="0" headerRowCellStyle="Normal 2" dataCellStyle="Normal 2">
  <autoFilter ref="C704:G750" xr:uid="{00000000-0009-0000-0100-00008C000000}"/>
  <tableColumns count="5">
    <tableColumn id="1" xr3:uid="{00000000-0010-0000-0B00-000001000000}" name="AGE" dataCellStyle="Normal 2"/>
    <tableColumn id="2" xr3:uid="{00000000-0010-0000-0B00-000002000000}" name="V_av" dataCellStyle="Normal 2"/>
    <tableColumn id="3" xr3:uid="{00000000-0010-0000-0B00-000003000000}" name="V_prel" dataCellStyle="Normal 2"/>
    <tableColumn id="4" xr3:uid="{00000000-0010-0000-0B00-000004000000}" name="V_ap" dataCellStyle="Normal 2"/>
    <tableColumn id="5" xr3:uid="{FFE6BBC6-A7C2-0742-88FB-351E1DDEEA48}" name="Acct (%)" dataCellStyle="Pourcentage"/>
  </tableColumns>
  <tableStyleInfo name="TableStyleMedium3" showFirstColumn="0" showLastColumn="0" showRowStripes="1" showColumnStripes="0"/>
</table>
</file>

<file path=xl/tables/table2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1" xr:uid="{00000000-000C-0000-FFFF-FFFF0C000000}" name="ChC_dy_1168" displayName="ChC_dy_1168" ref="C758:G805" totalsRowShown="0" headerRowCellStyle="Normal 2" dataCellStyle="Normal 2">
  <autoFilter ref="C758:G805" xr:uid="{00000000-0009-0000-0100-00008D000000}"/>
  <tableColumns count="5">
    <tableColumn id="1" xr3:uid="{00000000-0010-0000-0C00-000001000000}" name="AGE" dataCellStyle="Normal 2"/>
    <tableColumn id="2" xr3:uid="{00000000-0010-0000-0C00-000002000000}" name="V_av" dataCellStyle="Normal 2"/>
    <tableColumn id="3" xr3:uid="{00000000-0010-0000-0C00-000003000000}" name="V_prel" dataCellStyle="Normal 2"/>
    <tableColumn id="4" xr3:uid="{00000000-0010-0000-0C00-000004000000}" name="V_ap" dataCellStyle="Normal 2"/>
    <tableColumn id="5" xr3:uid="{8A5637E3-D5A7-A549-9397-838D00EDA68F}" name="Acct (%)" dataCellStyle="Pourcentage"/>
  </tableColumns>
  <tableStyleInfo name="TableStyleMedium3" showFirstColumn="0" showLastColumn="0" showRowStripes="1" showColumnStripes="0"/>
</table>
</file>

<file path=xl/tables/table2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2" xr:uid="{00000000-000C-0000-FFFF-FFFF0D000000}" name="ChC_1171" displayName="ChC_1171" ref="C808:G857" totalsRowShown="0" headerRowCellStyle="Normal 2" dataCellStyle="Normal 2">
  <autoFilter ref="C808:G857" xr:uid="{00000000-0009-0000-0100-00008E000000}"/>
  <tableColumns count="5">
    <tableColumn id="1" xr3:uid="{00000000-0010-0000-0D00-000001000000}" name="AGE" dataCellStyle="Normal 2"/>
    <tableColumn id="2" xr3:uid="{00000000-0010-0000-0D00-000002000000}" name="V_av" dataCellStyle="Normal 2"/>
    <tableColumn id="3" xr3:uid="{00000000-0010-0000-0D00-000003000000}" name="V_prel" dataCellStyle="Normal 2"/>
    <tableColumn id="4" xr3:uid="{00000000-0010-0000-0D00-000004000000}" name="V_ap" dataCellStyle="Normal 2"/>
    <tableColumn id="5" xr3:uid="{E670716E-5BE6-054E-B40B-9976761302D5}" name="Acct (%)" dataCellStyle="Pourcentage"/>
  </tableColumns>
  <tableStyleInfo name="TableStyleMedium3" showFirstColumn="0" showLastColumn="0" showRowStripes="1" showColumnStripes="0"/>
</table>
</file>

<file path=xl/tables/table2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3" xr:uid="{00000000-000C-0000-FFFF-FFFF0E000000}" name="Cht_0173" displayName="Cht_0173" ref="C860:G905" totalsRowShown="0" headerRowDxfId="430" dataDxfId="429" headerRowCellStyle="Normal 2" dataCellStyle="Normal 2">
  <autoFilter ref="C860:G905" xr:uid="{00000000-0009-0000-0100-00008F000000}"/>
  <tableColumns count="5">
    <tableColumn id="1" xr3:uid="{00000000-0010-0000-0E00-000001000000}" name="AGE" dataDxfId="428" dataCellStyle="Normal 2"/>
    <tableColumn id="2" xr3:uid="{00000000-0010-0000-0E00-000002000000}" name="V_av" dataDxfId="427" dataCellStyle="Normal 2"/>
    <tableColumn id="3" xr3:uid="{00000000-0010-0000-0E00-000003000000}" name="V_prel" dataDxfId="426" dataCellStyle="Normal 2"/>
    <tableColumn id="4" xr3:uid="{00000000-0010-0000-0E00-000004000000}" name="V_ap" dataDxfId="425" dataCellStyle="Normal 2"/>
    <tableColumn id="5" xr3:uid="{A89642FB-38DA-CC42-AD2C-3D273FB08127}" name="Acct (%)" dataDxfId="424" dataCellStyle="Pourcentage"/>
  </tableColumns>
  <tableStyleInfo name="TableStyleMedium6" showFirstColumn="0" showLastColumn="0" showRowStripes="1" showColumnStripes="0"/>
</table>
</file>

<file path=xl/tables/table2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4" xr:uid="{00000000-000C-0000-FFFF-FFFF0F000000}" name="Pe_0175" displayName="Pe_0175" ref="C910:G940" totalsRowShown="0" headerRowDxfId="423" dataDxfId="422" headerRowCellStyle="Normal 2" dataCellStyle="Normal 2">
  <autoFilter ref="C910:G940" xr:uid="{00000000-0009-0000-0100-000090000000}"/>
  <tableColumns count="5">
    <tableColumn id="1" xr3:uid="{00000000-0010-0000-0F00-000001000000}" name="AGE" dataDxfId="421" dataCellStyle="Normal 2"/>
    <tableColumn id="2" xr3:uid="{00000000-0010-0000-0F00-000002000000}" name="V_av" dataDxfId="420" dataCellStyle="Normal 2"/>
    <tableColumn id="3" xr3:uid="{00000000-0010-0000-0F00-000003000000}" name="V_prel" dataDxfId="419" dataCellStyle="Normal 2"/>
    <tableColumn id="4" xr3:uid="{00000000-0010-0000-0F00-000004000000}" name="V_ap" dataDxfId="418" dataCellStyle="Normal 2"/>
    <tableColumn id="5" xr3:uid="{EA6093B0-4519-6744-9D98-5281A3F9494B}" name="Acct (%)" dataDxfId="417" dataCellStyle="Pourcentage"/>
  </tableColumns>
  <tableStyleInfo name="TableStyleMedium3" showFirstColumn="0" showLastColumn="0" showRowStripes="1" showColumnStripes="0"/>
</table>
</file>

<file path=xl/tables/table2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6" xr:uid="{00000000-000C-0000-FFFF-FFFF11000000}" name="Mz_1178" displayName="Mz_1178" ref="C205:G237" totalsRowShown="0">
  <autoFilter ref="C205:G237" xr:uid="{00000000-0009-0000-0100-000092000000}"/>
  <tableColumns count="5">
    <tableColumn id="1" xr3:uid="{00000000-0010-0000-1100-000001000000}" name="AGE"/>
    <tableColumn id="2" xr3:uid="{00000000-0010-0000-1100-000002000000}" name="V_av"/>
    <tableColumn id="3" xr3:uid="{00000000-0010-0000-1100-000003000000}" name="V_prel"/>
    <tableColumn id="4" xr3:uid="{00000000-0010-0000-1100-000004000000}" name="V_ap"/>
    <tableColumn id="5" xr3:uid="{52A1A8FE-5493-614C-88F2-81C8ABF3C4D3}" name="Acct (%)" dataCellStyle="Pourcentage"/>
  </tableColumns>
  <tableStyleInfo name="TableStyleMedium3" showFirstColumn="0" showLastColumn="0" showRowStripes="1" showColumnStripes="0"/>
</table>
</file>

<file path=xl/tables/table2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7" xr:uid="{00000000-000C-0000-FFFF-FFFF12000000}" name="Pe_I214_1181" displayName="Pe_I214_1181" ref="C945:G975" totalsRowShown="0" headerRowDxfId="416" dataDxfId="415" headerRowCellStyle="Normal 2" dataCellStyle="Normal 2">
  <autoFilter ref="C945:G975" xr:uid="{00000000-0009-0000-0100-000093000000}"/>
  <tableColumns count="5">
    <tableColumn id="1" xr3:uid="{00000000-0010-0000-1200-000001000000}" name="AGE" dataDxfId="414" dataCellStyle="Normal 2"/>
    <tableColumn id="2" xr3:uid="{00000000-0010-0000-1200-000002000000}" name="V_av" dataDxfId="413" dataCellStyle="Normal 2"/>
    <tableColumn id="3" xr3:uid="{00000000-0010-0000-1200-000003000000}" name="V_prel" dataDxfId="412" dataCellStyle="Normal 2"/>
    <tableColumn id="4" xr3:uid="{00000000-0010-0000-1200-000004000000}" name="V_ap" dataDxfId="411" dataCellStyle="Normal 2"/>
    <tableColumn id="5" xr3:uid="{802976A2-FA64-4343-A718-C37743400358}" name="Acct (%)" dataDxfId="410" dataCellStyle="Pourcentage"/>
  </tableColumns>
  <tableStyleInfo name="TableStyleMedium3" showFirstColumn="0" showLastColumn="0" showRowStripes="1" showColumnStripes="0"/>
</table>
</file>

<file path=xl/tables/table2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8" xr:uid="{00000000-000C-0000-FFFF-FFFF13000000}" name="Pe_Rob_1184" displayName="Pe_Rob_1184" ref="C979:G1009" totalsRowShown="0" headerRowDxfId="409" dataDxfId="408" headerRowCellStyle="Normal 2" dataCellStyle="Normal 2">
  <autoFilter ref="C979:G1009" xr:uid="{00000000-0009-0000-0100-000094000000}"/>
  <tableColumns count="5">
    <tableColumn id="1" xr3:uid="{00000000-0010-0000-1300-000001000000}" name="AGE" dataDxfId="407" dataCellStyle="Normal 2"/>
    <tableColumn id="2" xr3:uid="{00000000-0010-0000-1300-000002000000}" name="V_av" dataDxfId="406" dataCellStyle="Normal 2"/>
    <tableColumn id="3" xr3:uid="{00000000-0010-0000-1300-000003000000}" name="V_prel" dataDxfId="405" dataCellStyle="Normal 2"/>
    <tableColumn id="4" xr3:uid="{00000000-0010-0000-1300-000004000000}" name="V_ap" dataDxfId="404" dataCellStyle="Normal 2"/>
    <tableColumn id="5" xr3:uid="{797F19D7-6CFB-0F4B-844F-C0EC99247749}" name="Acct (%)" dataDxfId="403" dataCellStyle="Pourcentage"/>
  </tableColumns>
  <tableStyleInfo name="TableStyleMedium3" showFirstColumn="0" showLastColumn="0" showRowStripes="1" showColumnStripes="0"/>
</table>
</file>

<file path=xl/tables/table2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9" xr:uid="{00000000-000C-0000-FFFF-FFFF14000000}" name="Do_1123187" displayName="Do_1123187" ref="I4:M42" totalsRowShown="0">
  <autoFilter ref="I4:M42" xr:uid="{00000000-0009-0000-0100-000095000000}"/>
  <tableColumns count="5">
    <tableColumn id="1" xr3:uid="{00000000-0010-0000-1400-000001000000}" name="AGE"/>
    <tableColumn id="2" xr3:uid="{00000000-0010-0000-1400-000002000000}" name="V_av"/>
    <tableColumn id="3" xr3:uid="{00000000-0010-0000-1400-000003000000}" name="V_prel"/>
    <tableColumn id="4" xr3:uid="{00000000-0010-0000-1400-000004000000}" name="V_ap"/>
    <tableColumn id="5" xr3:uid="{C91D0E13-6EE1-D142-99A5-A8D3DA7743BB}" name="Acct (%)" dataCellStyle="Pourcentage"/>
  </tableColumns>
  <tableStyleInfo name="TableStyleMedium6" showFirstColumn="0" showLastColumn="0" showRowStripes="1" showColumnStripes="0"/>
</table>
</file>

<file path=xl/tables/table2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3" xr:uid="{00000000-000C-0000-FFFF-FFFF15000000}" name="Do_1123187188" displayName="Do_1123187188" ref="O4:S41" totalsRowShown="0">
  <autoFilter ref="O4:S41" xr:uid="{00000000-0009-0000-0100-000099000000}"/>
  <tableColumns count="5">
    <tableColumn id="1" xr3:uid="{00000000-0010-0000-1500-000001000000}" name="AGE"/>
    <tableColumn id="2" xr3:uid="{00000000-0010-0000-1500-000002000000}" name="V_av"/>
    <tableColumn id="3" xr3:uid="{00000000-0010-0000-1500-000003000000}" name="V_prel"/>
    <tableColumn id="4" xr3:uid="{00000000-0010-0000-1500-000004000000}" name="V_ap"/>
    <tableColumn id="5" xr3:uid="{516D266B-FC04-654C-AA15-33418FBA3544}" name="Acct (%)" dataDxfId="402" dataCellStyle="Pourcentage">
      <calculatedColumnFormula>(P5-P4)/P5</calculatedColumnFormula>
    </tableColumn>
  </tableColumns>
  <tableStyleInfo name="TableStyleMedium3"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2" xr:uid="{00000000-000C-0000-FFFF-FFFF2F000000}" name="Tableau1216213461163" displayName="Tableau1216213461163" ref="B259:X279" totalsRowShown="0" headerRowDxfId="2052" dataDxfId="2051">
  <autoFilter ref="B259:X279" xr:uid="{00000000-0009-0000-0100-0000A2000000}"/>
  <tableColumns count="23">
    <tableColumn id="1" xr3:uid="{00000000-0010-0000-2F00-000001000000}" name="Annee" dataDxfId="2050"/>
    <tableColumn id="2" xr3:uid="{00000000-0010-0000-2F00-000002000000}" name="C_LD" dataDxfId="2049">
      <calculatedColumnFormula>AT233+IF($B260=1,0,C259)</calculatedColumnFormula>
    </tableColumn>
    <tableColumn id="3" xr3:uid="{00000000-0010-0000-2F00-000003000000}" name="C_MD_1" dataDxfId="2048">
      <calculatedColumnFormula>IF($B260&gt;=C$256,IF($B260=C$256,C$257,C$257*((20+C$256)-$B260)/20),0)*IF((20+C$256)-$B260&lt;0,0,1)</calculatedColumnFormula>
    </tableColumn>
    <tableColumn id="7" xr3:uid="{00000000-0010-0000-2F00-000007000000}" name="C_MD_2" dataDxfId="2047">
      <calculatedColumnFormula>IF($B260&gt;=D$256,IF($B260=D$256,D$257,D$257*((20+D$256)-$B260)/20),0)*IF((20+D$256)-$B260&lt;0,0,1)</calculatedColumnFormula>
    </tableColumn>
    <tableColumn id="8" xr3:uid="{00000000-0010-0000-2F00-000008000000}" name="C_MD_3" dataDxfId="2046">
      <calculatedColumnFormula>IF($B260&gt;=E$256,IF($B260=E$256,E$257,E$257*((20+E$256)-$B260)/20),0)*IF((20+E$256)-$B260&lt;0,0,1)</calculatedColumnFormula>
    </tableColumn>
    <tableColumn id="9" xr3:uid="{00000000-0010-0000-2F00-000009000000}" name="C_MD_4" dataDxfId="2045">
      <calculatedColumnFormula>IF($B260&gt;=F$256,IF($B260=F$256,F$257,F$257*((20+F$256)-$B260)/20),0)*IF((20+F$256)-$B260&lt;0,0,1)</calculatedColumnFormula>
    </tableColumn>
    <tableColumn id="10" xr3:uid="{00000000-0010-0000-2F00-00000A000000}" name="C_MD_5" dataDxfId="2044">
      <calculatedColumnFormula>IF($B260&gt;=G$256,IF($B260=G$256,G$257,G$257*((20+G$256)-$B260)/20),0)*IF((20+G$256)-$B260&lt;0,0,1)</calculatedColumnFormula>
    </tableColumn>
    <tableColumn id="11" xr3:uid="{00000000-0010-0000-2F00-00000B000000}" name="C_MD_6" dataDxfId="2043">
      <calculatedColumnFormula>IF($B260&gt;=H$256,IF($B260=H$256,H$257,H$257*((20+H$256)-$B260)/20),0)*IF((20+H$256)-$B260&lt;0,0,1)</calculatedColumnFormula>
    </tableColumn>
    <tableColumn id="12" xr3:uid="{00000000-0010-0000-2F00-00000C000000}" name="C_MD_7" dataDxfId="2042">
      <calculatedColumnFormula>IF($B260&gt;=I$256,IF($B260=I$256,I$257,I$257*((20+I$256)-$B260)/20),0)*IF((20+I$256)-$B260&lt;0,0,1)</calculatedColumnFormula>
    </tableColumn>
    <tableColumn id="13" xr3:uid="{00000000-0010-0000-2F00-00000D000000}" name="C_MD_8" dataDxfId="2041">
      <calculatedColumnFormula>IF($B260&gt;=J$256,IF($B260=J$256,J$257,J$257*((20+J$256)-$B260)/20),0)*IF((20+J$256)-$B260&lt;0,0,1)</calculatedColumnFormula>
    </tableColumn>
    <tableColumn id="14" xr3:uid="{00000000-0010-0000-2F00-00000E000000}" name="C_MD_9" dataDxfId="2040">
      <calculatedColumnFormula>IF($B260&gt;=K$256,IF($B260=K$256,K$257,K$257*((20+K$256)-$B260)/20),0)*IF((20+K$256)-$B260&lt;0,0,1)</calculatedColumnFormula>
    </tableColumn>
    <tableColumn id="15" xr3:uid="{00000000-0010-0000-2F00-00000F000000}" name="C_MD_10" dataDxfId="2039">
      <calculatedColumnFormula>IF($B260&gt;=L$256,IF($B260=L$256,L$257,L$257*((20+L$256)-$B260)/20),0)*IF((20+L$256)-$B260&lt;0,0,1)</calculatedColumnFormula>
    </tableColumn>
    <tableColumn id="16" xr3:uid="{00000000-0010-0000-2F00-000010000000}" name="C_MD_11" dataDxfId="2038">
      <calculatedColumnFormula>IF($B260&gt;=M$256,IF($B260=M$256,M$257,M$257*((20+M$256)-$B260)/20),0)*IF((20+M$256)-$B260&lt;0,0,1)</calculatedColumnFormula>
    </tableColumn>
    <tableColumn id="17" xr3:uid="{00000000-0010-0000-2F00-000011000000}" name="C_MD_12" dataDxfId="2037">
      <calculatedColumnFormula>IF($B260&gt;=N$256,IF($B260=N$256,N$257,N$257*((20+N$256)-$B260)/20),0)*IF((20+N$256)-$B260&lt;0,0,1)</calculatedColumnFormula>
    </tableColumn>
    <tableColumn id="18" xr3:uid="{00000000-0010-0000-2F00-000012000000}" name="C_MD_13" dataDxfId="2036">
      <calculatedColumnFormula>IF($B260&gt;=O$256,IF($B260=O$256,O$257,O$257*((20+O$256)-$B260)/20),0)*IF((20+O$256)-$B260&lt;0,0,1)</calculatedColumnFormula>
    </tableColumn>
    <tableColumn id="19" xr3:uid="{00000000-0010-0000-2F00-000013000000}" name="C_MD_14" dataDxfId="2035">
      <calculatedColumnFormula>IF($B260&gt;=P$256,IF($B260=P$256,P$257,P$257*((20+P$256)-$B260)/20),0)*IF((20+P$256)-$B260&lt;0,0,1)</calculatedColumnFormula>
    </tableColumn>
    <tableColumn id="20" xr3:uid="{00000000-0010-0000-2F00-000014000000}" name="C_MD_15" dataDxfId="2034">
      <calculatedColumnFormula>IF($B260&gt;=Q$256,IF($B260=Q$256,Q$257,Q$257*((20+Q$256)-$B260)/20),0)*IF((20+Q$256)-$B260&lt;0,0,1)</calculatedColumnFormula>
    </tableColumn>
    <tableColumn id="21" xr3:uid="{00000000-0010-0000-2F00-000015000000}" name="C_MD_16" dataDxfId="2033">
      <calculatedColumnFormula>IF($B260&gt;=R$256,IF($B260=R$256,R$257,R$257*((20+R$256)-$B260)/20),0)*IF((20+R$256)-$B260&lt;0,0,1)</calculatedColumnFormula>
    </tableColumn>
    <tableColumn id="22" xr3:uid="{00000000-0010-0000-2F00-000016000000}" name="C_MD_17" dataDxfId="2032">
      <calculatedColumnFormula>IF($B260&gt;=S$256,IF($B260=S$256,S$257,S$257*((20+S$256)-$B260)/20),0)*IF((20+S$256)-$B260&lt;0,0,1)</calculatedColumnFormula>
    </tableColumn>
    <tableColumn id="23" xr3:uid="{00000000-0010-0000-2F00-000017000000}" name="C_MD_18" dataDxfId="2031">
      <calculatedColumnFormula>IF($B260&gt;=T$256,IF($B260=T$256,T$257,T$257*((20+T$256)-$B260)/20),0)*IF((20+T$256)-$B260&lt;0,0,1)</calculatedColumnFormula>
    </tableColumn>
    <tableColumn id="24" xr3:uid="{00000000-0010-0000-2F00-000018000000}" name="C_MD_19" dataDxfId="2030">
      <calculatedColumnFormula>IF($B260&gt;=U$256,IF($B260=U$256,U$257,U$257*((20+U$256)-$B260)/20),0)*IF((20+U$256)-$B260&lt;0,0,1)</calculatedColumnFormula>
    </tableColumn>
    <tableColumn id="25" xr3:uid="{00000000-0010-0000-2F00-000019000000}" name="C_MD_20" dataDxfId="2029">
      <calculatedColumnFormula>IF($B260&gt;=V$256,IF($B260=V$256,V$257,V$257*((20+V$256)-$B260)/20),0)*IF((20+V$256)-$B260&lt;0,0,1)</calculatedColumnFormula>
    </tableColumn>
    <tableColumn id="36" xr3:uid="{00000000-0010-0000-2F00-000024000000}" name="CO2e_ST_tot" dataDxfId="2028">
      <calculatedColumnFormula>SUM(C260:W260)*44/12</calculatedColumnFormula>
    </tableColumn>
  </tableColumns>
  <tableStyleInfo name="TableStyleMedium5" showFirstColumn="0" showLastColumn="0" showRowStripes="1" showColumnStripes="0"/>
</table>
</file>

<file path=xl/tables/table2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4" xr:uid="{00000000-000C-0000-FFFF-FFFF16000000}" name="Pe_I214_1181127" displayName="Pe_I214_1181127" ref="I945:M975" totalsRowShown="0" headerRowCellStyle="Normal 2" dataCellStyle="Normal 2">
  <autoFilter ref="I945:M975" xr:uid="{00000000-0009-0000-0100-00009A000000}"/>
  <tableColumns count="5">
    <tableColumn id="1" xr3:uid="{00000000-0010-0000-1600-000001000000}" name="AGE" dataCellStyle="Normal 2"/>
    <tableColumn id="2" xr3:uid="{00000000-0010-0000-1600-000002000000}" name="V_av" dataCellStyle="Normal 2"/>
    <tableColumn id="3" xr3:uid="{00000000-0010-0000-1600-000003000000}" name="V_prel" dataCellStyle="Normal 2"/>
    <tableColumn id="4" xr3:uid="{00000000-0010-0000-1600-000004000000}" name="V_ap" dataCellStyle="Normal 2"/>
    <tableColumn id="5" xr3:uid="{C825C3E2-0C8A-C24D-B822-ED6BEC91F4B1}" name="Acct (%)" dataCellStyle="Pourcentage"/>
  </tableColumns>
  <tableStyleInfo name="TableStyleMedium3" showFirstColumn="0" showLastColumn="0" showRowStripes="1" showColumnStripes="0"/>
</table>
</file>

<file path=xl/tables/table2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5" xr:uid="{00000000-000C-0000-FFFF-FFFF17000000}" name="Pe_I214_1181128" displayName="Pe_I214_1181128" ref="O945:S976" totalsRowShown="0" headerRowCellStyle="Normal 2" dataCellStyle="Normal 2">
  <autoFilter ref="O945:S976" xr:uid="{00000000-0009-0000-0100-00009B000000}"/>
  <tableColumns count="5">
    <tableColumn id="1" xr3:uid="{00000000-0010-0000-1700-000001000000}" name="AGE" dataCellStyle="Normal 2"/>
    <tableColumn id="2" xr3:uid="{00000000-0010-0000-1700-000002000000}" name="V_av" dataCellStyle="Normal 2"/>
    <tableColumn id="3" xr3:uid="{00000000-0010-0000-1700-000003000000}" name="V_prel" dataCellStyle="Normal 2"/>
    <tableColumn id="4" xr3:uid="{00000000-0010-0000-1700-000004000000}" name="V_ap" dataCellStyle="Normal 2"/>
    <tableColumn id="5" xr3:uid="{54228306-3A9D-B946-9DB4-9B5EA93DE741}" name="Acct (%)" dataCellStyle="Pourcentage"/>
  </tableColumns>
  <tableStyleInfo name="TableStyleMedium3" showFirstColumn="0" showLastColumn="0" showRowStripes="1" showColumnStripes="0"/>
</table>
</file>

<file path=xl/tables/table2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6" xr:uid="{00000000-000C-0000-FFFF-FFFF18000000}" name="Pe_Rob_1184129" displayName="Pe_Rob_1184129" ref="I979:M1009" totalsRowShown="0" headerRowDxfId="401" dataDxfId="400" headerRowCellStyle="Normal 2" dataCellStyle="Normal 2">
  <autoFilter ref="I979:M1009" xr:uid="{00000000-0009-0000-0100-00009C000000}"/>
  <tableColumns count="5">
    <tableColumn id="1" xr3:uid="{00000000-0010-0000-1800-000001000000}" name="AGE" dataDxfId="399" dataCellStyle="Normal 2"/>
    <tableColumn id="2" xr3:uid="{00000000-0010-0000-1800-000002000000}" name="V_av" dataDxfId="398" dataCellStyle="Normal 2"/>
    <tableColumn id="3" xr3:uid="{00000000-0010-0000-1800-000003000000}" name="V_prel" dataDxfId="397" dataCellStyle="Normal 2"/>
    <tableColumn id="4" xr3:uid="{00000000-0010-0000-1800-000004000000}" name="V_ap" dataDxfId="396" dataCellStyle="Normal 2"/>
    <tableColumn id="5" xr3:uid="{BF91A7B5-9F11-E64A-B199-56762F50A57C}" name="Acct (%)" dataDxfId="395" dataCellStyle="Pourcentage"/>
  </tableColumns>
  <tableStyleInfo name="TableStyleMedium3" showFirstColumn="0" showLastColumn="0" showRowStripes="1" showColumnStripes="0"/>
</table>
</file>

<file path=xl/tables/table2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20F00E61-70E8-9D4B-9979-F6A72FDA4ABE}" name="Tableau51" displayName="Tableau51" ref="C88:G140" totalsRowShown="0" headerRowDxfId="394" dataDxfId="393" headerRowCellStyle="Normal 2">
  <autoFilter ref="C88:G140" xr:uid="{20F00E61-70E8-9D4B-9979-F6A72FDA4ABE}"/>
  <tableColumns count="5">
    <tableColumn id="1" xr3:uid="{7A6EE9F5-FC3F-9243-B9BF-DBE7EDF666F1}" name="AGE" dataDxfId="392" dataCellStyle="Normal 2"/>
    <tableColumn id="2" xr3:uid="{AF066266-11A0-A44E-ACC0-5B4E6FE023C5}" name="V_av" dataDxfId="391" dataCellStyle="Normal 2"/>
    <tableColumn id="3" xr3:uid="{60E76535-9C03-D942-BE28-C968F1FD3989}" name="V_prel" dataDxfId="390" dataCellStyle="Normal 2"/>
    <tableColumn id="4" xr3:uid="{DBFBCB3F-8274-A147-AB1D-34E4BC443E8C}" name="V_ap" dataDxfId="389" dataCellStyle="Normal 2"/>
    <tableColumn id="5" xr3:uid="{9EF131EA-7DBD-7C4C-BE24-7AD159CEBE3A}" name="Acct (%)" dataDxfId="388" dataCellStyle="Pourcentage"/>
  </tableColumns>
  <tableStyleInfo name="TableStyleMedium3" showFirstColumn="0" showLastColumn="0" showRowStripes="1" showColumnStripes="0"/>
</table>
</file>

<file path=xl/tables/table2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49F7EC03-E60E-1B4B-AB21-83B8BB4ED42D}" name="Tableau52" displayName="Tableau52" ref="I88:M153" totalsRowShown="0" headerRowDxfId="387" dataDxfId="386" headerRowCellStyle="Normal 2">
  <autoFilter ref="I88:M153" xr:uid="{49F7EC03-E60E-1B4B-AB21-83B8BB4ED42D}"/>
  <tableColumns count="5">
    <tableColumn id="1" xr3:uid="{85D8D5BE-080D-6E4B-AEBE-173F36C35EAD}" name="AGE" dataDxfId="385" dataCellStyle="Normal 2"/>
    <tableColumn id="2" xr3:uid="{F7605FAC-FF71-D241-8B22-BD1B0227086F}" name="V_av" dataDxfId="384" dataCellStyle="Normal 2"/>
    <tableColumn id="3" xr3:uid="{A4D1BA43-2719-A24B-B26F-55621A3F3DE1}" name="V_prel" dataDxfId="383" dataCellStyle="Normal 2"/>
    <tableColumn id="4" xr3:uid="{8AE9B1A1-B093-5E40-9E3B-A6669D6743F4}" name="V_ap" dataDxfId="382" dataCellStyle="Normal 2"/>
    <tableColumn id="5" xr3:uid="{2283EC7B-9888-514B-86E3-A3D2B81DB5CF}" name="Acct (%)" dataDxfId="381" dataCellStyle="Pourcentage"/>
  </tableColumns>
  <tableStyleInfo name="TableStyleMedium6" showFirstColumn="0" showLastColumn="0" showRowStripes="1" showColumnStripes="0"/>
</table>
</file>

<file path=xl/tables/table2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E862B226-C79A-274B-97BF-D495FAA4DFEB}" name="Tableau53" displayName="Tableau53" ref="O88:S162" totalsRowShown="0" headerRowDxfId="380" dataDxfId="379" headerRowCellStyle="Normal 2">
  <autoFilter ref="O88:S162" xr:uid="{E862B226-C79A-274B-97BF-D495FAA4DFEB}"/>
  <tableColumns count="5">
    <tableColumn id="1" xr3:uid="{7C8AA1DD-04E1-E748-8EE1-1F7BD889D44B}" name="AGE" dataDxfId="378" dataCellStyle="Normal 2"/>
    <tableColumn id="2" xr3:uid="{F67EDAE4-2302-B045-88CD-CAAA7110E607}" name="V_av" dataDxfId="377" dataCellStyle="Normal 2"/>
    <tableColumn id="3" xr3:uid="{F3195EE6-93CE-C941-A582-7ABF16115C76}" name="V_prel" dataDxfId="376" dataCellStyle="Normal 2"/>
    <tableColumn id="4" xr3:uid="{5B4B7659-6A5F-2749-AEC5-60FAEDC84BAF}" name="V_ap" dataDxfId="375" dataCellStyle="Normal 2"/>
    <tableColumn id="5" xr3:uid="{3E1C3323-574F-5F49-BF29-916EA0F7F46A}" name="Acct (%)" dataDxfId="374" dataCellStyle="Pourcentage"/>
  </tableColumns>
  <tableStyleInfo name="TableStyleMedium3" showFirstColumn="0" showLastColumn="0" showRowStripes="1" showColumnStripes="0"/>
</table>
</file>

<file path=xl/tables/table2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4" xr:uid="{337BD3C1-9028-7949-B4C5-A2A9A133B9DA}" name="Tableau234" displayName="Tableau234" ref="I205:M238" totalsRowShown="0" headerRowDxfId="373" dataDxfId="372" headerRowCellStyle="Normal 2">
  <autoFilter ref="I205:M238" xr:uid="{337BD3C1-9028-7949-B4C5-A2A9A133B9DA}"/>
  <tableColumns count="5">
    <tableColumn id="1" xr3:uid="{529105D8-CF7E-D24E-B324-9A6F574A0294}" name="AGE" dataDxfId="371" dataCellStyle="Normal 2"/>
    <tableColumn id="2" xr3:uid="{35C4C5AE-0802-8D48-81EE-10C1DA4FF848}" name="V_av" dataDxfId="370" dataCellStyle="Normal 2"/>
    <tableColumn id="3" xr3:uid="{30AFD512-2115-F047-8EFC-EF186F280787}" name="V_prel" dataDxfId="369" dataCellStyle="Normal 2"/>
    <tableColumn id="4" xr3:uid="{729DECF8-D1CE-B345-8E04-F05D7F08E42E}" name="V_ap" dataDxfId="368" dataCellStyle="Normal 2"/>
    <tableColumn id="5" xr3:uid="{3B256C77-ECF3-AE45-9EEB-006CEE2B0CB4}" name="Acct (%)" dataDxfId="367" dataCellStyle="Pourcentage"/>
  </tableColumns>
  <tableStyleInfo name="TableStyleMedium3" showFirstColumn="0" showLastColumn="0" showRowStripes="1" showColumnStripes="0"/>
</table>
</file>

<file path=xl/tables/table2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5" xr:uid="{4B6E495F-AF73-EE49-89C8-BC19DE8B8B25}" name="Tableau235" displayName="Tableau235" ref="O205:S235" totalsRowShown="0" headerRowDxfId="366" dataDxfId="365" headerRowCellStyle="Normal 2">
  <autoFilter ref="O205:S235" xr:uid="{4B6E495F-AF73-EE49-89C8-BC19DE8B8B25}"/>
  <tableColumns count="5">
    <tableColumn id="1" xr3:uid="{C8B8D89F-48F8-404C-A136-931C344F0C32}" name="AGE" dataDxfId="364" dataCellStyle="Normal 2"/>
    <tableColumn id="2" xr3:uid="{31791E06-881A-EB43-8F31-71EC23EA24A7}" name="V_av" dataDxfId="363" dataCellStyle="Normal 2"/>
    <tableColumn id="3" xr3:uid="{467382F1-698C-344C-8E8F-C106464F36AB}" name="V_prel" dataDxfId="362" dataCellStyle="Normal 2"/>
    <tableColumn id="4" xr3:uid="{F030B525-4419-0742-887D-348CE8B31091}" name="V_ap" dataDxfId="361" dataCellStyle="Normal 2"/>
    <tableColumn id="5" xr3:uid="{86B2E777-4D78-C843-8FAD-9F776B1F5DC9}" name="Acct (%)" dataDxfId="360" dataCellStyle="Pourcentage"/>
  </tableColumns>
  <tableStyleInfo name="TableStyleMedium3" showFirstColumn="0" showLastColumn="0" showRowStripes="1" showColumnStripes="0"/>
</table>
</file>

<file path=xl/tables/table2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6" xr:uid="{3916C46E-FF61-6345-9C8A-C9E2153B7877}" name="Tableau236" displayName="Tableau236" ref="I241:M271" totalsRowShown="0" headerRowDxfId="359" dataDxfId="358" headerRowCellStyle="Normal 2">
  <autoFilter ref="I241:M271" xr:uid="{3916C46E-FF61-6345-9C8A-C9E2153B7877}"/>
  <tableColumns count="5">
    <tableColumn id="1" xr3:uid="{CFB10448-2825-E54C-91BD-70B61138790B}" name="AGE" dataDxfId="357" dataCellStyle="Normal 2"/>
    <tableColumn id="2" xr3:uid="{4E69DF5A-F17C-2B47-969F-775E130ADB23}" name="V_av" dataDxfId="356" dataCellStyle="Normal 2"/>
    <tableColumn id="3" xr3:uid="{676DEE38-49FD-9B4F-8530-20C41B7307C7}" name="V_prel" dataDxfId="355" dataCellStyle="Normal 2"/>
    <tableColumn id="4" xr3:uid="{53EE7612-E7FB-DF47-8C81-6D8B5D364CF6}" name="V_ap" dataDxfId="354" dataCellStyle="Normal 2"/>
    <tableColumn id="5" xr3:uid="{C87EFBD4-E803-6041-8D7A-C665EA257E1E}" name="Acct (%)" dataDxfId="353" dataCellStyle="Pourcentage"/>
  </tableColumns>
  <tableStyleInfo name="TableStyleMedium3" showFirstColumn="0" showLastColumn="0" showRowStripes="1" showColumnStripes="0"/>
</table>
</file>

<file path=xl/tables/table2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7" xr:uid="{3DD30C0F-BF73-8944-90E5-A397ED448986}" name="Tableau237" displayName="Tableau237" ref="O241:S271" totalsRowShown="0" headerRowDxfId="352" dataDxfId="351" headerRowCellStyle="Normal 2">
  <autoFilter ref="O241:S271" xr:uid="{3DD30C0F-BF73-8944-90E5-A397ED448986}"/>
  <tableColumns count="5">
    <tableColumn id="1" xr3:uid="{8FDDAA59-B9B9-E647-9AB4-5A536BE13B19}" name="AGE" dataDxfId="350" dataCellStyle="Normal 2"/>
    <tableColumn id="2" xr3:uid="{52F24984-8920-8F45-B963-3FE117C34760}" name="V_av" dataDxfId="349" dataCellStyle="Normal 2"/>
    <tableColumn id="3" xr3:uid="{6082CE6E-8837-B54D-ABAA-19DB72D31FF3}" name="V_prel" dataDxfId="348" dataCellStyle="Normal 2"/>
    <tableColumn id="4" xr3:uid="{3F5A0963-4197-8F4C-A269-18D71B148CCB}" name="V_ap" dataDxfId="347" dataCellStyle="Normal 2"/>
    <tableColumn id="5" xr3:uid="{5524E56C-F431-8E45-9B0C-B9E6BB534836}" name="Acct (%)" dataDxfId="346" dataCellStyle="Pourcentage"/>
  </tableColumns>
  <tableStyleInfo name="TableStyleMedium3"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6" xr:uid="{00000000-000C-0000-FFFF-FFFF30000000}" name="Tableau4668167" displayName="Tableau4668167" ref="AP232:AU252" totalsRowShown="0" headerRowDxfId="2027" dataDxfId="2026">
  <autoFilter ref="AP232:AU252" xr:uid="{00000000-0009-0000-0100-0000A6000000}"/>
  <tableColumns count="6">
    <tableColumn id="1" xr3:uid="{00000000-0010-0000-3000-000001000000}" name="Annees" dataDxfId="2025"/>
    <tableColumn id="2" xr3:uid="{00000000-0010-0000-3000-000002000000}" name="C_BO_sc" dataDxfId="2024">
      <calculatedColumnFormula>SUM(G233,Q233,AA233,AK233)</calculatedColumnFormula>
    </tableColumn>
    <tableColumn id="3" xr3:uid="{00000000-0010-0000-3000-000003000000}" name="C_BO_ps" dataDxfId="2023">
      <calculatedColumnFormula>SUM(H233,R233,AB233,AL233)</calculatedColumnFormula>
    </tableColumn>
    <tableColumn id="5" xr3:uid="{00000000-0010-0000-3000-000005000000}" name="C_BI_pap" dataDxfId="2022">
      <calculatedColumnFormula>SUM(I233,S233,AC233,AM233)</calculatedColumnFormula>
    </tableColumn>
    <tableColumn id="6" xr3:uid="{00000000-0010-0000-3000-000006000000}" name="C_LD" dataDxfId="2021">
      <calculatedColumnFormula>AQ233*VLOOKUP(AQ$232,Tableau17[],4,FALSE)+AR233*VLOOKUP(AR$232,Tableau17[],4,FALSE)+AS233*VLOOKUP(AS$232,Tableau17[],4,FALSE)</calculatedColumnFormula>
    </tableColumn>
    <tableColumn id="7" xr3:uid="{00000000-0010-0000-3000-000007000000}" name="C_MD" dataDxfId="2020">
      <calculatedColumnFormula>AQ233*VLOOKUP(AQ$232,Tableau17[],3,FALSE)+AR233*VLOOKUP(AR$232,Tableau17[],3,FALSE)+AS233*VLOOKUP(AS$232,Tableau17[],3,FALSE)</calculatedColumnFormula>
    </tableColumn>
  </tableColumns>
  <tableStyleInfo name="TableStyleMedium5" showFirstColumn="0" showLastColumn="0" showRowStripes="1" showColumnStripes="0"/>
</table>
</file>

<file path=xl/tables/table2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8" xr:uid="{0CE54C38-3643-1D43-81BE-F89976D523B5}" name="Tableau238" displayName="Tableau238" ref="U241:Y271" totalsRowShown="0" headerRowDxfId="345" dataDxfId="344" headerRowCellStyle="Normal 2">
  <autoFilter ref="U241:Y271" xr:uid="{0CE54C38-3643-1D43-81BE-F89976D523B5}"/>
  <tableColumns count="5">
    <tableColumn id="1" xr3:uid="{BD81C421-CD56-BB4D-B0AD-A6973DD348A7}" name="AGE" dataDxfId="343" dataCellStyle="Normal 2"/>
    <tableColumn id="2" xr3:uid="{0CC0F388-4162-5745-95E8-FD94D2BE292C}" name="V_av" dataDxfId="342" dataCellStyle="Normal 2"/>
    <tableColumn id="3" xr3:uid="{80BA09CE-3E09-5E48-B123-07FFCFB457A7}" name="V_prel" dataDxfId="341" dataCellStyle="Normal 2"/>
    <tableColumn id="4" xr3:uid="{F1BE019A-0180-6042-9C2F-4A1B31D85CD3}" name="V_ap" dataDxfId="340" dataCellStyle="Normal 2"/>
    <tableColumn id="5" xr3:uid="{5ECB63D8-8200-EC4F-8BE8-8BBD0E9C7798}" name="Acct (%)" dataDxfId="339" dataCellStyle="Pourcentage"/>
  </tableColumns>
  <tableStyleInfo name="TableStyleMedium3" showFirstColumn="0" showLastColumn="0" showRowStripes="1" showColumnStripes="0"/>
</table>
</file>

<file path=xl/tables/table2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9" xr:uid="{0B81EB88-A71D-8842-BC92-537238620530}" name="Tableau239" displayName="Tableau239" ref="AA241:AE278" totalsRowShown="0" headerRowDxfId="338" dataDxfId="337" headerRowCellStyle="Normal 2">
  <autoFilter ref="AA241:AE278" xr:uid="{0B81EB88-A71D-8842-BC92-537238620530}"/>
  <tableColumns count="5">
    <tableColumn id="1" xr3:uid="{5E94C2D3-941F-D24F-B59A-54AF63EF598A}" name="AGE" dataDxfId="336" dataCellStyle="Normal 2"/>
    <tableColumn id="2" xr3:uid="{569E8DDA-0A13-CA4B-8A5A-4AABE4CF53A6}" name="V_av" dataDxfId="335" dataCellStyle="Normal 2"/>
    <tableColumn id="3" xr3:uid="{40B27256-C8CF-6742-88DC-54B2BBF9EFD1}" name="V_prel" dataDxfId="334" dataCellStyle="Normal 2"/>
    <tableColumn id="4" xr3:uid="{50E4EE92-CA14-BA49-A5AB-ADECBBE39E6D}" name="V_ap" dataDxfId="333" dataCellStyle="Normal 2"/>
    <tableColumn id="5" xr3:uid="{6D5E1BA1-C8C8-6240-A7A6-3A2C15CE8FF2}" name="Acct (%)" dataDxfId="332" dataCellStyle="Pourcentage"/>
  </tableColumns>
  <tableStyleInfo name="TableStyleMedium3" showFirstColumn="0" showLastColumn="0" showRowStripes="1" showColumnStripes="0"/>
</table>
</file>

<file path=xl/tables/table2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0" xr:uid="{A6C63D1C-6760-1E49-86A1-0A37302460B7}" name="Tableau240" displayName="Tableau240" ref="I283:M313" totalsRowShown="0" headerRowDxfId="331" dataDxfId="330" headerRowCellStyle="Normal 2">
  <autoFilter ref="I283:M313" xr:uid="{A6C63D1C-6760-1E49-86A1-0A37302460B7}"/>
  <tableColumns count="5">
    <tableColumn id="1" xr3:uid="{64BA7F7F-5527-9B4E-BDFA-57F58C5C6609}" name="AGE" dataDxfId="329" dataCellStyle="Normal 2"/>
    <tableColumn id="2" xr3:uid="{E15B235D-571C-BC45-8BE7-750F0908FC09}" name="V_av" dataDxfId="328" dataCellStyle="Normal 2"/>
    <tableColumn id="3" xr3:uid="{160F903B-8A38-4944-83A9-0C0B4722BFD5}" name="V_prel" dataDxfId="327" dataCellStyle="Normal 2"/>
    <tableColumn id="4" xr3:uid="{F5E266B6-FB44-A446-9530-C1ADE4A0374C}" name="V_ap" dataDxfId="326" dataCellStyle="Normal 2"/>
    <tableColumn id="5" xr3:uid="{58151FB6-6B1A-0942-9554-FDF2F860EC69}" name="Acct (%)" dataDxfId="325" dataCellStyle="Pourcentage"/>
  </tableColumns>
  <tableStyleInfo name="TableStyleMedium3" showFirstColumn="0" showLastColumn="0" showRowStripes="1" showColumnStripes="0"/>
</table>
</file>

<file path=xl/tables/table2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1" xr:uid="{A846AB41-3404-FF40-80CB-55E8CD4C5BC2}" name="Tableau241" displayName="Tableau241" ref="O283:S313" totalsRowShown="0" headerRowDxfId="324" dataDxfId="323" headerRowCellStyle="Normal 2">
  <autoFilter ref="O283:S313" xr:uid="{A846AB41-3404-FF40-80CB-55E8CD4C5BC2}"/>
  <tableColumns count="5">
    <tableColumn id="1" xr3:uid="{B4F96A13-6E74-A948-9FBB-34958C3E5FF8}" name="AGE" dataDxfId="322" dataCellStyle="Normal 2"/>
    <tableColumn id="2" xr3:uid="{5BD9838C-D7B7-6240-8898-7F85F6F3D68E}" name="V_av" dataDxfId="321"/>
    <tableColumn id="3" xr3:uid="{F6207E87-0624-5640-9D3F-1FB9BA18A639}" name="V_prel" dataDxfId="320"/>
    <tableColumn id="4" xr3:uid="{0374236C-2F5A-9743-9F47-5D494776C3BE}" name="V_ap" dataDxfId="319"/>
    <tableColumn id="5" xr3:uid="{5A16B4A5-E001-7349-ABB8-2675621EB6B9}" name="Acct (%)" dataDxfId="318" dataCellStyle="Pourcentage"/>
  </tableColumns>
  <tableStyleInfo name="TableStyleMedium3" showFirstColumn="0" showLastColumn="0" showRowStripes="1" showColumnStripes="0"/>
</table>
</file>

<file path=xl/tables/table2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2" xr:uid="{DB789811-83A3-BF4A-A6F5-1BB25D0FCFE1}" name="Tableau242" displayName="Tableau242" ref="I324:M354" totalsRowShown="0" headerRowDxfId="317" dataDxfId="316" tableBorderDxfId="315" headerRowCellStyle="Normal 2">
  <autoFilter ref="I324:M354" xr:uid="{DB789811-83A3-BF4A-A6F5-1BB25D0FCFE1}"/>
  <tableColumns count="5">
    <tableColumn id="1" xr3:uid="{C9EE6EE8-EFDE-404F-9707-61A281E61920}" name="AGE" dataDxfId="314" dataCellStyle="Normal 2"/>
    <tableColumn id="2" xr3:uid="{03E9B125-0825-624C-87D4-795AE8044E9F}" name="V_av" dataDxfId="313" dataCellStyle="Normal 2"/>
    <tableColumn id="3" xr3:uid="{D835A92D-B9F5-5846-9B38-6A39694FA720}" name="V_prel" dataDxfId="312" dataCellStyle="Normal 2"/>
    <tableColumn id="4" xr3:uid="{08DE467A-2582-A142-B856-B103CFE0EF9F}" name="V_ap" dataDxfId="311" dataCellStyle="Normal 2"/>
    <tableColumn id="5" xr3:uid="{E98B65A8-07FD-B848-B022-F32AEB247403}" name="Acct (%)" dataDxfId="310" dataCellStyle="Pourcentage"/>
  </tableColumns>
  <tableStyleInfo name="TableStyleMedium3" showFirstColumn="0" showLastColumn="0" showRowStripes="1" showColumnStripes="0"/>
</table>
</file>

<file path=xl/tables/table2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3" xr:uid="{C0A22CF0-58A6-294E-8E73-AE67F6E5E98E}" name="Tableau243" displayName="Tableau243" ref="O324:S354" totalsRowShown="0" headerRowDxfId="309" dataDxfId="308" tableBorderDxfId="307" headerRowCellStyle="Normal 2">
  <autoFilter ref="O324:S354" xr:uid="{C0A22CF0-58A6-294E-8E73-AE67F6E5E98E}"/>
  <tableColumns count="5">
    <tableColumn id="1" xr3:uid="{5DA5824E-171B-F04E-A72B-6B8340783E83}" name="AGE" dataDxfId="306" dataCellStyle="Normal 2"/>
    <tableColumn id="2" xr3:uid="{8E4AE960-D7CC-CF46-840E-F87BB4C2A513}" name="V_av" dataDxfId="305" dataCellStyle="Normal 2"/>
    <tableColumn id="3" xr3:uid="{74EF4DAF-8CEF-1247-A10F-BBC1FBBF794D}" name="V_prel" dataDxfId="304" dataCellStyle="Normal 2"/>
    <tableColumn id="4" xr3:uid="{057980E3-CB98-E543-B731-599DD87FC78B}" name="V_ap" dataDxfId="303" dataCellStyle="Normal 2"/>
    <tableColumn id="5" xr3:uid="{CC205763-39BD-4E4B-A218-982642AF6F6E}" name="Acct (%)" dataDxfId="302" dataCellStyle="Pourcentage"/>
  </tableColumns>
  <tableStyleInfo name="TableStyleMedium3" showFirstColumn="0" showLastColumn="0" showRowStripes="1" showColumnStripes="0"/>
</table>
</file>

<file path=xl/tables/table2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4" xr:uid="{76093EFC-248B-BE46-82C2-CB114903C014}" name="Tableau244" displayName="Tableau244" ref="U324:Y354" totalsRowShown="0" headerRowDxfId="301" dataDxfId="300" tableBorderDxfId="299" headerRowCellStyle="Normal 2">
  <autoFilter ref="U324:Y354" xr:uid="{76093EFC-248B-BE46-82C2-CB114903C014}"/>
  <tableColumns count="5">
    <tableColumn id="1" xr3:uid="{C550601A-5CDD-DE47-851B-8F66B5C2514F}" name="AGE" dataDxfId="298" dataCellStyle="Normal 2"/>
    <tableColumn id="2" xr3:uid="{F687F9E2-6B78-AC46-AAC7-C005098AFF6C}" name="V_av" dataDxfId="297" dataCellStyle="Normal 2"/>
    <tableColumn id="3" xr3:uid="{6990C515-CFA9-8E49-94A9-59E99048327C}" name="V_prel" dataDxfId="296" dataCellStyle="Normal 2"/>
    <tableColumn id="4" xr3:uid="{B0871C9C-31A7-6548-9599-FE65AD600C0D}" name="V_ap" dataDxfId="295" dataCellStyle="Normal 2"/>
    <tableColumn id="5" xr3:uid="{9AB0A13F-10FB-E24A-BA4B-A1F1D89471A0}" name="Acct (%)" dataDxfId="294" dataCellStyle="Pourcentage"/>
  </tableColumns>
  <tableStyleInfo name="TableStyleMedium3" showFirstColumn="0" showLastColumn="0" showRowStripes="1" showColumnStripes="0"/>
</table>
</file>

<file path=xl/tables/table2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5" xr:uid="{1062394E-26B4-434F-9CA9-7A30149B82B7}" name="Tableau245" displayName="Tableau245" ref="AG365:AK405" totalsRowShown="0" headerRowDxfId="293" dataDxfId="292" headerRowCellStyle="Normal 2">
  <autoFilter ref="AG365:AK405" xr:uid="{1062394E-26B4-434F-9CA9-7A30149B82B7}"/>
  <tableColumns count="5">
    <tableColumn id="1" xr3:uid="{591B8F5F-26BC-D847-9119-3E03F68F2834}" name="AGE" dataDxfId="291" dataCellStyle="Normal 2"/>
    <tableColumn id="2" xr3:uid="{2AB8D25F-B6E5-DC41-985A-5BF8EF9DD34B}" name="V_av" dataDxfId="290" dataCellStyle="Normal 2"/>
    <tableColumn id="3" xr3:uid="{FCDB8075-EEC6-3943-921F-15949914F8AA}" name="V_prel" dataDxfId="289" dataCellStyle="Normal 2"/>
    <tableColumn id="4" xr3:uid="{2A07031B-849D-F248-9100-7E480EBA6D16}" name="V_ap" dataDxfId="288" dataCellStyle="Normal 2"/>
    <tableColumn id="5" xr3:uid="{930DBCCB-84C4-6043-A69D-80691A33EFF4}" name="Acct (%)" dataDxfId="287"/>
  </tableColumns>
  <tableStyleInfo name="TableStyleMedium3" showFirstColumn="0" showLastColumn="0" showRowStripes="1" showColumnStripes="0"/>
</table>
</file>

<file path=xl/tables/table2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6" xr:uid="{177B4FFA-2AAB-B243-9941-98C3B458A71B}" name="Tableau246" displayName="Tableau246" ref="AA365:AE400" totalsRowShown="0" headerRowDxfId="286" dataDxfId="285" headerRowCellStyle="Normal 2">
  <autoFilter ref="AA365:AE400" xr:uid="{177B4FFA-2AAB-B243-9941-98C3B458A71B}"/>
  <tableColumns count="5">
    <tableColumn id="1" xr3:uid="{64AE7B84-73AF-864D-92CB-F0276E4B9ADB}" name="AGE" dataDxfId="284" dataCellStyle="Normal 2"/>
    <tableColumn id="2" xr3:uid="{E1851A13-8E12-B941-8F57-8D0737DC1E92}" name="V_av" dataDxfId="283" dataCellStyle="Normal 2"/>
    <tableColumn id="3" xr3:uid="{53863370-E5B2-2A4D-B136-73BCEDEE0C51}" name="V_prel" dataDxfId="282" dataCellStyle="Normal 2"/>
    <tableColumn id="4" xr3:uid="{5D4186F0-70BB-A445-A242-FF739773F514}" name="V_ap" dataDxfId="281" dataCellStyle="Normal 2"/>
    <tableColumn id="5" xr3:uid="{C19C69F0-EBB0-284B-8AC2-0D7053BA1F9F}" name="Acct (%)" dataDxfId="280" dataCellStyle="Pourcentage"/>
  </tableColumns>
  <tableStyleInfo name="TableStyleMedium3" showFirstColumn="0" showLastColumn="0" showRowStripes="1" showColumnStripes="0"/>
</table>
</file>

<file path=xl/tables/table2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7" xr:uid="{5DB843E6-34F5-834E-B703-F8AA9B0E9079}" name="Tableau247" displayName="Tableau247" ref="U365:Y400" totalsRowShown="0" headerRowDxfId="279" dataDxfId="278" headerRowCellStyle="Normal 2">
  <autoFilter ref="U365:Y400" xr:uid="{5DB843E6-34F5-834E-B703-F8AA9B0E9079}"/>
  <tableColumns count="5">
    <tableColumn id="1" xr3:uid="{ABF41581-877B-F34B-879B-37BA2E73E7A9}" name="AGE" dataDxfId="277" dataCellStyle="Normal 2"/>
    <tableColumn id="2" xr3:uid="{A448A91A-AAE5-2849-8035-3E7F61AE6F21}" name="V_av" dataDxfId="276" dataCellStyle="Normal 2"/>
    <tableColumn id="3" xr3:uid="{161048E2-70D4-7E43-9ABD-AA87FAB746DC}" name="V_prel" dataDxfId="275" dataCellStyle="Normal 2"/>
    <tableColumn id="4" xr3:uid="{CAABE5E4-4A2F-104C-AF24-C8F79D8132C0}" name="V_ap" dataDxfId="274" dataCellStyle="Normal 2"/>
    <tableColumn id="5" xr3:uid="{C0122329-E48A-F94D-833E-A42CA64882B0}" name="Acct (%)" dataDxfId="273" dataCellStyle="Pourcentage"/>
  </tableColumns>
  <tableStyleInfo name="TableStyleMedium3"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0" xr:uid="{00000000-000C-0000-FFFF-FFFF31000000}" name="Tableau122033171" displayName="Tableau122033171" ref="B284:I304" totalsRowShown="0" headerRowDxfId="2019" dataDxfId="2018">
  <autoFilter ref="B284:I304" xr:uid="{00000000-0009-0000-0100-0000AA000000}"/>
  <tableColumns count="8">
    <tableColumn id="1" xr3:uid="{00000000-0010-0000-3100-000001000000}" name="Annees" dataDxfId="2017"/>
    <tableColumn id="2" xr3:uid="{00000000-0010-0000-3100-000002000000}" name="SQ_REF_CO2e" dataDxfId="2016">
      <calculatedColumnFormula>SUM(H61,Q61,Z61,AI61)</calculatedColumnFormula>
    </tableColumn>
    <tableColumn id="4" xr3:uid="{00000000-0010-0000-3100-000004000000}" name="JP_REF_CO2e" dataDxfId="2015">
      <calculatedColumnFormula>Y92</calculatedColumnFormula>
    </tableColumn>
    <tableColumn id="7" xr3:uid="{00000000-0010-0000-3100-000007000000}" name="ST_REF_CO2e" dataDxfId="2014">
      <calculatedColumnFormula>X145</calculatedColumnFormula>
    </tableColumn>
    <tableColumn id="8" xr3:uid="{00000000-0010-0000-3100-000008000000}" name="SQ_PRJ_CO2e" dataDxfId="2013">
      <calculatedColumnFormula>SUM(H177,Q177,Z177,AI177)</calculatedColumnFormula>
    </tableColumn>
    <tableColumn id="5" xr3:uid="{00000000-0010-0000-3100-000005000000}" name="JP_PRJ_CO2e" dataDxfId="2012">
      <calculatedColumnFormula>Y208</calculatedColumnFormula>
    </tableColumn>
    <tableColumn id="9" xr3:uid="{00000000-0010-0000-3100-000009000000}" name="ST_PRJ_CO2e" dataDxfId="2011">
      <calculatedColumnFormula>X260</calculatedColumnFormula>
    </tableColumn>
    <tableColumn id="3" xr3:uid="{00000000-0010-0000-3100-000003000000}" name="Delta_CO2e" dataDxfId="2010">
      <calculatedColumnFormula>F285-C285+G285-D285+H285-E285</calculatedColumnFormula>
    </tableColumn>
  </tableColumns>
  <tableStyleInfo name="TableStyleMedium5" showFirstColumn="0" showLastColumn="0" showRowStripes="1" showColumnStripes="0"/>
</table>
</file>

<file path=xl/tables/table2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8" xr:uid="{CEAD02D5-E879-2C4E-B1EC-EADD21257139}" name="Tableau248" displayName="Tableau248" ref="O365:S395" totalsRowShown="0" headerRowDxfId="272" dataDxfId="271" headerRowCellStyle="Normal 2">
  <autoFilter ref="O365:S395" xr:uid="{CEAD02D5-E879-2C4E-B1EC-EADD21257139}"/>
  <tableColumns count="5">
    <tableColumn id="1" xr3:uid="{85D7523B-82E6-8B44-B727-0A67C69F0CBB}" name="AGE" dataDxfId="270" dataCellStyle="Normal 2"/>
    <tableColumn id="2" xr3:uid="{6A3868C9-F217-D74D-987C-48CFCA93FBF7}" name="V_av" dataDxfId="269" dataCellStyle="Normal 2"/>
    <tableColumn id="3" xr3:uid="{238445D0-E995-1B4F-9B6D-DC99661CB6C0}" name="V_prel" dataDxfId="268" dataCellStyle="Normal 2"/>
    <tableColumn id="4" xr3:uid="{1716BA9F-5B96-1343-97E5-6BD42C9F2916}" name="V_ap" dataDxfId="267" dataCellStyle="Normal 2"/>
    <tableColumn id="5" xr3:uid="{10D6ACDA-64D4-C441-BB35-F6C77E003D44}" name="Acct (%)" dataDxfId="266" dataCellStyle="Pourcentage"/>
  </tableColumns>
  <tableStyleInfo name="TableStyleMedium3" showFirstColumn="0" showLastColumn="0" showRowStripes="1" showColumnStripes="0"/>
</table>
</file>

<file path=xl/tables/table2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9" xr:uid="{9C41BCDC-70C4-BA4F-B44A-5CB798E36166}" name="Tableau249" displayName="Tableau249" ref="I365:M395" totalsRowShown="0" headerRowDxfId="265" dataDxfId="264" headerRowCellStyle="Normal 2">
  <autoFilter ref="I365:M395" xr:uid="{9C41BCDC-70C4-BA4F-B44A-5CB798E36166}"/>
  <tableColumns count="5">
    <tableColumn id="1" xr3:uid="{DFC5F4F7-2D82-954F-A694-F89EAE84410F}" name="AGE" dataDxfId="263" dataCellStyle="Normal 2"/>
    <tableColumn id="2" xr3:uid="{F27ED317-6E95-5241-8776-2AA0ABCF7882}" name="V_av" dataDxfId="262" dataCellStyle="Normal 2"/>
    <tableColumn id="3" xr3:uid="{8754629F-C780-4044-8E59-765E269163AF}" name="V_prel" dataDxfId="261" dataCellStyle="Normal 2"/>
    <tableColumn id="4" xr3:uid="{F63A058D-3F28-5644-8FC0-3FBB2D37545C}" name="V_ap" dataDxfId="260" dataCellStyle="Normal 2"/>
    <tableColumn id="5" xr3:uid="{6ADFCC09-5DA1-194C-BDDB-C2DC0EDCECD6}" name="Acct (%)" dataDxfId="259" dataCellStyle="Pourcentage"/>
  </tableColumns>
  <tableStyleInfo name="TableStyleMedium3" showFirstColumn="0" showLastColumn="0" showRowStripes="1" showColumnStripes="0"/>
</table>
</file>

<file path=xl/tables/table2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0" xr:uid="{7CCDA800-51E9-9E49-BEBB-64E4C8C04159}" name="Tableau250" displayName="Tableau250" ref="O46:S76" totalsRowShown="0" headerRowDxfId="258" dataDxfId="257" headerRowCellStyle="Normal 2">
  <autoFilter ref="O46:S76" xr:uid="{7CCDA800-51E9-9E49-BEBB-64E4C8C04159}"/>
  <tableColumns count="5">
    <tableColumn id="1" xr3:uid="{995F9B09-7170-4241-8BF1-BE597DA088E3}" name="AGE" dataDxfId="256" dataCellStyle="Normal 2"/>
    <tableColumn id="2" xr3:uid="{653F463D-90DB-3747-973D-628FE61A6C9A}" name="V_av" dataDxfId="255" dataCellStyle="Normal 2"/>
    <tableColumn id="3" xr3:uid="{CAF5AA4E-EA03-3647-A0D0-ED7F6D28F29D}" name="V_prel" dataDxfId="254" dataCellStyle="Normal 2"/>
    <tableColumn id="4" xr3:uid="{D326DF64-9E5D-2F40-98BF-8FEC02EE1166}" name="V_ap" dataDxfId="253" dataCellStyle="Normal 2"/>
    <tableColumn id="5" xr3:uid="{7FB63AD4-AC12-EB4F-B638-F7616BBBA2A8}" name="Acct (%)" dataDxfId="252" dataCellStyle="Pourcentage"/>
  </tableColumns>
  <tableStyleInfo name="TableStyleMedium3" showFirstColumn="0" showLastColumn="0" showRowStripes="1" showColumnStripes="0"/>
</table>
</file>

<file path=xl/tables/table2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1" xr:uid="{0B21C6B0-ABC3-3249-B243-CF01584FE341}" name="Tableau251" displayName="Tableau251" ref="I46:M76" totalsRowShown="0" headerRowDxfId="251" dataDxfId="250" headerRowCellStyle="Normal 2">
  <autoFilter ref="I46:M76" xr:uid="{0B21C6B0-ABC3-3249-B243-CF01584FE341}"/>
  <tableColumns count="5">
    <tableColumn id="1" xr3:uid="{04D88C67-258B-8346-A836-D95AF3AC095D}" name="AGE" dataDxfId="249" dataCellStyle="Normal 2"/>
    <tableColumn id="2" xr3:uid="{E571C3F1-FB3F-4340-8A47-A2D4B68D017B}" name="V_av" dataDxfId="248" dataCellStyle="Normal 2"/>
    <tableColumn id="3" xr3:uid="{5C4A7A63-4FDE-2E4E-8D56-899C3F960172}" name="V_prel" dataDxfId="247" dataCellStyle="Normal 2"/>
    <tableColumn id="4" xr3:uid="{5556C950-29B8-3D45-8751-17ECCA669065}" name="V_ap" dataDxfId="246" dataCellStyle="Normal 2"/>
    <tableColumn id="5" xr3:uid="{D0C672C7-35CF-D543-8F78-67CA42F306E6}" name="Acct (%)" dataDxfId="245" dataCellStyle="Pourcentage"/>
  </tableColumns>
  <tableStyleInfo name="TableStyleMedium3" showFirstColumn="0" showLastColumn="0" showRowStripes="1" showColumnStripes="0"/>
</table>
</file>

<file path=xl/tables/table2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2" xr:uid="{DCCA5017-AE2A-9142-87E1-84EFED04319A}" name="Tableau252" displayName="Tableau252" ref="I409:M443" totalsRowShown="0" headerRowDxfId="244" dataDxfId="243" headerRowCellStyle="Normal 2">
  <autoFilter ref="I409:M443" xr:uid="{DCCA5017-AE2A-9142-87E1-84EFED04319A}"/>
  <tableColumns count="5">
    <tableColumn id="1" xr3:uid="{E0B9F116-6A78-D24D-914C-0476F096B6A2}" name="AGE" dataDxfId="242" dataCellStyle="Normal 2"/>
    <tableColumn id="2" xr3:uid="{9B8AEC36-5A37-9642-9B66-445A40006B15}" name="V_av" dataDxfId="241" dataCellStyle="Normal 2"/>
    <tableColumn id="3" xr3:uid="{ACA2E2F5-4F11-8746-8123-2D1A68FAC965}" name="V_prel" dataDxfId="240" dataCellStyle="Normal 2"/>
    <tableColumn id="4" xr3:uid="{27E526AB-D15E-A445-93FD-B5232D3ABF78}" name="V_ap" dataDxfId="239" dataCellStyle="Normal 2"/>
    <tableColumn id="5" xr3:uid="{F0173AC9-421F-1D41-9C22-09CC82004D9F}" name="Acct (%)" dataDxfId="238" dataCellStyle="Pourcentage"/>
  </tableColumns>
  <tableStyleInfo name="TableStyleMedium6" showFirstColumn="0" showLastColumn="0" showRowStripes="1" showColumnStripes="0"/>
</table>
</file>

<file path=xl/tables/table2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3" xr:uid="{13AF0602-D05C-0C44-8E96-8EB24BCBF8AC}" name="Tableau253" displayName="Tableau253" ref="O409:S443" totalsRowShown="0" headerRowDxfId="237" dataDxfId="236" tableBorderDxfId="235" headerRowCellStyle="Normal 2">
  <autoFilter ref="O409:S443" xr:uid="{13AF0602-D05C-0C44-8E96-8EB24BCBF8AC}"/>
  <tableColumns count="5">
    <tableColumn id="1" xr3:uid="{1CEF1598-9A4C-F345-A79A-A6D4802F00DF}" name="AGE" dataDxfId="234" dataCellStyle="Normal 2"/>
    <tableColumn id="2" xr3:uid="{10C3EE94-DEE5-3E4E-A675-362675422F5A}" name="V_av" dataDxfId="233" dataCellStyle="Normal 2"/>
    <tableColumn id="3" xr3:uid="{CA220AD1-CD1C-3843-8156-E252D9EB3CC4}" name="V_prel" dataDxfId="232" dataCellStyle="Normal 2"/>
    <tableColumn id="4" xr3:uid="{24BF8004-7051-EF41-B180-19DEB2D2B5EF}" name="V_ap" dataDxfId="231" dataCellStyle="Normal 2"/>
    <tableColumn id="5" xr3:uid="{16970923-C0EA-3144-AB90-5F8293E9A302}" name="Acct (%)" dataDxfId="230" dataCellStyle="Pourcentage"/>
  </tableColumns>
  <tableStyleInfo name="TableStyleMedium3" showFirstColumn="0" showLastColumn="0" showRowStripes="1" showColumnStripes="0"/>
</table>
</file>

<file path=xl/tables/table2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4" xr:uid="{39807B4C-1B22-7346-BF2F-F50A80BAF5CA}" name="Tableau254" displayName="Tableau254" ref="U409:Y443" totalsRowShown="0" headerRowDxfId="229" dataDxfId="228" tableBorderDxfId="227" headerRowCellStyle="Normal 2">
  <autoFilter ref="U409:Y443" xr:uid="{39807B4C-1B22-7346-BF2F-F50A80BAF5CA}"/>
  <tableColumns count="5">
    <tableColumn id="1" xr3:uid="{10D7EC07-1976-3548-8B24-2F493D8127EF}" name="AGE" dataDxfId="226" dataCellStyle="Normal 2"/>
    <tableColumn id="2" xr3:uid="{0141C88F-7B46-2B44-9E54-9120A74EFFD8}" name="V_av" dataDxfId="225" dataCellStyle="Normal 2"/>
    <tableColumn id="3" xr3:uid="{21CB8F47-B245-6847-9925-5EAC3BE6522A}" name="V_prel" dataDxfId="224" dataCellStyle="Normal 2"/>
    <tableColumn id="4" xr3:uid="{4FE218EB-F42B-BF4F-94C6-FCF5D71EF703}" name="V_ap" dataDxfId="223" dataCellStyle="Normal 2"/>
    <tableColumn id="5" xr3:uid="{FE47A154-0845-A54C-8090-10BC7EA71CA0}" name="Acct (%)" dataDxfId="222" dataCellStyle="Pourcentage"/>
  </tableColumns>
  <tableStyleInfo name="TableStyleMedium3" showFirstColumn="0" showLastColumn="0" showRowStripes="1" showColumnStripes="0"/>
</table>
</file>

<file path=xl/tables/table2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5" xr:uid="{E698862C-B339-8B47-BD37-B350E28CE045}" name="Tableau255" displayName="Tableau255" ref="AA409:AE443" totalsRowShown="0" headerRowDxfId="221" dataDxfId="220" tableBorderDxfId="219" headerRowCellStyle="Normal 2">
  <autoFilter ref="AA409:AE443" xr:uid="{E698862C-B339-8B47-BD37-B350E28CE045}"/>
  <tableColumns count="5">
    <tableColumn id="1" xr3:uid="{C3402E9B-7D49-4C4C-9325-BB43692D3C4A}" name="AGE" dataDxfId="218" dataCellStyle="Normal 2"/>
    <tableColumn id="2" xr3:uid="{32563E55-DE94-7E44-82C4-95AD4DF9BC5B}" name="V_av" dataDxfId="217" dataCellStyle="Normal 2"/>
    <tableColumn id="3" xr3:uid="{28BBBD6F-E5DD-1B4C-85FC-88BBD7F8ABD8}" name="V_prel" dataDxfId="216" dataCellStyle="Normal 2"/>
    <tableColumn id="4" xr3:uid="{F92F0312-7F72-D545-B105-1D4578B319D0}" name="V_ap" dataDxfId="215" dataCellStyle="Normal 2"/>
    <tableColumn id="5" xr3:uid="{D544B3EA-1927-D948-8759-EBEFBC88ECD2}" name="Acct (%)" dataDxfId="214" dataCellStyle="Pourcentage"/>
  </tableColumns>
  <tableStyleInfo name="TableStyleMedium3" showFirstColumn="0" showLastColumn="0" showRowStripes="1" showColumnStripes="0"/>
</table>
</file>

<file path=xl/tables/table2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6" xr:uid="{2BA721B5-FBDF-9941-8116-670A7CEC643D}" name="Tableau256" displayName="Tableau256" ref="I451:M481" totalsRowShown="0" headerRowDxfId="213" headerRowCellStyle="Normal 2">
  <autoFilter ref="I451:M481" xr:uid="{2BA721B5-FBDF-9941-8116-670A7CEC643D}"/>
  <tableColumns count="5">
    <tableColumn id="1" xr3:uid="{2C1B8C00-7A2F-E44D-BAF6-A8E288B57460}" name="AGE" dataDxfId="212" dataCellStyle="Normal 2"/>
    <tableColumn id="2" xr3:uid="{6E127C00-AA43-3D41-A3CC-8FB45FB96C64}" name="V_av" dataDxfId="211" dataCellStyle="Normal 2"/>
    <tableColumn id="3" xr3:uid="{7B819F19-EDFD-A848-944D-C2C5FB2714F0}" name="V_prel" dataDxfId="210" dataCellStyle="Normal 2"/>
    <tableColumn id="4" xr3:uid="{344A2274-0776-1744-B392-B7CE616B7146}" name="V_ap" dataDxfId="209" dataCellStyle="Normal 2"/>
    <tableColumn id="5" xr3:uid="{43A9587E-AD86-D64A-B363-6D98BDE38D33}" name="Acct (%)" dataCellStyle="Pourcentage"/>
  </tableColumns>
  <tableStyleInfo name="TableStyleMedium3" showFirstColumn="0" showLastColumn="0" showRowStripes="1" showColumnStripes="0"/>
</table>
</file>

<file path=xl/tables/table2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7" xr:uid="{DF9DB0B2-6A31-4545-883B-86B4F3D61B6E}" name="Tableau257" displayName="Tableau257" ref="O451:S482" totalsRowShown="0" headerRowDxfId="208" dataDxfId="207" headerRowCellStyle="Normal 2" dataCellStyle="Normal 2">
  <autoFilter ref="O451:S482" xr:uid="{DF9DB0B2-6A31-4545-883B-86B4F3D61B6E}"/>
  <tableColumns count="5">
    <tableColumn id="1" xr3:uid="{78BFED70-6455-AF43-B96B-BD86F43DB265}" name="AGE" dataDxfId="206" dataCellStyle="Normal 2"/>
    <tableColumn id="2" xr3:uid="{15029FBC-D6E4-6542-938D-A5FBCA3F07AB}" name="V_av" dataDxfId="205" dataCellStyle="Normal 2"/>
    <tableColumn id="3" xr3:uid="{4B85D01B-DE93-9B4D-B5D8-3B5D4AF697D2}" name="V_prel" dataDxfId="204" dataCellStyle="Normal 2"/>
    <tableColumn id="4" xr3:uid="{50A5DA8B-C73A-E44A-AD46-5D7BE79EA5BB}" name="V_ap" dataDxfId="203" dataCellStyle="Normal 2"/>
    <tableColumn id="5" xr3:uid="{9F4C5707-9809-7845-9242-F15A758933F2}" name="Acct (%)" dataDxfId="202" dataCellStyle="Pourcentage"/>
  </tableColumns>
  <tableStyleInfo name="TableStyleMedium3"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1" xr:uid="{00000000-000C-0000-FFFF-FFFF32000000}" name="Tableau72172" displayName="Tableau72172" ref="L284:O304" totalsRowShown="0" headerRowDxfId="2009" dataDxfId="2008">
  <autoFilter ref="L284:O304" xr:uid="{00000000-0009-0000-0100-0000AB000000}"/>
  <tableColumns count="4">
    <tableColumn id="1" xr3:uid="{00000000-0010-0000-3200-000001000000}" name="Annees" dataDxfId="2007"/>
    <tableColumn id="2" xr3:uid="{00000000-0010-0000-3200-000002000000}" name="DeltaC_SQ" dataDxfId="2006">
      <calculatedColumnFormula>F285-C285</calculatedColumnFormula>
    </tableColumn>
    <tableColumn id="3" xr3:uid="{00000000-0010-0000-3200-000003000000}" name="DeltaC_ST" dataDxfId="2005">
      <calculatedColumnFormula>H285-E285</calculatedColumnFormula>
    </tableColumn>
    <tableColumn id="4" xr3:uid="{00000000-0010-0000-3200-000004000000}" name="DeltaC_JP" dataDxfId="2004">
      <calculatedColumnFormula>G285-D285</calculatedColumnFormula>
    </tableColumn>
  </tableColumns>
  <tableStyleInfo name="TableStyleMedium5" showFirstColumn="0" showLastColumn="0" showRowStripes="1" showColumnStripes="0"/>
</table>
</file>

<file path=xl/tables/table2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8" xr:uid="{E1649672-5A04-6647-956E-2BA0B3907134}" name="Tableau258" displayName="Tableau258" ref="U451:Y482" totalsRowShown="0" headerRowDxfId="201" dataDxfId="200" headerRowCellStyle="Normal 2" dataCellStyle="Normal 2">
  <autoFilter ref="U451:Y482" xr:uid="{E1649672-5A04-6647-956E-2BA0B3907134}"/>
  <tableColumns count="5">
    <tableColumn id="1" xr3:uid="{FDA01858-CF0F-CE41-9FE7-D954FB1D689B}" name="AGE" dataDxfId="199" dataCellStyle="Normal 2"/>
    <tableColumn id="2" xr3:uid="{B7805B2F-D4B8-D64C-8528-93408A3BE8C1}" name="V_av" dataDxfId="198" dataCellStyle="Normal 2"/>
    <tableColumn id="3" xr3:uid="{B0AF37D2-85E9-3F49-8BC8-FEE139AAE54B}" name="V_prel" dataDxfId="197" dataCellStyle="Normal 2"/>
    <tableColumn id="4" xr3:uid="{A9FE7EB4-BFD7-C146-B241-0829202DF6C7}" name="V_ap" dataDxfId="196" dataCellStyle="Normal 2"/>
    <tableColumn id="5" xr3:uid="{C33F6B60-F0AA-6649-8558-BB94D1D3748D}" name="Acct (%)" dataDxfId="195" dataCellStyle="Pourcentage"/>
  </tableColumns>
  <tableStyleInfo name="TableStyleMedium3" showFirstColumn="0" showLastColumn="0" showRowStripes="1" showColumnStripes="0"/>
</table>
</file>

<file path=xl/tables/table2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9" xr:uid="{2DD8D05B-FCA6-EC4F-A00C-016CB85AD928}" name="Tableau259" displayName="Tableau259" ref="C166:G202" totalsRowShown="0" headerRowDxfId="194">
  <autoFilter ref="C166:G202" xr:uid="{2DD8D05B-FCA6-EC4F-A00C-016CB85AD928}"/>
  <tableColumns count="5">
    <tableColumn id="1" xr3:uid="{93F77D73-E799-BB40-8B17-59EFD511E239}" name="Age" dataDxfId="193"/>
    <tableColumn id="2" xr3:uid="{56B3593A-F91F-2646-BC64-A156CFE6BC50}" name="V_av" dataDxfId="192"/>
    <tableColumn id="3" xr3:uid="{66E4A5DB-33F4-5A40-B08A-C8DBD7361695}" name="V_prel" dataDxfId="191"/>
    <tableColumn id="4" xr3:uid="{19C03B81-0D98-5C43-8349-E17DB840D7CD}" name="V_ap" dataDxfId="190"/>
    <tableColumn id="5" xr3:uid="{D8AB80CD-B001-1443-98A2-DDB6040B79E5}" name="Acct (%)" dataCellStyle="Pourcentage"/>
  </tableColumns>
  <tableStyleInfo name="TableStyleMedium3" showFirstColumn="0" showLastColumn="0" showRowStripes="1" showColumnStripes="0"/>
</table>
</file>

<file path=xl/tables/table2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0" xr:uid="{C8EF2014-15DD-5949-B92B-EA2418E684B6}" name="Tableau260" displayName="Tableau260" ref="I494:M524" totalsRowShown="0" headerRowDxfId="189" dataDxfId="188" headerRowCellStyle="Normal 2">
  <autoFilter ref="I494:M524" xr:uid="{C8EF2014-15DD-5949-B92B-EA2418E684B6}"/>
  <tableColumns count="5">
    <tableColumn id="1" xr3:uid="{F9B19303-90AC-8D4E-8DC2-7D9D07EDE365}" name="AGE" dataDxfId="187" dataCellStyle="Normal 2"/>
    <tableColumn id="2" xr3:uid="{E46DF4F3-C16C-4542-A41A-0FAE0DD2C98D}" name="V_av" dataDxfId="186" dataCellStyle="Normal 2"/>
    <tableColumn id="3" xr3:uid="{CC8E687F-4334-D541-BBD8-7C54940D7710}" name="V_prel" dataDxfId="185" dataCellStyle="Normal 2"/>
    <tableColumn id="4" xr3:uid="{D3C60E7A-2133-6D4D-BF2F-94A3BC11AEBD}" name="V_ap" dataDxfId="184" dataCellStyle="Normal 2"/>
    <tableColumn id="5" xr3:uid="{A840C8CE-91AA-D54F-991C-8ED39E2590DB}" name="Acct (%)" dataDxfId="183" dataCellStyle="Pourcentage"/>
  </tableColumns>
  <tableStyleInfo name="TableStyleMedium3" showFirstColumn="0" showLastColumn="0" showRowStripes="1" showColumnStripes="0"/>
</table>
</file>

<file path=xl/tables/table2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1" xr:uid="{24656AF8-6E41-1442-9E93-48F644A9FA60}" name="Tableau261" displayName="Tableau261" ref="O494:S524" totalsRowShown="0" headerRowDxfId="182" dataDxfId="181" headerRowCellStyle="Normal 2" dataCellStyle="Normal 2">
  <autoFilter ref="O494:S524" xr:uid="{24656AF8-6E41-1442-9E93-48F644A9FA60}"/>
  <tableColumns count="5">
    <tableColumn id="1" xr3:uid="{B320D969-1F1E-094C-9684-12796838F1AE}" name="AGE" dataDxfId="180" dataCellStyle="Normal 2"/>
    <tableColumn id="2" xr3:uid="{48270E6C-22A0-F042-B949-E5C7702316E8}" name="V_av" dataDxfId="179" dataCellStyle="Normal 2"/>
    <tableColumn id="3" xr3:uid="{E8E28229-024B-474B-8F99-7BB9E606ADE1}" name="V_prel" dataDxfId="178" dataCellStyle="Normal 2"/>
    <tableColumn id="4" xr3:uid="{5738C3B6-BC26-3C4A-AC56-3A39D3FDF65C}" name="V_ap" dataDxfId="177" dataCellStyle="Normal 2"/>
    <tableColumn id="5" xr3:uid="{27102DCD-12ED-D849-8E5C-187212994A34}" name="Acct (%)" dataDxfId="176" dataCellStyle="Pourcentage"/>
  </tableColumns>
  <tableStyleInfo name="TableStyleMedium3" showFirstColumn="0" showLastColumn="0" showRowStripes="1" showColumnStripes="0"/>
</table>
</file>

<file path=xl/tables/table2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2" xr:uid="{17BF65B3-1834-394E-9D6C-820AD47C004F}" name="Tableau262" displayName="Tableau262" ref="U494:Y524" totalsRowShown="0" headerRowDxfId="175" dataDxfId="174" headerRowCellStyle="Normal 2" dataCellStyle="Normal 2">
  <autoFilter ref="U494:Y524" xr:uid="{17BF65B3-1834-394E-9D6C-820AD47C004F}"/>
  <tableColumns count="5">
    <tableColumn id="1" xr3:uid="{95E68765-198B-434C-86EB-257FC81BD269}" name="AGE" dataDxfId="173" dataCellStyle="Normal 2"/>
    <tableColumn id="2" xr3:uid="{A5AFC3BC-6942-1841-BC4F-685EF3621059}" name="V_av" dataDxfId="172" dataCellStyle="Normal 2"/>
    <tableColumn id="3" xr3:uid="{9BB4FD4C-29C8-624A-BDDB-0766E041945D}" name="V_prel" dataDxfId="171" dataCellStyle="Normal 2"/>
    <tableColumn id="4" xr3:uid="{E255D421-8BC7-E742-B091-329A043F43E3}" name="V_ap" dataDxfId="170" dataCellStyle="Normal 2"/>
    <tableColumn id="5" xr3:uid="{68782E96-EAE2-F840-84FF-A2018F9D6B6F}" name="Acct (%)" dataDxfId="169" dataCellStyle="Pourcentage"/>
  </tableColumns>
  <tableStyleInfo name="TableStyleMedium3" showFirstColumn="0" showLastColumn="0" showRowStripes="1" showColumnStripes="0"/>
</table>
</file>

<file path=xl/tables/table2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3" xr:uid="{FCFB63FF-9AB7-604F-8DD8-689BFCC20326}" name="Tableau263" displayName="Tableau263" ref="I552:M582" totalsRowShown="0" headerRowDxfId="168" headerRowCellStyle="Normal 2">
  <autoFilter ref="I552:M582" xr:uid="{FCFB63FF-9AB7-604F-8DD8-689BFCC20326}"/>
  <tableColumns count="5">
    <tableColumn id="1" xr3:uid="{21AC2663-ADE2-A74B-9DA4-8C64D71EA69B}" name="AGE" dataDxfId="167" dataCellStyle="Normal 2"/>
    <tableColumn id="2" xr3:uid="{7BEF25D9-ECD3-C84F-A2C5-E9744D944269}" name="V_av" dataDxfId="166" dataCellStyle="Normal 2"/>
    <tableColumn id="3" xr3:uid="{0853A9D6-8CA9-9946-8062-1C1C13079267}" name="V_prel" dataDxfId="165" dataCellStyle="Normal 2"/>
    <tableColumn id="4" xr3:uid="{E8912568-61B8-9447-97E3-071DA4A246D4}" name="V_ap"/>
    <tableColumn id="5" xr3:uid="{715968D7-D767-8248-883E-A3DD208D4515}" name="Acct (%)" dataCellStyle="Pourcentage"/>
  </tableColumns>
  <tableStyleInfo name="TableStyleMedium3" showFirstColumn="0" showLastColumn="0" showRowStripes="1" showColumnStripes="0"/>
</table>
</file>

<file path=xl/tables/table2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4" xr:uid="{82B543D8-34C5-FE46-84D4-BD6EF46011E9}" name="Tableau264" displayName="Tableau264" ref="O552:S582" totalsRowShown="0" headerRowDxfId="164" dataDxfId="163" headerRowCellStyle="Normal 2" dataCellStyle="Normal 2">
  <autoFilter ref="O552:S582" xr:uid="{82B543D8-34C5-FE46-84D4-BD6EF46011E9}"/>
  <tableColumns count="5">
    <tableColumn id="1" xr3:uid="{2EFC6040-7901-B749-AEAA-4428134C3A1F}" name="AGE" dataDxfId="162" dataCellStyle="Normal 2"/>
    <tableColumn id="2" xr3:uid="{B77E256E-F101-7147-97E8-D06E5D655A18}" name="V_av" dataDxfId="161" dataCellStyle="Normal 2"/>
    <tableColumn id="3" xr3:uid="{60DBB4FB-0254-E64C-8390-E8FA8A49F79B}" name="V_prel" dataDxfId="160" dataCellStyle="Normal 2"/>
    <tableColumn id="4" xr3:uid="{88419E8A-0955-C040-96F3-3B469F0BE5A2}" name="V_ap" dataDxfId="159" dataCellStyle="Normal 2"/>
    <tableColumn id="5" xr3:uid="{9D1DCE7E-6F6C-6049-85FA-8156BE2DD7A6}" name="Acct (%)" dataDxfId="158" dataCellStyle="Pourcentage"/>
  </tableColumns>
  <tableStyleInfo name="TableStyleMedium3" showFirstColumn="0" showLastColumn="0" showRowStripes="1" showColumnStripes="0"/>
</table>
</file>

<file path=xl/tables/table2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5" xr:uid="{ED37637E-9716-2046-A0C5-8B13FB4326B7}" name="Tableau265" displayName="Tableau265" ref="U552:Y582" totalsRowShown="0" headerRowDxfId="157" dataDxfId="156" headerRowCellStyle="Normal 2" dataCellStyle="Normal 2">
  <autoFilter ref="U552:Y582" xr:uid="{ED37637E-9716-2046-A0C5-8B13FB4326B7}"/>
  <tableColumns count="5">
    <tableColumn id="1" xr3:uid="{D59BF26F-B2B5-2B48-B5B6-1BB1CC7BA295}" name="AGE" dataDxfId="155" dataCellStyle="Normal 2"/>
    <tableColumn id="2" xr3:uid="{6D4DDD22-0E04-684F-B557-53602B2A56E1}" name="V_av" dataDxfId="154" dataCellStyle="Normal 2"/>
    <tableColumn id="3" xr3:uid="{344134CD-A9A1-2D4A-8B21-2C998E36E191}" name="V_prel" dataDxfId="153" dataCellStyle="Normal 2"/>
    <tableColumn id="4" xr3:uid="{7C9ECAD7-4293-3D4C-921A-63844DAFD7D1}" name="V_ap" dataDxfId="152" dataCellStyle="Normal 2"/>
    <tableColumn id="5" xr3:uid="{25A1AC90-8044-944D-A7B0-5A01506F9ED1}" name="Acct (%)" dataDxfId="151" dataCellStyle="Pourcentage"/>
  </tableColumns>
  <tableStyleInfo name="TableStyleMedium3" showFirstColumn="0" showLastColumn="0" showRowStripes="1" showColumnStripes="0"/>
</table>
</file>

<file path=xl/tables/table2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6" xr:uid="{75BDF2AB-BFEB-EF46-9B81-FBA10B0382E5}" name="Tableau266" displayName="Tableau266" ref="I704:M741" totalsRowShown="0" headerRowDxfId="150" headerRowCellStyle="Normal 2">
  <autoFilter ref="I704:M741" xr:uid="{75BDF2AB-BFEB-EF46-9B81-FBA10B0382E5}"/>
  <tableColumns count="5">
    <tableColumn id="1" xr3:uid="{E13EB0D9-5D37-9D41-AE82-77C516840004}" name="AGE" dataDxfId="149" dataCellStyle="Normal 2"/>
    <tableColumn id="2" xr3:uid="{2516BF16-65B0-9C40-A14A-3D8F50225427}" name="V_av" dataDxfId="148" dataCellStyle="Normal 2"/>
    <tableColumn id="3" xr3:uid="{5A761F7A-5661-704F-BD3A-5A253E81096F}" name="V_prel" dataDxfId="147" dataCellStyle="Normal 2"/>
    <tableColumn id="4" xr3:uid="{C14AC1C4-A9B3-9241-A09D-52AB1AF1A7F9}" name="V_ap" dataDxfId="146" dataCellStyle="Normal 2"/>
    <tableColumn id="5" xr3:uid="{1BE7705C-4AED-6040-BD52-7C875F0967C6}" name="Acct (%)" dataCellStyle="Pourcentage"/>
  </tableColumns>
  <tableStyleInfo name="TableStyleMedium3" showFirstColumn="0" showLastColumn="0" showRowStripes="1" showColumnStripes="0"/>
</table>
</file>

<file path=xl/tables/table2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7" xr:uid="{325C197B-4584-7B4E-93D3-A67BE1011F5F}" name="Tableau267" displayName="Tableau267" ref="O704:S753" totalsRowShown="0" headerRowDxfId="145" headerRowCellStyle="Normal 2">
  <autoFilter ref="O704:S753" xr:uid="{325C197B-4584-7B4E-93D3-A67BE1011F5F}"/>
  <tableColumns count="5">
    <tableColumn id="1" xr3:uid="{8D168D55-3965-8D43-8356-FF189351483B}" name="AGE" dataDxfId="144" dataCellStyle="Normal 2"/>
    <tableColumn id="2" xr3:uid="{F8E0A2DF-A3DD-4E47-9E6D-AF490CFD6C4C}" name="V_av" dataDxfId="143" dataCellStyle="Normal 2"/>
    <tableColumn id="3" xr3:uid="{9751144A-CD0F-F440-897F-18C46CA90C3B}" name="V_prel" dataDxfId="142" dataCellStyle="Normal 2"/>
    <tableColumn id="4" xr3:uid="{3A5B37CD-836D-2B43-BCD5-1C8CE7E50E5F}" name="V_ap" dataDxfId="141" dataCellStyle="Normal 2"/>
    <tableColumn id="5" xr3:uid="{8F1E35DC-B751-2C4C-B904-C73DA192374D}" name="Acct (%)" dataCellStyle="Pourcentage"/>
  </tableColumns>
  <tableStyleInfo name="TableStyleMedium3"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2" xr:uid="{00000000-000C-0000-FFFF-FFFF33000000}" name="Tableau7274173" displayName="Tableau7274173" ref="B310:K330" totalsRowShown="0" headerRowDxfId="2003" dataDxfId="2002">
  <autoFilter ref="B310:K330" xr:uid="{00000000-0009-0000-0100-0000AC000000}"/>
  <tableColumns count="10">
    <tableColumn id="1" xr3:uid="{00000000-0010-0000-3300-000001000000}" name="Annees" dataDxfId="2001"/>
    <tableColumn id="2" xr3:uid="{00000000-0010-0000-3300-000002000000}" name="∆CO2e_SQ_an" dataDxfId="2000">
      <calculatedColumnFormula>IF(B311=1,M285,M285-M284)</calculatedColumnFormula>
    </tableColumn>
    <tableColumn id="9" xr3:uid="{F5C85832-C449-7141-999B-40644AA026D8}" name="∆CO2e_JP_an" dataDxfId="1999">
      <calculatedColumnFormula>IF(B311=1,O285,O285-O284)</calculatedColumnFormula>
    </tableColumn>
    <tableColumn id="3" xr3:uid="{00000000-0010-0000-3300-000003000000}" name="∆CO2e_ST_an" dataDxfId="1998">
      <calculatedColumnFormula>IF(B311=1,N285,N285-N284)</calculatedColumnFormula>
    </tableColumn>
    <tableColumn id="10" xr3:uid="{EE8AE392-BEA8-7543-9AF6-6F1C1A7462AC}" name="∆CO2e_tot_an" dataDxfId="1997">
      <calculatedColumnFormula>SUM(C311:E311)</calculatedColumnFormula>
    </tableColumn>
    <tableColumn id="5" xr3:uid="{E3DA4DCD-E6AD-D541-ACF1-4BF550D04C5E}" name="tCO2e_FF" dataDxfId="1996">
      <calculatedColumnFormula>F311*$C$306</calculatedColumnFormula>
    </tableColumn>
    <tableColumn id="8" xr3:uid="{BE717303-30E0-F144-8F4E-70D8E16D4530}" name="tCO2e_INC" dataDxfId="1995">
      <calculatedColumnFormula>(F311-G311)*$C$307</calculatedColumnFormula>
    </tableColumn>
    <tableColumn id="11" xr3:uid="{696A60B7-EEBA-7F4E-8343-96C7A41F8A26}" name="tCO2e_RNP" dataDxfId="1994">
      <calculatedColumnFormula>(F311-G311-H311)*$C$308</calculatedColumnFormula>
    </tableColumn>
    <tableColumn id="6" xr3:uid="{00000000-0010-0000-3300-000006000000}" name="tCO2e_net_an" dataDxfId="1993">
      <calculatedColumnFormula>F311-G311-H311-I311</calculatedColumnFormula>
    </tableColumn>
    <tableColumn id="7" xr3:uid="{00000000-0010-0000-3300-000007000000}" name="tCO2e_net_vente" dataDxfId="1992">
      <calculatedColumnFormula>C$336</calculatedColumnFormula>
    </tableColumn>
  </tableColumns>
  <tableStyleInfo name="TableStyleMedium5" showFirstColumn="0" showLastColumn="0" showRowStripes="1" showColumnStripes="0"/>
</table>
</file>

<file path=xl/tables/table2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8" xr:uid="{076A0666-B423-764C-B985-D1C36DA97989}" name="Tableau268" displayName="Tableau268" ref="I758:M789" totalsRowShown="0" headerRowDxfId="140" headerRowCellStyle="Normal 2">
  <autoFilter ref="I758:M789" xr:uid="{076A0666-B423-764C-B985-D1C36DA97989}"/>
  <tableColumns count="5">
    <tableColumn id="1" xr3:uid="{97C45786-C6D2-9546-B7BD-A82F99DC9004}" name="AGE" dataDxfId="139" dataCellStyle="Normal 2"/>
    <tableColumn id="2" xr3:uid="{401B1EEB-216B-CA49-BED9-D16255ABE5C5}" name="V_av" dataDxfId="138" dataCellStyle="Normal 2"/>
    <tableColumn id="3" xr3:uid="{29EB777B-2CB2-6A49-BA94-0CC815B13FFE}" name="V_prel" dataDxfId="137" dataCellStyle="Normal 2"/>
    <tableColumn id="4" xr3:uid="{4B7507E2-DBB0-E443-9128-D3A6DBD99C34}" name="V_ap" dataDxfId="136" dataCellStyle="Normal 2"/>
    <tableColumn id="5" xr3:uid="{DE2206B6-EC2A-1F43-B6E0-AEA40E6EF8B8}" name="Acct (%)" dataCellStyle="Pourcentage"/>
  </tableColumns>
  <tableStyleInfo name="TableStyleMedium3" showFirstColumn="0" showLastColumn="0" showRowStripes="1" showColumnStripes="0"/>
</table>
</file>

<file path=xl/tables/table2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9" xr:uid="{62F46F14-929E-1748-B78A-01DE9B99EFC6}" name="Tableau269" displayName="Tableau269" ref="O758:S789" totalsRowShown="0" headerRowDxfId="135" headerRowCellStyle="Normal 2">
  <autoFilter ref="O758:S789" xr:uid="{62F46F14-929E-1748-B78A-01DE9B99EFC6}"/>
  <tableColumns count="5">
    <tableColumn id="1" xr3:uid="{09F2B38D-3622-1E44-AEB9-83EFE10597A8}" name="AGE" dataDxfId="134" dataCellStyle="Normal 2"/>
    <tableColumn id="2" xr3:uid="{715F52AD-B878-884E-BAC5-273AB0E25A28}" name="V_av" dataDxfId="133" dataCellStyle="Normal 2"/>
    <tableColumn id="3" xr3:uid="{4DE7BFC5-F9F3-1048-9DE0-A2CDA8BAAAE2}" name="V_prel" dataDxfId="132" dataCellStyle="Normal 2"/>
    <tableColumn id="4" xr3:uid="{3D3C85BE-EA6D-784E-BCF2-348CD0879A2A}" name="V_ap" dataDxfId="131" dataCellStyle="Normal 2"/>
    <tableColumn id="5" xr3:uid="{144203E3-37EC-7540-8D33-A5CF8E7C08FD}" name="Acct (%)" dataCellStyle="Pourcentage"/>
  </tableColumns>
  <tableStyleInfo name="TableStyleMedium3" showFirstColumn="0" showLastColumn="0" showRowStripes="1" showColumnStripes="0"/>
</table>
</file>

<file path=xl/tables/table2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0" xr:uid="{38E6C589-4188-ED46-B6EB-44150B93761F}" name="Tableau270" displayName="Tableau270" ref="I808:M839" totalsRowShown="0" headerRowDxfId="130" dataDxfId="129" headerRowCellStyle="Normal 2" dataCellStyle="Normal 2">
  <autoFilter ref="I808:M839" xr:uid="{38E6C589-4188-ED46-B6EB-44150B93761F}"/>
  <tableColumns count="5">
    <tableColumn id="1" xr3:uid="{8790AA13-66AA-1C4A-A5D9-10D6CFFED1E1}" name="AGE" dataDxfId="128" dataCellStyle="Normal 2"/>
    <tableColumn id="2" xr3:uid="{8AF1F219-B07D-E14C-A008-3D084280252B}" name="V_av" dataDxfId="127" dataCellStyle="Normal 2"/>
    <tableColumn id="3" xr3:uid="{2C47C6A0-F02D-AD46-819D-2845005AFB05}" name="V_prel" dataDxfId="126" dataCellStyle="Normal 2"/>
    <tableColumn id="4" xr3:uid="{584987D2-B04D-8B4C-A22B-64B224E955C4}" name="V_ap" dataDxfId="125" dataCellStyle="Normal 2"/>
    <tableColumn id="5" xr3:uid="{DF7F0134-08E2-4948-8368-6E0A28841602}" name="Acct (%)" dataDxfId="124" dataCellStyle="Pourcentage"/>
  </tableColumns>
  <tableStyleInfo name="TableStyleMedium3" showFirstColumn="0" showLastColumn="0" showRowStripes="1" showColumnStripes="0"/>
</table>
</file>

<file path=xl/tables/table2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1" xr:uid="{B8C7940C-867A-C049-80A4-B20803268D61}" name="Tableau271" displayName="Tableau271" ref="O808:S839" totalsRowShown="0" headerRowDxfId="123" headerRowCellStyle="Normal 2">
  <autoFilter ref="O808:S839" xr:uid="{B8C7940C-867A-C049-80A4-B20803268D61}"/>
  <tableColumns count="5">
    <tableColumn id="1" xr3:uid="{6F233C97-C0B7-4640-8F96-B6B08277B154}" name="AGE" dataDxfId="122" dataCellStyle="Normal 2"/>
    <tableColumn id="2" xr3:uid="{CDCC520E-19A1-5340-9394-55DC30AC0A6B}" name="V_av" dataDxfId="121" dataCellStyle="Normal 2"/>
    <tableColumn id="3" xr3:uid="{C3EC0D50-BA17-9B47-BE47-C0068519951D}" name="V_prel" dataDxfId="120" dataCellStyle="Normal 2"/>
    <tableColumn id="4" xr3:uid="{26BD3386-110F-3647-9739-949EB845BF0B}" name="V_ap" dataDxfId="119" dataCellStyle="Normal 2"/>
    <tableColumn id="5" xr3:uid="{94A24FD4-5899-B946-BC45-798E10C6B722}" name="Acct (%)" dataCellStyle="Pourcentage"/>
  </tableColumns>
  <tableStyleInfo name="TableStyleMedium3" showFirstColumn="0" showLastColumn="0" showRowStripes="1" showColumnStripes="0"/>
</table>
</file>

<file path=xl/tables/table2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FF0B9A01-F654-654A-B527-87F0D18E9DB7}" name="Tableau6" displayName="Tableau6" ref="C669:G699" totalsRowShown="0" headerRowDxfId="118" headerRowCellStyle="Normal 2">
  <autoFilter ref="C669:G699" xr:uid="{FF0B9A01-F654-654A-B527-87F0D18E9DB7}"/>
  <tableColumns count="5">
    <tableColumn id="1" xr3:uid="{C19D29E0-4E62-8144-B723-E5AAD17124BC}" name="AGE" dataDxfId="117" dataCellStyle="Normal 2"/>
    <tableColumn id="2" xr3:uid="{F426EC02-8B60-A94E-B77A-F13CAD560C24}" name="V_av" dataDxfId="116" dataCellStyle="Normal 2"/>
    <tableColumn id="3" xr3:uid="{5E68328D-3F82-364F-BFC1-433CA28125E2}" name="V_prel" dataDxfId="115" dataCellStyle="Normal 2"/>
    <tableColumn id="4" xr3:uid="{2A8D455B-184A-2C48-857E-72094F8CC9AF}" name="V_ap" dataDxfId="114" dataCellStyle="Normal 2">
      <calculatedColumnFormula>D670-E670</calculatedColumnFormula>
    </tableColumn>
    <tableColumn id="5" xr3:uid="{DC626CA9-043A-444D-AD96-66064637CBB5}" name="Acct (%)" dataDxfId="113" dataCellStyle="Pourcentage">
      <calculatedColumnFormula>((D670-F669)/D670)/(C670-C669)</calculatedColumnFormula>
    </tableColumn>
  </tableColumns>
  <tableStyleInfo name="TableStyleMedium6" showFirstColumn="0" showLastColumn="0" showRowStripes="1" showColumnStripes="0"/>
</table>
</file>

<file path=xl/tables/table2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19000000}" name="Tableau2" displayName="Tableau2" ref="T1:AI13" totalsRowShown="0">
  <autoFilter ref="T1:AI13" xr:uid="{00000000-0009-0000-0100-000002000000}"/>
  <tableColumns count="16">
    <tableColumn id="1" xr3:uid="{00000000-0010-0000-1900-000001000000}" name="Pays"/>
    <tableColumn id="4" xr3:uid="{00000000-0010-0000-1900-000004000000}" name="Cat_Ess"/>
    <tableColumn id="6" xr3:uid="{00000000-0010-0000-1900-000006000000}" name="D_exploit_min" dataDxfId="112"/>
    <tableColumn id="3" xr3:uid="{EB9C2D02-1D59-2441-AEA4-392D9D2FB69E}" name="AURA" dataDxfId="111"/>
    <tableColumn id="5" xr3:uid="{4F741EC2-6E9F-5B42-92FB-8B3B16842BCA}" name="BFC" dataDxfId="110"/>
    <tableColumn id="7" xr3:uid="{71C04B0E-22E2-DE42-AE98-A03ADD4F1FE1}" name="BRE" dataDxfId="109"/>
    <tableColumn id="8" xr3:uid="{3F02233E-1699-5548-B346-F3AC49ACF2E7}" name="CVDL" dataDxfId="108"/>
    <tableColumn id="9" xr3:uid="{38754743-5D4A-2B4D-B199-078CAF68E44B}" name="CORSE" dataDxfId="107"/>
    <tableColumn id="10" xr3:uid="{84506162-A8C3-EA47-8722-2CAEFCBD66A8}" name="GE" dataDxfId="106"/>
    <tableColumn id="11" xr3:uid="{DDE09349-4235-CD4E-A42C-32A98535FE9E}" name="HDF" dataDxfId="105"/>
    <tableColumn id="12" xr3:uid="{E7E64F67-6945-634A-870D-67DB5E8B88AA}" name="IDF" dataDxfId="104"/>
    <tableColumn id="13" xr3:uid="{EA43BDEB-C4E4-6740-9BC6-871FDB9E1F1D}" name="NOR" dataDxfId="103"/>
    <tableColumn id="14" xr3:uid="{A1966BEF-4F1A-894E-952B-53176D2D8071}" name="NA" dataDxfId="102"/>
    <tableColumn id="15" xr3:uid="{652CC7E3-E919-5945-B94D-D262F3B40314}" name="OCC" dataDxfId="101"/>
    <tableColumn id="16" xr3:uid="{C7BD2A94-395E-2B4F-A0E1-9D40DE8F62D3}" name="PDL" dataDxfId="100"/>
    <tableColumn id="17" xr3:uid="{620BA22A-3A3F-B544-ACE8-C84B4A08A234}" name="PACA" dataDxfId="99"/>
  </tableColumns>
  <tableStyleInfo name="TableStyleMedium3" showFirstColumn="0" showLastColumn="0" showRowStripes="1" showColumnStripes="0"/>
</table>
</file>

<file path=xl/tables/table2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1A000000}" name="Tableau16" displayName="Tableau16" ref="J15:P26" totalsRowShown="0">
  <autoFilter ref="J15:P26" xr:uid="{00000000-0009-0000-0100-000010000000}"/>
  <tableColumns count="7">
    <tableColumn id="1" xr3:uid="{00000000-0010-0000-1A00-000001000000}" name="Pays"/>
    <tableColumn id="2" xr3:uid="{00000000-0010-0000-1A00-000002000000}" name="Cat-Ess"/>
    <tableColumn id="5" xr3:uid="{00000000-0010-0000-1A00-000005000000}" name="D_min" dataDxfId="98"/>
    <tableColumn id="9" xr3:uid="{00000000-0010-0000-1A00-000009000000}" name="D_max" dataDxfId="97"/>
    <tableColumn id="3" xr3:uid="{00000000-0010-0000-1A00-000003000000}" name="C_BO_sc" dataDxfId="96" dataCellStyle="Pourcentage">
      <calculatedColumnFormula>#REF!*100%/SUM(#REF!)</calculatedColumnFormula>
    </tableColumn>
    <tableColumn id="4" xr3:uid="{00000000-0010-0000-1A00-000004000000}" name="C_BO_ps" dataDxfId="95" dataCellStyle="Pourcentage">
      <calculatedColumnFormula>#REF!*100%/SUM(#REF!)</calculatedColumnFormula>
    </tableColumn>
    <tableColumn id="6" xr3:uid="{00000000-0010-0000-1A00-000006000000}" name="C_BI_pap" dataDxfId="94" dataCellStyle="Pourcentage">
      <calculatedColumnFormula>#REF!*100%/SUM(#REF!)</calculatedColumnFormula>
    </tableColumn>
  </tableColumns>
  <tableStyleInfo name="TableStyleMedium3" showFirstColumn="0" showLastColumn="0" showRowStripes="1" showColumnStripes="0"/>
</table>
</file>

<file path=xl/tables/table2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1B000000}" name="Tableau17" displayName="Tableau17" ref="J35:M39" totalsRowShown="0">
  <autoFilter ref="J35:M39" xr:uid="{00000000-0009-0000-0100-000011000000}"/>
  <tableColumns count="4">
    <tableColumn id="1" xr3:uid="{00000000-0010-0000-1B00-000001000000}" name="Type_val"/>
    <tableColumn id="2" xr3:uid="{00000000-0010-0000-1B00-000002000000}" name="PCD" dataCellStyle="Pourcentage"/>
    <tableColumn id="3" xr3:uid="{00000000-0010-0000-1B00-000003000000}" name="PMD" dataCellStyle="Pourcentage"/>
    <tableColumn id="4" xr3:uid="{00000000-0010-0000-1B00-000004000000}" name="PLD" dataCellStyle="Pourcentage"/>
  </tableColumns>
  <tableStyleInfo name="TableStyleMedium3" showFirstColumn="0" showLastColumn="0" showRowStripes="1" showColumnStripes="0"/>
</table>
</file>

<file path=xl/tables/table2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00000000-000C-0000-FFFF-FFFF1C000000}" name="Tableau44" displayName="Tableau44" ref="B6:G36" totalsRowShown="0" headerRowDxfId="93" dataDxfId="92">
  <autoFilter ref="B6:G36" xr:uid="{00000000-0009-0000-0100-00002C000000}"/>
  <sortState xmlns:xlrd2="http://schemas.microsoft.com/office/spreadsheetml/2017/richdata2" ref="B7:F33">
    <sortCondition ref="B6:B33"/>
  </sortState>
  <tableColumns count="6">
    <tableColumn id="1" xr3:uid="{00000000-0010-0000-1C00-000001000000}" name="Essence" dataDxfId="91"/>
    <tableColumn id="4" xr3:uid="{C90625D8-0C4A-E341-A17A-33AC35376AC7}" name="Code_ess" dataDxfId="90"/>
    <tableColumn id="5" xr3:uid="{7FB1E886-BEC4-6A47-B791-92590A1D4955}" name="Cat_ess" dataDxfId="89"/>
    <tableColumn id="2" xr3:uid="{00000000-0010-0000-1C00-000002000000}" name="Type_ess" dataDxfId="88"/>
    <tableColumn id="3" xr3:uid="{00000000-0010-0000-1C00-000003000000}" name="ID" dataDxfId="87"/>
    <tableColumn id="6" xr3:uid="{4FAE326A-B191-414E-87BA-87C87A1ED670}" name="FEB" dataDxfId="86"/>
  </tableColumns>
  <tableStyleInfo name="TableStyleMedium3" showFirstColumn="0" showLastColumn="0" showRowStripes="1" showColumnStripes="0"/>
</table>
</file>

<file path=xl/tables/table2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0000000-000C-0000-FFFF-FFFF1D000000}" name="Tableau31" displayName="Tableau31" ref="J29:O31" totalsRowShown="0" headerRowDxfId="85" dataDxfId="84" dataCellStyle="Pourcentage">
  <autoFilter ref="J29:O31" xr:uid="{00000000-0009-0000-0100-00001F000000}"/>
  <tableColumns count="6">
    <tableColumn id="1" xr3:uid="{00000000-0010-0000-1D00-000001000000}" name="Pays" dataDxfId="83"/>
    <tableColumn id="2" xr3:uid="{00000000-0010-0000-1D00-000002000000}" name="Type_Ess" dataDxfId="82"/>
    <tableColumn id="3" xr3:uid="{00000000-0010-0000-1D00-000003000000}" name="C_BO_sc" dataDxfId="81" dataCellStyle="Pourcentage"/>
    <tableColumn id="4" xr3:uid="{00000000-0010-0000-1D00-000004000000}" name="C_BO_ps" dataDxfId="80" dataCellStyle="Pourcentage"/>
    <tableColumn id="5" xr3:uid="{00000000-0010-0000-1D00-000005000000}" name="C_BI_pan" dataDxfId="79" dataCellStyle="Pourcentage">
      <calculatedColumnFormula>1/2.75</calculatedColumnFormula>
    </tableColumn>
    <tableColumn id="6" xr3:uid="{00000000-0010-0000-1D00-000006000000}" name="C_BI_pap" dataDxfId="78" dataCellStyle="Pourcentage">
      <calculatedColumnFormula>1/2.75</calculatedColumnFormula>
    </tableColumn>
  </tableColumns>
  <tableStyleInfo name="TableStyleMedium3"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3" xr:uid="{00000000-000C-0000-FFFF-FFFF34000000}" name="Tableau75174" displayName="Tableau75174" ref="B91:Z111" totalsRowShown="0" headerRowDxfId="1991" dataDxfId="1990">
  <autoFilter ref="B91:Z111" xr:uid="{00000000-0009-0000-0100-0000AD000000}"/>
  <tableColumns count="25">
    <tableColumn id="1" xr3:uid="{00000000-0010-0000-3400-000001000000}" name="Année" dataDxfId="1989"/>
    <tableColumn id="2" xr3:uid="{00000000-0010-0000-3400-000002000000}" name="JP_1" dataDxfId="1988">
      <calculatedColumnFormula>(C$86)*IF($B92&gt;=C$84,IF($B92=C$84,$E$19,VLOOKUP($B92-C$84,$B$19:$E$49,4,FALSE)),0)</calculatedColumnFormula>
    </tableColumn>
    <tableColumn id="3" xr3:uid="{00000000-0010-0000-3400-000003000000}" name="JP_2" dataDxfId="1987">
      <calculatedColumnFormula>(D$86)*IF($B92&gt;=D$84,IF($B92=D$84,$E$19,VLOOKUP($B92-D$84,$B$19:$E$49,4,FALSE)),0)</calculatedColumnFormula>
    </tableColumn>
    <tableColumn id="4" xr3:uid="{00000000-0010-0000-3400-000004000000}" name="JP_3" dataDxfId="1986">
      <calculatedColumnFormula>(E$86)*IF($B92&gt;=E$84,IF($B92=E$84,$E$19,VLOOKUP($B92-E$84,$B$19:$E$49,4,FALSE)),0)</calculatedColumnFormula>
    </tableColumn>
    <tableColumn id="5" xr3:uid="{00000000-0010-0000-3400-000005000000}" name="JP_4" dataDxfId="1985">
      <calculatedColumnFormula>(F$86)*IF($B92&gt;=F$84,IF($B92=F$84,$E$19,VLOOKUP($B92-F$84,$B$19:$E$49,4,FALSE)),0)</calculatedColumnFormula>
    </tableColumn>
    <tableColumn id="6" xr3:uid="{00000000-0010-0000-3400-000006000000}" name="JP_5" dataDxfId="1984">
      <calculatedColumnFormula>(G$86)*IF($B92&gt;=G$84,IF($B92=G$84,$E$19,VLOOKUP($B92-G$84,$B$19:$E$49,4,FALSE)),0)</calculatedColumnFormula>
    </tableColumn>
    <tableColumn id="7" xr3:uid="{00000000-0010-0000-3400-000007000000}" name="JP_6" dataDxfId="1983">
      <calculatedColumnFormula>(H$86)*IF($B92&gt;=H$84,IF($B92=H$84,$E$19,VLOOKUP($B92-H$84,$B$19:$E$49,4,FALSE)),0)</calculatedColumnFormula>
    </tableColumn>
    <tableColumn id="8" xr3:uid="{00000000-0010-0000-3400-000008000000}" name="JP_7" dataDxfId="1982">
      <calculatedColumnFormula>(I$86)*IF($B92&gt;=I$84,IF($B92=I$84,$E$19,VLOOKUP($B92-I$84,$B$19:$E$49,4,FALSE)),0)</calculatedColumnFormula>
    </tableColumn>
    <tableColumn id="9" xr3:uid="{00000000-0010-0000-3400-000009000000}" name="JP_8" dataDxfId="1981">
      <calculatedColumnFormula>(J$86)*IF($B92&gt;=J$84,IF($B92=J$84,$E$19,VLOOKUP($B92-J$84,$B$19:$E$49,4,FALSE)),0)</calculatedColumnFormula>
    </tableColumn>
    <tableColumn id="10" xr3:uid="{00000000-0010-0000-3400-00000A000000}" name="JP_9" dataDxfId="1980">
      <calculatedColumnFormula>(K$86)*IF($B92&gt;=K$84,IF($B92=K$84,$E$19,VLOOKUP($B92-K$84,$B$19:$E$49,4,FALSE)),0)</calculatedColumnFormula>
    </tableColumn>
    <tableColumn id="11" xr3:uid="{00000000-0010-0000-3400-00000B000000}" name="JP_10" dataDxfId="1979">
      <calculatedColumnFormula>(L$86)*IF($B92&gt;=L$84,IF($B92=L$84,$E$19,VLOOKUP($B92-L$84,$B$19:$E$49,4,FALSE)),0)</calculatedColumnFormula>
    </tableColumn>
    <tableColumn id="12" xr3:uid="{00000000-0010-0000-3400-00000C000000}" name="JP_11" dataDxfId="1978">
      <calculatedColumnFormula>(M$86)*IF($B92&gt;=M$84,IF($B92=M$84,$E$19,VLOOKUP($B92-M$84,$B$19:$E$49,4,FALSE)),0)</calculatedColumnFormula>
    </tableColumn>
    <tableColumn id="13" xr3:uid="{00000000-0010-0000-3400-00000D000000}" name="JP_12" dataDxfId="1977">
      <calculatedColumnFormula>(N$86)*IF($B92&gt;=N$84,IF($B92=N$84,$E$19,VLOOKUP($B92-N$84,$B$19:$E$49,4,FALSE)),0)</calculatedColumnFormula>
    </tableColumn>
    <tableColumn id="14" xr3:uid="{00000000-0010-0000-3400-00000E000000}" name="JP_13" dataDxfId="1976">
      <calculatedColumnFormula>(O$86)*IF($B92&gt;=O$84,IF($B92=O$84,$E$19,VLOOKUP($B92-O$84,$B$19:$E$49,4,FALSE)),0)</calculatedColumnFormula>
    </tableColumn>
    <tableColumn id="15" xr3:uid="{00000000-0010-0000-3400-00000F000000}" name="JP_14" dataDxfId="1975">
      <calculatedColumnFormula>(P$86)*IF($B92&gt;=P$84,IF($B92=P$84,$E$19,VLOOKUP($B92-P$84,$B$19:$E$49,4,FALSE)),0)</calculatedColumnFormula>
    </tableColumn>
    <tableColumn id="16" xr3:uid="{00000000-0010-0000-3400-000010000000}" name="JP_15" dataDxfId="1974">
      <calculatedColumnFormula>(Q$86)*IF($B92&gt;=Q$84,IF($B92=Q$84,$E$19,VLOOKUP($B92-Q$84,$B$19:$E$49,4,FALSE)),0)</calculatedColumnFormula>
    </tableColumn>
    <tableColumn id="17" xr3:uid="{00000000-0010-0000-3400-000011000000}" name="JP_16" dataDxfId="1973">
      <calculatedColumnFormula>(R$86)*IF($B92&gt;=R$84,IF($B92=R$84,$E$19,VLOOKUP($B92-R$84,$B$19:$E$49,4,FALSE)),0)</calculatedColumnFormula>
    </tableColumn>
    <tableColumn id="18" xr3:uid="{00000000-0010-0000-3400-000012000000}" name="JP_17" dataDxfId="1972">
      <calculatedColumnFormula>(S$86)*IF($B92&gt;=S$84,IF($B92=S$84,$E$19,VLOOKUP($B92-S$84,$B$19:$E$49,4,FALSE)),0)</calculatedColumnFormula>
    </tableColumn>
    <tableColumn id="19" xr3:uid="{00000000-0010-0000-3400-000013000000}" name="JP_18" dataDxfId="1971">
      <calculatedColumnFormula>(T$86)*IF($B92&gt;=T$84,IF($B92=T$84,$E$19,VLOOKUP($B92-T$84,$B$19:$E$49,4,FALSE)),0)</calculatedColumnFormula>
    </tableColumn>
    <tableColumn id="20" xr3:uid="{00000000-0010-0000-3400-000014000000}" name="JP_19" dataDxfId="1970">
      <calculatedColumnFormula>(U$86)*IF($B92&gt;=U$84,IF($B92=U$84,$E$19,VLOOKUP($B92-U$84,$B$19:$E$49,4,FALSE)),0)</calculatedColumnFormula>
    </tableColumn>
    <tableColumn id="21" xr3:uid="{00000000-0010-0000-3400-000015000000}" name="JP_20" dataDxfId="1969">
      <calculatedColumnFormula>(V$86)*IF($B92&gt;=V$84,IF($B92=V$84,$E$19,VLOOKUP($B92-V$84,$B$19:$E$49,4,FALSE)),0)</calculatedColumnFormula>
    </tableColumn>
    <tableColumn id="32" xr3:uid="{00000000-0010-0000-3400-000020000000}" name="BA_JP" dataDxfId="1968">
      <calculatedColumnFormula>SUM(#REF!)*D$11*C$11</calculatedColumnFormula>
    </tableColumn>
    <tableColumn id="33" xr3:uid="{00000000-0010-0000-3400-000021000000}" name="BR_JP" dataDxfId="1967">
      <calculatedColumnFormula>IF(W92&gt;0,EXP(-1.0587+0.8836*LN(W92)+0.284),0)</calculatedColumnFormula>
    </tableColumn>
    <tableColumn id="34" xr3:uid="{00000000-0010-0000-3400-000022000000}" name="CO2e_JP" dataDxfId="1966">
      <calculatedColumnFormula>SUM(W92:X92)*0.475*44/12</calculatedColumnFormula>
    </tableColumn>
    <tableColumn id="35" xr3:uid="{9EF8047C-E17A-F748-9CC4-BD641FB97CE8}" name="V_JP_tot" dataDxfId="1965">
      <calculatedColumnFormula>SUM(#REF!)</calculatedColumnFormula>
    </tableColumn>
  </tableColumns>
  <tableStyleInfo name="TableStyleMedium5" showFirstColumn="0" showLastColumn="0" showRowStripes="1" showColumnStripes="0"/>
</table>
</file>

<file path=xl/tables/table2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2BC1C308-6A9C-2547-BA5C-D02639D9A703}" name="Tableau54" displayName="Tableau54" ref="J42:K46" totalsRowShown="0">
  <autoFilter ref="J42:K46" xr:uid="{2BC1C308-6A9C-2547-BA5C-D02639D9A703}"/>
  <tableColumns count="2">
    <tableColumn id="1" xr3:uid="{69DA44F5-B69C-464F-983C-5E070F5D674A}" name="Pays"/>
    <tableColumn id="2" xr3:uid="{5F1369F2-84E5-DD45-B1FE-76A761509C9C}" name="Risque"/>
  </tableColumns>
  <tableStyleInfo name="TableStyleMedium3" showFirstColumn="0" showLastColumn="0" showRowStripes="1" showColumnStripes="0"/>
</table>
</file>

<file path=xl/tables/table2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D84E2286-164D-6243-BD31-799BD870E68E}" name="Tableau3" displayName="Tableau3" ref="T25:V30" totalsRowShown="0" headerRowDxfId="77" dataDxfId="76">
  <autoFilter ref="T25:V30" xr:uid="{D84E2286-164D-6243-BD31-799BD870E68E}"/>
  <tableColumns count="3">
    <tableColumn id="1" xr3:uid="{650B4C2B-9990-A24F-924F-686A8541BD15}" name="Δréc_Min (m3)" dataDxfId="75"/>
    <tableColumn id="2" xr3:uid="{5335C433-58CD-BC40-9D7D-9F6D852214F0}" name="Δréc_Max (m3)" dataDxfId="74"/>
    <tableColumn id="4" xr3:uid="{CC906C51-4222-7440-87B3-64571A68CAE0}" name="%fuites_V2" dataDxfId="73" dataCellStyle="Pourcentage"/>
  </tableColumns>
  <tableStyleInfo name="TableStyleMedium3" showFirstColumn="0" showLastColumn="0" showRowStripes="1" showColumnStripes="0"/>
</table>
</file>

<file path=xl/tables/table2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B14734A4-85C9-F24D-868D-DDA50C094B3D}" name="Tableau1643" displayName="Tableau1643" ref="J1:Q12" totalsRowShown="0">
  <autoFilter ref="J1:Q12" xr:uid="{B14734A4-85C9-F24D-868D-DDA50C094B3D}"/>
  <tableColumns count="8">
    <tableColumn id="1" xr3:uid="{EEFA1395-55B5-1F48-B2DC-2D943AC0B87C}" name="Pays"/>
    <tableColumn id="2" xr3:uid="{CF47E2D1-397E-FE4C-AEBD-07413C0EB604}" name="Cat-Ess"/>
    <tableColumn id="5" xr3:uid="{285FF42E-9CA2-BA47-802A-F8E6D2853496}" name="D_min" dataDxfId="72"/>
    <tableColumn id="9" xr3:uid="{8DB042EB-213F-3C41-82F0-BB0ABC05291D}" name="D_max" dataDxfId="71"/>
    <tableColumn id="3" xr3:uid="{85EDF48D-6AF2-BC4B-8764-D10778855299}" name="%BO_sc" dataDxfId="70" dataCellStyle="Pourcentage"/>
    <tableColumn id="4" xr3:uid="{2E6C8F5C-0023-4049-A951-C63BC6CFAD28}" name="%BO_ps" dataDxfId="69" dataCellStyle="Pourcentage"/>
    <tableColumn id="6" xr3:uid="{5F65937B-B818-8546-9106-B2FE1B2E7C80}" name="%BI_pap" dataDxfId="68" dataCellStyle="Pourcentage"/>
    <tableColumn id="7" xr3:uid="{693BE423-4AF1-B540-9CE5-9FF275B54A36}" name="C_BE" dataDxfId="67" dataCellStyle="Pourcentage"/>
  </tableColumns>
  <tableStyleInfo name="TableStyleMedium3" showFirstColumn="0" showLastColumn="0" showRowStripes="1" showColumnStripes="0"/>
</table>
</file>

<file path=xl/tables/table2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BD465E6C-BEEC-584E-9773-A3B7A344F9D7}" name="Tableau162" displayName="Tableau162" ref="J76:P100" totalsRowShown="0" headerRowDxfId="66" dataDxfId="65">
  <autoFilter ref="J76:P100" xr:uid="{BD465E6C-BEEC-584E-9773-A3B7A344F9D7}"/>
  <tableColumns count="7">
    <tableColumn id="1" xr3:uid="{2C5E1A0B-090B-874F-A03B-A2AE56802B12}" name="Pays" dataDxfId="64"/>
    <tableColumn id="2" xr3:uid="{60A4BDA5-809D-C64E-AC87-AA3ACB3E9B21}" name="Cat-Ess" dataDxfId="63"/>
    <tableColumn id="5" xr3:uid="{3C5799AE-08FD-034C-944C-CAF6E2476A85}" name="D_min" dataDxfId="62"/>
    <tableColumn id="9" xr3:uid="{CD514B6C-A9A7-054D-8F31-57E752DCC2E0}" name="D_max" dataDxfId="61"/>
    <tableColumn id="3" xr3:uid="{53369D30-F932-2C4A-A03A-538DD2D9A9E8}" name="C_BO_sc" dataDxfId="60" dataCellStyle="Pourcentage">
      <calculatedColumnFormula>N50*100%/SUM($N50:$P50)</calculatedColumnFormula>
    </tableColumn>
    <tableColumn id="4" xr3:uid="{CBA25525-C233-694C-BE5F-F3780FB0B1D5}" name="C_BO_ps" dataDxfId="59" dataCellStyle="Pourcentage">
      <calculatedColumnFormula>O50*100%/SUM($N50:$P50)</calculatedColumnFormula>
    </tableColumn>
    <tableColumn id="6" xr3:uid="{042CE221-51BD-8C41-A41C-E39BC07171C9}" name="C_BI_pap" dataDxfId="58" dataCellStyle="Pourcentage">
      <calculatedColumnFormula>P50*100%/SUM($N50:$P50)</calculatedColumnFormula>
    </tableColumn>
  </tableColumns>
  <tableStyleInfo name="TableStyleMedium4" showFirstColumn="0" showLastColumn="0" showRowStripes="1" showColumnStripes="0"/>
</table>
</file>

<file path=xl/tables/table2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4" xr:uid="{D05A3CC9-578E-D04C-9793-149D5FEBB2C2}" name="Tableau1643195" displayName="Tableau1643195" ref="J49:Q73" totalsRowShown="0">
  <autoFilter ref="J49:Q73" xr:uid="{D05A3CC9-578E-D04C-9793-149D5FEBB2C2}"/>
  <tableColumns count="8">
    <tableColumn id="1" xr3:uid="{AFAD06CD-3263-F04D-AACE-6402D2CDB23F}" name="Pays"/>
    <tableColumn id="2" xr3:uid="{D799EFE1-7021-C840-BD43-4B8B40E5FB38}" name="Cat-Ess" dataDxfId="57"/>
    <tableColumn id="5" xr3:uid="{3C38AA18-C1BC-3B4D-8ACC-29C6019414FD}" name="D_min" dataDxfId="56"/>
    <tableColumn id="9" xr3:uid="{AC133B1B-55ED-AA4B-88D1-E71F232B970A}" name="D_max" dataDxfId="55"/>
    <tableColumn id="3" xr3:uid="{00E7C8C9-ECC7-0C41-82FC-7072515B77E0}" name="%BO_sc" dataDxfId="54" dataCellStyle="Pourcentage"/>
    <tableColumn id="4" xr3:uid="{D98C471B-4BBE-6241-AADA-44BD6659316A}" name="%BO_ps" dataDxfId="53" dataCellStyle="Pourcentage"/>
    <tableColumn id="6" xr3:uid="{9EFD9276-ABA3-BB43-8977-00B878BF0D47}" name="%BI_pap" dataDxfId="52" dataCellStyle="Pourcentage"/>
    <tableColumn id="7" xr3:uid="{82D4ED3C-83AE-AB40-8E12-37F9AB01A244}" name="C_BE" dataDxfId="51" dataCellStyle="Pourcentage"/>
  </tableColumns>
  <tableStyleInfo name="TableStyleMedium4" showFirstColumn="0" showLastColumn="0" showRowStripes="1" showColumnStripes="0"/>
</table>
</file>

<file path=xl/tables/table2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1" xr:uid="{D5166BF0-6576-8A4F-9D7F-45DEB00BCDFD}" name="Tableau221" displayName="Tableau221" ref="T16:V20" totalsRowShown="0" dataDxfId="50">
  <autoFilter ref="T16:V20" xr:uid="{D5166BF0-6576-8A4F-9D7F-45DEB00BCDFD}"/>
  <tableColumns count="3">
    <tableColumn id="1" xr3:uid="{9BDD39E4-785D-5147-9321-AE16DD0A261B}" name="nom_ppt" dataDxfId="49"/>
    <tableColumn id="2" xr3:uid="{272BAE48-4CB8-7444-9EEE-DAEF3054E2CA}" name="type_ppt" dataDxfId="48"/>
    <tableColumn id="3" xr3:uid="{E882149B-C0CD-694D-9677-3C17994280B0}" name="Traitement" dataDxfId="47"/>
  </tableColumns>
  <tableStyleInfo name="TableStyleMedium3" showFirstColumn="0" showLastColumn="0" showRowStripes="1" showColumnStripes="0"/>
</table>
</file>

<file path=xl/tables/table2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32150398-74AE-B04F-B091-20177DE41DC8}" name="Tableau26" displayName="Tableau26" ref="B39:D52" totalsRowShown="0">
  <autoFilter ref="B39:D52" xr:uid="{32150398-74AE-B04F-B091-20177DE41DC8}"/>
  <tableColumns count="3">
    <tableColumn id="1" xr3:uid="{B8B20236-129E-2F45-9BAF-EAA29009A52C}" name="Pays" dataDxfId="46"/>
    <tableColumn id="2" xr3:uid="{A77355AF-7E05-9240-BC88-0562F40B3D55}" name="Région" dataDxfId="45"/>
    <tableColumn id="3" xr3:uid="{817CB73C-444F-D248-A250-1F28C94E1F77}" name="Code_reg" dataDxfId="44"/>
  </tableColumns>
  <tableStyleInfo name="TableStyleMedium3" showFirstColumn="0" showLastColumn="0" showRowStripes="1" showColumnStripes="0"/>
</table>
</file>

<file path=xl/tables/table2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F16A9FB0-8E8E-214B-A88F-9D28D2FC72AA}" name="Tableau27" displayName="Tableau27" ref="B55:D66" totalsRowShown="0">
  <autoFilter ref="B55:D66" xr:uid="{F16A9FB0-8E8E-214B-A88F-9D28D2FC72AA}"/>
  <tableColumns count="3">
    <tableColumn id="1" xr3:uid="{1C0525F2-72FF-D04B-B299-9BBBB3ADAAA6}" name="Pays"/>
    <tableColumn id="2" xr3:uid="{4B60F507-6FDD-654A-8746-D42CCD1CEEE7}" name="Cat-Ess" dataDxfId="43"/>
    <tableColumn id="3" xr3:uid="{3758340D-B62A-954F-8F0C-D2BE98D19ADB}" name="Acct" dataDxfId="42" dataCellStyle="Pourcentage"/>
  </tableColumns>
  <tableStyleInfo name="TableStyleMedium3" showFirstColumn="0" showLastColumn="0" showRowStripes="1" showColumnStripes="0"/>
</table>
</file>

<file path=xl/tables/table2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C31D1686-7C8B-1F4E-B9EA-F61A5D6B7CD9}" name="Tableau32" displayName="Tableau32" ref="T33:V44" totalsRowShown="0" headerRowDxfId="41" dataDxfId="40">
  <autoFilter ref="T33:V44" xr:uid="{C31D1686-7C8B-1F4E-B9EA-F61A5D6B7CD9}"/>
  <tableColumns count="3">
    <tableColumn id="1" xr3:uid="{ED0CD640-FD67-DF4C-B1B7-48FE706E3FD9}" name="Cat-Ess" dataDxfId="39"/>
    <tableColumn id="2" xr3:uid="{DBE7C50E-834C-1340-84E8-6C7180C689C3}" name="%BO" dataDxfId="38">
      <calculatedColumnFormula>SUM(N2:O2)</calculatedColumnFormula>
    </tableColumn>
    <tableColumn id="3" xr3:uid="{69E03FB6-CEE5-6145-8766-A50820524AC3}" name="%BIBE" dataDxfId="37">
      <calculatedColumnFormula>SUM(P2:Q2)</calculatedColumnFormula>
    </tableColumn>
  </tableColumns>
  <tableStyleInfo name="TableStyleMedium3" showFirstColumn="0" showLastColumn="0" showRowStripes="1" showColumnStripes="0"/>
</table>
</file>

<file path=xl/tables/table2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4EEBDC6A-1D7C-5049-AC3A-14821A232BA4}" name="Tableau34" displayName="Tableau34" ref="AL1:AM53" totalsRowShown="0" headerRowDxfId="36">
  <autoFilter ref="AL1:AM53" xr:uid="{4EEBDC6A-1D7C-5049-AC3A-14821A232BA4}"/>
  <tableColumns count="2">
    <tableColumn id="1" xr3:uid="{CA7F398F-2476-E746-A62C-F3FEDF23D758}" name="Cat_Ess" dataDxfId="35"/>
    <tableColumn id="2" xr3:uid="{C38156C5-C09B-3249-89D0-B37E1FBE31CA}" name="Sources_tables_production" dataDxfId="34"/>
  </tableColumns>
  <tableStyleInfo name="TableStyleMedium3"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6" xr:uid="{00000000-000C-0000-FFFF-FFFF36000000}" name="Tableau7679177" displayName="Tableau7679177" ref="AL176:AO196" totalsRowShown="0" headerRowDxfId="1964" dataDxfId="1963">
  <autoFilter ref="AL176:AO196" xr:uid="{00000000-0009-0000-0100-0000B0000000}"/>
  <tableColumns count="4">
    <tableColumn id="1" xr3:uid="{00000000-0010-0000-3600-000001000000}" name="Annee" dataDxfId="1962"/>
    <tableColumn id="2" xr3:uid="{00000000-0010-0000-3600-000002000000}" name="V_Prel_tot" dataDxfId="1961">
      <calculatedColumnFormula>SUM(D177,M177,V177,AE177)</calculatedColumnFormula>
    </tableColumn>
    <tableColumn id="4" xr3:uid="{00000000-0010-0000-3600-000004000000}" name="%récolté" dataDxfId="1960" dataCellStyle="Pourcentage">
      <calculatedColumnFormula>IF(OR($C$6=0,SUM($M$4:$M$7)=0),0,AM177/SUM($M$4:$M$7))</calculatedColumnFormula>
    </tableColumn>
    <tableColumn id="5" xr3:uid="{00000000-0010-0000-3600-000005000000}" name="%surf_JP" dataDxfId="1959">
      <calculatedColumnFormula>AN177*50%</calculatedColumnFormula>
    </tableColumn>
  </tableColumns>
  <tableStyleInfo name="TableStyleMedium5" showFirstColumn="0" showLastColumn="0" showRowStripes="1" showColumnStripes="0"/>
</table>
</file>

<file path=xl/tables/table2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 xr:uid="{D46E83A0-C37D-9C4E-8044-53D68C69ECE3}" name="Tableau63" displayName="Tableau63" ref="AP1:AR30" totalsRowShown="0" headerRowDxfId="33" dataDxfId="32">
  <autoFilter ref="AP1:AR30" xr:uid="{D46E83A0-C37D-9C4E-8044-53D68C69ECE3}"/>
  <tableColumns count="3">
    <tableColumn id="1" xr3:uid="{50324EA1-1E74-EF41-BA04-8F8544AD3CAE}" name="Diam" dataDxfId="31"/>
    <tableColumn id="2" xr3:uid="{7DE7F395-A471-D842-A6D0-41875A3BDD32}" name="Colonne" dataDxfId="30"/>
    <tableColumn id="3" xr3:uid="{4DD9277A-C121-EE4D-A19D-1B96E728696D}" name="nom_col" dataDxfId="29">
      <calculatedColumnFormula>CONCATENATE("V",AP2)</calculatedColumnFormula>
    </tableColumn>
  </tableColumns>
  <tableStyleInfo name="TableStyleMedium3"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3A000000}" name="Tableau12163215214" displayName="Tableau12163215214" ref="L117:S137" totalsRowShown="0" headerRowDxfId="1958" dataDxfId="1957">
  <autoFilter ref="L117:S137" xr:uid="{00000000-0009-0000-0100-00000D000000}"/>
  <tableColumns count="8">
    <tableColumn id="1" xr3:uid="{00000000-0010-0000-3A00-000001000000}" name="Annees" dataDxfId="1956"/>
    <tableColumn id="2" xr3:uid="{00000000-0010-0000-3A00-000002000000}" name="V_prel" dataDxfId="1955">
      <calculatedColumnFormula>M61</calculatedColumnFormula>
    </tableColumn>
    <tableColumn id="7" xr3:uid="{00000000-0010-0000-3A00-000007000000}" name="C_prel" dataDxfId="1954">
      <calculatedColumnFormula>IF(OR(M118=0,M118=""),0,M118*L$58*0.475)</calculatedColumnFormula>
    </tableColumn>
    <tableColumn id="8" xr3:uid="{00000000-0010-0000-3A00-000008000000}" name="C_BE" dataDxfId="1953">
      <calculatedColumnFormula>IF(OR(N118=0,N118="",L$116=0),0,N118*INDEX(Listes!$K$1:$Q$12,MATCH(L$116,Listes!$K$1:$K$12,0),MATCH(O$117,Listes!$K$1:$Q$1,0)))</calculatedColumnFormula>
    </tableColumn>
    <tableColumn id="9" xr3:uid="{00000000-0010-0000-3A00-000009000000}" name="C_val" dataDxfId="1952">
      <calculatedColumnFormula>N118-O118</calculatedColumnFormula>
    </tableColumn>
    <tableColumn id="3" xr3:uid="{00000000-0010-0000-3A00-000003000000}" name="C_BO_sc" dataDxfId="1951">
      <calculatedColumnFormula>IF(OR(L$116=0,L$116=""),0,P118*INDEX(Listes!$K$15:$P$26,MATCH(L$116,Listes!$K$15:$K$26,0),MATCH(Q$117,Listes!$K$15:$P$15,0))*INDEX(Listes!$K$29:$O$31,MATCH(M$116,Listes!$K$29:$K$31,0),MATCH(Q$117,Listes!$K$29:$O$29,0)))</calculatedColumnFormula>
    </tableColumn>
    <tableColumn id="4" xr3:uid="{00000000-0010-0000-3A00-000004000000}" name="C_BO_ps" dataDxfId="1950">
      <calculatedColumnFormula>IF(OR(L$116=0,L$116=""),0,P118*INDEX(Listes!$K$15:$P$26,MATCH(L$116,Listes!$K$15:$K$26,0),MATCH(R$117,Listes!$K$15:$P$15,0))*INDEX(Listes!$K$29:$O$31,MATCH(M$116,Listes!$K$29:$K$31,0),MATCH(R$117,Listes!$K$29:$O$29,0)))</calculatedColumnFormula>
    </tableColumn>
    <tableColumn id="6" xr3:uid="{00000000-0010-0000-3A00-000006000000}" name="C_BI_pap" dataDxfId="1949">
      <calculatedColumnFormula>IF(OR(L$116=0,L$116=""),0,P118*INDEX(Listes!$K$15:$P$26,MATCH(L$116,Listes!$K$15:$K$26,0),MATCH(S$117,Listes!$K$15:$P$15,0))*INDEX(Listes!$K$29:$O$31,MATCH(M$116,Listes!$K$29:$K$31,0),MATCH(S$117,Listes!$K$29:$O$29,0)))</calculatedColumnFormula>
    </tableColumn>
  </tableColumns>
  <tableStyleInfo name="TableStyleMedium5"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3B000000}" name="Tableau12163215216" displayName="Tableau12163215216" ref="V117:AC137" totalsRowShown="0" headerRowDxfId="1948" dataDxfId="1947">
  <autoFilter ref="V117:AC137" xr:uid="{00000000-0009-0000-0100-00000F000000}"/>
  <tableColumns count="8">
    <tableColumn id="1" xr3:uid="{00000000-0010-0000-3B00-000001000000}" name="Annees" dataDxfId="1946"/>
    <tableColumn id="2" xr3:uid="{00000000-0010-0000-3B00-000002000000}" name="V_prel" dataDxfId="1945">
      <calculatedColumnFormula>V61</calculatedColumnFormula>
    </tableColumn>
    <tableColumn id="7" xr3:uid="{00000000-0010-0000-3B00-000007000000}" name="C_prel" dataDxfId="1944">
      <calculatedColumnFormula>IF(OR(W118=0,W118=""),0,W118*U$58*0.475)</calculatedColumnFormula>
    </tableColumn>
    <tableColumn id="8" xr3:uid="{00000000-0010-0000-3B00-000008000000}" name="C_BE" dataDxfId="1943">
      <calculatedColumnFormula>IF(OR(X118=0,X118="",V$116=0),0,X118*INDEX(Listes!$K$1:$Q$12,MATCH(V$116,Listes!$K$1:$K$12,0),MATCH(Y$117,Listes!$K$1:$Q$1,0)))</calculatedColumnFormula>
    </tableColumn>
    <tableColumn id="9" xr3:uid="{00000000-0010-0000-3B00-000009000000}" name="C_val" dataDxfId="1942">
      <calculatedColumnFormula>X118-Y118</calculatedColumnFormula>
    </tableColumn>
    <tableColumn id="3" xr3:uid="{00000000-0010-0000-3B00-000003000000}" name="C_BO_sc" dataDxfId="1941">
      <calculatedColumnFormula>IF(OR(V$116=0,V$116=""),0,Z118*INDEX(Listes!$K$15:$P$26,MATCH(V$116,Listes!$K$15:$K$26,0),MATCH(AA$117,Listes!$K$15:$P$15,0))*INDEX(Listes!$K$29:$O$31,MATCH(W$116,Listes!$K$29:$K$31,0),MATCH(AA$117,Listes!$K$29:$O$29,0)))</calculatedColumnFormula>
    </tableColumn>
    <tableColumn id="4" xr3:uid="{00000000-0010-0000-3B00-000004000000}" name="C_BO_ps" dataDxfId="1940">
      <calculatedColumnFormula>IF(OR(V$116=0,V$116=""),0,Z118*INDEX(Listes!$K$15:$P$26,MATCH(V$116,Listes!$K$15:$K$26,0),MATCH(AB$117,Listes!$K$15:$P$15,0))*INDEX(Listes!$K$29:$O$31,MATCH(W$116,Listes!$K$29:$K$31,0),MATCH(AB$117,Listes!$K$29:$O$29,0)))</calculatedColumnFormula>
    </tableColumn>
    <tableColumn id="6" xr3:uid="{00000000-0010-0000-3B00-000006000000}" name="C_BI_pap" dataDxfId="1939">
      <calculatedColumnFormula>IF(OR(V$116=0,V$116=""),0,Z118*INDEX(Listes!$K$15:$P$26,MATCH(V$116,Listes!$K$15:$K$26,0),MATCH(AC$117,Listes!$K$15:$P$15,0))*INDEX(Listes!$K$29:$O$31,MATCH(W$116,Listes!$K$29:$K$31,0),MATCH(AC$117,Listes!$K$29:$O$29,0)))</calculatedColumnFormula>
    </tableColumn>
  </tableColumns>
  <tableStyleInfo name="TableStyleMedium5"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9" xr:uid="{E4B837A9-0EFA-6A41-8CBD-0D18B6286217}" name="Tableau75122230" displayName="Tableau75122230" ref="B21:E52" totalsRowShown="0" headerRowDxfId="2257" dataDxfId="2256">
  <autoFilter ref="B21:E52" xr:uid="{E4B837A9-0EFA-6A41-8CBD-0D18B6286217}"/>
  <tableColumns count="4">
    <tableColumn id="1" xr3:uid="{33AC1A4B-2B4E-4548-B9D5-2D0DDE314521}" name="Année" dataDxfId="2255"/>
    <tableColumn id="4" xr3:uid="{2A3667E4-4248-8C46-9F53-D36F28E4B894}" name="VI_JP/HA" dataDxfId="2254"/>
    <tableColumn id="3" xr3:uid="{36FB7D3D-B284-0145-87DC-0617F879A93B}" name="VP_JP/HA" dataDxfId="2253"/>
    <tableColumn id="2" xr3:uid="{8C344520-B772-6A42-B5FF-770020897B69}" name="VF_JP/HA" dataDxfId="2252"/>
  </tableColumns>
  <tableStyleInfo name="TableStyleMedium7"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3C000000}" name="Tableau12163215220" displayName="Tableau12163215220" ref="AF117:AM137" totalsRowShown="0" headerRowDxfId="1938" dataDxfId="1937">
  <autoFilter ref="AF117:AM137" xr:uid="{00000000-0009-0000-0100-000013000000}"/>
  <tableColumns count="8">
    <tableColumn id="1" xr3:uid="{00000000-0010-0000-3C00-000001000000}" name="Annees" dataDxfId="1936"/>
    <tableColumn id="2" xr3:uid="{00000000-0010-0000-3C00-000002000000}" name="V_prel" dataDxfId="1935">
      <calculatedColumnFormula>AE61</calculatedColumnFormula>
    </tableColumn>
    <tableColumn id="7" xr3:uid="{00000000-0010-0000-3C00-000007000000}" name="C_prel" dataDxfId="1934">
      <calculatedColumnFormula>IF(OR(AG118=0,AG118=""),0,AG118*AD$58*0.475)</calculatedColumnFormula>
    </tableColumn>
    <tableColumn id="8" xr3:uid="{00000000-0010-0000-3C00-000008000000}" name="C_BE" dataDxfId="1933">
      <calculatedColumnFormula>IF(OR(AH118=0,AH118="",AF$116=0),0,AH118*INDEX(Listes!$K$1:$Q$12,MATCH(AF$116,Listes!$K$1:$K$12,0),MATCH(AI$117,Listes!$K$1:$Q$1,0)))</calculatedColumnFormula>
    </tableColumn>
    <tableColumn id="9" xr3:uid="{00000000-0010-0000-3C00-000009000000}" name="C_val" dataDxfId="1932">
      <calculatedColumnFormula>AH118-AI118</calculatedColumnFormula>
    </tableColumn>
    <tableColumn id="3" xr3:uid="{00000000-0010-0000-3C00-000003000000}" name="C_BO_sc" dataDxfId="1931">
      <calculatedColumnFormula>IF(OR(AF$116=0,AF$116=""),0,AJ118*INDEX(Listes!$K$15:$P$26,MATCH(AF$116,Listes!$K$15:$K$26,0),MATCH(AK$117,Listes!$K$15:$P$15,0))*INDEX(Listes!$K$29:$O$31,MATCH(AG$116,Listes!$K$29:$K$31,0),MATCH(AK$117,Listes!$K$29:$O$29,0)))</calculatedColumnFormula>
    </tableColumn>
    <tableColumn id="4" xr3:uid="{00000000-0010-0000-3C00-000004000000}" name="C_BO_ps" dataDxfId="1930">
      <calculatedColumnFormula>IF(OR(AF$116=0,AF$116=""),0,AJ118*INDEX(Listes!$K$15:$P$26,MATCH(AF$116,Listes!$K$15:$K$26,0),MATCH(AL$117,Listes!$K$15:$P$15,0))*INDEX(Listes!$K$29:$O$31,MATCH(AG$116,Listes!$K$29:$K$31,0),MATCH(AL$117,Listes!$K$29:$O$29,0)))</calculatedColumnFormula>
    </tableColumn>
    <tableColumn id="6" xr3:uid="{00000000-0010-0000-3C00-000006000000}" name="C_BI_pap" dataDxfId="1929">
      <calculatedColumnFormula>IF(OR(AF$116=0,AF$116=""),0,AJ118*INDEX(Listes!$K$15:$P$26,MATCH(AF$116,Listes!$K$15:$K$26,0),MATCH(AM$117,Listes!$K$15:$P$15,0))*INDEX(Listes!$K$29:$O$31,MATCH(AG$116,Listes!$K$29:$K$31,0),MATCH(AM$117,Listes!$K$29:$O$29,0)))</calculatedColumnFormula>
    </tableColumn>
  </tableColumns>
  <tableStyleInfo name="TableStyleMedium5"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3D000000}" name="Tableau1216326016221" displayName="Tableau1216326016221" ref="L232:S252" totalsRowShown="0" headerRowDxfId="1928" dataDxfId="1927">
  <autoFilter ref="L232:S252" xr:uid="{00000000-0009-0000-0100-000014000000}"/>
  <tableColumns count="8">
    <tableColumn id="1" xr3:uid="{00000000-0010-0000-3D00-000001000000}" name="Annees" dataDxfId="1926"/>
    <tableColumn id="2" xr3:uid="{00000000-0010-0000-3D00-000002000000}" name="V_prel" dataDxfId="1925">
      <calculatedColumnFormula>M177</calculatedColumnFormula>
    </tableColumn>
    <tableColumn id="7" xr3:uid="{00000000-0010-0000-3D00-000007000000}" name="C_prel" dataDxfId="1924">
      <calculatedColumnFormula>IF(OR(M233="",M233=0),0,M233*L$174*0.475)</calculatedColumnFormula>
    </tableColumn>
    <tableColumn id="9" xr3:uid="{00000000-0010-0000-3D00-000009000000}" name="C_BE" dataDxfId="1923">
      <calculatedColumnFormula>IF(OR(N233=0,N233="",L$116=0),0,N233*INDEX(Listes!$K$1:$Q$12,MATCH(L$116,Listes!$K$1:$K$12,0),MATCH(O$117,Listes!$K$1:$Q$1,0)))</calculatedColumnFormula>
    </tableColumn>
    <tableColumn id="8" xr3:uid="{00000000-0010-0000-3D00-000008000000}" name="C_val" dataDxfId="1922">
      <calculatedColumnFormula>N233-O233</calculatedColumnFormula>
    </tableColumn>
    <tableColumn id="3" xr3:uid="{00000000-0010-0000-3D00-000003000000}" name="C_BO_sc" dataDxfId="1921">
      <calculatedColumnFormula>IF(OR(L$231=0,L$231=""),0,P233*INDEX(Listes!$K$15:$P$26,MATCH(L$231,Listes!$K$15:$K$26,0),MATCH(Q$232,Listes!$K$15:$P$15,0))*INDEX(Listes!$K$29:$O$31,MATCH(M$231,Listes!$K$29:$K$31,0),MATCH(Q$232,Listes!$K$29:$O$29,0)))</calculatedColumnFormula>
    </tableColumn>
    <tableColumn id="4" xr3:uid="{00000000-0010-0000-3D00-000004000000}" name="C_BO_ps" dataDxfId="1920">
      <calculatedColumnFormula>IF(OR(L$231=0,L$231=""),0,P233*INDEX(Listes!$K$15:$P$26,MATCH(L$231,Listes!$K$15:$K$26,0),MATCH(R$232,Listes!$K$15:$P$15,0))*INDEX(Listes!$K$29:$O$31,MATCH(M$231,Listes!$K$29:$K$31,0),MATCH(R$232,Listes!$K$29:$O$29,0)))</calculatedColumnFormula>
    </tableColumn>
    <tableColumn id="6" xr3:uid="{00000000-0010-0000-3D00-000006000000}" name="C_BI_pap" dataDxfId="1919">
      <calculatedColumnFormula>IF(OR(L$231=0,L$231=""),0,P233*INDEX(Listes!$K$15:$P$26,MATCH(L$231,Listes!$K$15:$K$26,0),MATCH(S$232,Listes!$K$15:$P$15,0))*INDEX(Listes!$K$29:$O$31,MATCH(M$231,Listes!$K$29:$K$31,0),MATCH(S$232,Listes!$K$29:$O$29,0)))</calculatedColumnFormula>
    </tableColumn>
  </tableColumns>
  <tableStyleInfo name="TableStyleMedium5"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3E000000}" name="Tableau1216326016222" displayName="Tableau1216326016222" ref="V232:AC252" totalsRowShown="0" headerRowDxfId="1918" dataDxfId="1917">
  <autoFilter ref="V232:AC252" xr:uid="{00000000-0009-0000-0100-000015000000}"/>
  <tableColumns count="8">
    <tableColumn id="1" xr3:uid="{00000000-0010-0000-3E00-000001000000}" name="Annees" dataDxfId="1916"/>
    <tableColumn id="2" xr3:uid="{00000000-0010-0000-3E00-000002000000}" name="V_prel" dataDxfId="1915">
      <calculatedColumnFormula>V177</calculatedColumnFormula>
    </tableColumn>
    <tableColumn id="7" xr3:uid="{00000000-0010-0000-3E00-000007000000}" name="C_prel" dataDxfId="1914">
      <calculatedColumnFormula>IF(OR(W233="",W233=0),0,W233*U$174*0.475)</calculatedColumnFormula>
    </tableColumn>
    <tableColumn id="9" xr3:uid="{00000000-0010-0000-3E00-000009000000}" name="C_BE" dataDxfId="1913">
      <calculatedColumnFormula>IF(OR(X233=0,X233="",V$116=0),0,X233*INDEX(Listes!$K$1:$Q$12,MATCH(V$116,Listes!$K$1:$K$12,0),MATCH(Y$117,Listes!$K$1:$Q$1,0)))</calculatedColumnFormula>
    </tableColumn>
    <tableColumn id="8" xr3:uid="{00000000-0010-0000-3E00-000008000000}" name="C_val" dataDxfId="1912">
      <calculatedColumnFormula>X233-Y233</calculatedColumnFormula>
    </tableColumn>
    <tableColumn id="3" xr3:uid="{00000000-0010-0000-3E00-000003000000}" name="C_BO_sc" dataDxfId="1911">
      <calculatedColumnFormula>IF(OR(V$231=0,V$231=""),0,Z233*INDEX(Listes!$K$15:$P$26,MATCH(V$231,Listes!$K$15:$K$26,0),MATCH(AA$232,Listes!$K$15:$P$15,0))*INDEX(Listes!$K$29:$O$31,MATCH(W$231,Listes!$K$29:$K$31,0),MATCH(AA$232,Listes!$K$29:$O$29,0)))</calculatedColumnFormula>
    </tableColumn>
    <tableColumn id="4" xr3:uid="{00000000-0010-0000-3E00-000004000000}" name="C_BO_ps" dataDxfId="1910">
      <calculatedColumnFormula>IF(OR(V$231=0,V$231=""),0,Z233*INDEX(Listes!$K$15:$P$26,MATCH(V$231,Listes!$K$15:$K$26,0),MATCH(AB$232,Listes!$K$15:$P$15,0))*INDEX(Listes!$K$29:$O$31,MATCH(W$231,Listes!$K$29:$K$31,0),MATCH(AB$232,Listes!$K$29:$O$29,0)))</calculatedColumnFormula>
    </tableColumn>
    <tableColumn id="6" xr3:uid="{00000000-0010-0000-3E00-000006000000}" name="C_BI_pap" dataDxfId="1909">
      <calculatedColumnFormula>IF(OR(V$231=0,V$231=""),0,Z233*INDEX(Listes!$K$15:$P$26,MATCH(V$231,Listes!$K$15:$K$26,0),MATCH(AC$232,Listes!$K$15:$P$15,0))*INDEX(Listes!$K$29:$O$31,MATCH(W$231,Listes!$K$29:$K$31,0),MATCH(AC$232,Listes!$K$29:$O$29,0)))</calculatedColumnFormula>
    </tableColumn>
  </tableColumns>
  <tableStyleInfo name="TableStyleMedium5"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3F000000}" name="Tableau1216326016223" displayName="Tableau1216326016223" ref="AF232:AM252" totalsRowShown="0" headerRowDxfId="1908" dataDxfId="1907">
  <autoFilter ref="AF232:AM252" xr:uid="{00000000-0009-0000-0100-000016000000}"/>
  <tableColumns count="8">
    <tableColumn id="1" xr3:uid="{00000000-0010-0000-3F00-000001000000}" name="Annees" dataDxfId="1906"/>
    <tableColumn id="2" xr3:uid="{00000000-0010-0000-3F00-000002000000}" name="V_prel" dataDxfId="1905">
      <calculatedColumnFormula>AE177</calculatedColumnFormula>
    </tableColumn>
    <tableColumn id="7" xr3:uid="{00000000-0010-0000-3F00-000007000000}" name="C_prel" dataDxfId="1904">
      <calculatedColumnFormula>IF(OR(AG233="",AG233=0),0,AG233*AD$174*0.475)</calculatedColumnFormula>
    </tableColumn>
    <tableColumn id="9" xr3:uid="{00000000-0010-0000-3F00-000009000000}" name="C_BE" dataDxfId="1903">
      <calculatedColumnFormula>IF(OR(AH233=0,AH233="",AF$116=0),0,AH233*INDEX(Listes!$K$1:$Q$12,MATCH(AF$116,Listes!$K$1:$K$12,0),MATCH(AI$117,Listes!$K$1:$Q$1,0)))</calculatedColumnFormula>
    </tableColumn>
    <tableColumn id="8" xr3:uid="{00000000-0010-0000-3F00-000008000000}" name="C_val" dataDxfId="1902">
      <calculatedColumnFormula>AH233-AI233</calculatedColumnFormula>
    </tableColumn>
    <tableColumn id="3" xr3:uid="{00000000-0010-0000-3F00-000003000000}" name="C_BO_sc" dataDxfId="1901">
      <calculatedColumnFormula>IF(OR(AF$231=0,AF$231=""),0,AJ233*INDEX(Listes!$K$15:$P$26,MATCH(AF$231,Listes!$K$15:$K$26,0),MATCH(AK$232,Listes!$K$15:$P$15,0))*INDEX(Listes!$K$29:$O$31,MATCH(AG$231,Listes!$K$29:$K$31,0),MATCH(AK$232,Listes!$K$29:$O$29,0)))</calculatedColumnFormula>
    </tableColumn>
    <tableColumn id="4" xr3:uid="{00000000-0010-0000-3F00-000004000000}" name="C_BO_ps" dataDxfId="1900">
      <calculatedColumnFormula>IF(OR(AF$231=0,AF$231=""),0,AJ233*INDEX(Listes!$K$15:$P$26,MATCH(AF$231,Listes!$K$15:$K$26,0),MATCH(AL$232,Listes!$K$15:$P$15,0))*INDEX(Listes!$K$29:$O$31,MATCH(AG$231,Listes!$K$29:$K$31,0),MATCH(AL$232,Listes!$K$29:$O$29,0)))</calculatedColumnFormula>
    </tableColumn>
    <tableColumn id="6" xr3:uid="{00000000-0010-0000-3F00-000006000000}" name="C_BI_pap" dataDxfId="1899">
      <calculatedColumnFormula>IF(OR(AF$231=0,AF$231=""),0,AJ233*INDEX(Listes!$K$15:$P$26,MATCH(AF$231,Listes!$K$15:$K$26,0),MATCH(AM$232,Listes!$K$15:$P$15,0))*INDEX(Listes!$K$29:$O$31,MATCH(AG$231,Listes!$K$29:$K$31,0),MATCH(AM$232,Listes!$K$29:$O$29,0)))</calculatedColumnFormula>
    </tableColumn>
  </tableColumns>
  <tableStyleInfo name="TableStyleMedium5"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4" xr:uid="{00000000-000C-0000-FFFF-FFFF43000000}" name="Tableau76175" displayName="Tableau76175" ref="AL60:AO80" totalsRowShown="0" headerRowDxfId="1898" dataDxfId="1897">
  <autoFilter ref="AL60:AO80" xr:uid="{00000000-0009-0000-0100-0000AE000000}"/>
  <tableColumns count="4">
    <tableColumn id="1" xr3:uid="{00000000-0010-0000-4300-000001000000}" name="Annee" dataDxfId="1896"/>
    <tableColumn id="2" xr3:uid="{00000000-0010-0000-4300-000002000000}" name="V_Prel_tot" dataDxfId="1895">
      <calculatedColumnFormula>SUM(D61,M61,V61,AE61)</calculatedColumnFormula>
    </tableColumn>
    <tableColumn id="4" xr3:uid="{00000000-0010-0000-4300-000004000000}" name="%récolté/Vtot_i" dataDxfId="1894" dataCellStyle="Pourcentage">
      <calculatedColumnFormula>IF(OR($C$6=0,SUM($M$4:$M$7)=0),0,AM61/SUM($M$4:$M$7))</calculatedColumnFormula>
    </tableColumn>
    <tableColumn id="5" xr3:uid="{00000000-0010-0000-4300-000005000000}" name="%surftot_JP" dataDxfId="1893">
      <calculatedColumnFormula>AN61*50%</calculatedColumnFormula>
    </tableColumn>
  </tableColumns>
  <tableStyleInfo name="TableStyleMedium5"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0" xr:uid="{00000000-000C-0000-FFFF-FFFF44000000}" name="Tableau1231151" displayName="Tableau1231151" ref="B60:H80" totalsRowShown="0" headerRowDxfId="1892" dataDxfId="1891">
  <autoFilter ref="B60:H80" xr:uid="{00000000-0009-0000-0100-000096000000}"/>
  <tableColumns count="7">
    <tableColumn id="1" xr3:uid="{00000000-0010-0000-4400-000001000000}" name="Annees" dataDxfId="1890"/>
    <tableColumn id="2" xr3:uid="{00000000-0010-0000-4400-000002000000}" name="VE" dataDxfId="1889"/>
    <tableColumn id="3" xr3:uid="{00000000-0010-0000-4400-000003000000}" name="Vprel" dataDxfId="1888"/>
    <tableColumn id="4" xr3:uid="{00000000-0010-0000-4400-000004000000}" name="VF" dataDxfId="1887">
      <calculatedColumnFormula>IF(D61="",0,C61-D61)</calculatedColumnFormula>
    </tableColumn>
    <tableColumn id="7" xr3:uid="{00000000-0010-0000-4400-000007000000}" name="BA" dataDxfId="1886">
      <calculatedColumnFormula>IF(C61=0,0,C61*C$58)</calculatedColumnFormula>
    </tableColumn>
    <tableColumn id="6" xr3:uid="{00000000-0010-0000-4400-000006000000}" name="BR" dataDxfId="1885">
      <calculatedColumnFormula>IF(F61&gt;0,EXP(-1.0587+0.8836*LN(F61)+0.284),0)</calculatedColumnFormula>
    </tableColumn>
    <tableColumn id="5" xr3:uid="{00000000-0010-0000-4400-000005000000}" name="CO2e_VE" dataDxfId="1884">
      <calculatedColumnFormula>SUM(F61:G61)*0.475*44/12</calculatedColumnFormula>
    </tableColumn>
  </tableColumns>
  <tableStyleInfo name="TableStyleMedium5"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7" xr:uid="{00000000-000C-0000-FFFF-FFFF24000000}" name="Tableau15615178" displayName="Tableau15615178" ref="F3:S7" totalsRowShown="0" headerRowDxfId="1883" dataDxfId="1882">
  <autoFilter ref="F3:S7" xr:uid="{00000000-0009-0000-0100-0000B1000000}"/>
  <tableColumns count="14">
    <tableColumn id="1" xr3:uid="{00000000-0010-0000-2400-000001000000}" name="Strate" dataDxfId="1881">
      <calculatedColumnFormula>C$1</calculatedColumnFormula>
    </tableColumn>
    <tableColumn id="2" xr3:uid="{00000000-0010-0000-2400-000002000000}" name="Essence" dataDxfId="1880">
      <calculatedColumnFormula>INITIAL_FORET!Y2</calculatedColumnFormula>
    </tableColumn>
    <tableColumn id="13" xr3:uid="{00000000-0010-0000-2400-00000D000000}" name="%acc" dataDxfId="4">
      <calculatedColumnFormula>IF(OR(G4=0,G4=""),"",VLOOKUP(G4,Tableau45[],3,FALSE))</calculatedColumnFormula>
    </tableColumn>
    <tableColumn id="8" xr3:uid="{00000000-0010-0000-2400-000008000000}" name="Vol_tot" dataDxfId="1879">
      <calculatedColumnFormula>IF(OR(F4="",G4=""),"",VLOOKUP(CONCATENATE(F4,"_",G4),INITIAL_FORET!$AB$40:$AQ$55,5,FALSE))</calculatedColumnFormula>
    </tableColumn>
    <tableColumn id="14" xr3:uid="{F3275AD7-F901-AB41-A808-8837DBC9758B}" name="%RiskEss" dataDxfId="16">
      <calculatedColumnFormula>IF(OR(I4=0,I4=""),"",VLOOKUP(G4,Tableau45[[Essence]:[RiskEss_choisi]],2,FALSE))</calculatedColumnFormula>
    </tableColumn>
    <tableColumn id="12" xr3:uid="{00000000-0010-0000-2400-00000C000000}" name="Vtot_sansRE" dataDxfId="1878">
      <calculatedColumnFormula>IF(OR(G4=0,G4=""),"",I4*(1-J4))</calculatedColumnFormula>
    </tableColumn>
    <tableColumn id="7" xr3:uid="{00000000-0010-0000-2400-000007000000}" name="Vrec_sansRE" dataDxfId="1877" dataCellStyle="Pourcentage">
      <calculatedColumnFormula>IF(OR(G4=0,G4=""),"",VLOOKUP(CONCATENATE(F4,"_",G4),INITIAL_FORET!$AB$40:$AQ$55,10,FALSE))</calculatedColumnFormula>
    </tableColumn>
    <tableColumn id="9" xr3:uid="{00000000-0010-0000-2400-000009000000}" name="VR_max_REF" dataDxfId="1876">
      <calculatedColumnFormula>IF(OR(G4=0,G4=""),"",VLOOKUP(CONCATENATE(F4,"_",G4),INITIAL_FORET!$AB$40:$AQ$55,12,FALSE))</calculatedColumnFormula>
    </tableColumn>
    <tableColumn id="11" xr3:uid="{8BC2AA31-FAF9-7B4A-9279-E862582141DC}" name="VR_obj_PRJ" dataDxfId="1875">
      <calculatedColumnFormula>IF(OR(G4=0,G4=""),"",VLOOKUP(CONCATENATE(F4,"_",G4),INITIAL_FORET!$AB$40:$AQ$55,11,FALSE))</calculatedColumnFormula>
    </tableColumn>
    <tableColumn id="10" xr3:uid="{842C9AB9-A670-2D4C-ACFE-25C516C285B1}" name="VR_nonrec_sansRE" dataDxfId="1874">
      <calculatedColumnFormula>IF(OR(G4=0,G4=""),"",IF($C$4="IRR",VLOOKUP(CONCATENATE(F4,"_",G4),INITIAL_FORET!$AB$40:$AQ$55,13,FALSE),K4-(K4/$C$6)*SUM($I$19:$I$38)))</calculatedColumnFormula>
    </tableColumn>
    <tableColumn id="4" xr3:uid="{39F3144A-8928-0944-8528-CFD5D48FA058}" name="Type_ess" dataDxfId="15">
      <calculatedColumnFormula>IF(OR(G4=0,G4=""),"",IF(VLOOKUP(G4,Tableau45[],5,FALSE)="Feuillus","Feuillus","Résineux"))</calculatedColumnFormula>
    </tableColumn>
    <tableColumn id="3" xr3:uid="{A909F816-3AEC-4F4A-A007-3E9850A6372D}" name="BA_i (tMS)" dataDxfId="1873">
      <calculatedColumnFormula>IF(L4="",0,L4*VLOOKUP(G4,Tableau44[[Code_ess]:[FEB]],4,FALSE))</calculatedColumnFormula>
    </tableColumn>
    <tableColumn id="5" xr3:uid="{5DDFE1E8-5B7B-A640-8B91-4AE8BEC128C3}" name="BR_i (tMS)" dataDxfId="1872">
      <calculatedColumnFormula>IF(Q4&gt;0,EXP(-1.0587+0.8836*LN(Q4)+0.284),0)</calculatedColumnFormula>
    </tableColumn>
    <tableColumn id="6" xr3:uid="{EA2F009B-B70D-354C-B8C7-2162EB258263}" name="tCO2e_i" dataDxfId="1871">
      <calculatedColumnFormula>SUM(Q4:R4)*0.475*44/12</calculatedColumnFormula>
    </tableColumn>
  </tableColumns>
  <tableStyleInfo name="TableStyleMedium5"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8" xr:uid="{00000000-000C-0000-FFFF-FFFF25000000}" name="Tableau827179" displayName="Tableau827179" ref="B3:C7" totalsRowShown="0" headerRowDxfId="1870" dataDxfId="1869">
  <autoFilter ref="B3:C7" xr:uid="{00000000-0009-0000-0100-0000B2000000}"/>
  <tableColumns count="2">
    <tableColumn id="1" xr3:uid="{00000000-0010-0000-2500-000001000000}" name="Colonne1" dataDxfId="1868"/>
    <tableColumn id="2" xr3:uid="{00000000-0010-0000-2500-000002000000}" name="Colonne2" dataDxfId="1867"/>
  </tableColumns>
  <tableStyleInfo name="TableStyleMedium5"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0" xr:uid="{00000000-000C-0000-FFFF-FFFF20000000}" name="Tableau180" displayName="Tableau180" ref="B10:D11" totalsRowShown="0" headerRowDxfId="1866" dataDxfId="1865">
  <autoFilter ref="B10:D11" xr:uid="{00000000-0009-0000-0100-0000B4000000}"/>
  <tableColumns count="3">
    <tableColumn id="1" xr3:uid="{00000000-0010-0000-2000-000001000000}" name="Essence_dom" dataDxfId="1864">
      <calculatedColumnFormula>IF(I4=I10,G4,IF(I5=I10,G5,IF(I6=I10,G6,G7)))</calculatedColumnFormula>
    </tableColumn>
    <tableColumn id="2" xr3:uid="{00000000-0010-0000-2000-000002000000}" name="ID" dataDxfId="1863">
      <calculatedColumnFormula>IF(OR(B11=0,B11=""),0,VLOOKUP(B11,Tableau44[[Code_ess]:[FEB]],4,FALSE))</calculatedColumnFormula>
    </tableColumn>
    <tableColumn id="3" xr3:uid="{00000000-0010-0000-2000-000003000000}" name="FEB" dataDxfId="1862">
      <calculatedColumnFormula>IF(OR(B11=0,B11=""),0,VLOOKUP(B11,Tableau44[[Code_ess]:[FEB]],5,FALSE))</calculatedColumnFormula>
    </tableColumn>
  </tableColumns>
  <tableStyleInfo name="TableStyleMedium5"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1" xr:uid="{00000000-000C-0000-FFFF-FFFF1F000000}" name="Tableau75122" displayName="Tableau75122" ref="B18:E49" totalsRowShown="0" headerRowDxfId="1861" dataDxfId="1860">
  <autoFilter ref="B18:E49" xr:uid="{00000000-0009-0000-0100-000079000000}"/>
  <tableColumns count="4">
    <tableColumn id="1" xr3:uid="{00000000-0010-0000-1F00-000001000000}" name="Année" dataDxfId="1859"/>
    <tableColumn id="4" xr3:uid="{00000000-0010-0000-1F00-000004000000}" name="VI_JP/HA" dataDxfId="1858">
      <calculatedColumnFormula>'3.ESS_RÉGÉ'!C22</calculatedColumnFormula>
    </tableColumn>
    <tableColumn id="3" xr3:uid="{00000000-0010-0000-1F00-000003000000}" name="VP_JP/HA" dataDxfId="1857">
      <calculatedColumnFormula>'3.ESS_RÉGÉ'!D22</calculatedColumnFormula>
    </tableColumn>
    <tableColumn id="2" xr3:uid="{00000000-0010-0000-1F00-000002000000}" name="VF_JP/HA" dataDxfId="1856">
      <calculatedColumnFormula>'3.ESS_RÉGÉ'!E22</calculatedColumnFormula>
    </tableColumn>
  </tableColumns>
  <tableStyleInfo name="TableStyleMedium5"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0" xr:uid="{9E40D9D6-96B7-BE4F-8655-5F356504D9BE}" name="Tableau75122230231" displayName="Tableau75122230231" ref="H21:K52" totalsRowShown="0" headerRowDxfId="2251" dataDxfId="2250">
  <autoFilter ref="H21:K52" xr:uid="{9E40D9D6-96B7-BE4F-8655-5F356504D9BE}"/>
  <tableColumns count="4">
    <tableColumn id="1" xr3:uid="{3CBCBB6C-F066-A740-AA03-19E18CE52A49}" name="Année" dataDxfId="2249"/>
    <tableColumn id="4" xr3:uid="{DD0C124C-732F-3D47-A006-234B28444E10}" name="VI_JP/HA" dataDxfId="2248"/>
    <tableColumn id="3" xr3:uid="{36B51BD3-BC12-B540-9B7D-AC004F726C87}" name="VP_JP/HA" dataDxfId="2247"/>
    <tableColumn id="2" xr3:uid="{EE92A7B2-AFB8-3247-BFB1-64E49DE69100}" name="VF_JP/HA" dataDxfId="2246"/>
  </tableColumns>
  <tableStyleInfo name="TableStyleMedium7"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36090715-A2DE-F448-B746-C9D229A16A12}" name="Tableau123115139" displayName="Tableau123115139" ref="K60:Q80" totalsRowShown="0" headerRowDxfId="1855" dataDxfId="1854">
  <autoFilter ref="K60:Q80" xr:uid="{36090715-A2DE-F448-B746-C9D229A16A12}"/>
  <tableColumns count="7">
    <tableColumn id="1" xr3:uid="{B847B487-32D7-EE49-AB04-7A1BC168408E}" name="Annees" dataDxfId="1853"/>
    <tableColumn id="2" xr3:uid="{CF46FE1E-C454-D648-BADF-CBE56B9009FB}" name="VE" dataDxfId="1852"/>
    <tableColumn id="3" xr3:uid="{78FB69CD-71EA-BF44-9E2F-9ECF93AFFBBC}" name="Vprel" dataDxfId="1851">
      <calculatedColumnFormula>IF(OR(L61="",L61=0),0,IF(K61=1,INDEX($J$19:$M$38,MATCH(K61,$H$19:$H$38,0),MATCH(RIGHT(J$57,5),$J$18:$M$18,0)),INDEX($J$19:$M$38,MATCH(K61,$H$19:$H$38,0),MATCH(RIGHT(J$57,5),$J$18:$M$18,0))+L61-N60))</calculatedColumnFormula>
    </tableColumn>
    <tableColumn id="4" xr3:uid="{B2E831F3-B70F-534F-B153-08DDA96AC4F6}" name="VF" dataDxfId="1850">
      <calculatedColumnFormula>IF(M61="",0,L61-M61)</calculatedColumnFormula>
    </tableColumn>
    <tableColumn id="7" xr3:uid="{938123E4-22BA-4A48-BD4D-E2753495640B}" name="BA" dataDxfId="1849">
      <calculatedColumnFormula>IF(N61=0,0,N61*L$58)</calculatedColumnFormula>
    </tableColumn>
    <tableColumn id="6" xr3:uid="{A62DC79D-E292-914B-9CCC-22ED82734A8B}" name="BR" dataDxfId="1848">
      <calculatedColumnFormula>IF(O61&gt;0,EXP(-1.0587+0.8836*LN(O61)+0.284),0)</calculatedColumnFormula>
    </tableColumn>
    <tableColumn id="5" xr3:uid="{C4E2060B-5C82-EF40-8780-930CD70F9ECE}" name="CO2e_VE" dataDxfId="1847">
      <calculatedColumnFormula>SUM(O61:P61)*0.475*44/12</calculatedColumnFormula>
    </tableColumn>
  </tableColumns>
  <tableStyleInfo name="TableStyleMedium5"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274723B4-34E2-9E42-A9C4-B39ABF9885A4}" name="Tableau123115140" displayName="Tableau123115140" ref="T60:Z80" totalsRowShown="0" headerRowDxfId="1846" dataDxfId="1845">
  <autoFilter ref="T60:Z80" xr:uid="{274723B4-34E2-9E42-A9C4-B39ABF9885A4}"/>
  <tableColumns count="7">
    <tableColumn id="1" xr3:uid="{CD4EFFCA-1945-8D42-985A-815F6264B664}" name="Annees" dataDxfId="1844"/>
    <tableColumn id="2" xr3:uid="{37DB5C34-A729-8B4D-87CD-ECB6D0329D78}" name="VE" dataDxfId="1843"/>
    <tableColumn id="3" xr3:uid="{5AD3040F-1FDB-2947-B108-4CCFFC7F6901}" name="Vprel" dataDxfId="1842">
      <calculatedColumnFormula>IF(OR(U61="",U61=0),0,IF(T61=1,INDEX($J$19:$M$38,MATCH(T61,$H$19:$H$38,0),MATCH(RIGHT(S$57,5),$J$18:$M$18,0)),INDEX($J$19:$M$38,MATCH(T61,$H$19:$H$38,0),MATCH(RIGHT(S$57,5),$J$18:$M$18,0))+U61-W60))</calculatedColumnFormula>
    </tableColumn>
    <tableColumn id="4" xr3:uid="{F55AB3C4-4724-BE4C-AA88-C2F368F6CD8C}" name="VF" dataDxfId="1841">
      <calculatedColumnFormula>IF(V61="",0,U61-V61)</calculatedColumnFormula>
    </tableColumn>
    <tableColumn id="7" xr3:uid="{12CEC7DA-8EDE-BF4D-BC26-B1C791819557}" name="BA" dataDxfId="1840">
      <calculatedColumnFormula>IF(W61=0,0,W61*U$58)</calculatedColumnFormula>
    </tableColumn>
    <tableColumn id="6" xr3:uid="{869ED7CF-2086-AF4F-88F5-160EDC2F4CF2}" name="BR" dataDxfId="1839">
      <calculatedColumnFormula>IF(X61&gt;0,EXP(-1.0587+0.8836*LN(X61)+0.284),0)</calculatedColumnFormula>
    </tableColumn>
    <tableColumn id="5" xr3:uid="{19049A99-04D6-E841-97F7-4539040164A2}" name="CO2e_VE" dataDxfId="1838">
      <calculatedColumnFormula>SUM(X61:Y61)*0.475*44/12</calculatedColumnFormula>
    </tableColumn>
  </tableColumns>
  <tableStyleInfo name="TableStyleMedium5"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8E5467D8-60DE-CB40-A3DB-B62D3A008683}" name="Tableau123115141" displayName="Tableau123115141" ref="AC60:AI80" totalsRowShown="0" headerRowDxfId="1837" dataDxfId="1836">
  <autoFilter ref="AC60:AI80" xr:uid="{8E5467D8-60DE-CB40-A3DB-B62D3A008683}"/>
  <tableColumns count="7">
    <tableColumn id="1" xr3:uid="{CB6B3929-9FB8-9547-BC64-756C8B961DFE}" name="Annees" dataDxfId="1835"/>
    <tableColumn id="2" xr3:uid="{AABB1053-BB26-4043-97CC-5D12FB4F5663}" name="VE" dataDxfId="1834"/>
    <tableColumn id="3" xr3:uid="{9FFB099A-C0A5-0241-9BC5-F432644AEA96}" name="Vprel" dataDxfId="1833">
      <calculatedColumnFormula>IF(OR(AD61="",AD61=0),0,IF(AC61=1,INDEX($J$19:$M$38,MATCH(AC61,$H$19:$H$38,0),MATCH(RIGHT(AB$57,5),$J$18:$M$18,0)),INDEX($J$19:$M$38,MATCH(AC61,$H$19:$H$38,0),MATCH(RIGHT(AB$57,5),$J$18:$M$18,0))+AD61-AF60))</calculatedColumnFormula>
    </tableColumn>
    <tableColumn id="4" xr3:uid="{678488EB-1E4E-0F4C-9F60-3DD5080DE992}" name="VF" dataDxfId="1832">
      <calculatedColumnFormula>IF(AE61="",0,AD61-AE61)</calculatedColumnFormula>
    </tableColumn>
    <tableColumn id="7" xr3:uid="{56BC0089-9AB7-7947-8918-A973EFC341DB}" name="BA" dataDxfId="1831">
      <calculatedColumnFormula>IF(AF61=0,0,AF61*AD$58)</calculatedColumnFormula>
    </tableColumn>
    <tableColumn id="6" xr3:uid="{11D839E0-83BD-5643-8C82-ABBE437DC58F}" name="BR" dataDxfId="1830">
      <calculatedColumnFormula>IF(AG61&gt;0,EXP(-1.0587+0.8836*LN(AG61)+0.284),0)</calculatedColumnFormula>
    </tableColumn>
    <tableColumn id="5" xr3:uid="{14D62594-8D90-4E42-ADA1-C4DFBE40729D}" name="CO2e_VE" dataDxfId="1829">
      <calculatedColumnFormula>SUM(AG61:AH61)*0.475*44/12</calculatedColumnFormula>
    </tableColumn>
  </tableColumns>
  <tableStyleInfo name="TableStyleMedium5"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E87A25EC-F286-9D4B-AD2F-56962ABEBA58}" name="Tableau12315916148" displayName="Tableau12315916148" ref="K176:Q196" totalsRowShown="0" headerRowDxfId="1828" dataDxfId="1827">
  <autoFilter ref="K176:Q196" xr:uid="{E87A25EC-F286-9D4B-AD2F-56962ABEBA58}"/>
  <tableColumns count="7">
    <tableColumn id="1" xr3:uid="{0EDFAD65-FB97-5C44-B237-D57293EA110B}" name="Annees" dataDxfId="1826"/>
    <tableColumn id="2" xr3:uid="{6A83D62D-CC32-9546-A2FC-095590308FDE}" name="VE" dataDxfId="1825"/>
    <tableColumn id="3" xr3:uid="{7CD6DB92-269B-CC41-9B97-7DCA908F853C}" name="Vprel" dataDxfId="1824">
      <calculatedColumnFormula>IF(OR(L177="",L177=0),0,IF(K177=1,((VLOOKUP(K$174,$G$4:$N$7,6,FALSE)-VLOOKUP(K$174,$G$4:$N$7,8,FALSE))/20),((VLOOKUP(K$174,$G$4:$N$7,6,FALSE)-VLOOKUP(K$174,$G$4:$N$7,8,FALSE))/20)+L177-N176))</calculatedColumnFormula>
    </tableColumn>
    <tableColumn id="4" xr3:uid="{8BA608A0-1EEF-0448-8507-11EA022F8E02}" name="VF" dataDxfId="1823">
      <calculatedColumnFormula>IF(L177="",0,L177-M177)</calculatedColumnFormula>
    </tableColumn>
    <tableColumn id="7" xr3:uid="{854AA28F-706E-0343-9296-ED6B5458530F}" name="BA" dataDxfId="1822"/>
    <tableColumn id="6" xr3:uid="{F8C17372-2EDB-074A-80A9-D3C78B0C1DF9}" name="BR" dataDxfId="1821">
      <calculatedColumnFormula>IF(O177&gt;0,EXP(-1.0587+0.8836*LN(O177)+0.284),0)</calculatedColumnFormula>
    </tableColumn>
    <tableColumn id="5" xr3:uid="{FCA33F27-6527-2E44-86A4-D12C0E5AB8B8}" name="CO2e_VE" dataDxfId="1820">
      <calculatedColumnFormula>SUM(O177:P177)*0.475*44/12</calculatedColumnFormula>
    </tableColumn>
  </tableColumns>
  <tableStyleInfo name="TableStyleMedium5"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00AF933F-5FC7-A64D-8FD8-F28E6AD188D3}" name="Tableau12315916149" displayName="Tableau12315916149" ref="T176:Z196" totalsRowShown="0" headerRowDxfId="1819" dataDxfId="1818">
  <autoFilter ref="T176:Z196" xr:uid="{00AF933F-5FC7-A64D-8FD8-F28E6AD188D3}"/>
  <tableColumns count="7">
    <tableColumn id="1" xr3:uid="{82FC8873-C726-634E-AD75-4AB4130B0BD7}" name="Annees" dataDxfId="1817"/>
    <tableColumn id="2" xr3:uid="{E68BCC70-1660-4241-8DB4-1E7F2E609DD4}" name="VE" dataDxfId="1816"/>
    <tableColumn id="3" xr3:uid="{33C5241D-9031-3047-9F74-F352AB847B95}" name="Vprel" dataDxfId="1815">
      <calculatedColumnFormula>IF(OR(U177="",U177=0),0,IF(T177=1,((VLOOKUP(T$174,$G$4:$N$7,6,FALSE)-VLOOKUP(T$174,$G$4:$N$7,8,FALSE))/20),((VLOOKUP(T$174,$G$4:$N$7,6,FALSE)-VLOOKUP(T$174,$G$4:$N$7,8,FALSE))/20)+U177-W176))</calculatedColumnFormula>
    </tableColumn>
    <tableColumn id="4" xr3:uid="{C8A3A9C6-A5F5-8043-A9E3-F1A319649CB0}" name="VF" dataDxfId="1814">
      <calculatedColumnFormula>IF(U177="",0,U177-V177)</calculatedColumnFormula>
    </tableColumn>
    <tableColumn id="7" xr3:uid="{F7668C82-2CA2-B74B-8E5A-07374BA1E45A}" name="BA" dataDxfId="1813"/>
    <tableColumn id="6" xr3:uid="{D4772A75-95BA-394E-9A14-79B2D80B2D49}" name="BR" dataDxfId="1812">
      <calculatedColumnFormula>IF(X177&gt;0,EXP(-1.0587+0.8836*LN(X177)+0.284),0)</calculatedColumnFormula>
    </tableColumn>
    <tableColumn id="5" xr3:uid="{C1E131A0-E761-E749-90AE-7D5B15684C1F}" name="CO2e_VE" dataDxfId="1811">
      <calculatedColumnFormula>SUM(X177:Y177)*0.475*44/12</calculatedColumnFormula>
    </tableColumn>
  </tableColumns>
  <tableStyleInfo name="TableStyleMedium5"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C6A80F40-886D-704F-AC51-4B4DF58DDF6E}" name="Tableau12315916150" displayName="Tableau12315916150" ref="AC176:AI196" totalsRowShown="0" headerRowDxfId="1810" dataDxfId="1809">
  <autoFilter ref="AC176:AI196" xr:uid="{C6A80F40-886D-704F-AC51-4B4DF58DDF6E}"/>
  <tableColumns count="7">
    <tableColumn id="1" xr3:uid="{990E2CFE-1E35-6F47-A582-5C84A8CECC2B}" name="Annees" dataDxfId="1808"/>
    <tableColumn id="2" xr3:uid="{C07C7C66-F092-4E45-9E08-5E181EF7881E}" name="VE" dataDxfId="1807"/>
    <tableColumn id="3" xr3:uid="{30B23AD2-2AE3-E740-B193-E72E27A83059}" name="Vprel" dataDxfId="1806">
      <calculatedColumnFormula>IF(OR(AD177="",AD177=0),0,IF(AC177=1,((VLOOKUP(AC$174,$G$4:$N$7,6,FALSE)-VLOOKUP(AC$174,$G$4:$N$7,8,FALSE))/20),((VLOOKUP(AC$174,$G$4:$N$7,6,FALSE)-VLOOKUP(AC$174,$G$4:$N$7,8,FALSE))/20)+AD177-AF176))</calculatedColumnFormula>
    </tableColumn>
    <tableColumn id="4" xr3:uid="{AEA2196C-94CD-B945-9241-4E47B57F4FFA}" name="VF" dataDxfId="1805">
      <calculatedColumnFormula>IF(AD177="",0,AD177-AE177)</calculatedColumnFormula>
    </tableColumn>
    <tableColumn id="7" xr3:uid="{0C61A5E7-C061-8042-9211-0F76F65EDFC5}" name="BA" dataDxfId="1804"/>
    <tableColumn id="6" xr3:uid="{F79689CA-7D68-D749-A9E1-9F0299EB31A3}" name="BR" dataDxfId="1803">
      <calculatedColumnFormula>IF(AG177&gt;0,EXP(-1.0587+0.8836*LN(AG177)+0.284),0)</calculatedColumnFormula>
    </tableColumn>
    <tableColumn id="5" xr3:uid="{2BE0DEC6-3834-1B4E-BB00-CBA51237D799}" name="CO2e_VE" dataDxfId="1802">
      <calculatedColumnFormula>SUM(AG177:AH177)*0.475*44/12</calculatedColumnFormula>
    </tableColumn>
  </tableColumns>
  <tableStyleInfo name="TableStyleMedium5"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808653D7-CA0C-C247-AD37-3D18E3BC0EC2}" name="Tableau50" displayName="Tableau50" ref="A369:D389" totalsRowShown="0" headerRowDxfId="1801" dataDxfId="1800">
  <autoFilter ref="A369:D389" xr:uid="{808653D7-CA0C-C247-AD37-3D18E3BC0EC2}"/>
  <tableColumns count="4">
    <tableColumn id="1" xr3:uid="{49CEF89E-0101-2846-9B55-AA6D1A7539B5}" name="Année" dataDxfId="1799"/>
    <tableColumn id="2" xr3:uid="{B5802C04-B9F3-B848-9458-FCEA864FE6BA}" name="SQ_an" dataDxfId="1798">
      <calculatedColumnFormula>M285</calculatedColumnFormula>
    </tableColumn>
    <tableColumn id="3" xr3:uid="{D267BB10-D6CE-2748-9D68-A30221D20412}" name="JP_an" dataDxfId="1797">
      <calculatedColumnFormula>N285</calculatedColumnFormula>
    </tableColumn>
    <tableColumn id="4" xr3:uid="{90A630B1-33C9-D34B-8245-5D11614F402D}" name="ST_an" dataDxfId="1796">
      <calculatedColumnFormula>O285</calculatedColumnFormula>
    </tableColumn>
  </tableColumns>
  <tableStyleInfo name="TableStyleMedium5"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 xr:uid="{FD2D6578-FF72-6C4C-B85F-1D85880865FA}" name="Tableau61" displayName="Tableau61" ref="A345:D366" totalsRowShown="0" headerRowDxfId="1795" dataDxfId="1794">
  <autoFilter ref="A345:D366" xr:uid="{FD2D6578-FF72-6C4C-B85F-1D85880865FA}"/>
  <tableColumns count="4">
    <tableColumn id="1" xr3:uid="{0B7BAFCA-D167-E24D-AEBD-C051506B95E1}" name="Année" dataDxfId="1793"/>
    <tableColumn id="2" xr3:uid="{12BA84F9-9D65-C044-BE80-C7DB6FE7159B}" name="C02e_REF" dataDxfId="1792">
      <calculatedColumnFormula>IF(A346=0,SUM($S$4:$S$7),C284+D284+E284)</calculatedColumnFormula>
    </tableColumn>
    <tableColumn id="3" xr3:uid="{624FE12B-0DA3-9B48-B843-0561B3BCF047}" name="CO2e_PRJ" dataDxfId="1791">
      <calculatedColumnFormula>IF(A346=0,SUM($S$4:$S$7),F284+G284+H284)</calculatedColumnFormula>
    </tableColumn>
    <tableColumn id="4" xr3:uid="{902FBB49-68A5-B24F-9F9F-4EC6D3D08580}" name="∆CO2e" dataDxfId="1790"/>
  </tableColumns>
  <tableStyleInfo name="TableStyleMedium5"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5" xr:uid="{A50B75D6-5903-EB44-8F19-04CE50A7A909}" name="Tableau50196" displayName="Tableau50196" ref="A393:G413" totalsRowShown="0" headerRowDxfId="1789" dataDxfId="1788">
  <autoFilter ref="A393:G413" xr:uid="{A50B75D6-5903-EB44-8F19-04CE50A7A909}"/>
  <tableColumns count="7">
    <tableColumn id="1" xr3:uid="{7C072300-4FC3-BB4C-92DB-001012A32A58}" name="Année" dataDxfId="1787"/>
    <tableColumn id="2" xr3:uid="{55F227F8-86DF-F14A-9F3E-2B5525284667}" name="Vol_non récoltable" dataDxfId="1786">
      <calculatedColumnFormula>D$15</calculatedColumnFormula>
    </tableColumn>
    <tableColumn id="7" xr3:uid="{3A0D4AC5-B2EA-0F4F-9DB0-3B5FC7AE804C}" name="Vol_non prélevable" dataDxfId="1785">
      <calculatedColumnFormula>D$16+D$15</calculatedColumnFormula>
    </tableColumn>
    <tableColumn id="3" xr3:uid="{4BFB15F4-3D1C-434F-B155-080E98E5E23B}" name="VRE_REF" dataDxfId="1784">
      <calculatedColumnFormula>AS61</calculatedColumnFormula>
    </tableColumn>
    <tableColumn id="4" xr3:uid="{2F42D1BA-1AA3-2B49-8FDA-9BDF00012E95}" name="VRE_PRJ" dataDxfId="1783">
      <calculatedColumnFormula>AS177</calculatedColumnFormula>
    </tableColumn>
    <tableColumn id="5" xr3:uid="{5F4AAAC9-C45F-554E-9173-F93BB7D17AE3}" name="Vol_tot_Référence" dataDxfId="1782">
      <calculatedColumnFormula>IF($C$4="iRR",D394+B394,D394)</calculatedColumnFormula>
    </tableColumn>
    <tableColumn id="6" xr3:uid="{522EA6C5-49F4-A54F-88AE-1EC96E3F73FB}" name="Vol_tot_Projet" dataDxfId="1781">
      <calculatedColumnFormula>IF($C$4="IRR",B394+E394,E394)</calculatedColumnFormula>
    </tableColumn>
  </tableColumns>
  <tableStyleInfo name="TableStyleMedium5"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1" xr:uid="{95A33E00-52B1-D847-A10F-033BDE2D4A60}" name="Tableau201" displayName="Tableau201" ref="AR60:AS80" totalsRowShown="0" headerRowDxfId="1780" dataDxfId="1779" tableBorderDxfId="1778">
  <autoFilter ref="AR60:AS80" xr:uid="{95A33E00-52B1-D847-A10F-033BDE2D4A60}"/>
  <tableColumns count="2">
    <tableColumn id="1" xr3:uid="{156C3334-B7AD-574C-BC94-51C5BA3B693D}" name="Année" dataDxfId="1777"/>
    <tableColumn id="2" xr3:uid="{1D4D6494-139F-914C-B9EA-81FA25DF2986}" name="VR" dataDxfId="1776">
      <calculatedColumnFormula>C61+L61+U61+AD61</calculatedColumnFormula>
    </tableColumn>
  </tableColumns>
  <tableStyleInfo name="TableStyleMedium5"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2" xr:uid="{BED3853F-C398-9E4B-BE27-22E9964854C2}" name="Tableau75122230233" displayName="Tableau75122230233" ref="N21:Q52" totalsRowShown="0" headerRowDxfId="2245" dataDxfId="2244">
  <autoFilter ref="N21:Q52" xr:uid="{BED3853F-C398-9E4B-BE27-22E9964854C2}"/>
  <tableColumns count="4">
    <tableColumn id="1" xr3:uid="{A15ABDD7-0C41-8C40-82FC-428AE10A9D57}" name="Année" dataDxfId="2243"/>
    <tableColumn id="4" xr3:uid="{63588BA1-A5D4-6047-942A-9B0E87F88B54}" name="VI_JP/HA" dataDxfId="2242"/>
    <tableColumn id="3" xr3:uid="{C0783A0F-0618-854C-8A92-25D58B3D5D36}" name="VP_JP/HA" dataDxfId="2241"/>
    <tableColumn id="2" xr3:uid="{F389B1C5-E69F-CF49-817E-AA512B8F555E}" name="VF_JP/HA" dataDxfId="2240"/>
  </tableColumns>
  <tableStyleInfo name="TableStyleMedium7"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3" xr:uid="{EC245EC4-4BFE-7445-87C7-32B506FA8737}" name="Tableau201204" displayName="Tableau201204" ref="AR176:AS196" totalsRowShown="0" headerRowDxfId="1775" dataDxfId="1774" tableBorderDxfId="1773">
  <autoFilter ref="AR176:AS196" xr:uid="{EC245EC4-4BFE-7445-87C7-32B506FA8737}"/>
  <tableColumns count="2">
    <tableColumn id="1" xr3:uid="{AE9290F7-FF49-F946-A63D-10D2809139E4}" name="Année" dataDxfId="1772"/>
    <tableColumn id="2" xr3:uid="{AFC413FC-076F-5042-947D-6794ADDBC991}" name="VR" dataDxfId="1771">
      <calculatedColumnFormula>C177+L177+U177+AD177</calculatedColumnFormula>
    </tableColumn>
  </tableColumns>
  <tableStyleInfo name="TableStyleMedium5"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5" xr:uid="{00000000-000C-0000-FFFF-FFFF35000000}" name="Tableau7578176" displayName="Tableau7578176" ref="B207:Z227" totalsRowShown="0" headerRowDxfId="1770" dataDxfId="1769">
  <autoFilter ref="B207:Z227" xr:uid="{00000000-0009-0000-0100-0000AF000000}"/>
  <tableColumns count="25">
    <tableColumn id="1" xr3:uid="{00000000-0010-0000-3500-000001000000}" name="Année" dataDxfId="1768"/>
    <tableColumn id="2" xr3:uid="{00000000-0010-0000-3500-000002000000}" name="JP_1" dataDxfId="1767">
      <calculatedColumnFormula>(C$202)*IF($B208&gt;=C$200,IF($B208=C$200,$E$19,VLOOKUP($B208-C$200,$B$19:$E$49,4,FALSE)),0)</calculatedColumnFormula>
    </tableColumn>
    <tableColumn id="3" xr3:uid="{00000000-0010-0000-3500-000003000000}" name="JP_2" dataDxfId="1766">
      <calculatedColumnFormula>(D$202)*IF($B208&gt;=D$200,IF($B208=D$200,$E$19,VLOOKUP($B208-D$200,$B$19:$E$49,4,FALSE)),0)</calculatedColumnFormula>
    </tableColumn>
    <tableColumn id="4" xr3:uid="{00000000-0010-0000-3500-000004000000}" name="JP_3" dataDxfId="1765">
      <calculatedColumnFormula>(E$202)*IF($B208&gt;=E$200,IF($B208=E$200,$E$19,VLOOKUP($B208-E$200,$B$19:$E$49,4,FALSE)),0)</calculatedColumnFormula>
    </tableColumn>
    <tableColumn id="5" xr3:uid="{00000000-0010-0000-3500-000005000000}" name="JP_4" dataDxfId="1764">
      <calculatedColumnFormula>(F$202)*IF($B208&gt;=F$200,IF($B208=F$200,$E$19,VLOOKUP($B208-F$200,$B$19:$E$49,4,FALSE)),0)</calculatedColumnFormula>
    </tableColumn>
    <tableColumn id="6" xr3:uid="{00000000-0010-0000-3500-000006000000}" name="JP_5" dataDxfId="1763">
      <calculatedColumnFormula>(G$202)*IF($B208&gt;=G$200,IF($B208=G$200,$E$19,VLOOKUP($B208-G$200,$B$19:$E$49,4,FALSE)),0)</calculatedColumnFormula>
    </tableColumn>
    <tableColumn id="7" xr3:uid="{00000000-0010-0000-3500-000007000000}" name="JP_6" dataDxfId="1762">
      <calculatedColumnFormula>(H$202)*IF($B208&gt;=H$200,IF($B208=H$200,$E$19,VLOOKUP($B208-H$200,$B$19:$E$49,4,FALSE)),0)</calculatedColumnFormula>
    </tableColumn>
    <tableColumn id="8" xr3:uid="{00000000-0010-0000-3500-000008000000}" name="JP_7" dataDxfId="1761">
      <calculatedColumnFormula>(I$202)*IF($B208&gt;=I$200,IF($B208=I$200,$E$19,VLOOKUP($B208-I$200,$B$19:$E$49,4,FALSE)),0)</calculatedColumnFormula>
    </tableColumn>
    <tableColumn id="9" xr3:uid="{00000000-0010-0000-3500-000009000000}" name="JP_8" dataDxfId="1760">
      <calculatedColumnFormula>(J$202)*IF($B208&gt;=J$200,IF($B208=J$200,$E$19,VLOOKUP($B208-J$200,$B$19:$E$49,4,FALSE)),0)</calculatedColumnFormula>
    </tableColumn>
    <tableColumn id="10" xr3:uid="{00000000-0010-0000-3500-00000A000000}" name="JP_9" dataDxfId="1759">
      <calculatedColumnFormula>(K$202)*IF($B208&gt;=K$200,IF($B208=K$200,$E$19,VLOOKUP($B208-K$200,$B$19:$E$49,4,FALSE)),0)</calculatedColumnFormula>
    </tableColumn>
    <tableColumn id="11" xr3:uid="{00000000-0010-0000-3500-00000B000000}" name="JP_10" dataDxfId="1758">
      <calculatedColumnFormula>(L$202)*IF($B208&gt;=L$200,IF($B208=L$200,$E$19,VLOOKUP($B208-L$200,$B$19:$E$49,4,FALSE)),0)</calculatedColumnFormula>
    </tableColumn>
    <tableColumn id="12" xr3:uid="{00000000-0010-0000-3500-00000C000000}" name="JP_11" dataDxfId="1757">
      <calculatedColumnFormula>(M$202)*IF($B208&gt;=M$200,IF($B208=M$200,$E$19,VLOOKUP($B208-M$200,$B$19:$E$49,4,FALSE)),0)</calculatedColumnFormula>
    </tableColumn>
    <tableColumn id="13" xr3:uid="{00000000-0010-0000-3500-00000D000000}" name="JP_12" dataDxfId="1756">
      <calculatedColumnFormula>(N$202)*IF($B208&gt;=N$200,IF($B208=N$200,$E$19,VLOOKUP($B208-N$200,$B$19:$E$49,4,FALSE)),0)</calculatedColumnFormula>
    </tableColumn>
    <tableColumn id="14" xr3:uid="{00000000-0010-0000-3500-00000E000000}" name="JP_13" dataDxfId="1755">
      <calculatedColumnFormula>(O$202)*IF($B208&gt;=O$200,IF($B208=O$200,$E$19,VLOOKUP($B208-O$200,$B$19:$E$49,4,FALSE)),0)</calculatedColumnFormula>
    </tableColumn>
    <tableColumn id="15" xr3:uid="{00000000-0010-0000-3500-00000F000000}" name="JP_14" dataDxfId="1754">
      <calculatedColumnFormula>(P$202)*IF($B208&gt;=P$200,IF($B208=P$200,$E$19,VLOOKUP($B208-P$200,$B$19:$E$49,4,FALSE)),0)</calculatedColumnFormula>
    </tableColumn>
    <tableColumn id="16" xr3:uid="{00000000-0010-0000-3500-000010000000}" name="JP_15" dataDxfId="1753">
      <calculatedColumnFormula>(Q$202)*IF($B208&gt;=Q$200,IF($B208=Q$200,$E$19,VLOOKUP($B208-Q$200,$B$19:$E$49,4,FALSE)),0)</calculatedColumnFormula>
    </tableColumn>
    <tableColumn id="17" xr3:uid="{00000000-0010-0000-3500-000011000000}" name="JP_16" dataDxfId="1752">
      <calculatedColumnFormula>(R$202)*IF($B208&gt;=R$200,IF($B208=R$200,$E$19,VLOOKUP($B208-R$200,$B$19:$E$49,4,FALSE)),0)</calculatedColumnFormula>
    </tableColumn>
    <tableColumn id="18" xr3:uid="{00000000-0010-0000-3500-000012000000}" name="JP_17" dataDxfId="1751">
      <calculatedColumnFormula>(S$202)*IF($B208&gt;=S$200,IF($B208=S$200,$E$19,VLOOKUP($B208-S$200,$B$19:$E$49,4,FALSE)),0)</calculatedColumnFormula>
    </tableColumn>
    <tableColumn id="19" xr3:uid="{00000000-0010-0000-3500-000013000000}" name="JP_18" dataDxfId="1750">
      <calculatedColumnFormula>(T$202)*IF($B208&gt;=T$200,IF($B208=T$200,$E$19,VLOOKUP($B208-T$200,$B$19:$E$49,4,FALSE)),0)</calculatedColumnFormula>
    </tableColumn>
    <tableColumn id="20" xr3:uid="{00000000-0010-0000-3500-000014000000}" name="JP_19" dataDxfId="1749">
      <calculatedColumnFormula>(U$202)*IF($B208&gt;=U$200,IF($B208=U$200,$E$19,VLOOKUP($B208-U$200,$B$19:$E$49,4,FALSE)),0)</calculatedColumnFormula>
    </tableColumn>
    <tableColumn id="21" xr3:uid="{00000000-0010-0000-3500-000015000000}" name="JP_20" dataDxfId="1748">
      <calculatedColumnFormula>(V$202)*IF($B208&gt;=V$200,IF($B208=V$200,$E$19,VLOOKUP($B208-V$200,$B$19:$E$49,4,FALSE)),0)</calculatedColumnFormula>
    </tableColumn>
    <tableColumn id="32" xr3:uid="{00000000-0010-0000-3500-000020000000}" name="BA_JP" dataDxfId="1747">
      <calculatedColumnFormula>SUM(#REF!)*D$11*C$11</calculatedColumnFormula>
    </tableColumn>
    <tableColumn id="33" xr3:uid="{00000000-0010-0000-3500-000021000000}" name="BR_JP" dataDxfId="1746">
      <calculatedColumnFormula>IF(W208&gt;0,EXP(-1.0587+0.8836*LN(W208)+0.284),0)</calculatedColumnFormula>
    </tableColumn>
    <tableColumn id="34" xr3:uid="{00000000-0010-0000-3500-000022000000}" name="CO2e_JP" dataDxfId="1745">
      <calculatedColumnFormula>SUM(W208:X208)*0.475*44/12</calculatedColumnFormula>
    </tableColumn>
    <tableColumn id="35" xr3:uid="{0254D88A-41EC-0040-8F53-45760050D134}" name="V_JP_tot" dataDxfId="1744">
      <calculatedColumnFormula>SUM(#REF!)</calculatedColumnFormula>
    </tableColumn>
  </tableColumns>
  <tableStyleInfo name="TableStyleMedium5"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2" xr:uid="{03AA723C-C13B-D048-AD45-FE162C87DF1A}" name="Tableau222" displayName="Tableau222" ref="H18:N38" totalsRowShown="0" headerRowDxfId="1743" dataDxfId="1742">
  <autoFilter ref="H18:N38" xr:uid="{03AA723C-C13B-D048-AD45-FE162C87DF1A}"/>
  <tableColumns count="7">
    <tableColumn id="1" xr3:uid="{94BCEFBD-179B-2D45-8D0E-AF33ED4C5852}" name="Colonne1" dataDxfId="1741"/>
    <tableColumn id="7" xr3:uid="{4DD37B2D-C1D7-4A4A-A191-54F7E5CB1667}" name="Surf_max" dataDxfId="1740">
      <calculatedColumnFormula>IF($C$4="REG",$C$7*INITIAL_FORET!K21,IF($C$4="RASE",$C$7*INITIAL_FORET!L24,0))</calculatedColumnFormula>
    </tableColumn>
    <tableColumn id="3" xr3:uid="{EB8C08DD-67C3-E94C-8E37-1CC07DAB7E6B}" name="ESS_1" dataDxfId="1739">
      <calculatedColumnFormula array="1">IF($C$6=0,0,IF(INDEX($G$4:$M$7,RIGHT(J$18,1),6)="",0,IF($C$4="IRR",INDEX($G$4:$M$7,RIGHT(J$18,1),7)*80%/20,((INDEX($G$4:$M$7,RIGHT(J$18,1),7))/$C$6)*$I19)))</calculatedColumnFormula>
    </tableColumn>
    <tableColumn id="4" xr3:uid="{AE1F13C3-1AA6-C045-8598-358FE9DA013F}" name="ESS_2" dataDxfId="1738">
      <calculatedColumnFormula array="1">IF($C$6=0,0,IF(INDEX($G$4:$M$7,RIGHT(K$18,1),6)="",0,IF($C$4="IRR",INDEX($G$4:$M$7,RIGHT(K$18,1),7)*80%/20,((INDEX($G$4:$M$7,RIGHT(K$18,1),7))/$C$6)*$I19)))</calculatedColumnFormula>
    </tableColumn>
    <tableColumn id="5" xr3:uid="{237C6766-7E40-6745-A8D9-EE8AF6F3CEDF}" name="ESS_3" dataDxfId="1737">
      <calculatedColumnFormula array="1">IF($C$6=0,0,IF(INDEX($G$4:$M$7,RIGHT(L$18,1),6)="",0,IF($C$4="IRR",INDEX($G$4:$M$7,RIGHT(L$18,1),7)*80%/20,((INDEX($G$4:$M$7,RIGHT(L$18,1),7))/$C$6)*$I19)))</calculatedColumnFormula>
    </tableColumn>
    <tableColumn id="6" xr3:uid="{F1C86C30-084B-5A45-A1C6-499C9346D135}" name="ESS_4" dataDxfId="1736">
      <calculatedColumnFormula array="1">IF($C$6=0,0,IF(INDEX($G$4:$M$7,RIGHT(M$18,1),6)="",0,IF($C$4="IRR",INDEX($G$4:$M$7,RIGHT(M$18,1),7)*80%/20,((INDEX($G$4:$M$7,RIGHT(M$18,1),7))/$C$6)*$I19)))</calculatedColumnFormula>
    </tableColumn>
    <tableColumn id="8" xr3:uid="{81A56560-9C63-AF40-ABBE-1C69EDE9CE36}" name="TOTAL" dataDxfId="1735">
      <calculatedColumnFormula>SUM(J19:M19)</calculatedColumnFormula>
    </tableColumn>
  </tableColumns>
  <tableStyleInfo name="TableStyleMedium5"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1E5717D3-EABF-C845-93A0-101514776F93}" name="Tableau501969" displayName="Tableau501969" ref="A416:G436" totalsRowShown="0" headerRowDxfId="1734" dataDxfId="1733">
  <autoFilter ref="A416:G436" xr:uid="{1E5717D3-EABF-C845-93A0-101514776F93}"/>
  <tableColumns count="7">
    <tableColumn id="1" xr3:uid="{4ACBDD23-1285-4F48-BC82-BFE475F66764}" name="Année" dataDxfId="1732"/>
    <tableColumn id="2" xr3:uid="{F46F5F53-CE43-0E4D-AC7F-25A0976460D8}" name="Vol_non récoltable" dataDxfId="1731">
      <calculatedColumnFormula>D$15/$C$6</calculatedColumnFormula>
    </tableColumn>
    <tableColumn id="7" xr3:uid="{84C1D092-D4D0-3241-BEB9-54859709DE56}" name="Vol_non prélevable" dataDxfId="1730">
      <calculatedColumnFormula>(D$16+D$15)/$C$6</calculatedColumnFormula>
    </tableColumn>
    <tableColumn id="3" xr3:uid="{BEAA9925-5D67-AF42-BA7C-4B86BE03B1AB}" name="VRE_REF" dataDxfId="1729">
      <calculatedColumnFormula>AS61/$C$6</calculatedColumnFormula>
    </tableColumn>
    <tableColumn id="4" xr3:uid="{8016DACF-EA4C-C546-8C08-571AA7FAA8F3}" name="VRE_PRJ" dataDxfId="1728">
      <calculatedColumnFormula>AS177/$C$6</calculatedColumnFormula>
    </tableColumn>
    <tableColumn id="5" xr3:uid="{1839AB54-D4C8-CE45-BA98-3F2CF435F9F6}" name="Vol_tot_Référence" dataDxfId="1727">
      <calculatedColumnFormula>IF($C$4="iRR",D417+B417,D417)</calculatedColumnFormula>
    </tableColumn>
    <tableColumn id="6" xr3:uid="{26DBBA99-E0D9-C44E-B5A5-5DCCD8F267C2}" name="Vol_tot_Projet" dataDxfId="1726">
      <calculatedColumnFormula>IF($C$4="IRR",B417+E417,E417)</calculatedColumnFormula>
    </tableColumn>
  </tableColumns>
  <tableStyleInfo name="TableStyleMedium5"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5" xr:uid="{6B5368E0-A698-EC48-8131-B18DA60CD4E0}" name="Tableau121632152386" displayName="Tableau121632152386" ref="B117:I137" totalsRowShown="0" headerRowDxfId="1725" dataDxfId="1724">
  <autoFilter ref="B117:I137" xr:uid="{00000000-0009-0000-0100-000097000000}"/>
  <tableColumns count="8">
    <tableColumn id="1" xr3:uid="{BDC886A4-D963-644A-B57D-72DCF4E0677F}" name="Annees" dataDxfId="1723"/>
    <tableColumn id="2" xr3:uid="{810EB71A-FEA8-FF4A-AE5D-413C3870FB68}" name="V_prel" dataDxfId="1722">
      <calculatedColumnFormula>D61</calculatedColumnFormula>
    </tableColumn>
    <tableColumn id="7" xr3:uid="{64C6B929-6903-D149-8FDF-76D1D45FED5A}" name="C_prel" dataDxfId="1721">
      <calculatedColumnFormula>IF(OR(C118=0,C118=""),0,C118*C$58*0.475)</calculatedColumnFormula>
    </tableColumn>
    <tableColumn id="8" xr3:uid="{FDF8771A-9E94-9F40-B5F0-25B748DFA0B1}" name="C_BE" dataDxfId="1720">
      <calculatedColumnFormula>IF(OR(D118=0,D118="",B$116=0),0,D118*INDEX(Listes!$K$1:$Q$12,MATCH(B$116,Listes!$K$1:$K$12,0),MATCH(E$117,Listes!$K$1:$Q$1,0)))</calculatedColumnFormula>
    </tableColumn>
    <tableColumn id="5" xr3:uid="{9CA0142C-2885-144C-BD44-9780AD4E998E}" name="C_val" dataDxfId="1719">
      <calculatedColumnFormula>D118-E118</calculatedColumnFormula>
    </tableColumn>
    <tableColumn id="3" xr3:uid="{3A711CAA-C326-CA45-B50A-A19FCF8B98BC}" name="C_BO_sc" dataDxfId="1718">
      <calculatedColumnFormula>IF(OR(B$116=0,B$116=""),0,F118*INDEX(Listes!$K$15:$P$26,MATCH(B$116,Listes!$K$15:$K$26,0),MATCH(G$117,Listes!$K$15:$P$15,0))*INDEX(Listes!$K$29:$O$31,MATCH(C$116,Listes!$K$29:$K$31,0),MATCH(G$117,Listes!$K$29:$O$29,0)))</calculatedColumnFormula>
    </tableColumn>
    <tableColumn id="4" xr3:uid="{7C223003-DC96-CE43-ACDE-BC2725A48D2F}" name="C_BO_ps" dataDxfId="1717">
      <calculatedColumnFormula>IF(OR(B$116=0,B$116=""),0,F118*INDEX(Listes!$K$15:$P$26,MATCH(B$116,Listes!$K$15:$K$26,0),MATCH(H$117,Listes!$K$15:$P$15,0))*INDEX(Listes!$K$29:$O$31,MATCH(C$116,Listes!$K$29:$K$31,0),MATCH(H$117,Listes!$K$29:$O$29,0)))</calculatedColumnFormula>
    </tableColumn>
    <tableColumn id="6" xr3:uid="{767011C4-C8F7-C445-BC80-7E602526C85E}" name="C_BI_pap" dataDxfId="1716">
      <calculatedColumnFormula>IF(OR(B$116=0,B$116=""),0,F118*INDEX(Listes!$K$15:$P$26,MATCH(B$116,Listes!$K$15:$K$26,0),MATCH(I$117,Listes!$K$15:$P$15,0))*INDEX(Listes!$K$29:$O$31,MATCH(C$116,Listes!$K$29:$K$31,0),MATCH(I$117,Listes!$K$29:$O$29,0)))</calculatedColumnFormula>
    </tableColumn>
  </tableColumns>
  <tableStyleInfo name="TableStyleMedium5"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6" xr:uid="{14496F07-B1B0-7049-9F5A-F467AAFC6B71}" name="Tableau12162134153387" displayName="Tableau12162134153387" ref="B144:X164" totalsRowShown="0" headerRowDxfId="1715" dataDxfId="1714">
  <autoFilter ref="B144:X164" xr:uid="{00000000-0009-0000-0100-000098000000}"/>
  <tableColumns count="23">
    <tableColumn id="1" xr3:uid="{8798DA55-52D3-B34C-BA18-E6B323274D86}" name="Annee" dataDxfId="1713"/>
    <tableColumn id="2" xr3:uid="{DE48F42B-E519-FD4B-A64A-A966597E7FDA}" name="C_LD" dataDxfId="1712">
      <calculatedColumnFormula>AT118+IF($B145=1,0,C144)</calculatedColumnFormula>
    </tableColumn>
    <tableColumn id="3" xr3:uid="{288B1D20-CFD0-C540-A17E-8354E804C705}" name="C_MD_1" dataDxfId="1711">
      <calculatedColumnFormula>IF($B145&gt;=C$141,IF($B145=C$141,C$142,C$142*((20+C$141)-$B145)/20),0)*IF((20+C$141)-$B145&lt;0,0,1)</calculatedColumnFormula>
    </tableColumn>
    <tableColumn id="7" xr3:uid="{3DAFFEFB-DACA-F24B-A291-0663A48009CB}" name="C_MD_2" dataDxfId="1710">
      <calculatedColumnFormula>IF($B145&gt;=D$141,IF($B145=D$141,D$142,D$142*((20+D$141)-$B145)/20),0)*IF((20+D$141)-$B145&lt;0,0,1)</calculatedColumnFormula>
    </tableColumn>
    <tableColumn id="8" xr3:uid="{B50F0F9B-DC5B-7F4A-B552-16B631042B77}" name="C_MD_3" dataDxfId="1709">
      <calculatedColumnFormula>IF($B145&gt;=E$141,IF($B145=E$141,E$142,E$142*((20+E$141)-$B145)/20),0)*IF((20+E$141)-$B145&lt;0,0,1)</calculatedColumnFormula>
    </tableColumn>
    <tableColumn id="9" xr3:uid="{8EDD6A2E-3F13-F240-B326-E863B5DAA5CE}" name="C_MD_4" dataDxfId="1708">
      <calculatedColumnFormula>IF($B145&gt;=F$141,IF($B145=F$141,F$142,F$142*((20+F$141)-$B145)/20),0)*IF((20+F$141)-$B145&lt;0,0,1)</calculatedColumnFormula>
    </tableColumn>
    <tableColumn id="10" xr3:uid="{7FB9F037-0A90-A948-B5EF-5D82026CF0A2}" name="C_MD_5" dataDxfId="1707">
      <calculatedColumnFormula>IF($B145&gt;=G$141,IF($B145=G$141,G$142,G$142*((20+G$141)-$B145)/20),0)*IF((20+G$141)-$B145&lt;0,0,1)</calculatedColumnFormula>
    </tableColumn>
    <tableColumn id="11" xr3:uid="{1BA61E7B-E304-D347-B662-E24C680EBEDD}" name="C_MD_6" dataDxfId="1706">
      <calculatedColumnFormula>IF($B145&gt;=H$141,IF($B145=H$141,H$142,H$142*((20+H$141)-$B145)/20),0)*IF((20+H$141)-$B145&lt;0,0,1)</calculatedColumnFormula>
    </tableColumn>
    <tableColumn id="12" xr3:uid="{66988492-FCB5-2A43-8525-BDD6E4A989F1}" name="C_MD_7" dataDxfId="1705">
      <calculatedColumnFormula>IF($B145&gt;=I$141,IF($B145=I$141,I$142,I$142*((20+I$141)-$B145)/20),0)*IF((20+I$141)-$B145&lt;0,0,1)</calculatedColumnFormula>
    </tableColumn>
    <tableColumn id="13" xr3:uid="{1222ED98-C50D-B944-BC02-25222380035B}" name="C_MD_8" dataDxfId="1704">
      <calculatedColumnFormula>IF($B145&gt;=J$141,IF($B145=J$141,J$142,J$142*((20+J$141)-$B145)/20),0)*IF((20+J$141)-$B145&lt;0,0,1)</calculatedColumnFormula>
    </tableColumn>
    <tableColumn id="14" xr3:uid="{E808B510-2326-C44C-874D-CD5B81BE267C}" name="C_MD_9" dataDxfId="1703">
      <calculatedColumnFormula>IF($B145&gt;=K$141,IF($B145=K$141,K$142,K$142*((20+K$141)-$B145)/20),0)*IF((20+K$141)-$B145&lt;0,0,1)</calculatedColumnFormula>
    </tableColumn>
    <tableColumn id="15" xr3:uid="{80DC819D-E41A-FC48-9D6D-D31D9CE35C20}" name="C_MD_10" dataDxfId="1702">
      <calculatedColumnFormula>IF($B145&gt;=L$141,IF($B145=L$141,L$142,L$142*((20+L$141)-$B145)/20),0)*IF((20+L$141)-$B145&lt;0,0,1)</calculatedColumnFormula>
    </tableColumn>
    <tableColumn id="16" xr3:uid="{380EFE4F-94BD-D344-A7D3-C5401933C634}" name="C_MD_11" dataDxfId="1701">
      <calculatedColumnFormula>IF($B145&gt;=M$141,IF($B145=M$141,M$142,M$142*((20+M$141)-$B145)/20),0)*IF((20+M$141)-$B145&lt;0,0,1)</calculatedColumnFormula>
    </tableColumn>
    <tableColumn id="17" xr3:uid="{C7CE59DC-0BB6-DA4D-A1CB-7ADDE84D97A7}" name="C_MD_12" dataDxfId="1700">
      <calculatedColumnFormula>IF($B145&gt;=N$141,IF($B145=N$141,N$142,N$142*((20+N$141)-$B145)/20),0)*IF((20+N$141)-$B145&lt;0,0,1)</calculatedColumnFormula>
    </tableColumn>
    <tableColumn id="18" xr3:uid="{6B3259A5-AA2B-0E4E-BE9B-C2829E889254}" name="C_MD_13" dataDxfId="1699">
      <calculatedColumnFormula>IF($B145&gt;=O$141,IF($B145=O$141,O$142,O$142*((20+O$141)-$B145)/20),0)*IF((20+O$141)-$B145&lt;0,0,1)</calculatedColumnFormula>
    </tableColumn>
    <tableColumn id="19" xr3:uid="{AA1EEDC5-FAEC-BC4A-8C5A-41B7EC3F2157}" name="C_MD_14" dataDxfId="1698">
      <calculatedColumnFormula>IF($B145&gt;=P$141,IF($B145=P$141,P$142,P$142*((20+P$141)-$B145)/20),0)*IF((20+P$141)-$B145&lt;0,0,1)</calculatedColumnFormula>
    </tableColumn>
    <tableColumn id="20" xr3:uid="{28AF0104-0210-9B43-AC77-F8E7004F689B}" name="C_MD_15" dataDxfId="1697">
      <calculatedColumnFormula>IF($B145&gt;=Q$141,IF($B145=Q$141,Q$142,Q$142*((20+Q$141)-$B145)/20),0)*IF((20+Q$141)-$B145&lt;0,0,1)</calculatedColumnFormula>
    </tableColumn>
    <tableColumn id="21" xr3:uid="{21D720CF-C3B9-8144-B258-22DDD6122E24}" name="C_MD_16" dataDxfId="1696">
      <calculatedColumnFormula>IF($B145&gt;=R$141,IF($B145=R$141,R$142,R$142*((20+R$141)-$B145)/20),0)*IF((20+R$141)-$B145&lt;0,0,1)</calculatedColumnFormula>
    </tableColumn>
    <tableColumn id="22" xr3:uid="{869FF486-1BA5-5241-93DB-024F7226E170}" name="C_MD_17" dataDxfId="1695">
      <calculatedColumnFormula>IF($B145&gt;=S$141,IF($B145=S$141,S$142,S$142*((20+S$141)-$B145)/20),0)*IF((20+S$141)-$B145&lt;0,0,1)</calculatedColumnFormula>
    </tableColumn>
    <tableColumn id="23" xr3:uid="{C457B29A-8330-6543-8073-3FE571A4E5A8}" name="C_MD_18" dataDxfId="1694">
      <calculatedColumnFormula>IF($B145&gt;=T$141,IF($B145=T$141,T$142,T$142*((20+T$141)-$B145)/20),0)*IF((20+T$141)-$B145&lt;0,0,1)</calculatedColumnFormula>
    </tableColumn>
    <tableColumn id="24" xr3:uid="{28766ED5-8BD2-5345-A6DE-EF0686666DC4}" name="C_MD_19" dataDxfId="1693">
      <calculatedColumnFormula>IF($B145&gt;=U$141,IF($B145=U$141,U$142,U$142*((20+U$141)-$B145)/20),0)*IF((20+U$141)-$B145&lt;0,0,1)</calculatedColumnFormula>
    </tableColumn>
    <tableColumn id="25" xr3:uid="{4D0A74C5-2C85-A44D-9E2B-768C93760E8F}" name="C_MD_20" dataDxfId="1692">
      <calculatedColumnFormula>IF($B145&gt;=V$141,IF($B145=V$141,V$142,V$142*((20+V$141)-$B145)/20),0)*IF((20+V$141)-$B145&lt;0,0,1)</calculatedColumnFormula>
    </tableColumn>
    <tableColumn id="36" xr3:uid="{0AB58244-9616-BD49-BE1D-52465B2AF61A}" name="CO2e_ST_tot" dataDxfId="1691">
      <calculatedColumnFormula>SUM(C145:W145)*44/12</calculatedColumnFormula>
    </tableColumn>
  </tableColumns>
  <tableStyleInfo name="TableStyleMedium5"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7" xr:uid="{1C51B68A-B017-0442-9F5A-B9FF365A6D5E}" name="Tableau46160388" displayName="Tableau46160388" ref="AP117:AU137" totalsRowShown="0" headerRowDxfId="1690" dataDxfId="1689">
  <autoFilter ref="AP117:AU137" xr:uid="{00000000-0009-0000-0100-00009F000000}"/>
  <tableColumns count="6">
    <tableColumn id="1" xr3:uid="{A95143B6-D683-8A43-9F4E-D7523C9841D2}" name="Annees" dataDxfId="1688"/>
    <tableColumn id="2" xr3:uid="{2D7112A8-F6C9-0747-8C51-97BE99D37145}" name="C_BO_sc" dataDxfId="1687">
      <calculatedColumnFormula>SUM(G118,Q118,AA118,AK118)</calculatedColumnFormula>
    </tableColumn>
    <tableColumn id="3" xr3:uid="{FF66A680-2995-494E-9C53-027E1124F700}" name="C_BO_ps" dataDxfId="1686">
      <calculatedColumnFormula>SUM(H118,R118,AB118,AL118)</calculatedColumnFormula>
    </tableColumn>
    <tableColumn id="5" xr3:uid="{A39CC4FB-2F1B-F348-8D75-D98985C895F7}" name="C_BI_pap" dataDxfId="1685">
      <calculatedColumnFormula>SUM(I118,S118,AC118,AM118)</calculatedColumnFormula>
    </tableColumn>
    <tableColumn id="6" xr3:uid="{7A2C2CC1-F22A-EA4E-9B42-6391CD0B9E4F}" name="C_LD" dataDxfId="1684">
      <calculatedColumnFormula>AQ118*VLOOKUP(AQ$117,Tableau17[],4,FALSE)+AR118*VLOOKUP(AR$117,Tableau17[],4,FALSE)+AS118*VLOOKUP(AS$117,Tableau17[],4,FALSE)</calculatedColumnFormula>
    </tableColumn>
    <tableColumn id="7" xr3:uid="{FA0AD472-DB0A-0E4B-B97F-7B5A6C371E0C}" name="C_MD" dataDxfId="1683">
      <calculatedColumnFormula>AQ118*VLOOKUP(AQ$117,Tableau17[],3,FALSE)+AR118*VLOOKUP(AR$117,Tableau17[],3,FALSE)+AS118*VLOOKUP(AS$117,Tableau17[],3,FALSE)</calculatedColumnFormula>
    </tableColumn>
  </tableColumns>
  <tableStyleInfo name="TableStyleMedium5"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8" xr:uid="{6EFDDF8E-E7AF-8844-9229-51114EC7F65E}" name="Tableau123159161389" displayName="Tableau123159161389" ref="B176:H196" totalsRowShown="0" headerRowDxfId="1682" dataDxfId="1681">
  <autoFilter ref="B176:H196" xr:uid="{00000000-0009-0000-0100-0000A0000000}"/>
  <tableColumns count="7">
    <tableColumn id="1" xr3:uid="{62DA8038-E8EA-8448-80BD-6E0CB77EB593}" name="Annees" dataDxfId="1680"/>
    <tableColumn id="2" xr3:uid="{4A8BDA85-D801-384A-BFAB-E9C323D80B82}" name="VE" dataDxfId="1679"/>
    <tableColumn id="3" xr3:uid="{9EC63E14-141D-5D41-BC1B-2C0371B7CBD6}" name="Vprel" dataDxfId="1678">
      <calculatedColumnFormula>IF(OR(C177="",C177=0),0,IF(B177=1,((VLOOKUP(B$174,$G$4:$N$7,6,FALSE)-VLOOKUP(B$174,$G$4:$N$7,8,FALSE))/20),((VLOOKUP(B$174,$G$4:$N$7,6,FALSE)-VLOOKUP(B$174,$G$4:$N$7,8,FALSE))/20)+C177-E176))</calculatedColumnFormula>
    </tableColumn>
    <tableColumn id="4" xr3:uid="{002C0ADD-5D42-1D44-958A-58860D77C625}" name="VF" dataDxfId="1677">
      <calculatedColumnFormula>IF(C177="",0,C177-D177)</calculatedColumnFormula>
    </tableColumn>
    <tableColumn id="7" xr3:uid="{3EA1F8DB-8A19-4F4E-B99C-5E1E83DEC97D}" name="BA" dataDxfId="1676">
      <calculatedColumnFormula>IF(Tableau123159161389[[#This Row],[VF]]=0,0,Tableau123159161389[[#This Row],[VF]]*C$58)</calculatedColumnFormula>
    </tableColumn>
    <tableColumn id="6" xr3:uid="{60FB7138-2B2B-8747-8031-4EFEECC749BC}" name="BR" dataDxfId="1675">
      <calculatedColumnFormula>IF(F177&gt;0,EXP(-1.0587+0.8836*LN(F177)+0.284),0)</calculatedColumnFormula>
    </tableColumn>
    <tableColumn id="5" xr3:uid="{2C9397EF-8743-0C4F-9803-F1EA7DCB3EC9}" name="CO2e_VE" dataDxfId="1674">
      <calculatedColumnFormula>SUM(F177:G177)*0.475*44/12</calculatedColumnFormula>
    </tableColumn>
  </tableColumns>
  <tableStyleInfo name="TableStyleMedium5"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9" xr:uid="{FAE9FE07-76C4-D744-B720-D0ED1F4F453A}" name="Tableau12163260162390" displayName="Tableau12163260162390" ref="B232:I252" totalsRowShown="0" headerRowDxfId="1673" dataDxfId="1672">
  <autoFilter ref="B232:I252" xr:uid="{00000000-0009-0000-0100-0000A1000000}"/>
  <tableColumns count="8">
    <tableColumn id="1" xr3:uid="{33A4DD35-FDF5-EC46-9B9A-287835EF87D6}" name="Annees" dataDxfId="1671"/>
    <tableColumn id="2" xr3:uid="{A29A1125-315A-F04E-B772-778679B921D3}" name="V_prel" dataDxfId="1670">
      <calculatedColumnFormula>D177</calculatedColumnFormula>
    </tableColumn>
    <tableColumn id="7" xr3:uid="{750382F7-1B17-D84B-8EBB-A40AEF7C53D0}" name="C_prel" dataDxfId="1669">
      <calculatedColumnFormula>IF(OR(C233="",C233=0),0,C233*C$174*0.475)</calculatedColumnFormula>
    </tableColumn>
    <tableColumn id="9" xr3:uid="{EF78C767-02D5-0240-883E-5C1C1F2C49BD}" name="C_BE" dataDxfId="1668">
      <calculatedColumnFormula>IF(OR(D233=0,D233="",B$116=0),0,D233*INDEX(Listes!$K$1:$Q$12,MATCH(B$116,Listes!$K$1:$K$12,0),MATCH(E$117,Listes!$K$1:$Q$1,0)))</calculatedColumnFormula>
    </tableColumn>
    <tableColumn id="8" xr3:uid="{ED231F22-4C0D-424D-A639-7618107843EC}" name="C_val" dataDxfId="1667">
      <calculatedColumnFormula>D233-E233</calculatedColumnFormula>
    </tableColumn>
    <tableColumn id="3" xr3:uid="{26BFD58B-1912-D64B-B5FD-CFAFAD6FA9AE}" name="C_BO_sc" dataDxfId="1666">
      <calculatedColumnFormula>IF(OR(B$231=0,B$231=""),0,F233*INDEX(Listes!$K$15:$P$26,MATCH(B$231,Listes!$K$15:$K$26,0),MATCH(G$232,Listes!$K$15:$P$15,0))*INDEX(Listes!$K$29:$O$31,MATCH(C$231,Listes!$K$29:$K$31,0),MATCH(G$232,Listes!$K$29:$O$29,0)))</calculatedColumnFormula>
    </tableColumn>
    <tableColumn id="4" xr3:uid="{23D21AF4-F998-A64F-B023-CC07E9A14E9C}" name="C_BO_ps" dataDxfId="1665">
      <calculatedColumnFormula>IF(OR(B$231=0,B$231=""),0,F233*INDEX(Listes!$K$15:$P$26,MATCH(B$231,Listes!$K$15:$K$26,0),MATCH(H$232,Listes!$K$15:$P$15,0))*INDEX(Listes!$K$29:$O$31,MATCH(C$231,Listes!$K$29:$K$31,0),MATCH(H$232,Listes!$K$29:$O$29,0)))</calculatedColumnFormula>
    </tableColumn>
    <tableColumn id="6" xr3:uid="{ED66312D-1B0B-014C-B549-66766EFE12FC}" name="C_BI_pap" dataDxfId="1664">
      <calculatedColumnFormula>IF(OR(B$231=0,B$231=""),0,F233*INDEX(Listes!$K$15:$P$26,MATCH(B$231,Listes!$K$15:$K$26,0),MATCH(I$232,Listes!$K$15:$P$15,0))*INDEX(Listes!$K$29:$O$31,MATCH(C$231,Listes!$K$29:$K$31,0),MATCH(I$232,Listes!$K$29:$O$29,0)))</calculatedColumnFormula>
    </tableColumn>
  </tableColumns>
  <tableStyleInfo name="TableStyleMedium5"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0" xr:uid="{F7D179CE-6ABD-FC48-844E-C091CDF9747D}" name="Tableau1216213461163391" displayName="Tableau1216213461163391" ref="B259:X279" totalsRowShown="0" headerRowDxfId="1663" dataDxfId="1662">
  <autoFilter ref="B259:X279" xr:uid="{00000000-0009-0000-0100-0000A2000000}"/>
  <tableColumns count="23">
    <tableColumn id="1" xr3:uid="{5551E9A8-0614-EF4C-9F93-0E09FF16DCD5}" name="Annee" dataDxfId="1661"/>
    <tableColumn id="2" xr3:uid="{971FF751-922D-904E-8949-EC823D499528}" name="C_LD" dataDxfId="1660">
      <calculatedColumnFormula>AT233+IF($B260=1,0,C259)</calculatedColumnFormula>
    </tableColumn>
    <tableColumn id="3" xr3:uid="{1FE376C1-66E5-1842-9F23-7BBEE63BAF98}" name="C_MD_1" dataDxfId="1659">
      <calculatedColumnFormula>IF($B260&gt;=C$256,IF($B260=C$256,C$257,C$257*((20+C$256)-$B260)/20),0)*IF((20+C$256)-$B260&lt;0,0,1)</calculatedColumnFormula>
    </tableColumn>
    <tableColumn id="7" xr3:uid="{7C912668-2E11-C442-8CDF-4CEABD92683E}" name="C_MD_2" dataDxfId="1658">
      <calculatedColumnFormula>IF($B260&gt;=D$256,IF($B260=D$256,D$257,D$257*((20+D$256)-$B260)/20),0)*IF((20+D$256)-$B260&lt;0,0,1)</calculatedColumnFormula>
    </tableColumn>
    <tableColumn id="8" xr3:uid="{2FCAE5A2-0C0F-194F-84FF-06F347644AD6}" name="C_MD_3" dataDxfId="1657">
      <calculatedColumnFormula>IF($B260&gt;=E$256,IF($B260=E$256,E$257,E$257*((20+E$256)-$B260)/20),0)*IF((20+E$256)-$B260&lt;0,0,1)</calculatedColumnFormula>
    </tableColumn>
    <tableColumn id="9" xr3:uid="{F28E1E47-FC1A-8248-9E7B-883C50733F22}" name="C_MD_4" dataDxfId="1656">
      <calculatedColumnFormula>IF($B260&gt;=F$256,IF($B260=F$256,F$257,F$257*((20+F$256)-$B260)/20),0)*IF((20+F$256)-$B260&lt;0,0,1)</calculatedColumnFormula>
    </tableColumn>
    <tableColumn id="10" xr3:uid="{BD0AE632-04D5-A64D-AB2D-CF396FAE7B4D}" name="C_MD_5" dataDxfId="1655">
      <calculatedColumnFormula>IF($B260&gt;=G$256,IF($B260=G$256,G$257,G$257*((20+G$256)-$B260)/20),0)*IF((20+G$256)-$B260&lt;0,0,1)</calculatedColumnFormula>
    </tableColumn>
    <tableColumn id="11" xr3:uid="{14F68A50-EBD1-9C4A-ABE8-E8188E71D43E}" name="C_MD_6" dataDxfId="1654">
      <calculatedColumnFormula>IF($B260&gt;=H$256,IF($B260=H$256,H$257,H$257*((20+H$256)-$B260)/20),0)*IF((20+H$256)-$B260&lt;0,0,1)</calculatedColumnFormula>
    </tableColumn>
    <tableColumn id="12" xr3:uid="{DBEA7F82-6193-954F-8E86-F8841A629921}" name="C_MD_7" dataDxfId="1653">
      <calculatedColumnFormula>IF($B260&gt;=I$256,IF($B260=I$256,I$257,I$257*((20+I$256)-$B260)/20),0)*IF((20+I$256)-$B260&lt;0,0,1)</calculatedColumnFormula>
    </tableColumn>
    <tableColumn id="13" xr3:uid="{1A140DC9-4A08-DE44-886A-229F2DF8AF0F}" name="C_MD_8" dataDxfId="1652">
      <calculatedColumnFormula>IF($B260&gt;=J$256,IF($B260=J$256,J$257,J$257*((20+J$256)-$B260)/20),0)*IF((20+J$256)-$B260&lt;0,0,1)</calculatedColumnFormula>
    </tableColumn>
    <tableColumn id="14" xr3:uid="{7F70B1E6-089E-E543-8CFA-B78633336A57}" name="C_MD_9" dataDxfId="1651">
      <calculatedColumnFormula>IF($B260&gt;=K$256,IF($B260=K$256,K$257,K$257*((20+K$256)-$B260)/20),0)*IF((20+K$256)-$B260&lt;0,0,1)</calculatedColumnFormula>
    </tableColumn>
    <tableColumn id="15" xr3:uid="{8514408F-8420-8C49-B6E9-27DE2059AC5F}" name="C_MD_10" dataDxfId="1650">
      <calculatedColumnFormula>IF($B260&gt;=L$256,IF($B260=L$256,L$257,L$257*((20+L$256)-$B260)/20),0)*IF((20+L$256)-$B260&lt;0,0,1)</calculatedColumnFormula>
    </tableColumn>
    <tableColumn id="16" xr3:uid="{874B426E-C895-F34A-B3E9-25AB4A68F381}" name="C_MD_11" dataDxfId="1649">
      <calculatedColumnFormula>IF($B260&gt;=M$256,IF($B260=M$256,M$257,M$257*((20+M$256)-$B260)/20),0)*IF((20+M$256)-$B260&lt;0,0,1)</calculatedColumnFormula>
    </tableColumn>
    <tableColumn id="17" xr3:uid="{CEECEB41-35A7-F341-94D9-7E0811C967AA}" name="C_MD_12" dataDxfId="1648">
      <calculatedColumnFormula>IF($B260&gt;=N$256,IF($B260=N$256,N$257,N$257*((20+N$256)-$B260)/20),0)*IF((20+N$256)-$B260&lt;0,0,1)</calculatedColumnFormula>
    </tableColumn>
    <tableColumn id="18" xr3:uid="{0582241C-27A4-F645-AA7F-D79839C2BB6A}" name="C_MD_13" dataDxfId="1647">
      <calculatedColumnFormula>IF($B260&gt;=O$256,IF($B260=O$256,O$257,O$257*((20+O$256)-$B260)/20),0)*IF((20+O$256)-$B260&lt;0,0,1)</calculatedColumnFormula>
    </tableColumn>
    <tableColumn id="19" xr3:uid="{E9881FAC-BE8B-264D-9E53-C9A29F66B4A8}" name="C_MD_14" dataDxfId="1646">
      <calculatedColumnFormula>IF($B260&gt;=P$256,IF($B260=P$256,P$257,P$257*((20+P$256)-$B260)/20),0)*IF((20+P$256)-$B260&lt;0,0,1)</calculatedColumnFormula>
    </tableColumn>
    <tableColumn id="20" xr3:uid="{64F62321-6EDF-7442-9DE3-90D56350ADC1}" name="C_MD_15" dataDxfId="1645">
      <calculatedColumnFormula>IF($B260&gt;=Q$256,IF($B260=Q$256,Q$257,Q$257*((20+Q$256)-$B260)/20),0)*IF((20+Q$256)-$B260&lt;0,0,1)</calculatedColumnFormula>
    </tableColumn>
    <tableColumn id="21" xr3:uid="{DD5A9337-73E7-9D45-B923-57656B4C4895}" name="C_MD_16" dataDxfId="1644">
      <calculatedColumnFormula>IF($B260&gt;=R$256,IF($B260=R$256,R$257,R$257*((20+R$256)-$B260)/20),0)*IF((20+R$256)-$B260&lt;0,0,1)</calculatedColumnFormula>
    </tableColumn>
    <tableColumn id="22" xr3:uid="{FC64401B-1168-944F-BFF5-E88E13EFDB75}" name="C_MD_17" dataDxfId="1643">
      <calculatedColumnFormula>IF($B260&gt;=S$256,IF($B260=S$256,S$257,S$257*((20+S$256)-$B260)/20),0)*IF((20+S$256)-$B260&lt;0,0,1)</calculatedColumnFormula>
    </tableColumn>
    <tableColumn id="23" xr3:uid="{6D3DBF2E-6FF5-FB4E-B977-583C2FF3400E}" name="C_MD_18" dataDxfId="1642">
      <calculatedColumnFormula>IF($B260&gt;=T$256,IF($B260=T$256,T$257,T$257*((20+T$256)-$B260)/20),0)*IF((20+T$256)-$B260&lt;0,0,1)</calculatedColumnFormula>
    </tableColumn>
    <tableColumn id="24" xr3:uid="{8AE99216-3BC2-5E4C-8693-D9BB17D5A579}" name="C_MD_19" dataDxfId="1641">
      <calculatedColumnFormula>IF($B260&gt;=U$256,IF($B260=U$256,U$257,U$257*((20+U$256)-$B260)/20),0)*IF((20+U$256)-$B260&lt;0,0,1)</calculatedColumnFormula>
    </tableColumn>
    <tableColumn id="25" xr3:uid="{FA9C34B6-B1E7-5540-9917-4243D08C7DB6}" name="C_MD_20" dataDxfId="1640">
      <calculatedColumnFormula>IF($B260&gt;=V$256,IF($B260=V$256,V$257,V$257*((20+V$256)-$B260)/20),0)*IF((20+V$256)-$B260&lt;0,0,1)</calculatedColumnFormula>
    </tableColumn>
    <tableColumn id="36" xr3:uid="{D9786C29-A723-2543-9DDF-5C8318FF3044}" name="CO2e_ST_tot" dataDxfId="1639">
      <calculatedColumnFormula>SUM(C260:W260)*44/12</calculatedColumnFormula>
    </tableColumn>
  </tableColumns>
  <tableStyleInfo name="TableStyleMedium5"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3" xr:uid="{9247234F-3705-1C4A-9E4F-1C31C99ACBE0}" name="Tableau75122230234" displayName="Tableau75122230234" ref="T21:W52" totalsRowShown="0" headerRowDxfId="2239" dataDxfId="2238">
  <autoFilter ref="T21:W52" xr:uid="{9247234F-3705-1C4A-9E4F-1C31C99ACBE0}"/>
  <tableColumns count="4">
    <tableColumn id="1" xr3:uid="{EAE37A96-3F95-8546-AE02-13262DE55565}" name="Année" dataDxfId="2237"/>
    <tableColumn id="4" xr3:uid="{9397295A-E1A1-1047-8B6E-B3EA6FCB5261}" name="VI_JP/HA" dataDxfId="2236"/>
    <tableColumn id="3" xr3:uid="{18770799-B274-7B4D-9941-D4804BD8B88F}" name="VP_JP/HA" dataDxfId="2235"/>
    <tableColumn id="2" xr3:uid="{41275A34-AFFB-3545-A5D7-955D604E33A6}" name="VF_JP/HA" dataDxfId="2234"/>
  </tableColumns>
  <tableStyleInfo name="TableStyleMedium7"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1" xr:uid="{E76A9DDE-E01A-0F43-B223-DC9A89E41528}" name="Tableau4668167392" displayName="Tableau4668167392" ref="AP232:AU252" totalsRowShown="0" headerRowDxfId="1638" dataDxfId="1637">
  <autoFilter ref="AP232:AU252" xr:uid="{00000000-0009-0000-0100-0000A6000000}"/>
  <tableColumns count="6">
    <tableColumn id="1" xr3:uid="{959FE84D-A79D-554E-8131-F92519A38DE9}" name="Annees" dataDxfId="1636"/>
    <tableColumn id="2" xr3:uid="{CB4851EB-D38D-3C49-9FD1-217E4FF550FB}" name="C_BO_sc" dataDxfId="1635">
      <calculatedColumnFormula>SUM(G233,Q233,AA233,AK233)</calculatedColumnFormula>
    </tableColumn>
    <tableColumn id="3" xr3:uid="{FD93810A-F4DC-884F-9052-911175E229F9}" name="C_BO_ps" dataDxfId="1634">
      <calculatedColumnFormula>SUM(H233,R233,AB233,AL233)</calculatedColumnFormula>
    </tableColumn>
    <tableColumn id="5" xr3:uid="{51EC4027-7AE6-6F47-AE5B-82A7E7F0F0C2}" name="C_BI_pap" dataDxfId="1633">
      <calculatedColumnFormula>SUM(I233,S233,AC233,AM233)</calculatedColumnFormula>
    </tableColumn>
    <tableColumn id="6" xr3:uid="{018B77F6-3C69-C342-BC08-CE6F57FB16C9}" name="C_LD" dataDxfId="1632">
      <calculatedColumnFormula>AQ233*VLOOKUP(AQ$232,Tableau17[],4,FALSE)+AR233*VLOOKUP(AR$232,Tableau17[],4,FALSE)+AS233*VLOOKUP(AS$232,Tableau17[],4,FALSE)</calculatedColumnFormula>
    </tableColumn>
    <tableColumn id="7" xr3:uid="{35587C73-8BD6-F84A-B5F1-9ACAF3311C93}" name="C_MD" dataDxfId="1631">
      <calculatedColumnFormula>AQ233*VLOOKUP(AQ$232,Tableau17[],3,FALSE)+AR233*VLOOKUP(AR$232,Tableau17[],3,FALSE)+AS233*VLOOKUP(AS$232,Tableau17[],3,FALSE)</calculatedColumnFormula>
    </tableColumn>
  </tableColumns>
  <tableStyleInfo name="TableStyleMedium5"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2" xr:uid="{526DADFB-1696-BC48-8641-5F91B830F1FF}" name="Tableau122033171393" displayName="Tableau122033171393" ref="B284:I304" totalsRowShown="0" headerRowDxfId="1630" dataDxfId="1629">
  <autoFilter ref="B284:I304" xr:uid="{00000000-0009-0000-0100-0000AA000000}"/>
  <tableColumns count="8">
    <tableColumn id="1" xr3:uid="{357A0835-348D-8B41-A9F5-76A3B8F38819}" name="Annees" dataDxfId="1628"/>
    <tableColumn id="2" xr3:uid="{46EA666E-CE5A-8E40-96E5-32F712E0E964}" name="SQ_REF_CO2e" dataDxfId="1627">
      <calculatedColumnFormula>SUM(H61,Q61,Z61,AI61)</calculatedColumnFormula>
    </tableColumn>
    <tableColumn id="4" xr3:uid="{CCF1CD62-7913-F746-8CEC-8A0185D7D7E1}" name="JP_REF_CO2e" dataDxfId="1626">
      <calculatedColumnFormula>Y92</calculatedColumnFormula>
    </tableColumn>
    <tableColumn id="7" xr3:uid="{C4BED529-60CA-1049-A2B7-170D4BFC9050}" name="ST_REF_CO2e" dataDxfId="1625">
      <calculatedColumnFormula>X145</calculatedColumnFormula>
    </tableColumn>
    <tableColumn id="8" xr3:uid="{3E2386E2-DBB6-E941-8801-4C9DF2FAA6F9}" name="SQ_PRJ_CO2e" dataDxfId="1624">
      <calculatedColumnFormula>SUM(H177,Q177,Z177,AI177)</calculatedColumnFormula>
    </tableColumn>
    <tableColumn id="5" xr3:uid="{CC2DF9AE-4462-904F-A8E5-B0DF4F8B6AEA}" name="JP_PRJ_CO2e" dataDxfId="1623">
      <calculatedColumnFormula>Y208</calculatedColumnFormula>
    </tableColumn>
    <tableColumn id="9" xr3:uid="{66E15052-083B-8D42-BAB2-44CFCA778A3A}" name="ST_PRJ_CO2e" dataDxfId="1622">
      <calculatedColumnFormula>X260</calculatedColumnFormula>
    </tableColumn>
    <tableColumn id="3" xr3:uid="{736A399E-64B9-C941-8619-E40FACDD053B}" name="Delta_CO2e" dataDxfId="1621">
      <calculatedColumnFormula>F285-C285+G285-D285+H285-E285</calculatedColumnFormula>
    </tableColumn>
  </tableColumns>
  <tableStyleInfo name="TableStyleMedium5"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3" xr:uid="{5B388249-6CEC-B842-8DF8-E6C0277B01C1}" name="Tableau72172394" displayName="Tableau72172394" ref="L284:O304" totalsRowShown="0" headerRowDxfId="1620" dataDxfId="1619">
  <autoFilter ref="L284:O304" xr:uid="{00000000-0009-0000-0100-0000AB000000}"/>
  <tableColumns count="4">
    <tableColumn id="1" xr3:uid="{E06A63F8-3A20-8949-8ECA-790FC2057924}" name="Annees" dataDxfId="1618"/>
    <tableColumn id="2" xr3:uid="{1AEC534E-CABE-3B4B-A9C5-420D17C84424}" name="DeltaC_SQ" dataDxfId="1617">
      <calculatedColumnFormula>F285-C285</calculatedColumnFormula>
    </tableColumn>
    <tableColumn id="3" xr3:uid="{8DFB9942-CCA9-9C4E-BDD2-FE62222494C0}" name="DeltaC_ST" dataDxfId="1616">
      <calculatedColumnFormula>H285-E285</calculatedColumnFormula>
    </tableColumn>
    <tableColumn id="4" xr3:uid="{FC87D4B2-247C-0E49-9FA9-5EA728141FD1}" name="DeltaC_JP" dataDxfId="1615">
      <calculatedColumnFormula>G285-D285</calculatedColumnFormula>
    </tableColumn>
  </tableColumns>
  <tableStyleInfo name="TableStyleMedium5" showFirstColumn="0" showLastColumn="0" showRowStripes="1" showColumnStripes="0"/>
</table>
</file>

<file path=xl/tables/table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4" xr:uid="{92F11534-8121-E241-A64D-BCA1B39DB101}" name="Tableau7274173395" displayName="Tableau7274173395" ref="B310:K330" totalsRowShown="0" headerRowDxfId="1614" dataDxfId="1613">
  <autoFilter ref="B310:K330" xr:uid="{00000000-0009-0000-0100-0000AC000000}"/>
  <tableColumns count="10">
    <tableColumn id="1" xr3:uid="{D17483C2-9207-B143-AEF1-2C95B048B19A}" name="Annees" dataDxfId="1612"/>
    <tableColumn id="2" xr3:uid="{311C56DA-92B6-834B-A29F-3D5E0FD44AF5}" name="∆CO2e_SQ_an" dataDxfId="1611">
      <calculatedColumnFormula>IF(B311=1,M285,M285-M284)</calculatedColumnFormula>
    </tableColumn>
    <tableColumn id="9" xr3:uid="{C3513E9F-1506-AA4F-8222-2585AEA011D8}" name="∆CO2e_JP_an" dataDxfId="1610">
      <calculatedColumnFormula>IF(B311=1,O285,O285-O284)</calculatedColumnFormula>
    </tableColumn>
    <tableColumn id="3" xr3:uid="{D58449FD-844A-8E48-AF5F-59E592711AE9}" name="∆CO2e_ST_an" dataDxfId="1609">
      <calculatedColumnFormula>IF(B311=1,N285,N285-N284)</calculatedColumnFormula>
    </tableColumn>
    <tableColumn id="10" xr3:uid="{8EE9C215-4DD2-DA4E-BBCC-E0FE52A9F23D}" name="∆CO2e_tot_an" dataDxfId="1608">
      <calculatedColumnFormula>SUM(C311:E311)</calculatedColumnFormula>
    </tableColumn>
    <tableColumn id="5" xr3:uid="{FBF62C8E-4A44-974C-A0F7-E635E747B591}" name="tCO2e_FF" dataDxfId="1607">
      <calculatedColumnFormula>F311*$C$306</calculatedColumnFormula>
    </tableColumn>
    <tableColumn id="8" xr3:uid="{982003DA-A590-2A44-BB01-4C560F150E05}" name="tCO2e_INC" dataDxfId="1606">
      <calculatedColumnFormula>(F311-G311)*$C$307</calculatedColumnFormula>
    </tableColumn>
    <tableColumn id="11" xr3:uid="{F428EA58-CC6F-8044-B8C2-A8B450694CD7}" name="tCO2e_RNP" dataDxfId="1605">
      <calculatedColumnFormula>(F311-G311-H311)*$C$308</calculatedColumnFormula>
    </tableColumn>
    <tableColumn id="6" xr3:uid="{9D0151EA-1418-454F-9530-24DDB2CB3990}" name="tCO2e_net_an" dataDxfId="1604">
      <calculatedColumnFormula>F311-G311-H311-I311</calculatedColumnFormula>
    </tableColumn>
    <tableColumn id="7" xr3:uid="{DD3A6FFD-E39E-A54B-B88F-CB0F800527C6}" name="tCO2e_net_vente" dataDxfId="1603">
      <calculatedColumnFormula>C$336</calculatedColumnFormula>
    </tableColumn>
  </tableColumns>
  <tableStyleInfo name="TableStyleMedium5" showFirstColumn="0" showLastColumn="0" showRowStripes="1" showColumnStripes="0"/>
</table>
</file>

<file path=xl/tables/table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5" xr:uid="{49616D2B-2666-C74F-8F86-CA7CC895C00F}" name="Tableau75174396" displayName="Tableau75174396" ref="B91:Z111" totalsRowShown="0" headerRowDxfId="1602" dataDxfId="1601">
  <autoFilter ref="B91:Z111" xr:uid="{00000000-0009-0000-0100-0000AD000000}"/>
  <tableColumns count="25">
    <tableColumn id="1" xr3:uid="{08445EC6-810E-B243-A5ED-68E1AA4D87EB}" name="Année" dataDxfId="1600"/>
    <tableColumn id="2" xr3:uid="{27FC0624-1A9C-6046-ABAD-6706208A6A58}" name="JP_1" dataDxfId="1599">
      <calculatedColumnFormula>(C$86)*IF($B92&gt;=C$84,IF($B92=C$84,$E$19,VLOOKUP($B92-C$84,$B$19:$E$49,4,FALSE)),0)</calculatedColumnFormula>
    </tableColumn>
    <tableColumn id="3" xr3:uid="{549F61C1-23C7-2B40-AB2B-18DFB6E7791C}" name="JP_2" dataDxfId="1598">
      <calculatedColumnFormula>(D$86)*IF($B92&gt;=D$84,IF($B92=D$84,$E$19,VLOOKUP($B92-D$84,$B$19:$E$49,4,FALSE)),0)</calculatedColumnFormula>
    </tableColumn>
    <tableColumn id="4" xr3:uid="{A8B48247-A94F-F243-935C-2C4E0D08190F}" name="JP_3" dataDxfId="1597">
      <calculatedColumnFormula>(E$86)*IF($B92&gt;=E$84,IF($B92=E$84,$E$19,VLOOKUP($B92-E$84,$B$19:$E$49,4,FALSE)),0)</calculatedColumnFormula>
    </tableColumn>
    <tableColumn id="5" xr3:uid="{788D99C1-A09C-7540-9A7A-A7ACB3744196}" name="JP_4" dataDxfId="1596">
      <calculatedColumnFormula>(F$86)*IF($B92&gt;=F$84,IF($B92=F$84,$E$19,VLOOKUP($B92-F$84,$B$19:$E$49,4,FALSE)),0)</calculatedColumnFormula>
    </tableColumn>
    <tableColumn id="6" xr3:uid="{BF37DE0A-6917-D947-8588-D96E6629B34F}" name="JP_5" dataDxfId="1595">
      <calculatedColumnFormula>(G$86)*IF($B92&gt;=G$84,IF($B92=G$84,$E$19,VLOOKUP($B92-G$84,$B$19:$E$49,4,FALSE)),0)</calculatedColumnFormula>
    </tableColumn>
    <tableColumn id="7" xr3:uid="{2E87F2E6-69E0-B940-9944-B5BD9A9100FB}" name="JP_6" dataDxfId="1594">
      <calculatedColumnFormula>(H$86)*IF($B92&gt;=H$84,IF($B92=H$84,$E$19,VLOOKUP($B92-H$84,$B$19:$E$49,4,FALSE)),0)</calculatedColumnFormula>
    </tableColumn>
    <tableColumn id="8" xr3:uid="{824DEB34-195B-B943-A6A1-5D8802C13CE3}" name="JP_7" dataDxfId="1593">
      <calculatedColumnFormula>(I$86)*IF($B92&gt;=I$84,IF($B92=I$84,$E$19,VLOOKUP($B92-I$84,$B$19:$E$49,4,FALSE)),0)</calculatedColumnFormula>
    </tableColumn>
    <tableColumn id="9" xr3:uid="{48C06633-D773-374D-8AD4-D8C2CF4BAF9A}" name="JP_8" dataDxfId="1592">
      <calculatedColumnFormula>(J$86)*IF($B92&gt;=J$84,IF($B92=J$84,$E$19,VLOOKUP($B92-J$84,$B$19:$E$49,4,FALSE)),0)</calculatedColumnFormula>
    </tableColumn>
    <tableColumn id="10" xr3:uid="{76A1FF82-F51E-734C-BD6F-365EAB8E45ED}" name="JP_9" dataDxfId="1591">
      <calculatedColumnFormula>(K$86)*IF($B92&gt;=K$84,IF($B92=K$84,$E$19,VLOOKUP($B92-K$84,$B$19:$E$49,4,FALSE)),0)</calculatedColumnFormula>
    </tableColumn>
    <tableColumn id="11" xr3:uid="{F22BC94F-157A-6A4D-A0B9-02D28A3606EF}" name="JP_10" dataDxfId="1590">
      <calculatedColumnFormula>(L$86)*IF($B92&gt;=L$84,IF($B92=L$84,$E$19,VLOOKUP($B92-L$84,$B$19:$E$49,4,FALSE)),0)</calculatedColumnFormula>
    </tableColumn>
    <tableColumn id="12" xr3:uid="{2DE024B3-357B-9F45-AA78-C4AAB22270C1}" name="JP_11" dataDxfId="1589">
      <calculatedColumnFormula>(M$86)*IF($B92&gt;=M$84,IF($B92=M$84,$E$19,VLOOKUP($B92-M$84,$B$19:$E$49,4,FALSE)),0)</calculatedColumnFormula>
    </tableColumn>
    <tableColumn id="13" xr3:uid="{8F94A98F-5FA6-A94C-B43E-1E6545040565}" name="JP_12" dataDxfId="1588">
      <calculatedColumnFormula>(N$86)*IF($B92&gt;=N$84,IF($B92=N$84,$E$19,VLOOKUP($B92-N$84,$B$19:$E$49,4,FALSE)),0)</calculatedColumnFormula>
    </tableColumn>
    <tableColumn id="14" xr3:uid="{84063D73-A5D0-BE4E-9C37-0ECC210EBDDE}" name="JP_13" dataDxfId="1587">
      <calculatedColumnFormula>(O$86)*IF($B92&gt;=O$84,IF($B92=O$84,$E$19,VLOOKUP($B92-O$84,$B$19:$E$49,4,FALSE)),0)</calculatedColumnFormula>
    </tableColumn>
    <tableColumn id="15" xr3:uid="{CD29D6F3-4A96-1944-AFF3-1229D304B1DD}" name="JP_14" dataDxfId="1586">
      <calculatedColumnFormula>(P$86)*IF($B92&gt;=P$84,IF($B92=P$84,$E$19,VLOOKUP($B92-P$84,$B$19:$E$49,4,FALSE)),0)</calculatedColumnFormula>
    </tableColumn>
    <tableColumn id="16" xr3:uid="{6BD90704-B63F-8D41-8E22-AD74C9E9CE40}" name="JP_15" dataDxfId="1585">
      <calculatedColumnFormula>(Q$86)*IF($B92&gt;=Q$84,IF($B92=Q$84,$E$19,VLOOKUP($B92-Q$84,$B$19:$E$49,4,FALSE)),0)</calculatedColumnFormula>
    </tableColumn>
    <tableColumn id="17" xr3:uid="{022358E1-2CE9-E34C-9798-6814562EB1D3}" name="JP_16" dataDxfId="1584">
      <calculatedColumnFormula>(R$86)*IF($B92&gt;=R$84,IF($B92=R$84,$E$19,VLOOKUP($B92-R$84,$B$19:$E$49,4,FALSE)),0)</calculatedColumnFormula>
    </tableColumn>
    <tableColumn id="18" xr3:uid="{8FF007C2-EDAF-864F-8C9F-01D6C471587A}" name="JP_17" dataDxfId="1583">
      <calculatedColumnFormula>(S$86)*IF($B92&gt;=S$84,IF($B92=S$84,$E$19,VLOOKUP($B92-S$84,$B$19:$E$49,4,FALSE)),0)</calculatedColumnFormula>
    </tableColumn>
    <tableColumn id="19" xr3:uid="{F7312804-D921-9D4E-8572-7F9558E34D85}" name="JP_18" dataDxfId="1582">
      <calculatedColumnFormula>(T$86)*IF($B92&gt;=T$84,IF($B92=T$84,$E$19,VLOOKUP($B92-T$84,$B$19:$E$49,4,FALSE)),0)</calculatedColumnFormula>
    </tableColumn>
    <tableColumn id="20" xr3:uid="{39057615-39EF-EF42-B2A1-D185CB26FA08}" name="JP_19" dataDxfId="1581">
      <calculatedColumnFormula>(U$86)*IF($B92&gt;=U$84,IF($B92=U$84,$E$19,VLOOKUP($B92-U$84,$B$19:$E$49,4,FALSE)),0)</calculatedColumnFormula>
    </tableColumn>
    <tableColumn id="21" xr3:uid="{734B218F-2C38-8342-9BB2-4ED07FA011B4}" name="JP_20" dataDxfId="1580">
      <calculatedColumnFormula>(V$86)*IF($B92&gt;=V$84,IF($B92=V$84,$E$19,VLOOKUP($B92-V$84,$B$19:$E$49,4,FALSE)),0)</calculatedColumnFormula>
    </tableColumn>
    <tableColumn id="32" xr3:uid="{A75D3AE2-EA11-E644-BC16-458B3024A9C9}" name="BA_JP" dataDxfId="1579">
      <calculatedColumnFormula>SUM(C92:V92)*D$11*C$11</calculatedColumnFormula>
    </tableColumn>
    <tableColumn id="33" xr3:uid="{57F8428D-54F0-3945-973F-41BCF57D0B4A}" name="BR_JP" dataDxfId="1578">
      <calculatedColumnFormula>IF(W92&gt;0,EXP(-1.0587+0.8836*LN(W92)+0.284),0)</calculatedColumnFormula>
    </tableColumn>
    <tableColumn id="34" xr3:uid="{F12B6316-B384-F846-B6A9-AAA7A3A32016}" name="CO2e_JP" dataDxfId="1577">
      <calculatedColumnFormula>SUM(W92:X92)*0.475*44/12</calculatedColumnFormula>
    </tableColumn>
    <tableColumn id="35" xr3:uid="{FEC5A41C-24A3-B04B-8CFC-88CFD787DE28}" name="V_JP_tot" dataDxfId="1576">
      <calculatedColumnFormula>SUM(C92:V92)</calculatedColumnFormula>
    </tableColumn>
  </tableColumns>
  <tableStyleInfo name="TableStyleMedium5" showFirstColumn="0" showLastColumn="0" showRowStripes="1" showColumnStripes="0"/>
</table>
</file>

<file path=xl/tables/table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6" xr:uid="{1EFE5270-6797-5842-9996-7D4B8D67766A}" name="Tableau7679177397" displayName="Tableau7679177397" ref="AL176:AO196" totalsRowShown="0" headerRowDxfId="1575" dataDxfId="1574">
  <autoFilter ref="AL176:AO196" xr:uid="{00000000-0009-0000-0100-0000B0000000}"/>
  <tableColumns count="4">
    <tableColumn id="1" xr3:uid="{A4BC7D64-59FF-7B4C-BB25-C9AAE0343734}" name="Annee" dataDxfId="1573"/>
    <tableColumn id="2" xr3:uid="{49BDAB0A-6691-7848-95D6-2E0EAF7AB5DD}" name="V_Prel_tot" dataDxfId="1572">
      <calculatedColumnFormula>SUM(D177,M177,V177,AE177)</calculatedColumnFormula>
    </tableColumn>
    <tableColumn id="4" xr3:uid="{E100E075-F791-B842-9085-BAFB7E16D1D2}" name="%récolté" dataDxfId="1571" dataCellStyle="Pourcentage">
      <calculatedColumnFormula>IF(OR($C$6=0,SUM($M$4:$M$7)=0),0,AM177/SUM($M$4:$M$7))</calculatedColumnFormula>
    </tableColumn>
    <tableColumn id="5" xr3:uid="{A4239527-13DC-7045-860E-D26F926F4D4C}" name="%surf_JP" dataDxfId="1570">
      <calculatedColumnFormula>AN177*50%</calculatedColumnFormula>
    </tableColumn>
  </tableColumns>
  <tableStyleInfo name="TableStyleMedium5" showFirstColumn="0" showLastColumn="0" showRowStripes="1" showColumnStripes="0"/>
</table>
</file>

<file path=xl/tables/table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7" xr:uid="{680FB668-8AE4-D94C-A659-12FF7EB1E23B}" name="Tableau12163215214398" displayName="Tableau12163215214398" ref="L117:S137" totalsRowShown="0" headerRowDxfId="1569" dataDxfId="1568">
  <autoFilter ref="L117:S137" xr:uid="{00000000-0009-0000-0100-00000D000000}"/>
  <tableColumns count="8">
    <tableColumn id="1" xr3:uid="{21675FA5-61BE-3944-B97C-3E0EA2CB45DB}" name="Annees" dataDxfId="1567"/>
    <tableColumn id="2" xr3:uid="{CCC3723C-F6A4-B74F-BA5C-2BE1239AC556}" name="V_prel" dataDxfId="1566">
      <calculatedColumnFormula>M61</calculatedColumnFormula>
    </tableColumn>
    <tableColumn id="7" xr3:uid="{2785375E-E276-C04D-833C-93AA6086AAB8}" name="C_prel" dataDxfId="1565">
      <calculatedColumnFormula>IF(OR(M118=0,M118=""),0,M118*L$58*0.475)</calculatedColumnFormula>
    </tableColumn>
    <tableColumn id="8" xr3:uid="{4BE36659-96FA-B842-B885-82095825FE5A}" name="C_BE" dataDxfId="1564">
      <calculatedColumnFormula>IF(OR(N118=0,N118="",L$116=0),0,N118*INDEX(Listes!$K$1:$Q$12,MATCH(L$116,Listes!$K$1:$K$12,0),MATCH(O$117,Listes!$K$1:$Q$1,0)))</calculatedColumnFormula>
    </tableColumn>
    <tableColumn id="9" xr3:uid="{EB73E3C0-C24F-9E45-A4AA-B7561FE1CD4A}" name="C_val" dataDxfId="1563">
      <calculatedColumnFormula>N118-O118</calculatedColumnFormula>
    </tableColumn>
    <tableColumn id="3" xr3:uid="{E6EFEE55-EF12-EE47-9FBF-CE2C04133A50}" name="C_BO_sc" dataDxfId="1562">
      <calculatedColumnFormula>IF(OR(L$116=0,L$116=""),0,P118*INDEX(Listes!$K$15:$P$26,MATCH(L$116,Listes!$K$15:$K$26,0),MATCH(Q$117,Listes!$K$15:$P$15,0))*INDEX(Listes!$K$29:$O$31,MATCH(M$116,Listes!$K$29:$K$31,0),MATCH(Q$117,Listes!$K$29:$O$29,0)))</calculatedColumnFormula>
    </tableColumn>
    <tableColumn id="4" xr3:uid="{F5A5F582-98BE-EF4E-A442-98C85F2B2258}" name="C_BO_ps" dataDxfId="1561">
      <calculatedColumnFormula>IF(OR(L$116=0,L$116=""),0,P118*INDEX(Listes!$K$15:$P$26,MATCH(L$116,Listes!$K$15:$K$26,0),MATCH(R$117,Listes!$K$15:$P$15,0))*INDEX(Listes!$K$29:$O$31,MATCH(M$116,Listes!$K$29:$K$31,0),MATCH(R$117,Listes!$K$29:$O$29,0)))</calculatedColumnFormula>
    </tableColumn>
    <tableColumn id="6" xr3:uid="{0D0CF531-4E02-EE4B-BAEC-74D2393D62AC}" name="C_BI_pap" dataDxfId="1560">
      <calculatedColumnFormula>IF(OR(L$116=0,L$116=""),0,P118*INDEX(Listes!$K$15:$P$26,MATCH(L$116,Listes!$K$15:$K$26,0),MATCH(S$117,Listes!$K$15:$P$15,0))*INDEX(Listes!$K$29:$O$31,MATCH(M$116,Listes!$K$29:$K$31,0),MATCH(S$117,Listes!$K$29:$O$29,0)))</calculatedColumnFormula>
    </tableColumn>
  </tableColumns>
  <tableStyleInfo name="TableStyleMedium5" showFirstColumn="0" showLastColumn="0" showRowStripes="1" showColumnStripes="0"/>
</table>
</file>

<file path=xl/tables/table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8" xr:uid="{DACF1C6E-774F-EA46-A41E-36C8D40BFED3}" name="Tableau12163215216399" displayName="Tableau12163215216399" ref="V117:AC137" totalsRowShown="0" headerRowDxfId="1559" dataDxfId="1558">
  <autoFilter ref="V117:AC137" xr:uid="{00000000-0009-0000-0100-00000F000000}"/>
  <tableColumns count="8">
    <tableColumn id="1" xr3:uid="{CB982C00-C8C3-4543-822E-FCCAF8C38DDA}" name="Annees" dataDxfId="1557"/>
    <tableColumn id="2" xr3:uid="{0317AEBC-4D10-D84F-B051-F613DFA642A9}" name="V_prel" dataDxfId="1556">
      <calculatedColumnFormula>V61</calculatedColumnFormula>
    </tableColumn>
    <tableColumn id="7" xr3:uid="{CC1ADC80-B600-9C44-BD29-D84A77A729F6}" name="C_prel" dataDxfId="1555">
      <calculatedColumnFormula>IF(OR(W118=0,W118=""),0,W118*U$58*0.475)</calculatedColumnFormula>
    </tableColumn>
    <tableColumn id="8" xr3:uid="{AE007415-0907-B84C-A858-2F70390CD06F}" name="C_BE" dataDxfId="1554">
      <calculatedColumnFormula>IF(OR(X118=0,X118="",V$116=0),0,X118*INDEX(Listes!$K$1:$Q$12,MATCH(V$116,Listes!$K$1:$K$12,0),MATCH(Y$117,Listes!$K$1:$Q$1,0)))</calculatedColumnFormula>
    </tableColumn>
    <tableColumn id="9" xr3:uid="{29DB0261-CE2B-4847-AD90-E94987736381}" name="C_val" dataDxfId="1553">
      <calculatedColumnFormula>X118-Y118</calculatedColumnFormula>
    </tableColumn>
    <tableColumn id="3" xr3:uid="{F3A96932-215E-AD46-9746-A61E70A7F9D0}" name="C_BO_sc" dataDxfId="1552">
      <calculatedColumnFormula>IF(OR(V$116=0,V$116=""),0,Z118*INDEX(Listes!$K$15:$P$26,MATCH(V$116,Listes!$K$15:$K$26,0),MATCH(AA$117,Listes!$K$15:$P$15,0))*INDEX(Listes!$K$29:$O$31,MATCH(W$116,Listes!$K$29:$K$31,0),MATCH(AA$117,Listes!$K$29:$O$29,0)))</calculatedColumnFormula>
    </tableColumn>
    <tableColumn id="4" xr3:uid="{0E57C4FE-28D9-6B44-8D5E-D48F9A18D3CA}" name="C_BO_ps" dataDxfId="1551">
      <calculatedColumnFormula>IF(OR(V$116=0,V$116=""),0,Z118*INDEX(Listes!$K$15:$P$26,MATCH(V$116,Listes!$K$15:$K$26,0),MATCH(AB$117,Listes!$K$15:$P$15,0))*INDEX(Listes!$K$29:$O$31,MATCH(W$116,Listes!$K$29:$K$31,0),MATCH(AB$117,Listes!$K$29:$O$29,0)))</calculatedColumnFormula>
    </tableColumn>
    <tableColumn id="6" xr3:uid="{EA90AE87-AE3C-4540-AA95-9033CE73174A}" name="C_BI_pap" dataDxfId="1550">
      <calculatedColumnFormula>IF(OR(V$116=0,V$116=""),0,Z118*INDEX(Listes!$K$15:$P$26,MATCH(V$116,Listes!$K$15:$K$26,0),MATCH(AC$117,Listes!$K$15:$P$15,0))*INDEX(Listes!$K$29:$O$31,MATCH(W$116,Listes!$K$29:$K$31,0),MATCH(AC$117,Listes!$K$29:$O$29,0)))</calculatedColumnFormula>
    </tableColumn>
  </tableColumns>
  <tableStyleInfo name="TableStyleMedium5" showFirstColumn="0" showLastColumn="0" showRowStripes="1" showColumnStripes="0"/>
</table>
</file>

<file path=xl/tables/table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9" xr:uid="{586D169B-5215-D240-B565-16544A83D791}" name="Tableau12163215220400" displayName="Tableau12163215220400" ref="AF117:AM137" totalsRowShown="0" headerRowDxfId="1549" dataDxfId="1548">
  <autoFilter ref="AF117:AM137" xr:uid="{00000000-0009-0000-0100-000013000000}"/>
  <tableColumns count="8">
    <tableColumn id="1" xr3:uid="{90730E54-0D01-A943-A8B4-BA009308E34A}" name="Annees" dataDxfId="1547"/>
    <tableColumn id="2" xr3:uid="{F3F315E5-4C26-DC42-89E0-EBD1E4682184}" name="V_prel" dataDxfId="1546">
      <calculatedColumnFormula>AE61</calculatedColumnFormula>
    </tableColumn>
    <tableColumn id="7" xr3:uid="{FFD16897-C87E-1743-B565-A7BE4EE2430F}" name="C_prel" dataDxfId="1545">
      <calculatedColumnFormula>IF(OR(AG118=0,AG118=""),0,AG118*AD$58*0.475)</calculatedColumnFormula>
    </tableColumn>
    <tableColumn id="8" xr3:uid="{EC82E0E6-1358-FC4C-8A98-82AE8310701E}" name="C_BE" dataDxfId="1544">
      <calculatedColumnFormula>IF(OR(AH118=0,AH118="",AF$116=0),0,AH118*INDEX(Listes!$K$1:$Q$12,MATCH(AF$116,Listes!$K$1:$K$12,0),MATCH(AI$117,Listes!$K$1:$Q$1,0)))</calculatedColumnFormula>
    </tableColumn>
    <tableColumn id="9" xr3:uid="{A8A69B82-A5D5-F743-8292-B880818CC4F1}" name="C_val" dataDxfId="1543">
      <calculatedColumnFormula>AH118-AI118</calculatedColumnFormula>
    </tableColumn>
    <tableColumn id="3" xr3:uid="{35ABEE7A-85C4-1945-B2CF-9AC4266F0CAD}" name="C_BO_sc" dataDxfId="1542">
      <calculatedColumnFormula>IF(OR(AF$116=0,AF$116=""),0,AJ118*INDEX(Listes!$K$15:$P$26,MATCH(AF$116,Listes!$K$15:$K$26,0),MATCH(AK$117,Listes!$K$15:$P$15,0))*INDEX(Listes!$K$29:$O$31,MATCH(AG$116,Listes!$K$29:$K$31,0),MATCH(AK$117,Listes!$K$29:$O$29,0)))</calculatedColumnFormula>
    </tableColumn>
    <tableColumn id="4" xr3:uid="{AEDCE5EA-28EE-BC46-A1A4-BF6D6AA3C19C}" name="C_BO_ps" dataDxfId="1541">
      <calculatedColumnFormula>IF(OR(AF$116=0,AF$116=""),0,AJ118*INDEX(Listes!$K$15:$P$26,MATCH(AF$116,Listes!$K$15:$K$26,0),MATCH(AL$117,Listes!$K$15:$P$15,0))*INDEX(Listes!$K$29:$O$31,MATCH(AG$116,Listes!$K$29:$K$31,0),MATCH(AL$117,Listes!$K$29:$O$29,0)))</calculatedColumnFormula>
    </tableColumn>
    <tableColumn id="6" xr3:uid="{75573758-376D-9741-A17D-1CF2C7300A63}" name="C_BI_pap" dataDxfId="1540">
      <calculatedColumnFormula>IF(OR(AF$116=0,AF$116=""),0,AJ118*INDEX(Listes!$K$15:$P$26,MATCH(AF$116,Listes!$K$15:$K$26,0),MATCH(AM$117,Listes!$K$15:$P$15,0))*INDEX(Listes!$K$29:$O$31,MATCH(AG$116,Listes!$K$29:$K$31,0),MATCH(AM$117,Listes!$K$29:$O$29,0)))</calculatedColumnFormula>
    </tableColumn>
  </tableColumns>
  <tableStyleInfo name="TableStyleMedium5" showFirstColumn="0" showLastColumn="0" showRowStripes="1" showColumnStripes="0"/>
</table>
</file>

<file path=xl/tables/table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0" xr:uid="{504BAC9D-B0BC-8F47-9557-C25736B6CE31}" name="Tableau1216326016221401" displayName="Tableau1216326016221401" ref="L232:S252" totalsRowShown="0" headerRowDxfId="1539" dataDxfId="1538">
  <autoFilter ref="L232:S252" xr:uid="{00000000-0009-0000-0100-000014000000}"/>
  <tableColumns count="8">
    <tableColumn id="1" xr3:uid="{CA880A34-1722-6647-84A4-9CB414929DF1}" name="Annees" dataDxfId="1537"/>
    <tableColumn id="2" xr3:uid="{ADD5C56D-95D2-6C40-8A27-5A4E33078DBF}" name="V_prel" dataDxfId="1536">
      <calculatedColumnFormula>M177</calculatedColumnFormula>
    </tableColumn>
    <tableColumn id="7" xr3:uid="{BD8B78BE-AF85-EA4A-B9E2-03A53F5EA5B0}" name="C_prel" dataDxfId="1535">
      <calculatedColumnFormula>IF(OR(M233="",M233=0),0,M233*L$174*0.475)</calculatedColumnFormula>
    </tableColumn>
    <tableColumn id="9" xr3:uid="{AFCD0B52-4043-9D47-8686-839249844D4E}" name="C_BE" dataDxfId="1534">
      <calculatedColumnFormula>IF(OR(N233=0,N233="",L$116=0),0,N233*INDEX(Listes!$K$1:$Q$12,MATCH(L$116,Listes!$K$1:$K$12,0),MATCH(O$117,Listes!$K$1:$Q$1,0)))</calculatedColumnFormula>
    </tableColumn>
    <tableColumn id="8" xr3:uid="{46D14C81-AAA0-AC48-B810-7C70BA7645B2}" name="C_val" dataDxfId="1533">
      <calculatedColumnFormula>N233-O233</calculatedColumnFormula>
    </tableColumn>
    <tableColumn id="3" xr3:uid="{94E94D33-1BF7-F242-AE5A-2A3A3C3187F4}" name="C_BO_sc" dataDxfId="1532">
      <calculatedColumnFormula>IF(OR(L$231=0,L$231=""),0,P233*INDEX(Listes!$K$15:$P$26,MATCH(L$231,Listes!$K$15:$K$26,0),MATCH(Q$232,Listes!$K$15:$P$15,0))*INDEX(Listes!$K$29:$O$31,MATCH(M$231,Listes!$K$29:$K$31,0),MATCH(Q$232,Listes!$K$29:$O$29,0)))</calculatedColumnFormula>
    </tableColumn>
    <tableColumn id="4" xr3:uid="{05A6E3FD-7E3D-3446-81A5-E7105B6E5B64}" name="C_BO_ps" dataDxfId="1531">
      <calculatedColumnFormula>IF(OR(L$231=0,L$231=""),0,P233*INDEX(Listes!$K$15:$P$26,MATCH(L$231,Listes!$K$15:$K$26,0),MATCH(R$232,Listes!$K$15:$P$15,0))*INDEX(Listes!$K$29:$O$31,MATCH(M$231,Listes!$K$29:$K$31,0),MATCH(R$232,Listes!$K$29:$O$29,0)))</calculatedColumnFormula>
    </tableColumn>
    <tableColumn id="6" xr3:uid="{DB03DB38-F7CC-1045-B66C-08108A0231AB}" name="C_BI_pap" dataDxfId="1530">
      <calculatedColumnFormula>IF(OR(L$231=0,L$231=""),0,P233*INDEX(Listes!$K$15:$P$26,MATCH(L$231,Listes!$K$15:$K$26,0),MATCH(S$232,Listes!$K$15:$P$15,0))*INDEX(Listes!$K$29:$O$31,MATCH(M$231,Listes!$K$29:$K$31,0),MATCH(S$232,Listes!$K$29:$O$29,0)))</calculatedColumnFormula>
    </tableColumn>
  </tableColumns>
  <tableStyleInfo name="TableStyleMedium5"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21000000}" name="Tableau619" displayName="Tableau619" ref="J1:N5" totalsRowShown="0" headerRowDxfId="2233" dataDxfId="2232">
  <autoFilter ref="J1:N5" xr:uid="{00000000-0009-0000-0100-000012000000}"/>
  <tableColumns count="5">
    <tableColumn id="1" xr3:uid="{00000000-0010-0000-2100-000001000000}" name="Strate" dataDxfId="2231"/>
    <tableColumn id="5" xr3:uid="{E2A8455C-F789-2644-8486-62E74172163C}" name="Type_ppt" dataDxfId="2230">
      <calculatedColumnFormula>IF('1.GLOBAL'!D50="","",'1.GLOBAL'!D50)</calculatedColumnFormula>
    </tableColumn>
    <tableColumn id="2" xr3:uid="{00000000-0010-0000-2100-000002000000}" name="Traitement" dataDxfId="2229">
      <calculatedColumnFormula>IF(K2="","",VLOOKUP(K2,Tableau221[[type_ppt]:[Traitement]],2,FALSE))</calculatedColumnFormula>
    </tableColumn>
    <tableColumn id="3" xr3:uid="{00000000-0010-0000-2100-000003000000}" name="Surf_éli" dataDxfId="2228">
      <calculatedColumnFormula>IF('1.GLOBAL'!D51="","",'1.GLOBAL'!D51)</calculatedColumnFormula>
    </tableColumn>
    <tableColumn id="4" xr3:uid="{F911049A-B47C-C946-A6EC-52F8467C2708}" name="%erreur" dataDxfId="2227" dataCellStyle="Pourcentage"/>
  </tableColumns>
  <tableStyleInfo name="TableStyleMedium7" showFirstColumn="0" showLastColumn="0" showRowStripes="1" showColumnStripes="0"/>
</table>
</file>

<file path=xl/tables/table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1" xr:uid="{C46705C1-7A52-724E-A37F-48191B1C8A70}" name="Tableau1216326016222402" displayName="Tableau1216326016222402" ref="V232:AC252" totalsRowShown="0" headerRowDxfId="1529" dataDxfId="1528">
  <autoFilter ref="V232:AC252" xr:uid="{00000000-0009-0000-0100-000015000000}"/>
  <tableColumns count="8">
    <tableColumn id="1" xr3:uid="{BC3849DF-B756-DD4F-A6D4-562940CA82AB}" name="Annees" dataDxfId="1527"/>
    <tableColumn id="2" xr3:uid="{864CD004-39FA-E846-8C07-D9C3994172D7}" name="V_prel" dataDxfId="1526">
      <calculatedColumnFormula>V177</calculatedColumnFormula>
    </tableColumn>
    <tableColumn id="7" xr3:uid="{70F669E8-A743-664B-A44D-82A5FE71842A}" name="C_prel" dataDxfId="1525">
      <calculatedColumnFormula>IF(OR(W233="",W233=0),0,W233*U$174*0.475)</calculatedColumnFormula>
    </tableColumn>
    <tableColumn id="9" xr3:uid="{A90E60F0-AD8F-0840-A882-3F7A567D52E3}" name="C_BE" dataDxfId="1524">
      <calculatedColumnFormula>IF(OR(X233=0,X233="",V$116=0),0,X233*INDEX(Listes!$K$1:$Q$12,MATCH(V$116,Listes!$K$1:$K$12,0),MATCH(Y$117,Listes!$K$1:$Q$1,0)))</calculatedColumnFormula>
    </tableColumn>
    <tableColumn id="8" xr3:uid="{47350EFA-EEDC-3540-B618-233005FD0C2E}" name="C_val" dataDxfId="1523">
      <calculatedColumnFormula>X233-Y233</calculatedColumnFormula>
    </tableColumn>
    <tableColumn id="3" xr3:uid="{DA40BCE2-82C1-174C-AB19-2D004626EDAF}" name="C_BO_sc" dataDxfId="1522">
      <calculatedColumnFormula>IF(OR(V$231=0,V$231=""),0,Z233*INDEX(Listes!$K$15:$P$26,MATCH(V$231,Listes!$K$15:$K$26,0),MATCH(AA$232,Listes!$K$15:$P$15,0))*INDEX(Listes!$K$29:$O$31,MATCH(W$231,Listes!$K$29:$K$31,0),MATCH(AA$232,Listes!$K$29:$O$29,0)))</calculatedColumnFormula>
    </tableColumn>
    <tableColumn id="4" xr3:uid="{46EF43FF-61C7-0A41-B17D-D5CD807CAF94}" name="C_BO_ps" dataDxfId="1521">
      <calculatedColumnFormula>IF(OR(V$231=0,V$231=""),0,Z233*INDEX(Listes!$K$15:$P$26,MATCH(V$231,Listes!$K$15:$K$26,0),MATCH(AB$232,Listes!$K$15:$P$15,0))*INDEX(Listes!$K$29:$O$31,MATCH(W$231,Listes!$K$29:$K$31,0),MATCH(AB$232,Listes!$K$29:$O$29,0)))</calculatedColumnFormula>
    </tableColumn>
    <tableColumn id="6" xr3:uid="{8CB6FCF8-CA41-C24A-97DB-A878436C6140}" name="C_BI_pap" dataDxfId="1520">
      <calculatedColumnFormula>IF(OR(V$231=0,V$231=""),0,Z233*INDEX(Listes!$K$15:$P$26,MATCH(V$231,Listes!$K$15:$K$26,0),MATCH(AC$232,Listes!$K$15:$P$15,0))*INDEX(Listes!$K$29:$O$31,MATCH(W$231,Listes!$K$29:$K$31,0),MATCH(AC$232,Listes!$K$29:$O$29,0)))</calculatedColumnFormula>
    </tableColumn>
  </tableColumns>
  <tableStyleInfo name="TableStyleMedium5" showFirstColumn="0" showLastColumn="0" showRowStripes="1" showColumnStripes="0"/>
</table>
</file>

<file path=xl/tables/table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2" xr:uid="{756854F8-0DA6-A84B-BAD7-FCDC5B8C4297}" name="Tableau1216326016223403" displayName="Tableau1216326016223403" ref="AF232:AM252" totalsRowShown="0" headerRowDxfId="1519" dataDxfId="1518">
  <autoFilter ref="AF232:AM252" xr:uid="{00000000-0009-0000-0100-000016000000}"/>
  <tableColumns count="8">
    <tableColumn id="1" xr3:uid="{C2C5C27E-FE0D-C14A-85E3-0AA377C59B5E}" name="Annees" dataDxfId="1517"/>
    <tableColumn id="2" xr3:uid="{B154EEFE-2F1A-4D4E-B88A-AF03B6D2F5C1}" name="V_prel" dataDxfId="1516">
      <calculatedColumnFormula>AE177</calculatedColumnFormula>
    </tableColumn>
    <tableColumn id="7" xr3:uid="{9FA087A0-850C-7E4C-9A2E-794D0A5775FC}" name="C_prel" dataDxfId="1515">
      <calculatedColumnFormula>IF(OR(AG233="",AG233=0),0,AG233*AD$174*0.475)</calculatedColumnFormula>
    </tableColumn>
    <tableColumn id="9" xr3:uid="{994C74EC-E94D-2E4B-8259-5F73B68F5807}" name="C_BE" dataDxfId="1514">
      <calculatedColumnFormula>IF(OR(AH233=0,AH233="",AF$116=0),0,AH233*INDEX(Listes!$K$1:$Q$12,MATCH(AF$116,Listes!$K$1:$K$12,0),MATCH(AI$117,Listes!$K$1:$Q$1,0)))</calculatedColumnFormula>
    </tableColumn>
    <tableColumn id="8" xr3:uid="{F6DC712C-8807-B844-B176-2F470F85D038}" name="C_val" dataDxfId="1513">
      <calculatedColumnFormula>AH233-AI233</calculatedColumnFormula>
    </tableColumn>
    <tableColumn id="3" xr3:uid="{8AF70CE0-7ACA-4E41-9AA9-993837B06193}" name="C_BO_sc" dataDxfId="1512">
      <calculatedColumnFormula>IF(OR(AF$231=0,AF$231=""),0,AJ233*INDEX(Listes!$K$15:$P$26,MATCH(AF$231,Listes!$K$15:$K$26,0),MATCH(AK$232,Listes!$K$15:$P$15,0))*INDEX(Listes!$K$29:$O$31,MATCH(AG$231,Listes!$K$29:$K$31,0),MATCH(AK$232,Listes!$K$29:$O$29,0)))</calculatedColumnFormula>
    </tableColumn>
    <tableColumn id="4" xr3:uid="{0D9EB7D3-81C4-5A43-9F17-9196CD8DDCD3}" name="C_BO_ps" dataDxfId="1511">
      <calculatedColumnFormula>IF(OR(AF$231=0,AF$231=""),0,AJ233*INDEX(Listes!$K$15:$P$26,MATCH(AF$231,Listes!$K$15:$K$26,0),MATCH(AL$232,Listes!$K$15:$P$15,0))*INDEX(Listes!$K$29:$O$31,MATCH(AG$231,Listes!$K$29:$K$31,0),MATCH(AL$232,Listes!$K$29:$O$29,0)))</calculatedColumnFormula>
    </tableColumn>
    <tableColumn id="6" xr3:uid="{852038E0-49BC-7744-B5B4-FEBD906EC5E2}" name="C_BI_pap" dataDxfId="1510">
      <calculatedColumnFormula>IF(OR(AF$231=0,AF$231=""),0,AJ233*INDEX(Listes!$K$15:$P$26,MATCH(AF$231,Listes!$K$15:$K$26,0),MATCH(AM$232,Listes!$K$15:$P$15,0))*INDEX(Listes!$K$29:$O$31,MATCH(AG$231,Listes!$K$29:$K$31,0),MATCH(AM$232,Listes!$K$29:$O$29,0)))</calculatedColumnFormula>
    </tableColumn>
  </tableColumns>
  <tableStyleInfo name="TableStyleMedium5" showFirstColumn="0" showLastColumn="0" showRowStripes="1" showColumnStripes="0"/>
</table>
</file>

<file path=xl/tables/table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3" xr:uid="{AED5FF72-68C2-224B-98C1-587073BA9DF6}" name="Tableau76175404" displayName="Tableau76175404" ref="AL60:AO80" totalsRowShown="0" headerRowDxfId="1509" dataDxfId="1508">
  <autoFilter ref="AL60:AO80" xr:uid="{00000000-0009-0000-0100-0000AE000000}"/>
  <tableColumns count="4">
    <tableColumn id="1" xr3:uid="{3652BD87-8278-2340-B43A-5C9A348B266C}" name="Annee" dataDxfId="1507"/>
    <tableColumn id="2" xr3:uid="{B1D63A54-FBEF-4948-AF87-5583DD8269E7}" name="V_Prel_tot" dataDxfId="1506">
      <calculatedColumnFormula>SUM(D61,M61,V61,AE61)</calculatedColumnFormula>
    </tableColumn>
    <tableColumn id="4" xr3:uid="{4B7A6C3C-D11D-1949-9E67-DFCE4967BE62}" name="%récolté/Vtot_i" dataDxfId="1505" dataCellStyle="Pourcentage">
      <calculatedColumnFormula>IF(OR($C$6=0,SUM($M$4:$M$7)=0),0,AM61/SUM($M$4:$M$7))</calculatedColumnFormula>
    </tableColumn>
    <tableColumn id="5" xr3:uid="{5FB65B89-49EB-3140-B19C-57073A68B1C9}" name="%surftot_JP" dataDxfId="1504">
      <calculatedColumnFormula>AN61*50%</calculatedColumnFormula>
    </tableColumn>
  </tableColumns>
  <tableStyleInfo name="TableStyleMedium5" showFirstColumn="0" showLastColumn="0" showRowStripes="1" showColumnStripes="0"/>
</table>
</file>

<file path=xl/tables/table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4" xr:uid="{C75FA39A-DA0B-1B44-8C64-9FA7CFCFF29F}" name="Tableau1231151405" displayName="Tableau1231151405" ref="B60:H80" totalsRowShown="0" headerRowDxfId="1503" dataDxfId="1502">
  <autoFilter ref="B60:H80" xr:uid="{00000000-0009-0000-0100-000096000000}"/>
  <tableColumns count="7">
    <tableColumn id="1" xr3:uid="{AC0F763E-40CA-1D4B-A26B-C04EE5F400AA}" name="Annees" dataDxfId="1501"/>
    <tableColumn id="2" xr3:uid="{74C25359-730B-CD4F-A5EC-1A791F022483}" name="VE" dataDxfId="1500"/>
    <tableColumn id="3" xr3:uid="{C7406CDE-85EA-A846-BAE5-32F274167B0E}" name="Vprel" dataDxfId="1499">
      <calculatedColumnFormula>IF(OR(C61="",C61=0),0,IF(B61=1,INDEX($J$19:$M$38,MATCH(B61,$H$19:$H$38,0),MATCH(RIGHT(A$57,5),$J$18:$M$18,0)),INDEX($J$19:$M$38,MATCH(B61,$H$19:$H$38,0),MATCH(RIGHT(A$57,5),$J$18:$M$18,0))+C61-E60))</calculatedColumnFormula>
    </tableColumn>
    <tableColumn id="4" xr3:uid="{279B4F51-D81A-B546-B8EE-B06192007B38}" name="VF" dataDxfId="1498">
      <calculatedColumnFormula>IF(D61="",0,C61-D61)</calculatedColumnFormula>
    </tableColumn>
    <tableColumn id="7" xr3:uid="{C44B3277-4306-1B47-8B5C-0992F5A101DA}" name="BA" dataDxfId="1497">
      <calculatedColumnFormula>IF(C61=0,0,C61*C$58)</calculatedColumnFormula>
    </tableColumn>
    <tableColumn id="6" xr3:uid="{5F2B317C-FD75-0148-AD69-E96B5755A9C2}" name="BR" dataDxfId="1496">
      <calculatedColumnFormula>IF(F61&gt;0,EXP(-1.0587+0.8836*LN(F61)+0.284),0)</calculatedColumnFormula>
    </tableColumn>
    <tableColumn id="5" xr3:uid="{208E07E7-DB6E-EE46-B712-1360514C08C4}" name="CO2e_VE" dataDxfId="1495">
      <calculatedColumnFormula>SUM(F61:G61)*0.475*44/12</calculatedColumnFormula>
    </tableColumn>
  </tableColumns>
  <tableStyleInfo name="TableStyleMedium5" showFirstColumn="0" showLastColumn="0" showRowStripes="1" showColumnStripes="0"/>
</table>
</file>

<file path=xl/tables/table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5" xr:uid="{44BA06F4-4957-D440-8280-A9587E6E1EBC}" name="Tableau15615178406" displayName="Tableau15615178406" ref="F3:S7" totalsRowShown="0" headerRowDxfId="1494" dataDxfId="1493">
  <autoFilter ref="F3:S7" xr:uid="{00000000-0009-0000-0100-0000B1000000}"/>
  <tableColumns count="14">
    <tableColumn id="1" xr3:uid="{5AFEEBC2-193F-D749-8A9E-C1D8CD08071A}" name="Strate" dataDxfId="1492">
      <calculatedColumnFormula>C$1</calculatedColumnFormula>
    </tableColumn>
    <tableColumn id="2" xr3:uid="{4DE1F665-9343-FC41-B496-8A39E778C4ED}" name="Essence" dataDxfId="1491">
      <calculatedColumnFormula>INITIAL_FORET!Y6</calculatedColumnFormula>
    </tableColumn>
    <tableColumn id="13" xr3:uid="{6E44A157-71AA-2047-A667-04480F22432B}" name="%acc" dataDxfId="3">
      <calculatedColumnFormula>IF(OR(G4=0,G4=""),"",VLOOKUP(G4,Tableau45[],3,FALSE))</calculatedColumnFormula>
    </tableColumn>
    <tableColumn id="8" xr3:uid="{3510B20D-FE11-574B-B47D-07F50643A9F4}" name="Vol_tot" dataDxfId="1490">
      <calculatedColumnFormula>IF(OR(F4="",G4=""),"",VLOOKUP(CONCATENATE(F4,"_",G4),INITIAL_FORET!$AB$40:$AQ$55,5,FALSE))</calculatedColumnFormula>
    </tableColumn>
    <tableColumn id="12" xr3:uid="{CB07BBF5-C915-E24F-A136-C483B79097C3}" name="%RiskEss" dataDxfId="14" dataCellStyle="Pourcentage">
      <calculatedColumnFormula>IF(OR(I4=0,I4=""),"",VLOOKUP(G4,Tableau45[[Essence]:[RiskEss_choisi]],2,FALSE))</calculatedColumnFormula>
    </tableColumn>
    <tableColumn id="7" xr3:uid="{B8D34AE9-649C-D945-97ED-2757E401484A}" name="Vtot_sansRE" dataDxfId="1489" dataCellStyle="Pourcentage">
      <calculatedColumnFormula>IF(OR(G4=0,G4=""),"",I4*(1-J4))</calculatedColumnFormula>
    </tableColumn>
    <tableColumn id="9" xr3:uid="{B2992131-FFE2-FB44-BB08-913BF6684660}" name="Vrec_sansRE" dataDxfId="1488" dataCellStyle="Pourcentage">
      <calculatedColumnFormula>IF(OR(G4=0,G4=""),"",VLOOKUP(CONCATENATE(F4,"_",G4),INITIAL_FORET!$AB$40:$AQ$55,10,FALSE))</calculatedColumnFormula>
    </tableColumn>
    <tableColumn id="4" xr3:uid="{26FDE39D-29F5-7A46-B9D9-DA27D952244C}" name="VR_max_REF" dataDxfId="1487">
      <calculatedColumnFormula>IF(OR(G4=0,G4=""),"",VLOOKUP(CONCATENATE(F4,"_",G4),INITIAL_FORET!$AB$40:$AQ$55,12,FALSE))</calculatedColumnFormula>
    </tableColumn>
    <tableColumn id="3" xr3:uid="{242101B4-5AA0-1D46-B9B4-210AD2260542}" name="VR_obj_PRJ" dataDxfId="1486">
      <calculatedColumnFormula>IF(OR(G4=0,G4=""),"",VLOOKUP(CONCATENATE(F4,"_",G4),INITIAL_FORET!$AB$40:$AQ$55,11,FALSE))</calculatedColumnFormula>
    </tableColumn>
    <tableColumn id="5" xr3:uid="{FF6E7520-2873-B940-80D2-2B9BAD0130B5}" name="VR_nonrec_sansRE" dataDxfId="1485">
      <calculatedColumnFormula>IF(OR(G4=0,G4=""),"",IF($C$4="IRR",VLOOKUP(CONCATENATE(F4,"_",G4),INITIAL_FORET!$AB$40:$AQ$55,13,FALSE),K4-(K4/$C$6)*SUM($I$19:$I$38)))</calculatedColumnFormula>
    </tableColumn>
    <tableColumn id="6" xr3:uid="{683C66F7-5632-DF49-970D-32A4D37846F1}" name="Type_ess" dataDxfId="13">
      <calculatedColumnFormula>IF(OR(G4=0,G4=""),"",IF(VLOOKUP(G4,Tableau45[],5,FALSE)="Feuillus","Feuillus","Résineux"))</calculatedColumnFormula>
    </tableColumn>
    <tableColumn id="10" xr3:uid="{7FB6C12A-6A91-C047-939F-194B2863649F}" name="BA_i (tMS)" dataDxfId="1484">
      <calculatedColumnFormula>IF(L4="",0,L4*VLOOKUP(G4,Tableau44[[Code_ess]:[FEB]],4,FALSE))</calculatedColumnFormula>
    </tableColumn>
    <tableColumn id="11" xr3:uid="{A1A48899-D612-6D42-9705-66062094A79E}" name="BR_i (tMS)" dataDxfId="1483">
      <calculatedColumnFormula>IF(Q4&gt;0,EXP(-1.0587+0.8836*LN(Q4)+0.284),0)</calculatedColumnFormula>
    </tableColumn>
    <tableColumn id="14" xr3:uid="{E804F85F-D30C-9741-B64A-07E5F07AF7BD}" name="tCO2e_i" dataDxfId="1482">
      <calculatedColumnFormula>SUM(Q4:R4)*0.475*44/12</calculatedColumnFormula>
    </tableColumn>
  </tableColumns>
  <tableStyleInfo name="TableStyleMedium5" showFirstColumn="0" showLastColumn="0" showRowStripes="1" showColumnStripes="0"/>
</table>
</file>

<file path=xl/tables/table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6" xr:uid="{280F518C-944C-8842-82EB-29D8E29EF0EA}" name="Tableau827179407" displayName="Tableau827179407" ref="B3:C7" totalsRowShown="0" headerRowDxfId="1481" dataDxfId="1480">
  <autoFilter ref="B3:C7" xr:uid="{00000000-0009-0000-0100-0000B2000000}"/>
  <tableColumns count="2">
    <tableColumn id="1" xr3:uid="{CD1799AF-53F3-474B-B189-E8EA250E726C}" name="Colonne1" dataDxfId="1479"/>
    <tableColumn id="2" xr3:uid="{ED2917B6-625D-3941-AE4C-067106C43716}" name="Colonne2" dataDxfId="1478"/>
  </tableColumns>
  <tableStyleInfo name="TableStyleMedium5" showFirstColumn="0" showLastColumn="0" showRowStripes="1" showColumnStripes="0"/>
</table>
</file>

<file path=xl/tables/table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7" xr:uid="{65A53DF3-917C-1046-9B68-6020031D4037}" name="Tableau180408" displayName="Tableau180408" ref="B10:D11" totalsRowShown="0" headerRowDxfId="1477" dataDxfId="1476">
  <autoFilter ref="B10:D11" xr:uid="{00000000-0009-0000-0100-0000B4000000}"/>
  <tableColumns count="3">
    <tableColumn id="1" xr3:uid="{618B4929-C208-1747-8943-4EDED5B63FFF}" name="Essence_dom" dataDxfId="1475">
      <calculatedColumnFormula>IF(I4=I10,G4,IF(I5=I10,G5,IF(I6=I10,G6,G7)))</calculatedColumnFormula>
    </tableColumn>
    <tableColumn id="2" xr3:uid="{F354CC89-73C8-D94E-9674-FC33AB239E27}" name="ID" dataDxfId="1474">
      <calculatedColumnFormula>IF(OR(B11=0,B11=""),0,VLOOKUP(B11,Tableau44[[Code_ess]:[FEB]],4,FALSE))</calculatedColumnFormula>
    </tableColumn>
    <tableColumn id="3" xr3:uid="{9B0CC4DF-7EDB-044A-A0EF-ED2B613711BE}" name="FEB" dataDxfId="1473">
      <calculatedColumnFormula>IF(OR(B11=0,B11=""),0,VLOOKUP(B11,Tableau44[[Code_ess]:[FEB]],5,FALSE))</calculatedColumnFormula>
    </tableColumn>
  </tableColumns>
  <tableStyleInfo name="TableStyleMedium5" showFirstColumn="0" showLastColumn="0" showRowStripes="1" showColumnStripes="0"/>
</table>
</file>

<file path=xl/tables/table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8" xr:uid="{2F9A8D8B-0E68-AA48-9E56-679F551060FC}" name="Tableau75122409" displayName="Tableau75122409" ref="B18:E49" totalsRowShown="0" headerRowDxfId="1472" dataDxfId="1471">
  <autoFilter ref="B18:E49" xr:uid="{00000000-0009-0000-0100-000079000000}"/>
  <tableColumns count="4">
    <tableColumn id="1" xr3:uid="{BBD2411D-75A3-CF49-9C92-1CE1403025D0}" name="Année" dataDxfId="1470"/>
    <tableColumn id="4" xr3:uid="{1331B185-5F21-644E-9B39-6226FC7DD3A1}" name="VI_JP/HA" dataDxfId="1469">
      <calculatedColumnFormula>'3.ESS_RÉGÉ'!I22</calculatedColumnFormula>
    </tableColumn>
    <tableColumn id="3" xr3:uid="{EBE7B552-1EAD-F940-9E4F-2A281D438DA5}" name="VP_JP/HA" dataDxfId="1468">
      <calculatedColumnFormula>'3.ESS_RÉGÉ'!J22</calculatedColumnFormula>
    </tableColumn>
    <tableColumn id="2" xr3:uid="{263EB39C-1412-A748-863A-1506F13D8B6A}" name="VF_JP/HA" dataDxfId="1467">
      <calculatedColumnFormula>'3.ESS_RÉGÉ'!K22</calculatedColumnFormula>
    </tableColumn>
  </tableColumns>
  <tableStyleInfo name="TableStyleMedium5" showFirstColumn="0" showLastColumn="0" showRowStripes="1" showColumnStripes="0"/>
</table>
</file>

<file path=xl/tables/table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9" xr:uid="{7C2B6AFE-3C45-BD42-8350-F56BF2911E42}" name="Tableau123115139410" displayName="Tableau123115139410" ref="K60:Q80" totalsRowShown="0" headerRowDxfId="1466" dataDxfId="1465">
  <autoFilter ref="K60:Q80" xr:uid="{36090715-A2DE-F448-B746-C9D229A16A12}"/>
  <tableColumns count="7">
    <tableColumn id="1" xr3:uid="{7AAD9A06-FC0B-FD48-AFB7-427F0D407F50}" name="Annees" dataDxfId="1464"/>
    <tableColumn id="2" xr3:uid="{721B5D28-7F8F-D040-9772-D64A5ED1AC38}" name="VE" dataDxfId="1463"/>
    <tableColumn id="3" xr3:uid="{248056FD-4B64-9E4E-AE44-41070B93AE9F}" name="Vprel" dataDxfId="1462">
      <calculatedColumnFormula>IF(OR(L61="",L61=0),0,IF(K61=1,INDEX($J$19:$M$38,MATCH(K61,$H$19:$H$38,0),MATCH(RIGHT(J$57,5),$J$18:$M$18,0)),INDEX($J$19:$M$38,MATCH(K61,$H$19:$H$38,0),MATCH(RIGHT(J$57,5),$J$18:$M$18,0))+L61-N60))</calculatedColumnFormula>
    </tableColumn>
    <tableColumn id="4" xr3:uid="{F72CA580-B71D-0D48-A65B-36472DE6983D}" name="VF" dataDxfId="1461">
      <calculatedColumnFormula>IF(M61="",0,L61-M61)</calculatedColumnFormula>
    </tableColumn>
    <tableColumn id="7" xr3:uid="{87BA19A5-3CE2-C245-84DC-055F05D9D43C}" name="BA" dataDxfId="1460">
      <calculatedColumnFormula>IF(N61=0,0,N61*L$58)</calculatedColumnFormula>
    </tableColumn>
    <tableColumn id="6" xr3:uid="{1BD7BE2D-E803-1F4B-8F4D-E70F01B76572}" name="BR" dataDxfId="1459">
      <calculatedColumnFormula>IF(O61&gt;0,EXP(-1.0587+0.8836*LN(O61)+0.284),0)</calculatedColumnFormula>
    </tableColumn>
    <tableColumn id="5" xr3:uid="{11624ED1-E303-934D-864D-B70BAF8574AC}" name="CO2e_VE" dataDxfId="1458">
      <calculatedColumnFormula>SUM(O61:P61)*0.475*44/12</calculatedColumnFormula>
    </tableColumn>
  </tableColumns>
  <tableStyleInfo name="TableStyleMedium5" showFirstColumn="0" showLastColumn="0" showRowStripes="1" showColumnStripes="0"/>
</table>
</file>

<file path=xl/tables/table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0" xr:uid="{FADA199A-78F0-E244-96CF-E0C2EFA85EE1}" name="Tableau123115140411" displayName="Tableau123115140411" ref="T60:Z80" totalsRowShown="0" headerRowDxfId="1457" dataDxfId="1456">
  <autoFilter ref="T60:Z80" xr:uid="{274723B4-34E2-9E42-A9C4-B39ABF9885A4}"/>
  <tableColumns count="7">
    <tableColumn id="1" xr3:uid="{5B6E06DD-BA2E-E94B-B9E3-04E08390E249}" name="Annees" dataDxfId="1455"/>
    <tableColumn id="2" xr3:uid="{97975C9D-21DF-E545-9FE6-3E89E9E2BE6D}" name="VE" dataDxfId="1454"/>
    <tableColumn id="3" xr3:uid="{13929953-BB31-1E4F-A7D9-41A253C9DEAD}" name="Vprel" dataDxfId="1453">
      <calculatedColumnFormula>IF(OR(U61="",U61=0),0,IF(T61=1,INDEX($J$19:$M$38,MATCH(T61,$H$19:$H$38,0),MATCH(RIGHT(S$57,5),$J$18:$M$18,0)),INDEX($J$19:$M$38,MATCH(T61,$H$19:$H$38,0),MATCH(RIGHT(S$57,5),$J$18:$M$18,0))+U61-W60))</calculatedColumnFormula>
    </tableColumn>
    <tableColumn id="4" xr3:uid="{8712B42D-27D1-AE41-A05C-04B32D2F2C35}" name="VF" dataDxfId="1452">
      <calculatedColumnFormula>IF(V61="",0,U61-V61)</calculatedColumnFormula>
    </tableColumn>
    <tableColumn id="7" xr3:uid="{113B9E72-B551-C945-854C-7B1A7FD39E8E}" name="BA" dataDxfId="1451">
      <calculatedColumnFormula>IF(W61=0,0,W61*U$58)</calculatedColumnFormula>
    </tableColumn>
    <tableColumn id="6" xr3:uid="{1BB3C829-2B8E-CA47-B141-4AFB3BD477C2}" name="BR" dataDxfId="1450">
      <calculatedColumnFormula>IF(X61&gt;0,EXP(-1.0587+0.8836*LN(X61)+0.284),0)</calculatedColumnFormula>
    </tableColumn>
    <tableColumn id="5" xr3:uid="{5ED08CEE-27EE-214A-AE7F-A351A5A96736}" name="CO2e_VE" dataDxfId="1449">
      <calculatedColumnFormula>SUM(X61:Y61)*0.475*44/12</calculatedColumnFormula>
    </tableColumn>
  </tableColumns>
  <tableStyleInfo name="TableStyleMedium5"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22000000}" name="Tableau15" displayName="Tableau15" ref="X1:BD17" totalsRowShown="0" headerRowDxfId="2226" dataDxfId="2225">
  <autoFilter ref="X1:BD17" xr:uid="{00000000-0009-0000-0100-000004000000}"/>
  <tableColumns count="33">
    <tableColumn id="1" xr3:uid="{00000000-0010-0000-2200-000001000000}" name="Strate" dataDxfId="2224"/>
    <tableColumn id="2" xr3:uid="{00000000-0010-0000-2200-000002000000}" name="Essence" dataDxfId="2223">
      <calculatedColumnFormula>IF(OR('2.VOL_INITIAL'!X21=0,'2.VOL_INITIAL'!X21=""),"",'2.VOL_INITIAL'!X21)</calculatedColumnFormula>
    </tableColumn>
    <tableColumn id="6" xr3:uid="{ED2130F8-D246-8B43-B513-570C9EBAF6CC}" name="UNIQ" dataDxfId="2222">
      <calculatedColumnFormula>CONCATENATE(Tableau15[[#This Row],[Strate]],"_",Tableau15[[#This Row],[Essence]])</calculatedColumnFormula>
    </tableColumn>
    <tableColumn id="10" xr3:uid="{00000000-0010-0000-2200-00000A000000}" name="V010" dataDxfId="2221">
      <calculatedColumnFormula>IF(OR('2.VOL_INITIAL'!Y21=0,'2.VOL_INITIAL'!Y21=""),0,'2.VOL_INITIAL'!Y21)</calculatedColumnFormula>
    </tableColumn>
    <tableColumn id="3" xr3:uid="{8670137F-33D3-6147-A0BD-A3D2B4E82591}" name="V015" dataDxfId="2220">
      <calculatedColumnFormula>IF(OR('2.VOL_INITIAL'!Z21=0,'2.VOL_INITIAL'!Z21=""),0,'2.VOL_INITIAL'!Z21)</calculatedColumnFormula>
    </tableColumn>
    <tableColumn id="4" xr3:uid="{146099DC-5ED5-2F47-9CCB-589D98E04EF7}" name="V020" dataDxfId="2219">
      <calculatedColumnFormula>IF(OR('2.VOL_INITIAL'!AA21=0,'2.VOL_INITIAL'!AA21=""),0,'2.VOL_INITIAL'!AA21)</calculatedColumnFormula>
    </tableColumn>
    <tableColumn id="7" xr3:uid="{3A56C970-2A9E-4347-A2F8-6FB7308E0FFB}" name="V025" dataDxfId="2218">
      <calculatedColumnFormula>IF(OR('2.VOL_INITIAL'!AB21=0,'2.VOL_INITIAL'!AB21=""),0,'2.VOL_INITIAL'!AB21)</calculatedColumnFormula>
    </tableColumn>
    <tableColumn id="9" xr3:uid="{FCC9BE3F-363F-0843-8AF9-D4B002BB4756}" name="V030" dataDxfId="2217">
      <calculatedColumnFormula>IF(OR('2.VOL_INITIAL'!AC21=0,'2.VOL_INITIAL'!AC21=""),0,'2.VOL_INITIAL'!AC21)</calculatedColumnFormula>
    </tableColumn>
    <tableColumn id="12" xr3:uid="{0F15DD94-F933-494F-81A9-08EB6D03B3B8}" name="V035" dataDxfId="2216">
      <calculatedColumnFormula>IF(OR('2.VOL_INITIAL'!AD21=0,'2.VOL_INITIAL'!AD21=""),0,'2.VOL_INITIAL'!AD21)</calculatedColumnFormula>
    </tableColumn>
    <tableColumn id="13" xr3:uid="{08FB03CF-15B9-FC4A-9CF0-ECECC74C55B7}" name="V040" dataDxfId="2215">
      <calculatedColumnFormula>IF(OR('2.VOL_INITIAL'!AE21=0,'2.VOL_INITIAL'!AE21=""),0,'2.VOL_INITIAL'!AE21)</calculatedColumnFormula>
    </tableColumn>
    <tableColumn id="14" xr3:uid="{5F15D3FD-8319-6041-A17A-3D08BEF204AF}" name="V045" dataDxfId="2214">
      <calculatedColumnFormula>IF(OR('2.VOL_INITIAL'!AF21=0,'2.VOL_INITIAL'!AF21=""),0,'2.VOL_INITIAL'!AF21)</calculatedColumnFormula>
    </tableColumn>
    <tableColumn id="15" xr3:uid="{37F59CE7-ED4D-F54F-93FB-C983BB9CCEF5}" name="V050" dataDxfId="2213">
      <calculatedColumnFormula>IF(OR('2.VOL_INITIAL'!AG21=0,'2.VOL_INITIAL'!AG21=""),0,'2.VOL_INITIAL'!AG21)</calculatedColumnFormula>
    </tableColumn>
    <tableColumn id="16" xr3:uid="{5101B53E-E290-4F4F-A34D-C1A23F72064B}" name="V055" dataDxfId="2212">
      <calculatedColumnFormula>IF(OR('2.VOL_INITIAL'!AH21=0,'2.VOL_INITIAL'!AH21=""),0,'2.VOL_INITIAL'!AH21)</calculatedColumnFormula>
    </tableColumn>
    <tableColumn id="17" xr3:uid="{3AC53B7E-8803-6F43-BF98-C2B696AF5316}" name="V060" dataDxfId="2211">
      <calculatedColumnFormula>IF(OR('2.VOL_INITIAL'!AI21=0,'2.VOL_INITIAL'!AI21=""),0,'2.VOL_INITIAL'!AI21)</calculatedColumnFormula>
    </tableColumn>
    <tableColumn id="18" xr3:uid="{1334D67B-2C72-7B4C-A361-30A5C93558F5}" name="V065" dataDxfId="2210">
      <calculatedColumnFormula>IF(OR('2.VOL_INITIAL'!AJ21=0,'2.VOL_INITIAL'!AJ21=""),0,'2.VOL_INITIAL'!AJ21)</calculatedColumnFormula>
    </tableColumn>
    <tableColumn id="19" xr3:uid="{F3C70D95-E5B5-CA4B-9ACB-107053A9F7FA}" name="V070" dataDxfId="2209">
      <calculatedColumnFormula>IF(OR('2.VOL_INITIAL'!AK21=0,'2.VOL_INITIAL'!AK21=""),0,'2.VOL_INITIAL'!AK21)</calculatedColumnFormula>
    </tableColumn>
    <tableColumn id="20" xr3:uid="{7AABB687-0770-4A42-886A-38FECC9121A6}" name="V075" dataDxfId="2208">
      <calculatedColumnFormula>IF(OR('2.VOL_INITIAL'!AL21=0,'2.VOL_INITIAL'!AL21=""),0,'2.VOL_INITIAL'!AL21)</calculatedColumnFormula>
    </tableColumn>
    <tableColumn id="21" xr3:uid="{A129A7AC-B18B-8645-B2E4-3F3AC3C54A07}" name="V080" dataDxfId="2207">
      <calculatedColumnFormula>IF(OR('2.VOL_INITIAL'!AM21=0,'2.VOL_INITIAL'!AM21=""),0,'2.VOL_INITIAL'!AM21)</calculatedColumnFormula>
    </tableColumn>
    <tableColumn id="22" xr3:uid="{916CA192-58AD-0A44-A465-210AED24C57F}" name="V085" dataDxfId="2206">
      <calculatedColumnFormula>IF(OR('2.VOL_INITIAL'!AN21=0,'2.VOL_INITIAL'!AN21=""),0,'2.VOL_INITIAL'!AN21)</calculatedColumnFormula>
    </tableColumn>
    <tableColumn id="23" xr3:uid="{B8066D00-AF6D-7D49-910C-4DA07FDAF8B0}" name="V090" dataDxfId="2205">
      <calculatedColumnFormula>IF(OR('2.VOL_INITIAL'!AO21=0,'2.VOL_INITIAL'!AO21=""),0,'2.VOL_INITIAL'!AO21)</calculatedColumnFormula>
    </tableColumn>
    <tableColumn id="24" xr3:uid="{CF160426-5440-1F44-B9DD-F8E4876B5FA5}" name="V095" dataDxfId="2204">
      <calculatedColumnFormula>IF(OR('2.VOL_INITIAL'!AP21=0,'2.VOL_INITIAL'!AP21=""),0,'2.VOL_INITIAL'!AP21)</calculatedColumnFormula>
    </tableColumn>
    <tableColumn id="25" xr3:uid="{5BF8E897-9765-4A49-8D79-5F2F1059440A}" name="V100" dataDxfId="2203">
      <calculatedColumnFormula>IF(OR('2.VOL_INITIAL'!AQ21=0,'2.VOL_INITIAL'!AQ21=""),0,'2.VOL_INITIAL'!AQ21)</calculatedColumnFormula>
    </tableColumn>
    <tableColumn id="26" xr3:uid="{24FE8275-AEDF-574E-B441-2A6AB1E54090}" name="V105" dataDxfId="2202">
      <calculatedColumnFormula>IF(OR('2.VOL_INITIAL'!AR21=0,'2.VOL_INITIAL'!AR21=""),0,'2.VOL_INITIAL'!AR21)</calculatedColumnFormula>
    </tableColumn>
    <tableColumn id="27" xr3:uid="{09EF2653-F641-C449-986B-D51A9EF0C25C}" name="V110" dataDxfId="2201">
      <calculatedColumnFormula>IF(OR('2.VOL_INITIAL'!AS21=0,'2.VOL_INITIAL'!AS21=""),0,'2.VOL_INITIAL'!AS21)</calculatedColumnFormula>
    </tableColumn>
    <tableColumn id="28" xr3:uid="{1945A37A-73D9-0E45-892C-26250C5C7268}" name="V115" dataDxfId="2200">
      <calculatedColumnFormula>IF(OR('2.VOL_INITIAL'!AT21=0,'2.VOL_INITIAL'!AT21=""),0,'2.VOL_INITIAL'!AT21)</calculatedColumnFormula>
    </tableColumn>
    <tableColumn id="8" xr3:uid="{00000000-0010-0000-2200-000008000000}" name="V120" dataDxfId="2199">
      <calculatedColumnFormula>IF(OR('2.VOL_INITIAL'!AU21=0,'2.VOL_INITIAL'!AU21=""),0,'2.VOL_INITIAL'!AU21)</calculatedColumnFormula>
    </tableColumn>
    <tableColumn id="29" xr3:uid="{C46FD87F-27A7-6443-B2C2-BB8B491DECBB}" name="V125" dataDxfId="2198">
      <calculatedColumnFormula>IF(OR('2.VOL_INITIAL'!AV21=0,'2.VOL_INITIAL'!AV21=""),0,'2.VOL_INITIAL'!AV21)</calculatedColumnFormula>
    </tableColumn>
    <tableColumn id="30" xr3:uid="{E71830D8-2186-314B-AE3F-A412208CE51F}" name="V130" dataDxfId="2197">
      <calculatedColumnFormula>IF(OR('2.VOL_INITIAL'!AW21=0,'2.VOL_INITIAL'!AW21=""),0,'2.VOL_INITIAL'!AW21)</calculatedColumnFormula>
    </tableColumn>
    <tableColumn id="31" xr3:uid="{B9A9173B-3F8E-4245-A58E-272B2E14C86E}" name="V135" dataDxfId="2196">
      <calculatedColumnFormula>IF(OR('2.VOL_INITIAL'!AX21=0,'2.VOL_INITIAL'!AX21=""),0,'2.VOL_INITIAL'!AX21)</calculatedColumnFormula>
    </tableColumn>
    <tableColumn id="33" xr3:uid="{8C6316E0-E2EA-C245-9C16-48B0669E4A34}" name="V140" dataDxfId="2195">
      <calculatedColumnFormula>IF(OR('2.VOL_INITIAL'!AY21=0,'2.VOL_INITIAL'!AY21=""),0,'2.VOL_INITIAL'!AY21)</calculatedColumnFormula>
    </tableColumn>
    <tableColumn id="34" xr3:uid="{0A20C4EB-631C-9C47-800A-321C5425E213}" name="V145" dataDxfId="2194">
      <calculatedColumnFormula>IF(OR('2.VOL_INITIAL'!AZ21=0,'2.VOL_INITIAL'!AZ21=""),0,'2.VOL_INITIAL'!AZ21)</calculatedColumnFormula>
    </tableColumn>
    <tableColumn id="35" xr3:uid="{6D9B1C6E-4D45-C849-A299-23C4F7BA88F7}" name="V150" dataDxfId="2193">
      <calculatedColumnFormula>IF(OR('2.VOL_INITIAL'!BA21=0,'2.VOL_INITIAL'!BA21=""),0,'2.VOL_INITIAL'!BA21)</calculatedColumnFormula>
    </tableColumn>
    <tableColumn id="36" xr3:uid="{CF70D2C3-6E7F-D145-A35F-4B33787B0CC4}" name="Vtot" dataDxfId="2192">
      <calculatedColumnFormula>IF(OR('2.VOL_INITIAL'!BB21=0,'2.VOL_INITIAL'!BB21=""),0,'2.VOL_INITIAL'!BB21)</calculatedColumnFormula>
    </tableColumn>
  </tableColumns>
  <tableStyleInfo name="TableStyleMedium7" showFirstColumn="0" showLastColumn="0" showRowStripes="1" showColumnStripes="0"/>
</table>
</file>

<file path=xl/tables/table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1" xr:uid="{1A6F8A91-C3F0-CB41-82E5-E78962838F76}" name="Tableau123115141412" displayName="Tableau123115141412" ref="AC60:AI80" totalsRowShown="0" headerRowDxfId="1448" dataDxfId="1447">
  <autoFilter ref="AC60:AI80" xr:uid="{8E5467D8-60DE-CB40-A3DB-B62D3A008683}"/>
  <tableColumns count="7">
    <tableColumn id="1" xr3:uid="{21E24070-76C2-2046-A0D3-A24C8D20D1AD}" name="Annees" dataDxfId="1446"/>
    <tableColumn id="2" xr3:uid="{F2DB4F33-397F-114C-9362-FB2FAF19FFEC}" name="VE" dataDxfId="1445"/>
    <tableColumn id="3" xr3:uid="{776FE3FD-0AD9-8144-952D-01A88CF8372A}" name="Vprel" dataDxfId="1444">
      <calculatedColumnFormula>IF(OR(AD61="",AD61=0),0,IF(AC61=1,INDEX($J$19:$M$38,MATCH(AC61,$H$19:$H$38,0),MATCH(RIGHT(AB$57,5),$J$18:$M$18,0)),INDEX($J$19:$M$38,MATCH(AC61,$H$19:$H$38,0),MATCH(RIGHT(AB$57,5),$J$18:$M$18,0))+AD61-AF60))</calculatedColumnFormula>
    </tableColumn>
    <tableColumn id="4" xr3:uid="{3B31F0CC-4D5F-9E42-9A4B-C9927B23AC6E}" name="VF" dataDxfId="1443">
      <calculatedColumnFormula>IF(AE61="",0,AD61-AE61)</calculatedColumnFormula>
    </tableColumn>
    <tableColumn id="7" xr3:uid="{DBF62D62-C295-A247-9596-0520288E22C0}" name="BA" dataDxfId="1442">
      <calculatedColumnFormula>IF(AF61=0,0,AF61*AD$58)</calculatedColumnFormula>
    </tableColumn>
    <tableColumn id="6" xr3:uid="{DD6FAE16-A9DD-FE40-85CC-A0861695A028}" name="BR" dataDxfId="1441">
      <calculatedColumnFormula>IF(AG61&gt;0,EXP(-1.0587+0.8836*LN(AG61)+0.284),0)</calculatedColumnFormula>
    </tableColumn>
    <tableColumn id="5" xr3:uid="{B073384E-5FC6-4D4C-8ABA-F4AE9F7B778C}" name="CO2e_VE" dataDxfId="1440">
      <calculatedColumnFormula>SUM(AG61:AH61)*0.475*44/12</calculatedColumnFormula>
    </tableColumn>
  </tableColumns>
  <tableStyleInfo name="TableStyleMedium5" showFirstColumn="0" showLastColumn="0" showRowStripes="1" showColumnStripes="0"/>
</table>
</file>

<file path=xl/tables/table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2" xr:uid="{14353ECB-2320-674C-ACE8-FBE6EC2E423B}" name="Tableau12315916148413" displayName="Tableau12315916148413" ref="K176:Q196" totalsRowShown="0" headerRowDxfId="1439" dataDxfId="1438">
  <autoFilter ref="K176:Q196" xr:uid="{E87A25EC-F286-9D4B-AD2F-56962ABEBA58}"/>
  <tableColumns count="7">
    <tableColumn id="1" xr3:uid="{F47DD7A3-B09E-8649-A6E5-96480D39FA8A}" name="Annees" dataDxfId="1437"/>
    <tableColumn id="2" xr3:uid="{692C0C2F-4A8C-3349-ACD7-545AB5C015AB}" name="VE" dataDxfId="1436"/>
    <tableColumn id="3" xr3:uid="{B96D3F95-8419-B749-B458-5A14022E15DF}" name="Vprel" dataDxfId="1435">
      <calculatedColumnFormula>IF(OR(L177="",L177=0),0,IF(K177=1,((VLOOKUP(K$174,$G$4:$N$7,6,FALSE)-VLOOKUP(K$174,$G$4:$N$7,8,FALSE))/20),((VLOOKUP(K$174,$G$4:$N$7,6,FALSE)-VLOOKUP(K$174,$G$4:$N$7,8,FALSE))/20)+L177-N176))</calculatedColumnFormula>
    </tableColumn>
    <tableColumn id="4" xr3:uid="{3271893F-C4FF-4945-B83E-482CCAB96429}" name="VF" dataDxfId="1434">
      <calculatedColumnFormula>IF(L177="",0,L177-M177)</calculatedColumnFormula>
    </tableColumn>
    <tableColumn id="7" xr3:uid="{6372FBCD-90E2-5443-8245-88B125B5DD08}" name="BA" dataDxfId="1433"/>
    <tableColumn id="6" xr3:uid="{33EFFFBE-BA2C-9042-A2FC-E68C024B6089}" name="BR" dataDxfId="1432">
      <calculatedColumnFormula>IF(O177&gt;0,EXP(-1.0587+0.8836*LN(O177)+0.284),0)</calculatedColumnFormula>
    </tableColumn>
    <tableColumn id="5" xr3:uid="{B1646D57-35FE-0848-BCED-674C43F043ED}" name="CO2e_VE" dataDxfId="1431">
      <calculatedColumnFormula>SUM(O177:P177)*0.475*44/12</calculatedColumnFormula>
    </tableColumn>
  </tableColumns>
  <tableStyleInfo name="TableStyleMedium5" showFirstColumn="0" showLastColumn="0" showRowStripes="1" showColumnStripes="0"/>
</table>
</file>

<file path=xl/tables/table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3" xr:uid="{E31A8DCD-DA08-6A49-83F5-6468E74F6678}" name="Tableau12315916149414" displayName="Tableau12315916149414" ref="T176:Z196" totalsRowShown="0" headerRowDxfId="1430" dataDxfId="1429">
  <autoFilter ref="T176:Z196" xr:uid="{00AF933F-5FC7-A64D-8FD8-F28E6AD188D3}"/>
  <tableColumns count="7">
    <tableColumn id="1" xr3:uid="{A3F0398C-FF26-0A4C-8F7E-E689083F9EA6}" name="Annees" dataDxfId="1428"/>
    <tableColumn id="2" xr3:uid="{96BB2ABB-B15A-4445-8EDB-D65FAE1DD8F6}" name="VE" dataDxfId="1427"/>
    <tableColumn id="3" xr3:uid="{FB232B8D-FA13-B441-BFA9-63C36CEF4C08}" name="Vprel" dataDxfId="1426">
      <calculatedColumnFormula>IF(OR(U177="",U177=0),0,IF(T177=1,((VLOOKUP(T$174,$G$4:$N$7,6,FALSE)-VLOOKUP(T$174,$G$4:$N$7,8,FALSE))/20),((VLOOKUP(T$174,$G$4:$N$7,6,FALSE)-VLOOKUP(T$174,$G$4:$N$7,8,FALSE))/20)+U177-W176))</calculatedColumnFormula>
    </tableColumn>
    <tableColumn id="4" xr3:uid="{82AB8D38-8693-CF43-8225-A89A5680B59D}" name="VF" dataDxfId="1425">
      <calculatedColumnFormula>IF(U177="",0,U177-V177)</calculatedColumnFormula>
    </tableColumn>
    <tableColumn id="7" xr3:uid="{5683AAED-1876-FF4B-A654-6669EE10771D}" name="BA" dataDxfId="1424"/>
    <tableColumn id="6" xr3:uid="{5E8C8E9C-BA75-6046-B19A-2CAD247B5E07}" name="BR" dataDxfId="1423">
      <calculatedColumnFormula>IF(X177&gt;0,EXP(-1.0587+0.8836*LN(X177)+0.284),0)</calculatedColumnFormula>
    </tableColumn>
    <tableColumn id="5" xr3:uid="{0250940B-62EB-8D49-AE93-13B3E4EBBC7E}" name="CO2e_VE" dataDxfId="1422">
      <calculatedColumnFormula>SUM(X177:Y177)*0.475*44/12</calculatedColumnFormula>
    </tableColumn>
  </tableColumns>
  <tableStyleInfo name="TableStyleMedium5" showFirstColumn="0" showLastColumn="0" showRowStripes="1" showColumnStripes="0"/>
</table>
</file>

<file path=xl/tables/table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4" xr:uid="{1C220AB9-9E4F-024C-A00B-F2FBF47723FE}" name="Tableau12315916150415" displayName="Tableau12315916150415" ref="AC176:AI196" totalsRowShown="0" headerRowDxfId="1421" dataDxfId="1420">
  <autoFilter ref="AC176:AI196" xr:uid="{C6A80F40-886D-704F-AC51-4B4DF58DDF6E}"/>
  <tableColumns count="7">
    <tableColumn id="1" xr3:uid="{B34191D2-57F1-FD47-9793-A67D5B15E653}" name="Annees" dataDxfId="1419"/>
    <tableColumn id="2" xr3:uid="{0369439A-01B3-3042-BFB2-70406DE2988E}" name="VE" dataDxfId="1418"/>
    <tableColumn id="3" xr3:uid="{0D1240B3-8379-834E-A406-6C1C15B5FD93}" name="Vprel" dataDxfId="1417">
      <calculatedColumnFormula>IF(OR(AD177="",AD177=0),0,IF(AC177=1,((VLOOKUP(AC$174,$G$4:$N$7,6,FALSE)-VLOOKUP(AC$174,$G$4:$N$7,8,FALSE))/20),((VLOOKUP(AC$174,$G$4:$N$7,6,FALSE)-VLOOKUP(AC$174,$G$4:$N$7,8,FALSE))/20)+AD177-AF176))</calculatedColumnFormula>
    </tableColumn>
    <tableColumn id="4" xr3:uid="{6BABA016-FE6F-4540-8C9A-B3FFDFA952F6}" name="VF" dataDxfId="1416">
      <calculatedColumnFormula>IF(AD177="",0,AD177-AE177)</calculatedColumnFormula>
    </tableColumn>
    <tableColumn id="7" xr3:uid="{58003933-DF2D-C94C-B6B8-AF3F05FFD2C1}" name="BA" dataDxfId="1415"/>
    <tableColumn id="6" xr3:uid="{924FE0E1-D060-6F4F-A940-966CA0C53C9A}" name="BR" dataDxfId="1414">
      <calculatedColumnFormula>IF(AG177&gt;0,EXP(-1.0587+0.8836*LN(AG177)+0.284),0)</calculatedColumnFormula>
    </tableColumn>
    <tableColumn id="5" xr3:uid="{D05CD0D4-49FD-8F43-89B5-0FB222E8A8A8}" name="CO2e_VE" dataDxfId="1413">
      <calculatedColumnFormula>SUM(AG177:AH177)*0.475*44/12</calculatedColumnFormula>
    </tableColumn>
  </tableColumns>
  <tableStyleInfo name="TableStyleMedium5" showFirstColumn="0" showLastColumn="0" showRowStripes="1" showColumnStripes="0"/>
</table>
</file>

<file path=xl/tables/table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6" xr:uid="{E632719C-FB31-B846-84B7-61C8DE030103}" name="Tableau50417" displayName="Tableau50417" ref="A369:D389" totalsRowShown="0" headerRowDxfId="1412" dataDxfId="1411">
  <autoFilter ref="A369:D389" xr:uid="{808653D7-CA0C-C247-AD37-3D18E3BC0EC2}"/>
  <tableColumns count="4">
    <tableColumn id="1" xr3:uid="{82A803CB-1C3A-1F47-975B-F08CC55102B2}" name="Année" dataDxfId="1410"/>
    <tableColumn id="2" xr3:uid="{D978B155-4A9E-BF44-8FEE-C957B98495DB}" name="SQ_an" dataDxfId="1409">
      <calculatedColumnFormula>M285</calculatedColumnFormula>
    </tableColumn>
    <tableColumn id="3" xr3:uid="{957C26DB-972E-0341-BC03-DAE93C9F030D}" name="JP_an" dataDxfId="1408">
      <calculatedColumnFormula>N285</calculatedColumnFormula>
    </tableColumn>
    <tableColumn id="4" xr3:uid="{48E594D7-16AF-7E44-B5FE-8F8647D3AC5D}" name="ST_an" dataDxfId="1407">
      <calculatedColumnFormula>O285</calculatedColumnFormula>
    </tableColumn>
  </tableColumns>
  <tableStyleInfo name="TableStyleMedium5" showFirstColumn="0" showLastColumn="0" showRowStripes="1" showColumnStripes="0"/>
</table>
</file>

<file path=xl/tables/table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7" xr:uid="{F27D7903-A098-0342-9BAA-2E993C7F0422}" name="Tableau61418" displayName="Tableau61418" ref="A345:D366" totalsRowShown="0" headerRowDxfId="1406" dataDxfId="1405">
  <autoFilter ref="A345:D366" xr:uid="{FD2D6578-FF72-6C4C-B85F-1D85880865FA}"/>
  <tableColumns count="4">
    <tableColumn id="1" xr3:uid="{A067B9B5-7A69-B044-9462-9123067171E5}" name="Année" dataDxfId="1404"/>
    <tableColumn id="2" xr3:uid="{20A050F3-82C7-1242-8CD6-AE18786D24B9}" name="C02e_REF" dataDxfId="1403">
      <calculatedColumnFormula>IF(A346=0,SUM($S$4:$S$7),C284+D284+E284)</calculatedColumnFormula>
    </tableColumn>
    <tableColumn id="3" xr3:uid="{65A41EFF-310F-704E-BBE3-D8E461D62B1F}" name="CO2e_PRJ" dataDxfId="1402">
      <calculatedColumnFormula>IF(A346=0,SUM($S$4:$S$7),F284+G284+H284)</calculatedColumnFormula>
    </tableColumn>
    <tableColumn id="4" xr3:uid="{85184082-E4D0-3D43-AA2D-B5BCF5F453C6}" name="∆CO2e" dataDxfId="1401">
      <calculatedColumnFormula>C346-B346</calculatedColumnFormula>
    </tableColumn>
  </tableColumns>
  <tableStyleInfo name="TableStyleMedium5" showFirstColumn="0" showLastColumn="0" showRowStripes="1" showColumnStripes="0"/>
</table>
</file>

<file path=xl/tables/table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9" xr:uid="{C943413A-AF2A-FB47-AE08-C973AF814C03}" name="Tableau50196420" displayName="Tableau50196420" ref="A393:G413" totalsRowShown="0" headerRowDxfId="1400" dataDxfId="1399">
  <autoFilter ref="A393:G413" xr:uid="{A50B75D6-5903-EB44-8F19-04CE50A7A909}"/>
  <tableColumns count="7">
    <tableColumn id="1" xr3:uid="{B11B38D4-B311-D640-8AA6-B234AA794236}" name="Année" dataDxfId="1398"/>
    <tableColumn id="2" xr3:uid="{0A4B7FF5-D1BE-6247-9A6A-BA0A1F807A8E}" name="Vol_non récoltable" dataDxfId="1397">
      <calculatedColumnFormula>D$15</calculatedColumnFormula>
    </tableColumn>
    <tableColumn id="7" xr3:uid="{3AEDF577-204D-044E-B611-A85F0A7CA70B}" name="Vol_non prélevable" dataDxfId="1396">
      <calculatedColumnFormula>D$16+D$15</calculatedColumnFormula>
    </tableColumn>
    <tableColumn id="3" xr3:uid="{3FD6295E-419A-2144-B68D-4815A5212706}" name="VE_REF" dataDxfId="1395">
      <calculatedColumnFormula>AS61</calculatedColumnFormula>
    </tableColumn>
    <tableColumn id="4" xr3:uid="{584C9329-D201-AA48-8D1D-7D162DA37626}" name="VE_PRJ" dataDxfId="1394">
      <calculatedColumnFormula>AS177</calculatedColumnFormula>
    </tableColumn>
    <tableColumn id="5" xr3:uid="{B5E16FA1-2378-2147-9A0C-483A6FB43C47}" name="Vol_tot_Référence" dataDxfId="1393">
      <calculatedColumnFormula>IF($C$4="iRR",D394+B394,D394)</calculatedColumnFormula>
    </tableColumn>
    <tableColumn id="6" xr3:uid="{DBA316F0-C3E4-7A4E-A160-8955ECEC469C}" name="Vol_tot_Projet" dataDxfId="1392">
      <calculatedColumnFormula>IF($C$4="IRR",B394+E394,E394)</calculatedColumnFormula>
    </tableColumn>
  </tableColumns>
  <tableStyleInfo name="TableStyleMedium5" showFirstColumn="0" showLastColumn="0" showRowStripes="1" showColumnStripes="0"/>
</table>
</file>

<file path=xl/tables/table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0" xr:uid="{67BF4F10-5210-3D41-9219-EE75F3B975DA}" name="Tableau201421" displayName="Tableau201421" ref="AR60:AS80" totalsRowShown="0" headerRowDxfId="1391" dataDxfId="1390" tableBorderDxfId="1389">
  <autoFilter ref="AR60:AS80" xr:uid="{95A33E00-52B1-D847-A10F-033BDE2D4A60}"/>
  <tableColumns count="2">
    <tableColumn id="1" xr3:uid="{E50D48EC-ED96-F340-A5E2-D8DEA3AAF2F3}" name="Année" dataDxfId="1388"/>
    <tableColumn id="2" xr3:uid="{C24DEA72-B373-5F4D-ADB5-E31E53367E90}" name="VR" dataDxfId="1387">
      <calculatedColumnFormula>C61+L61+U61+AD61</calculatedColumnFormula>
    </tableColumn>
  </tableColumns>
  <tableStyleInfo name="TableStyleMedium5" showFirstColumn="0" showLastColumn="0" showRowStripes="1" showColumnStripes="0"/>
</table>
</file>

<file path=xl/tables/table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1" xr:uid="{947EA9B4-77F3-6449-AB1F-6B3A8E4DA1F8}" name="Tableau201204422" displayName="Tableau201204422" ref="AR176:AS196" totalsRowShown="0" headerRowDxfId="1386" dataDxfId="1385" tableBorderDxfId="1384">
  <autoFilter ref="AR176:AS196" xr:uid="{EC245EC4-4BFE-7445-87C7-32B506FA8737}"/>
  <tableColumns count="2">
    <tableColumn id="1" xr3:uid="{AB86AF32-6A99-F443-BDE0-E555C200A86B}" name="Année" dataDxfId="1383"/>
    <tableColumn id="2" xr3:uid="{0E535A57-AB9F-1946-9D05-7E76BA8E6E69}" name="VR" dataDxfId="1382">
      <calculatedColumnFormula>C177+L177+U177+AD177</calculatedColumnFormula>
    </tableColumn>
  </tableColumns>
  <tableStyleInfo name="TableStyleMedium5" showFirstColumn="0" showLastColumn="0" showRowStripes="1" showColumnStripes="0"/>
</table>
</file>

<file path=xl/tables/table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2" xr:uid="{2233AC8A-0B48-FB4F-AD52-795FDEA41228}" name="Tableau7578176423" displayName="Tableau7578176423" ref="B207:Z227" totalsRowShown="0" headerRowDxfId="1381" dataDxfId="1380">
  <autoFilter ref="B207:Z227" xr:uid="{00000000-0009-0000-0100-0000AF000000}"/>
  <tableColumns count="25">
    <tableColumn id="1" xr3:uid="{DD3741E0-6B2C-4A49-984C-FCD172BD9BE3}" name="Année" dataDxfId="1379"/>
    <tableColumn id="2" xr3:uid="{13161997-1B6D-184F-94CE-9F5A5CF60C8F}" name="JP_1" dataDxfId="1378">
      <calculatedColumnFormula>(C$202)*IF($B208&gt;=C$200,IF($B208=C$200,$E$19,VLOOKUP($B208-C$200,$B$19:$E$49,4,FALSE)),0)</calculatedColumnFormula>
    </tableColumn>
    <tableColumn id="3" xr3:uid="{B1A1E2BC-97CC-504C-9BC7-90A88CE59CA1}" name="JP_2" dataDxfId="1377">
      <calculatedColumnFormula>(D$202)*IF($B208&gt;=D$200,IF($B208=D$200,$E$19,VLOOKUP($B208-D$200,$B$19:$E$49,4,FALSE)),0)</calculatedColumnFormula>
    </tableColumn>
    <tableColumn id="4" xr3:uid="{0C3D00EA-AE7C-644C-AB51-9EA01A45D649}" name="JP_3" dataDxfId="1376">
      <calculatedColumnFormula>(E$202)*IF($B208&gt;=E$200,IF($B208=E$200,$E$19,VLOOKUP($B208-E$200,$B$19:$E$49,4,FALSE)),0)</calculatedColumnFormula>
    </tableColumn>
    <tableColumn id="5" xr3:uid="{BE657F2A-BF10-CB40-8CB2-6A5BD518A5B2}" name="JP_4" dataDxfId="1375">
      <calculatedColumnFormula>(F$202)*IF($B208&gt;=F$200,IF($B208=F$200,$E$19,VLOOKUP($B208-F$200,$B$19:$E$49,4,FALSE)),0)</calculatedColumnFormula>
    </tableColumn>
    <tableColumn id="6" xr3:uid="{BFAA72EA-5FF3-6642-9D47-366A858C30F4}" name="JP_5" dataDxfId="1374">
      <calculatedColumnFormula>(G$202)*IF($B208&gt;=G$200,IF($B208=G$200,$E$19,VLOOKUP($B208-G$200,$B$19:$E$49,4,FALSE)),0)</calculatedColumnFormula>
    </tableColumn>
    <tableColumn id="7" xr3:uid="{B564E08C-164B-EE47-9AE7-F4A9D4735CFB}" name="JP_6" dataDxfId="1373">
      <calculatedColumnFormula>(H$202)*IF($B208&gt;=H$200,IF($B208=H$200,$E$19,VLOOKUP($B208-H$200,$B$19:$E$49,4,FALSE)),0)</calculatedColumnFormula>
    </tableColumn>
    <tableColumn id="8" xr3:uid="{CD41200E-7B80-1547-92ED-B27F900991A6}" name="JP_7" dataDxfId="1372">
      <calculatedColumnFormula>(I$202)*IF($B208&gt;=I$200,IF($B208=I$200,$E$19,VLOOKUP($B208-I$200,$B$19:$E$49,4,FALSE)),0)</calculatedColumnFormula>
    </tableColumn>
    <tableColumn id="9" xr3:uid="{9157839D-D628-7145-8269-077E7C0DE4DD}" name="JP_8" dataDxfId="1371">
      <calculatedColumnFormula>(J$202)*IF($B208&gt;=J$200,IF($B208=J$200,$E$19,VLOOKUP($B208-J$200,$B$19:$E$49,4,FALSE)),0)</calculatedColumnFormula>
    </tableColumn>
    <tableColumn id="10" xr3:uid="{81ACE1FF-7960-2046-97B1-93BB9F6F3E79}" name="JP_9" dataDxfId="1370">
      <calculatedColumnFormula>(K$202)*IF($B208&gt;=K$200,IF($B208=K$200,$E$19,VLOOKUP($B208-K$200,$B$19:$E$49,4,FALSE)),0)</calculatedColumnFormula>
    </tableColumn>
    <tableColumn id="11" xr3:uid="{D7F484B6-1133-2948-9BA2-7F127E2B1B04}" name="JP_10" dataDxfId="1369">
      <calculatedColumnFormula>(L$202)*IF($B208&gt;=L$200,IF($B208=L$200,$E$19,VLOOKUP($B208-L$200,$B$19:$E$49,4,FALSE)),0)</calculatedColumnFormula>
    </tableColumn>
    <tableColumn id="12" xr3:uid="{28B92FA4-7553-AD43-AA38-AF8293A2B78D}" name="JP_11" dataDxfId="1368">
      <calculatedColumnFormula>(M$202)*IF($B208&gt;=M$200,IF($B208=M$200,$E$19,VLOOKUP($B208-M$200,$B$19:$E$49,4,FALSE)),0)</calculatedColumnFormula>
    </tableColumn>
    <tableColumn id="13" xr3:uid="{287A3684-C0A7-F441-9170-CCD0097C35E3}" name="JP_12" dataDxfId="1367">
      <calculatedColumnFormula>(N$202)*IF($B208&gt;=N$200,IF($B208=N$200,$E$19,VLOOKUP($B208-N$200,$B$19:$E$49,4,FALSE)),0)</calculatedColumnFormula>
    </tableColumn>
    <tableColumn id="14" xr3:uid="{ACB9E558-EF28-2F4F-930A-F2C17C6FFDAB}" name="JP_13" dataDxfId="1366">
      <calculatedColumnFormula>(O$202)*IF($B208&gt;=O$200,IF($B208=O$200,$E$19,VLOOKUP($B208-O$200,$B$19:$E$49,4,FALSE)),0)</calculatedColumnFormula>
    </tableColumn>
    <tableColumn id="15" xr3:uid="{8ED0F119-4225-EC48-8D09-C1EE9248A8A8}" name="JP_14" dataDxfId="1365">
      <calculatedColumnFormula>(P$202)*IF($B208&gt;=P$200,IF($B208=P$200,$E$19,VLOOKUP($B208-P$200,$B$19:$E$49,4,FALSE)),0)</calculatedColumnFormula>
    </tableColumn>
    <tableColumn id="16" xr3:uid="{33E6A35D-C052-2040-870B-9AD38B7DF753}" name="JP_15" dataDxfId="1364">
      <calculatedColumnFormula>(Q$202)*IF($B208&gt;=Q$200,IF($B208=Q$200,$E$19,VLOOKUP($B208-Q$200,$B$19:$E$49,4,FALSE)),0)</calculatedColumnFormula>
    </tableColumn>
    <tableColumn id="17" xr3:uid="{39AB5566-70E4-9B4E-8825-34D154B5A451}" name="JP_16" dataDxfId="1363">
      <calculatedColumnFormula>(R$202)*IF($B208&gt;=R$200,IF($B208=R$200,$E$19,VLOOKUP($B208-R$200,$B$19:$E$49,4,FALSE)),0)</calculatedColumnFormula>
    </tableColumn>
    <tableColumn id="18" xr3:uid="{F2E310B0-32A6-5942-8A9E-953C5DB18FB7}" name="JP_17" dataDxfId="1362">
      <calculatedColumnFormula>(S$202)*IF($B208&gt;=S$200,IF($B208=S$200,$E$19,VLOOKUP($B208-S$200,$B$19:$E$49,4,FALSE)),0)</calculatedColumnFormula>
    </tableColumn>
    <tableColumn id="19" xr3:uid="{A15D7623-F0D7-4849-A6B6-2D005D51BF57}" name="JP_18" dataDxfId="1361">
      <calculatedColumnFormula>(T$202)*IF($B208&gt;=T$200,IF($B208=T$200,$E$19,VLOOKUP($B208-T$200,$B$19:$E$49,4,FALSE)),0)</calculatedColumnFormula>
    </tableColumn>
    <tableColumn id="20" xr3:uid="{EF05F542-6367-FA41-8458-E0C2A4ACA004}" name="JP_19" dataDxfId="1360">
      <calculatedColumnFormula>(U$202)*IF($B208&gt;=U$200,IF($B208=U$200,$E$19,VLOOKUP($B208-U$200,$B$19:$E$49,4,FALSE)),0)</calculatedColumnFormula>
    </tableColumn>
    <tableColumn id="21" xr3:uid="{1C403A7B-8EAB-DC45-99A8-EDC79E76EFAB}" name="JP_20" dataDxfId="1359">
      <calculatedColumnFormula>(V$202)*IF($B208&gt;=V$200,IF($B208=V$200,$E$19,VLOOKUP($B208-V$200,$B$19:$E$49,4,FALSE)),0)</calculatedColumnFormula>
    </tableColumn>
    <tableColumn id="32" xr3:uid="{5C23D532-795D-2740-BE60-5CDBBD287BCA}" name="BA_JP" dataDxfId="1358">
      <calculatedColumnFormula>SUM(C208:V208)*D$11*C$11</calculatedColumnFormula>
    </tableColumn>
    <tableColumn id="33" xr3:uid="{8AA572B3-D883-0A47-A3FF-93AD66303D05}" name="BR_JP" dataDxfId="1357">
      <calculatedColumnFormula>IF(W208&gt;0,EXP(-1.0587+0.8836*LN(W208)+0.284),0)</calculatedColumnFormula>
    </tableColumn>
    <tableColumn id="34" xr3:uid="{1D1D7CEE-4850-9A4A-B558-1ACC3F9AC5C2}" name="CO2e_JP" dataDxfId="1356">
      <calculatedColumnFormula>SUM(W208:X208)*0.475*44/12</calculatedColumnFormula>
    </tableColumn>
    <tableColumn id="35" xr3:uid="{A3561B01-9034-534A-9104-FDD8D5AE819F}" name="V_JP_tot" dataDxfId="1355">
      <calculatedColumnFormula>SUM(C208:V208)</calculatedColumnFormula>
    </tableColumn>
  </tableColumns>
  <tableStyleInfo name="TableStyleMedium5"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00000000-000C-0000-FFFF-FFFF23000000}" name="Tableau45" displayName="Tableau45" ref="Q1:U13" totalsRowShown="0" headerRowDxfId="2191" dataDxfId="2190">
  <autoFilter ref="Q1:U13" xr:uid="{00000000-0009-0000-0100-00002D000000}"/>
  <tableColumns count="5">
    <tableColumn id="1" xr3:uid="{00000000-0010-0000-2300-000001000000}" name="Essence" dataDxfId="0">
      <calculatedColumnFormula>IF('1.GLOBAL'!B36="","",'1.GLOBAL'!B36)</calculatedColumnFormula>
    </tableColumn>
    <tableColumn id="5" xr3:uid="{3E25655E-37E0-2E49-B039-48A4CCE2C293}" name="RiskEss_choisi" dataDxfId="2189">
      <calculatedColumnFormula>IF(Q2="","",VLOOKUP(Q2,'1.GLOBAL'!$C$22:$G$33,3,FALSE))</calculatedColumnFormula>
    </tableColumn>
    <tableColumn id="3" xr3:uid="{5E5E3170-91E4-9A45-9D58-73FD746329A2}" name="% acc choisi" dataDxfId="2188">
      <calculatedColumnFormula>IF(Q2="","",VLOOKUP(Q2,'1.GLOBAL'!$C$22:$G$33,5,FALSE))</calculatedColumnFormula>
    </tableColumn>
    <tableColumn id="4" xr3:uid="{05EF44D3-267E-D94A-B987-E96409C7241C}" name="Drec" dataDxfId="2187" dataCellStyle="Monétaire">
      <calculatedColumnFormula>IF(Q2="","",MAX(VLOOKUP(Q2,Listes!$U$2:$V$12,2,FALSE),INDEX(Listes!$U$1:$AI$11,MATCH(Q2,Listes!$U$1:$U$11,0),MATCH($C$6,Listes!$U$1:$AI$1,0))))</calculatedColumnFormula>
    </tableColumn>
    <tableColumn id="6" xr3:uid="{23AEDD5E-EA67-2A42-8B13-69979B421432}" name="Type_ess" dataDxfId="2186" dataCellStyle="Monétaire">
      <calculatedColumnFormula>IF(OR(Q2=0,Q2=""),"",IF(VLOOKUP(Q2,Tableau44[[Cat_ess]:[Type_ess]],2,FALSE)="Feuillus","Feuillus","Résineux"))</calculatedColumnFormula>
    </tableColumn>
  </tableColumns>
  <tableStyleInfo name="TableStyleMedium7" showFirstColumn="0" showLastColumn="0" showRowStripes="1" showColumnStripes="0"/>
</table>
</file>

<file path=xl/tables/table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3" xr:uid="{BAD2BA79-B44C-4D47-95C5-7D6C1069DBD4}" name="Tableau222424" displayName="Tableau222424" ref="H18:N38" totalsRowShown="0" headerRowDxfId="1354" dataDxfId="1353">
  <autoFilter ref="H18:N38" xr:uid="{03AA723C-C13B-D048-AD45-FE162C87DF1A}"/>
  <tableColumns count="7">
    <tableColumn id="1" xr3:uid="{CD391B05-185B-9148-8158-02D5957CF02E}" name="Colonne1" dataDxfId="1352"/>
    <tableColumn id="7" xr3:uid="{271453D8-0A71-1C45-913F-A7C2A8B29EA0}" name="Surf_max" dataDxfId="1351">
      <calculatedColumnFormula>IF($C$4="REG",$C$7*INITIAL_FORET!K21,IF($C$4="RASE",$C$7*INITIAL_FORET!L24,0))</calculatedColumnFormula>
    </tableColumn>
    <tableColumn id="3" xr3:uid="{01AF37AF-2F4F-0D49-8434-4D63E260D9EF}" name="ESS_1" dataDxfId="1350">
      <calculatedColumnFormula array="1">IF($C$6=0,0,IF(INDEX($G$4:$M$7,RIGHT(J$18,1),6)="",0,IF($C$4="IRR",INDEX($G$4:$M$7,RIGHT(J$18,1),7)*80%/20,((INDEX($G$4:$M$7,RIGHT(J$18,1),7))/$C$6)*$I19)))</calculatedColumnFormula>
    </tableColumn>
    <tableColumn id="4" xr3:uid="{45CAC33E-AE2F-BF49-A4B0-3908C285F2B7}" name="ESS_2" dataDxfId="1349">
      <calculatedColumnFormula array="1">IF($C$6=0,0,IF(INDEX($G$4:$M$7,RIGHT(K$18,1),6)="",0,IF($C$4="IRR",INDEX($G$4:$M$7,RIGHT(K$18,1),7)*80%/20,((INDEX($G$4:$M$7,RIGHT(K$18,1),7))/$C$6)*$I19)))</calculatedColumnFormula>
    </tableColumn>
    <tableColumn id="5" xr3:uid="{31DD8125-E680-934A-8354-8AE0DBA25E9A}" name="ESS_3" dataDxfId="1348">
      <calculatedColumnFormula array="1">IF($C$6=0,0,IF(INDEX($G$4:$M$7,RIGHT(L$18,1),6)="",0,IF($C$4="IRR",INDEX($G$4:$M$7,RIGHT(L$18,1),7)*80%/20,((INDEX($G$4:$M$7,RIGHT(L$18,1),7))/$C$6)*$I19)))</calculatedColumnFormula>
    </tableColumn>
    <tableColumn id="6" xr3:uid="{017F466E-B984-1843-9352-06888EB60846}" name="ESS_4" dataDxfId="1347">
      <calculatedColumnFormula array="1">IF($C$6=0,0,IF(INDEX($G$4:$M$7,RIGHT(M$18,1),6)="",0,IF($C$4="IRR",INDEX($G$4:$M$7,RIGHT(M$18,1),7)*80%/20,((INDEX($G$4:$M$7,RIGHT(M$18,1),7))/$C$6)*$I19)))</calculatedColumnFormula>
    </tableColumn>
    <tableColumn id="8" xr3:uid="{1A42E177-1A98-D040-AB00-AF7EF7F66EC6}" name="TOTAL" dataDxfId="1346">
      <calculatedColumnFormula>SUM(J19:M19)</calculatedColumnFormula>
    </tableColumn>
  </tableColumns>
  <tableStyleInfo name="TableStyleMedium5" showFirstColumn="0" showLastColumn="0" showRowStripes="1" showColumnStripes="0"/>
</table>
</file>

<file path=xl/tables/table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F3D728A-9EA5-A64A-8079-506AD01257B5}" name="Tableau50196910" displayName="Tableau50196910" ref="A416:G436" totalsRowShown="0" headerRowDxfId="1345" dataDxfId="1344">
  <autoFilter ref="A416:G436" xr:uid="{0F3D728A-9EA5-A64A-8079-506AD01257B5}"/>
  <tableColumns count="7">
    <tableColumn id="1" xr3:uid="{8CDAD6A5-9FF6-1647-9F4C-61DD74AC4E93}" name="Année" dataDxfId="1343"/>
    <tableColumn id="2" xr3:uid="{C702715A-1989-B247-B905-088C32D3CA54}" name="Vol_non récoltable" dataDxfId="1342">
      <calculatedColumnFormula>D$15/$C$6</calculatedColumnFormula>
    </tableColumn>
    <tableColumn id="7" xr3:uid="{CB6E012F-CBC5-0D4D-973A-12126609B647}" name="Vol_non prélevable" dataDxfId="1341">
      <calculatedColumnFormula>(D$16+D$15)/$C$6</calculatedColumnFormula>
    </tableColumn>
    <tableColumn id="3" xr3:uid="{3B58DB9F-9A26-6B45-AA06-0870A0B415E7}" name="VRE_REF" dataDxfId="1340">
      <calculatedColumnFormula>AS61/$C$6</calculatedColumnFormula>
    </tableColumn>
    <tableColumn id="4" xr3:uid="{8D3CCC4D-EACD-5E4C-B03D-A3C580734792}" name="VRE_PRJ" dataDxfId="1339">
      <calculatedColumnFormula>AS177/$C$6</calculatedColumnFormula>
    </tableColumn>
    <tableColumn id="5" xr3:uid="{522355D3-74CB-C54F-8642-AEE3E6C709B2}" name="Vol_tot_Référence" dataDxfId="1338">
      <calculatedColumnFormula>IF($C$4="iRR",D417+B417,D417)</calculatedColumnFormula>
    </tableColumn>
    <tableColumn id="6" xr3:uid="{DAC72681-02B5-1348-99C3-7E4B61F76511}" name="Vol_tot_Projet" dataDxfId="1337">
      <calculatedColumnFormula>IF($C$4="IRR",B417+E417,E417)</calculatedColumnFormula>
    </tableColumn>
  </tableColumns>
  <tableStyleInfo name="TableStyleMedium5" showFirstColumn="0" showLastColumn="0" showRowStripes="1" showColumnStripes="0"/>
</table>
</file>

<file path=xl/tables/table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4" xr:uid="{3E985630-2EDF-E040-AAEF-7AB41CE9E642}" name="Tableau121632152386425" displayName="Tableau121632152386425" ref="B117:I137" totalsRowShown="0" headerRowDxfId="1336" dataDxfId="1335">
  <autoFilter ref="B117:I137" xr:uid="{00000000-0009-0000-0100-000097000000}"/>
  <tableColumns count="8">
    <tableColumn id="1" xr3:uid="{3C27CCAE-158F-8045-BC82-5F0DC9AD48CA}" name="Annees" dataDxfId="1334"/>
    <tableColumn id="2" xr3:uid="{E76B3666-EDEB-3744-8B59-EF765E3056D8}" name="V_prel" dataDxfId="1333">
      <calculatedColumnFormula>D61</calculatedColumnFormula>
    </tableColumn>
    <tableColumn id="7" xr3:uid="{648CF4B7-FC25-834C-8B5D-6D7DE3109702}" name="C_prel" dataDxfId="1332">
      <calculatedColumnFormula>IF(OR(C118=0,C118=""),0,C118*C$58*0.475)</calculatedColumnFormula>
    </tableColumn>
    <tableColumn id="8" xr3:uid="{352C3C46-8563-F640-A141-A95DCAC7E05E}" name="C_BE" dataDxfId="1331">
      <calculatedColumnFormula>IF(OR(D118=0,D118="",B$116=0),0,D118*INDEX(Listes!$K$1:$Q$12,MATCH(B$116,Listes!$K$1:$K$12,0),MATCH(E$117,Listes!$K$1:$Q$1,0)))</calculatedColumnFormula>
    </tableColumn>
    <tableColumn id="5" xr3:uid="{82CB0F6D-808E-EC4E-B7AD-BF4F45C014BF}" name="C_val" dataDxfId="1330">
      <calculatedColumnFormula>D118-E118</calculatedColumnFormula>
    </tableColumn>
    <tableColumn id="3" xr3:uid="{B46603B1-40C0-8047-8209-111D8B383988}" name="C_BO_sc" dataDxfId="1329">
      <calculatedColumnFormula>IF(OR(B$116=0,B$116=""),0,F118*INDEX(Listes!$K$15:$P$26,MATCH(B$116,Listes!$K$15:$K$26,0),MATCH(G$117,Listes!$K$15:$P$15,0))*INDEX(Listes!$K$29:$O$31,MATCH(C$116,Listes!$K$29:$K$31,0),MATCH(G$117,Listes!$K$29:$O$29,0)))</calculatedColumnFormula>
    </tableColumn>
    <tableColumn id="4" xr3:uid="{96F8FDBE-5B40-5E4E-A283-F9BD169E2A3A}" name="C_BO_ps" dataDxfId="1328">
      <calculatedColumnFormula>IF(OR(B$116=0,B$116=""),0,F118*INDEX(Listes!$K$15:$P$26,MATCH(B$116,Listes!$K$15:$K$26,0),MATCH(H$117,Listes!$K$15:$P$15,0))*INDEX(Listes!$K$29:$O$31,MATCH(C$116,Listes!$K$29:$K$31,0),MATCH(H$117,Listes!$K$29:$O$29,0)))</calculatedColumnFormula>
    </tableColumn>
    <tableColumn id="6" xr3:uid="{3C9BA8B7-9A0A-314E-93BC-B98D34B3B6C9}" name="C_BI_pap" dataDxfId="1327">
      <calculatedColumnFormula>IF(OR(B$116=0,B$116=""),0,F118*INDEX(Listes!$K$15:$P$26,MATCH(B$116,Listes!$K$15:$K$26,0),MATCH(I$117,Listes!$K$15:$P$15,0))*INDEX(Listes!$K$29:$O$31,MATCH(C$116,Listes!$K$29:$K$31,0),MATCH(I$117,Listes!$K$29:$O$29,0)))</calculatedColumnFormula>
    </tableColumn>
  </tableColumns>
  <tableStyleInfo name="TableStyleMedium5" showFirstColumn="0" showLastColumn="0" showRowStripes="1" showColumnStripes="0"/>
</table>
</file>

<file path=xl/tables/table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5" xr:uid="{CBC5E97B-BDCB-F14C-AFAF-E9C982E7486A}" name="Tableau12162134153387426" displayName="Tableau12162134153387426" ref="B144:X164" totalsRowShown="0" headerRowDxfId="1326" dataDxfId="1325">
  <autoFilter ref="B144:X164" xr:uid="{00000000-0009-0000-0100-000098000000}"/>
  <tableColumns count="23">
    <tableColumn id="1" xr3:uid="{D21D244A-67ED-E54A-B451-7B4BCE67CAD5}" name="Annee" dataDxfId="1324"/>
    <tableColumn id="2" xr3:uid="{B6CC9BC6-DCD5-9E4E-822F-A4C6A1D2976F}" name="C_LD" dataDxfId="1323">
      <calculatedColumnFormula>AT118+IF($B145=1,0,C144)</calculatedColumnFormula>
    </tableColumn>
    <tableColumn id="3" xr3:uid="{4E0C4A19-C508-C444-83A3-121C88CA4EBE}" name="C_MD_1" dataDxfId="1322">
      <calculatedColumnFormula>IF($B145&gt;=C$141,IF($B145=C$141,C$142,C$142*((20+C$141)-$B145)/20),0)*IF((20+C$141)-$B145&lt;0,0,1)</calculatedColumnFormula>
    </tableColumn>
    <tableColumn id="7" xr3:uid="{22924EEE-1F32-CD4D-A87C-6DE81D14DE84}" name="C_MD_2" dataDxfId="1321">
      <calculatedColumnFormula>IF($B145&gt;=D$141,IF($B145=D$141,D$142,D$142*((20+D$141)-$B145)/20),0)*IF((20+D$141)-$B145&lt;0,0,1)</calculatedColumnFormula>
    </tableColumn>
    <tableColumn id="8" xr3:uid="{590117AB-0820-E84C-8C0D-09BDB206C8D1}" name="C_MD_3" dataDxfId="1320">
      <calculatedColumnFormula>IF($B145&gt;=E$141,IF($B145=E$141,E$142,E$142*((20+E$141)-$B145)/20),0)*IF((20+E$141)-$B145&lt;0,0,1)</calculatedColumnFormula>
    </tableColumn>
    <tableColumn id="9" xr3:uid="{B07E53C8-1CDA-B14F-9F24-44A0BCDF0091}" name="C_MD_4" dataDxfId="1319">
      <calculatedColumnFormula>IF($B145&gt;=F$141,IF($B145=F$141,F$142,F$142*((20+F$141)-$B145)/20),0)*IF((20+F$141)-$B145&lt;0,0,1)</calculatedColumnFormula>
    </tableColumn>
    <tableColumn id="10" xr3:uid="{F288918E-0C5A-5145-89BC-60453C6797AC}" name="C_MD_5" dataDxfId="1318">
      <calculatedColumnFormula>IF($B145&gt;=G$141,IF($B145=G$141,G$142,G$142*((20+G$141)-$B145)/20),0)*IF((20+G$141)-$B145&lt;0,0,1)</calculatedColumnFormula>
    </tableColumn>
    <tableColumn id="11" xr3:uid="{8B540D67-AAFC-5B48-A472-B0B0DE6A9EC0}" name="C_MD_6" dataDxfId="1317">
      <calculatedColumnFormula>IF($B145&gt;=H$141,IF($B145=H$141,H$142,H$142*((20+H$141)-$B145)/20),0)*IF((20+H$141)-$B145&lt;0,0,1)</calculatedColumnFormula>
    </tableColumn>
    <tableColumn id="12" xr3:uid="{A84CDD64-2077-4740-B032-61AFCE1CAEB2}" name="C_MD_7" dataDxfId="1316">
      <calculatedColumnFormula>IF($B145&gt;=I$141,IF($B145=I$141,I$142,I$142*((20+I$141)-$B145)/20),0)*IF((20+I$141)-$B145&lt;0,0,1)</calculatedColumnFormula>
    </tableColumn>
    <tableColumn id="13" xr3:uid="{E343B6B4-65DE-EF43-9B7D-3F4819C98366}" name="C_MD_8" dataDxfId="1315">
      <calculatedColumnFormula>IF($B145&gt;=J$141,IF($B145=J$141,J$142,J$142*((20+J$141)-$B145)/20),0)*IF((20+J$141)-$B145&lt;0,0,1)</calculatedColumnFormula>
    </tableColumn>
    <tableColumn id="14" xr3:uid="{69D25A99-073A-E740-9D45-3FBCCD81DBB9}" name="C_MD_9" dataDxfId="1314">
      <calculatedColumnFormula>IF($B145&gt;=K$141,IF($B145=K$141,K$142,K$142*((20+K$141)-$B145)/20),0)*IF((20+K$141)-$B145&lt;0,0,1)</calculatedColumnFormula>
    </tableColumn>
    <tableColumn id="15" xr3:uid="{BDA93B26-CDA7-2344-AAB5-986F63EAB5DA}" name="C_MD_10" dataDxfId="1313">
      <calculatedColumnFormula>IF($B145&gt;=L$141,IF($B145=L$141,L$142,L$142*((20+L$141)-$B145)/20),0)*IF((20+L$141)-$B145&lt;0,0,1)</calculatedColumnFormula>
    </tableColumn>
    <tableColumn id="16" xr3:uid="{CF8ABD01-5158-7B4E-AE97-C1A971DFE21B}" name="C_MD_11" dataDxfId="1312">
      <calculatedColumnFormula>IF($B145&gt;=M$141,IF($B145=M$141,M$142,M$142*((20+M$141)-$B145)/20),0)*IF((20+M$141)-$B145&lt;0,0,1)</calculatedColumnFormula>
    </tableColumn>
    <tableColumn id="17" xr3:uid="{812BFD2A-8EB0-1B45-9C2A-00FC702C723D}" name="C_MD_12" dataDxfId="1311">
      <calculatedColumnFormula>IF($B145&gt;=N$141,IF($B145=N$141,N$142,N$142*((20+N$141)-$B145)/20),0)*IF((20+N$141)-$B145&lt;0,0,1)</calculatedColumnFormula>
    </tableColumn>
    <tableColumn id="18" xr3:uid="{712F7F82-E888-E844-B073-8AC7E220DF13}" name="C_MD_13" dataDxfId="1310">
      <calculatedColumnFormula>IF($B145&gt;=O$141,IF($B145=O$141,O$142,O$142*((20+O$141)-$B145)/20),0)*IF((20+O$141)-$B145&lt;0,0,1)</calculatedColumnFormula>
    </tableColumn>
    <tableColumn id="19" xr3:uid="{F99CE209-9D81-224A-8897-DC1D1154DE14}" name="C_MD_14" dataDxfId="1309">
      <calculatedColumnFormula>IF($B145&gt;=P$141,IF($B145=P$141,P$142,P$142*((20+P$141)-$B145)/20),0)*IF((20+P$141)-$B145&lt;0,0,1)</calculatedColumnFormula>
    </tableColumn>
    <tableColumn id="20" xr3:uid="{DEEF2DE7-19B4-6F41-B7A3-72DE0C92D152}" name="C_MD_15" dataDxfId="1308">
      <calculatedColumnFormula>IF($B145&gt;=Q$141,IF($B145=Q$141,Q$142,Q$142*((20+Q$141)-$B145)/20),0)*IF((20+Q$141)-$B145&lt;0,0,1)</calculatedColumnFormula>
    </tableColumn>
    <tableColumn id="21" xr3:uid="{627C5996-F465-524C-A9E1-D136BAD224B3}" name="C_MD_16" dataDxfId="1307">
      <calculatedColumnFormula>IF($B145&gt;=R$141,IF($B145=R$141,R$142,R$142*((20+R$141)-$B145)/20),0)*IF((20+R$141)-$B145&lt;0,0,1)</calculatedColumnFormula>
    </tableColumn>
    <tableColumn id="22" xr3:uid="{BAC16736-05CC-5447-B283-F924A91E9A94}" name="C_MD_17" dataDxfId="1306">
      <calculatedColumnFormula>IF($B145&gt;=S$141,IF($B145=S$141,S$142,S$142*((20+S$141)-$B145)/20),0)*IF((20+S$141)-$B145&lt;0,0,1)</calculatedColumnFormula>
    </tableColumn>
    <tableColumn id="23" xr3:uid="{2198E480-D776-6748-944D-6397CF04D598}" name="C_MD_18" dataDxfId="1305">
      <calculatedColumnFormula>IF($B145&gt;=T$141,IF($B145=T$141,T$142,T$142*((20+T$141)-$B145)/20),0)*IF((20+T$141)-$B145&lt;0,0,1)</calculatedColumnFormula>
    </tableColumn>
    <tableColumn id="24" xr3:uid="{AD9D0093-B9AE-4C42-816B-EB6B4E27E6C4}" name="C_MD_19" dataDxfId="1304">
      <calculatedColumnFormula>IF($B145&gt;=U$141,IF($B145=U$141,U$142,U$142*((20+U$141)-$B145)/20),0)*IF((20+U$141)-$B145&lt;0,0,1)</calculatedColumnFormula>
    </tableColumn>
    <tableColumn id="25" xr3:uid="{7308FADA-A753-6A4A-8474-6EE1414B030E}" name="C_MD_20" dataDxfId="1303">
      <calculatedColumnFormula>IF($B145&gt;=V$141,IF($B145=V$141,V$142,V$142*((20+V$141)-$B145)/20),0)*IF((20+V$141)-$B145&lt;0,0,1)</calculatedColumnFormula>
    </tableColumn>
    <tableColumn id="36" xr3:uid="{DEB41D5D-B630-4740-B22F-B3A49DD6BF60}" name="CO2e_ST_tot" dataDxfId="1302">
      <calculatedColumnFormula>SUM(C145:W145)*44/12</calculatedColumnFormula>
    </tableColumn>
  </tableColumns>
  <tableStyleInfo name="TableStyleMedium5" showFirstColumn="0" showLastColumn="0" showRowStripes="1" showColumnStripes="0"/>
</table>
</file>

<file path=xl/tables/table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6" xr:uid="{738CA8E4-3977-6E4A-BB59-6BB5A277737D}" name="Tableau46160388427" displayName="Tableau46160388427" ref="AP117:AU137" totalsRowShown="0" headerRowDxfId="1301" dataDxfId="1300">
  <autoFilter ref="AP117:AU137" xr:uid="{00000000-0009-0000-0100-00009F000000}"/>
  <tableColumns count="6">
    <tableColumn id="1" xr3:uid="{D909BB7E-AA84-464F-9C24-28A9EB3C0CBB}" name="Annees" dataDxfId="1299"/>
    <tableColumn id="2" xr3:uid="{2A0D6EE6-2F91-8B42-80E6-D82635C7E5E2}" name="C_BO_sc" dataDxfId="1298">
      <calculatedColumnFormula>SUM(G118,Q118,AA118,AK118)</calculatedColumnFormula>
    </tableColumn>
    <tableColumn id="3" xr3:uid="{0C23BFE7-43A5-3046-B72A-FD5DF39F7980}" name="C_BO_ps" dataDxfId="1297">
      <calculatedColumnFormula>SUM(H118,R118,AB118,AL118)</calculatedColumnFormula>
    </tableColumn>
    <tableColumn id="5" xr3:uid="{40F41D01-09C8-F444-94B6-17C81FD3475E}" name="C_BI_pap" dataDxfId="1296">
      <calculatedColumnFormula>SUM(I118,S118,AC118,AM118)</calculatedColumnFormula>
    </tableColumn>
    <tableColumn id="6" xr3:uid="{E7A49BA4-B746-7C41-AA15-15BCD0BEEBE6}" name="C_LD" dataDxfId="1295">
      <calculatedColumnFormula>AQ118*VLOOKUP(AQ$117,Tableau17[],4,FALSE)+AR118*VLOOKUP(AR$117,Tableau17[],4,FALSE)+AS118*VLOOKUP(AS$117,Tableau17[],4,FALSE)</calculatedColumnFormula>
    </tableColumn>
    <tableColumn id="7" xr3:uid="{9574CE3D-4F70-8D43-AB1E-CDC94A2A0AB5}" name="C_MD" dataDxfId="1294">
      <calculatedColumnFormula>AQ118*VLOOKUP(AQ$117,Tableau17[],3,FALSE)+AR118*VLOOKUP(AR$117,Tableau17[],3,FALSE)+AS118*VLOOKUP(AS$117,Tableau17[],3,FALSE)</calculatedColumnFormula>
    </tableColumn>
  </tableColumns>
  <tableStyleInfo name="TableStyleMedium5" showFirstColumn="0" showLastColumn="0" showRowStripes="1" showColumnStripes="0"/>
</table>
</file>

<file path=xl/tables/table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7" xr:uid="{9F297628-F3D7-3244-80E0-170ED652D4AC}" name="Tableau123159161389428" displayName="Tableau123159161389428" ref="B176:H196" totalsRowShown="0" headerRowDxfId="1293" dataDxfId="1292">
  <autoFilter ref="B176:H196" xr:uid="{00000000-0009-0000-0100-0000A0000000}"/>
  <tableColumns count="7">
    <tableColumn id="1" xr3:uid="{F1F87150-28BE-7644-9350-7D523031A69F}" name="Annees" dataDxfId="1291"/>
    <tableColumn id="2" xr3:uid="{336993E3-55A4-7942-98BA-5AB1B6FAC950}" name="VE" dataDxfId="1290"/>
    <tableColumn id="3" xr3:uid="{F543D434-8FB1-FB49-94FD-EB93AD438FC1}" name="Vprel" dataDxfId="1289">
      <calculatedColumnFormula>IF(OR(C177="",C177=0),0,IF(B177=1,((VLOOKUP(B$174,$G$4:$N$7,6,FALSE)-VLOOKUP(B$174,$G$4:$N$7,8,FALSE))/20),((VLOOKUP(B$174,$G$4:$N$7,6,FALSE)-VLOOKUP(B$174,$G$4:$N$7,8,FALSE))/20)+C177-E176))</calculatedColumnFormula>
    </tableColumn>
    <tableColumn id="4" xr3:uid="{45330C1C-7798-5143-9E75-D4302003073D}" name="VF" dataDxfId="1288">
      <calculatedColumnFormula>IF(C177="",0,C177-D177)</calculatedColumnFormula>
    </tableColumn>
    <tableColumn id="7" xr3:uid="{7F6CB583-92BC-624E-9863-D4AEB0761BD1}" name="BA" dataDxfId="1287">
      <calculatedColumnFormula>IF(Tableau123159161389428[[#This Row],[VF]]=0,0,Tableau123159161389428[[#This Row],[VF]]*C$58)</calculatedColumnFormula>
    </tableColumn>
    <tableColumn id="6" xr3:uid="{204C7E99-1A06-6D44-AF74-16DE11390262}" name="BR" dataDxfId="1286">
      <calculatedColumnFormula>IF(F177&gt;0,EXP(-1.0587+0.8836*LN(F177)+0.284),0)</calculatedColumnFormula>
    </tableColumn>
    <tableColumn id="5" xr3:uid="{B972B84C-E17B-9945-873A-284DA97AF887}" name="CO2e_VE" dataDxfId="1285">
      <calculatedColumnFormula>SUM(F177:G177)*0.475*44/12</calculatedColumnFormula>
    </tableColumn>
  </tableColumns>
  <tableStyleInfo name="TableStyleMedium5" showFirstColumn="0" showLastColumn="0" showRowStripes="1" showColumnStripes="0"/>
</table>
</file>

<file path=xl/tables/table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8" xr:uid="{A7553C42-45F8-904C-A958-CFE3C34B4E07}" name="Tableau12163260162390429" displayName="Tableau12163260162390429" ref="B232:I252" totalsRowShown="0" headerRowDxfId="1284" dataDxfId="1283">
  <autoFilter ref="B232:I252" xr:uid="{00000000-0009-0000-0100-0000A1000000}"/>
  <tableColumns count="8">
    <tableColumn id="1" xr3:uid="{1C5EA540-47E2-0848-86CE-74E1825F0681}" name="Annees" dataDxfId="1282"/>
    <tableColumn id="2" xr3:uid="{B92631E1-33C9-F84F-A149-22A728D784CA}" name="V_prel" dataDxfId="1281">
      <calculatedColumnFormula>D177</calculatedColumnFormula>
    </tableColumn>
    <tableColumn id="7" xr3:uid="{55B557EF-F505-2F4C-907E-0451D4ED3885}" name="C_prel" dataDxfId="1280">
      <calculatedColumnFormula>IF(OR(C233="",C233=0),0,C233*C$174*0.475)</calculatedColumnFormula>
    </tableColumn>
    <tableColumn id="9" xr3:uid="{1DF9BE85-0BA7-9042-8E11-BD008A122CBA}" name="C_BE" dataDxfId="1279">
      <calculatedColumnFormula>IF(OR(D233=0,D233="",B$116=0),0,D233*INDEX(Listes!$K$1:$Q$12,MATCH(B$116,Listes!$K$1:$K$12,0),MATCH(E$117,Listes!$K$1:$Q$1,0)))</calculatedColumnFormula>
    </tableColumn>
    <tableColumn id="8" xr3:uid="{02F21733-F5F6-1D46-B2F2-4D439FE379AF}" name="C_val" dataDxfId="1278">
      <calculatedColumnFormula>D233-E233</calculatedColumnFormula>
    </tableColumn>
    <tableColumn id="3" xr3:uid="{B9A4F6AE-FEDA-B140-B84A-13E346B7C974}" name="C_BO_sc" dataDxfId="1277">
      <calculatedColumnFormula>IF(OR(B$231=0,B$231=""),0,F233*INDEX(Listes!$K$15:$P$26,MATCH(B$231,Listes!$K$15:$K$26,0),MATCH(G$232,Listes!$K$15:$P$15,0))*INDEX(Listes!$K$29:$O$31,MATCH(C$231,Listes!$K$29:$K$31,0),MATCH(G$232,Listes!$K$29:$O$29,0)))</calculatedColumnFormula>
    </tableColumn>
    <tableColumn id="4" xr3:uid="{AB16B70F-3558-3648-BDDB-BCBD3BC3828A}" name="C_BO_ps" dataDxfId="1276">
      <calculatedColumnFormula>IF(OR(B$231=0,B$231=""),0,F233*INDEX(Listes!$K$15:$P$26,MATCH(B$231,Listes!$K$15:$K$26,0),MATCH(H$232,Listes!$K$15:$P$15,0))*INDEX(Listes!$K$29:$O$31,MATCH(C$231,Listes!$K$29:$K$31,0),MATCH(H$232,Listes!$K$29:$O$29,0)))</calculatedColumnFormula>
    </tableColumn>
    <tableColumn id="6" xr3:uid="{CDBEF1D1-12A5-0D43-8D8F-B49711CA62F4}" name="C_BI_pap" dataDxfId="1275">
      <calculatedColumnFormula>IF(OR(B$231=0,B$231=""),0,F233*INDEX(Listes!$K$15:$P$26,MATCH(B$231,Listes!$K$15:$K$26,0),MATCH(I$232,Listes!$K$15:$P$15,0))*INDEX(Listes!$K$29:$O$31,MATCH(C$231,Listes!$K$29:$K$31,0),MATCH(I$232,Listes!$K$29:$O$29,0)))</calculatedColumnFormula>
    </tableColumn>
  </tableColumns>
  <tableStyleInfo name="TableStyleMedium5" showFirstColumn="0" showLastColumn="0" showRowStripes="1" showColumnStripes="0"/>
</table>
</file>

<file path=xl/tables/table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9" xr:uid="{028B8C3D-4155-3E47-BB7D-BBC6A1A7199E}" name="Tableau1216213461163391430" displayName="Tableau1216213461163391430" ref="B259:X279" totalsRowShown="0" headerRowDxfId="1274" dataDxfId="1273">
  <autoFilter ref="B259:X279" xr:uid="{00000000-0009-0000-0100-0000A2000000}"/>
  <tableColumns count="23">
    <tableColumn id="1" xr3:uid="{AFB668C3-C43C-544B-8BAB-71568B028684}" name="Annee" dataDxfId="1272"/>
    <tableColumn id="2" xr3:uid="{F81C155D-1FA7-6243-B102-E79539A8C95D}" name="C_LD" dataDxfId="1271">
      <calculatedColumnFormula>AT233+IF($B260=1,0,C259)</calculatedColumnFormula>
    </tableColumn>
    <tableColumn id="3" xr3:uid="{6D9F5427-AB45-8041-91DB-EBAE67C05952}" name="C_MD_1" dataDxfId="1270">
      <calculatedColumnFormula>IF($B260&gt;=C$256,IF($B260=C$256,C$257,C$257*((20+C$256)-$B260)/20),0)*IF((20+C$256)-$B260&lt;0,0,1)</calculatedColumnFormula>
    </tableColumn>
    <tableColumn id="7" xr3:uid="{B0B98E59-D49B-7946-B5AA-C4BA00468547}" name="C_MD_2" dataDxfId="1269">
      <calculatedColumnFormula>IF($B260&gt;=D$256,IF($B260=D$256,D$257,D$257*((20+D$256)-$B260)/20),0)*IF((20+D$256)-$B260&lt;0,0,1)</calculatedColumnFormula>
    </tableColumn>
    <tableColumn id="8" xr3:uid="{FDE548B0-582B-CB4A-A56A-8FD4EBD6F351}" name="C_MD_3" dataDxfId="1268">
      <calculatedColumnFormula>IF($B260&gt;=E$256,IF($B260=E$256,E$257,E$257*((20+E$256)-$B260)/20),0)*IF((20+E$256)-$B260&lt;0,0,1)</calculatedColumnFormula>
    </tableColumn>
    <tableColumn id="9" xr3:uid="{54DC467C-43D8-144F-B895-827FC6649F10}" name="C_MD_4" dataDxfId="1267">
      <calculatedColumnFormula>IF($B260&gt;=F$256,IF($B260=F$256,F$257,F$257*((20+F$256)-$B260)/20),0)*IF((20+F$256)-$B260&lt;0,0,1)</calculatedColumnFormula>
    </tableColumn>
    <tableColumn id="10" xr3:uid="{5D035801-1047-B646-9CE7-6DB5680ABCBB}" name="C_MD_5" dataDxfId="1266">
      <calculatedColumnFormula>IF($B260&gt;=G$256,IF($B260=G$256,G$257,G$257*((20+G$256)-$B260)/20),0)*IF((20+G$256)-$B260&lt;0,0,1)</calculatedColumnFormula>
    </tableColumn>
    <tableColumn id="11" xr3:uid="{7BCA51C8-1462-9C42-B933-3440F90E3F48}" name="C_MD_6" dataDxfId="1265">
      <calculatedColumnFormula>IF($B260&gt;=H$256,IF($B260=H$256,H$257,H$257*((20+H$256)-$B260)/20),0)*IF((20+H$256)-$B260&lt;0,0,1)</calculatedColumnFormula>
    </tableColumn>
    <tableColumn id="12" xr3:uid="{2E54DC24-4120-FA48-81F4-AB8F284317F7}" name="C_MD_7" dataDxfId="1264">
      <calculatedColumnFormula>IF($B260&gt;=I$256,IF($B260=I$256,I$257,I$257*((20+I$256)-$B260)/20),0)*IF((20+I$256)-$B260&lt;0,0,1)</calculatedColumnFormula>
    </tableColumn>
    <tableColumn id="13" xr3:uid="{E3F79774-0E08-8247-8656-EEE20ED0245D}" name="C_MD_8" dataDxfId="1263">
      <calculatedColumnFormula>IF($B260&gt;=J$256,IF($B260=J$256,J$257,J$257*((20+J$256)-$B260)/20),0)*IF((20+J$256)-$B260&lt;0,0,1)</calculatedColumnFormula>
    </tableColumn>
    <tableColumn id="14" xr3:uid="{328A095C-CE7E-0246-82CC-E419D16E8642}" name="C_MD_9" dataDxfId="1262">
      <calculatedColumnFormula>IF($B260&gt;=K$256,IF($B260=K$256,K$257,K$257*((20+K$256)-$B260)/20),0)*IF((20+K$256)-$B260&lt;0,0,1)</calculatedColumnFormula>
    </tableColumn>
    <tableColumn id="15" xr3:uid="{DB6BBCAB-7DAD-A547-A938-AE3515801472}" name="C_MD_10" dataDxfId="1261">
      <calculatedColumnFormula>IF($B260&gt;=L$256,IF($B260=L$256,L$257,L$257*((20+L$256)-$B260)/20),0)*IF((20+L$256)-$B260&lt;0,0,1)</calculatedColumnFormula>
    </tableColumn>
    <tableColumn id="16" xr3:uid="{9E9B86E3-324F-0F43-B8AB-E805C88202A8}" name="C_MD_11" dataDxfId="1260">
      <calculatedColumnFormula>IF($B260&gt;=M$256,IF($B260=M$256,M$257,M$257*((20+M$256)-$B260)/20),0)*IF((20+M$256)-$B260&lt;0,0,1)</calculatedColumnFormula>
    </tableColumn>
    <tableColumn id="17" xr3:uid="{51AEBE04-1CE0-FD44-8A1B-D1D359884BFF}" name="C_MD_12" dataDxfId="1259">
      <calculatedColumnFormula>IF($B260&gt;=N$256,IF($B260=N$256,N$257,N$257*((20+N$256)-$B260)/20),0)*IF((20+N$256)-$B260&lt;0,0,1)</calculatedColumnFormula>
    </tableColumn>
    <tableColumn id="18" xr3:uid="{9813F530-93A8-AE46-B042-8C338942686C}" name="C_MD_13" dataDxfId="1258">
      <calculatedColumnFormula>IF($B260&gt;=O$256,IF($B260=O$256,O$257,O$257*((20+O$256)-$B260)/20),0)*IF((20+O$256)-$B260&lt;0,0,1)</calculatedColumnFormula>
    </tableColumn>
    <tableColumn id="19" xr3:uid="{179B99C3-C18A-B440-8A1C-29D1D5300E92}" name="C_MD_14" dataDxfId="1257">
      <calculatedColumnFormula>IF($B260&gt;=P$256,IF($B260=P$256,P$257,P$257*((20+P$256)-$B260)/20),0)*IF((20+P$256)-$B260&lt;0,0,1)</calculatedColumnFormula>
    </tableColumn>
    <tableColumn id="20" xr3:uid="{2477063E-6FE0-8346-ADAD-7911AA56B8CF}" name="C_MD_15" dataDxfId="1256">
      <calculatedColumnFormula>IF($B260&gt;=Q$256,IF($B260=Q$256,Q$257,Q$257*((20+Q$256)-$B260)/20),0)*IF((20+Q$256)-$B260&lt;0,0,1)</calculatedColumnFormula>
    </tableColumn>
    <tableColumn id="21" xr3:uid="{27AF10B8-7DC2-8E4D-8A55-7655FC7DAC83}" name="C_MD_16" dataDxfId="1255">
      <calculatedColumnFormula>IF($B260&gt;=R$256,IF($B260=R$256,R$257,R$257*((20+R$256)-$B260)/20),0)*IF((20+R$256)-$B260&lt;0,0,1)</calculatedColumnFormula>
    </tableColumn>
    <tableColumn id="22" xr3:uid="{CA832D5C-877D-0140-B5EB-BD9E6938BD0E}" name="C_MD_17" dataDxfId="1254">
      <calculatedColumnFormula>IF($B260&gt;=S$256,IF($B260=S$256,S$257,S$257*((20+S$256)-$B260)/20),0)*IF((20+S$256)-$B260&lt;0,0,1)</calculatedColumnFormula>
    </tableColumn>
    <tableColumn id="23" xr3:uid="{EB20767B-2055-F24B-B1B5-FCD9A7CE8912}" name="C_MD_18" dataDxfId="1253">
      <calculatedColumnFormula>IF($B260&gt;=T$256,IF($B260=T$256,T$257,T$257*((20+T$256)-$B260)/20),0)*IF((20+T$256)-$B260&lt;0,0,1)</calculatedColumnFormula>
    </tableColumn>
    <tableColumn id="24" xr3:uid="{02B271C9-ABED-0B47-A744-B179DAD7EC01}" name="C_MD_19" dataDxfId="1252">
      <calculatedColumnFormula>IF($B260&gt;=U$256,IF($B260=U$256,U$257,U$257*((20+U$256)-$B260)/20),0)*IF((20+U$256)-$B260&lt;0,0,1)</calculatedColumnFormula>
    </tableColumn>
    <tableColumn id="25" xr3:uid="{C564E766-8BAA-4942-8B6F-59F57CC13680}" name="C_MD_20" dataDxfId="1251">
      <calculatedColumnFormula>IF($B260&gt;=V$256,IF($B260=V$256,V$257,V$257*((20+V$256)-$B260)/20),0)*IF((20+V$256)-$B260&lt;0,0,1)</calculatedColumnFormula>
    </tableColumn>
    <tableColumn id="36" xr3:uid="{A1ADD357-5385-BA49-9AD8-D32FF328A67C}" name="CO2e_ST_tot" dataDxfId="1250">
      <calculatedColumnFormula>SUM(C260:W260)*44/12</calculatedColumnFormula>
    </tableColumn>
  </tableColumns>
  <tableStyleInfo name="TableStyleMedium5" showFirstColumn="0" showLastColumn="0" showRowStripes="1" showColumnStripes="0"/>
</table>
</file>

<file path=xl/tables/table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0" xr:uid="{813F7F1F-ADD3-C048-B2DC-197FFD971C00}" name="Tableau4668167392431" displayName="Tableau4668167392431" ref="AP232:AU252" totalsRowShown="0" headerRowDxfId="1249" dataDxfId="1248">
  <autoFilter ref="AP232:AU252" xr:uid="{00000000-0009-0000-0100-0000A6000000}"/>
  <tableColumns count="6">
    <tableColumn id="1" xr3:uid="{E3600EF4-49F4-4B4F-9D48-EF708CA6DCC6}" name="Annees" dataDxfId="1247"/>
    <tableColumn id="2" xr3:uid="{7293BC6E-14B3-B744-A473-536097474F15}" name="C_BO_sc" dataDxfId="1246">
      <calculatedColumnFormula>SUM(G233,Q233,AA233,AK233)</calculatedColumnFormula>
    </tableColumn>
    <tableColumn id="3" xr3:uid="{A03A4F83-DB1E-2243-B7D8-7DA4DF757C14}" name="C_BO_ps" dataDxfId="1245">
      <calculatedColumnFormula>SUM(H233,R233,AB233,AL233)</calculatedColumnFormula>
    </tableColumn>
    <tableColumn id="5" xr3:uid="{0E7681FC-2F09-084D-A903-AABBC533F971}" name="C_BI_pap" dataDxfId="1244">
      <calculatedColumnFormula>SUM(I233,S233,AC233,AM233)</calculatedColumnFormula>
    </tableColumn>
    <tableColumn id="6" xr3:uid="{9E6D4B79-348A-E847-A728-C94AB5FAF5EC}" name="C_LD" dataDxfId="1243">
      <calculatedColumnFormula>AQ233*VLOOKUP(AQ$232,Tableau17[],4,FALSE)+AR233*VLOOKUP(AR$232,Tableau17[],4,FALSE)+AS233*VLOOKUP(AS$232,Tableau17[],4,FALSE)</calculatedColumnFormula>
    </tableColumn>
    <tableColumn id="7" xr3:uid="{5ED45C9F-545C-924A-B5BA-0659800D659A}" name="C_MD" dataDxfId="1242">
      <calculatedColumnFormula>AQ233*VLOOKUP(AQ$232,Tableau17[],3,FALSE)+AR233*VLOOKUP(AR$232,Tableau17[],3,FALSE)+AS233*VLOOKUP(AS$232,Tableau17[],3,FALSE)</calculatedColumnFormula>
    </tableColumn>
  </tableColumns>
  <tableStyleInfo name="TableStyleMedium5" showFirstColumn="0" showLastColumn="0" showRowStripes="1" showColumnStripes="0"/>
</table>
</file>

<file path=xl/tables/table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1" xr:uid="{6075106F-845F-A249-ABD0-E569CBFE3E8F}" name="Tableau122033171393432" displayName="Tableau122033171393432" ref="B284:I304" totalsRowShown="0" headerRowDxfId="1241" dataDxfId="1240">
  <autoFilter ref="B284:I304" xr:uid="{00000000-0009-0000-0100-0000AA000000}"/>
  <tableColumns count="8">
    <tableColumn id="1" xr3:uid="{80CDC3DC-D49C-B447-B2E8-2B19EE682B50}" name="Annees" dataDxfId="1239"/>
    <tableColumn id="2" xr3:uid="{376DB4C3-2EF4-C446-B3EF-C7E289755FF0}" name="SQ_REF_CO2e" dataDxfId="1238">
      <calculatedColumnFormula>SUM(H61,Q61,Z61,AI61)</calculatedColumnFormula>
    </tableColumn>
    <tableColumn id="4" xr3:uid="{70503ADB-1EF5-1340-8825-AA55B3EAE10B}" name="JP_REF_CO2e" dataDxfId="1237">
      <calculatedColumnFormula>Y92</calculatedColumnFormula>
    </tableColumn>
    <tableColumn id="7" xr3:uid="{DBC23D78-4380-3847-A1BF-E9C9444A4D07}" name="ST_REF_CO2e" dataDxfId="1236">
      <calculatedColumnFormula>X145</calculatedColumnFormula>
    </tableColumn>
    <tableColumn id="8" xr3:uid="{98363345-BE1A-374C-9A29-5A6E009E5B7D}" name="SQ_PRJ_CO2e" dataDxfId="1235">
      <calculatedColumnFormula>SUM(H177,Q177,Z177,AI177)</calculatedColumnFormula>
    </tableColumn>
    <tableColumn id="5" xr3:uid="{A8281A72-8F2C-184C-AD4E-F70195B48863}" name="JP_PRJ_CO2e" dataDxfId="1234">
      <calculatedColumnFormula>Y208</calculatedColumnFormula>
    </tableColumn>
    <tableColumn id="9" xr3:uid="{5417CCBB-29D5-AA4A-AC9B-F1666AF5E5D7}" name="ST_PRJ_CO2e" dataDxfId="1233">
      <calculatedColumnFormula>X260</calculatedColumnFormula>
    </tableColumn>
    <tableColumn id="3" xr3:uid="{98690003-2CB3-E949-83AD-A94F7B89DDBF}" name="Delta_CO2e" dataDxfId="1232">
      <calculatedColumnFormula>F285-C285+G285-D285+H285-E285</calculatedColumnFormula>
    </tableColumn>
  </tableColumns>
  <tableStyleInfo name="TableStyleMedium5" showFirstColumn="0" showLastColumn="0" showRowStripes="1" showColumnStripes="0"/>
</table>
</file>

<file path=xl/theme/theme1.xml><?xml version="1.0" encoding="utf-8"?>
<a:theme xmlns:a="http://schemas.openxmlformats.org/drawingml/2006/main" name="Thème Office 2013 –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E21" dT="2024-09-20T13:46:45.83" personId="{0664C5A7-B12A-1944-B961-BC198F902F09}" id="{4E219D9F-EB52-E84E-B6D9-DB05460DAE8D}">
    <text>Par défaut, la valeur de la colonne D est conservée. 
Une valeur plus élevée peut être renseignée.</text>
  </threadedComment>
</ThreadedComments>
</file>

<file path=xl/threadedComments/threadedComment2.xml><?xml version="1.0" encoding="utf-8"?>
<ThreadedComments xmlns="http://schemas.microsoft.com/office/spreadsheetml/2018/threadedcomments" xmlns:x="http://schemas.openxmlformats.org/spreadsheetml/2006/main">
  <threadedComment ref="I1" dT="2022-07-12T08:24:07.05" personId="{8373FA9A-7075-B34D-8AE9-26ECBDFC8470}" id="{A7B84798-F2C9-1B45-9AA6-A0ADFE4BA752}">
    <text xml:space="preserve">Rajouter Région et Clé ID
</text>
  </threadedComment>
  <threadedComment ref="I15" dT="2022-07-12T08:24:07.05" personId="{8373FA9A-7075-B34D-8AE9-26ECBDFC8470}" id="{1BA506EE-FDC1-8F4B-A55B-C5E21C88F0F6}">
    <text xml:space="preserve">Rajouter Région et Clé ID
</text>
  </threadedComment>
  <threadedComment ref="A55" dT="2022-07-12T08:24:07.05" personId="{8373FA9A-7075-B34D-8AE9-26ECBDFC8470}" id="{BBE0D693-9F8A-E34E-A3DB-446E49976FDD}">
    <text xml:space="preserve">Rajouter Région et Clé ID
</text>
  </threadedComment>
</ThreadedComments>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8" Type="http://schemas.openxmlformats.org/officeDocument/2006/relationships/table" Target="../tables/table175.xml"/><Relationship Id="rId13" Type="http://schemas.openxmlformats.org/officeDocument/2006/relationships/table" Target="../tables/table180.xml"/><Relationship Id="rId3" Type="http://schemas.openxmlformats.org/officeDocument/2006/relationships/table" Target="../tables/table170.xml"/><Relationship Id="rId7" Type="http://schemas.openxmlformats.org/officeDocument/2006/relationships/table" Target="../tables/table174.xml"/><Relationship Id="rId12" Type="http://schemas.openxmlformats.org/officeDocument/2006/relationships/table" Target="../tables/table179.xml"/><Relationship Id="rId2" Type="http://schemas.openxmlformats.org/officeDocument/2006/relationships/table" Target="../tables/table169.xml"/><Relationship Id="rId16" Type="http://schemas.openxmlformats.org/officeDocument/2006/relationships/table" Target="../tables/table183.xml"/><Relationship Id="rId1" Type="http://schemas.openxmlformats.org/officeDocument/2006/relationships/table" Target="../tables/table168.xml"/><Relationship Id="rId6" Type="http://schemas.openxmlformats.org/officeDocument/2006/relationships/table" Target="../tables/table173.xml"/><Relationship Id="rId11" Type="http://schemas.openxmlformats.org/officeDocument/2006/relationships/table" Target="../tables/table178.xml"/><Relationship Id="rId5" Type="http://schemas.openxmlformats.org/officeDocument/2006/relationships/table" Target="../tables/table172.xml"/><Relationship Id="rId15" Type="http://schemas.openxmlformats.org/officeDocument/2006/relationships/table" Target="../tables/table182.xml"/><Relationship Id="rId10" Type="http://schemas.openxmlformats.org/officeDocument/2006/relationships/table" Target="../tables/table177.xml"/><Relationship Id="rId4" Type="http://schemas.openxmlformats.org/officeDocument/2006/relationships/table" Target="../tables/table171.xml"/><Relationship Id="rId9" Type="http://schemas.openxmlformats.org/officeDocument/2006/relationships/table" Target="../tables/table176.xml"/><Relationship Id="rId14" Type="http://schemas.openxmlformats.org/officeDocument/2006/relationships/table" Target="../tables/table181.xml"/></Relationships>
</file>

<file path=xl/worksheets/_rels/sheet11.xml.rels><?xml version="1.0" encoding="UTF-8" standalone="yes"?>
<Relationships xmlns="http://schemas.openxmlformats.org/package/2006/relationships"><Relationship Id="rId3" Type="http://schemas.openxmlformats.org/officeDocument/2006/relationships/table" Target="../tables/table186.xml"/><Relationship Id="rId2" Type="http://schemas.openxmlformats.org/officeDocument/2006/relationships/table" Target="../tables/table185.xml"/><Relationship Id="rId1" Type="http://schemas.openxmlformats.org/officeDocument/2006/relationships/table" Target="../tables/table184.xml"/><Relationship Id="rId4" Type="http://schemas.openxmlformats.org/officeDocument/2006/relationships/table" Target="../tables/table187.xml"/></Relationships>
</file>

<file path=xl/worksheets/_rels/sheet12.xml.rels><?xml version="1.0" encoding="UTF-8" standalone="yes"?>
<Relationships xmlns="http://schemas.openxmlformats.org/package/2006/relationships"><Relationship Id="rId1" Type="http://schemas.openxmlformats.org/officeDocument/2006/relationships/table" Target="../tables/table188.xml"/></Relationships>
</file>

<file path=xl/worksheets/_rels/sheet13.xml.rels><?xml version="1.0" encoding="UTF-8" standalone="yes"?>
<Relationships xmlns="http://schemas.openxmlformats.org/package/2006/relationships"><Relationship Id="rId26" Type="http://schemas.openxmlformats.org/officeDocument/2006/relationships/table" Target="../tables/table214.xml"/><Relationship Id="rId21" Type="http://schemas.openxmlformats.org/officeDocument/2006/relationships/table" Target="../tables/table209.xml"/><Relationship Id="rId34" Type="http://schemas.openxmlformats.org/officeDocument/2006/relationships/table" Target="../tables/table222.xml"/><Relationship Id="rId42" Type="http://schemas.openxmlformats.org/officeDocument/2006/relationships/table" Target="../tables/table230.xml"/><Relationship Id="rId47" Type="http://schemas.openxmlformats.org/officeDocument/2006/relationships/table" Target="../tables/table235.xml"/><Relationship Id="rId50" Type="http://schemas.openxmlformats.org/officeDocument/2006/relationships/table" Target="../tables/table238.xml"/><Relationship Id="rId55" Type="http://schemas.openxmlformats.org/officeDocument/2006/relationships/table" Target="../tables/table243.xml"/><Relationship Id="rId63" Type="http://schemas.openxmlformats.org/officeDocument/2006/relationships/table" Target="../tables/table251.xml"/><Relationship Id="rId7" Type="http://schemas.openxmlformats.org/officeDocument/2006/relationships/table" Target="../tables/table195.xml"/><Relationship Id="rId2" Type="http://schemas.openxmlformats.org/officeDocument/2006/relationships/table" Target="../tables/table190.xml"/><Relationship Id="rId16" Type="http://schemas.openxmlformats.org/officeDocument/2006/relationships/table" Target="../tables/table204.xml"/><Relationship Id="rId29" Type="http://schemas.openxmlformats.org/officeDocument/2006/relationships/table" Target="../tables/table217.xml"/><Relationship Id="rId11" Type="http://schemas.openxmlformats.org/officeDocument/2006/relationships/table" Target="../tables/table199.xml"/><Relationship Id="rId24" Type="http://schemas.openxmlformats.org/officeDocument/2006/relationships/table" Target="../tables/table212.xml"/><Relationship Id="rId32" Type="http://schemas.openxmlformats.org/officeDocument/2006/relationships/table" Target="../tables/table220.xml"/><Relationship Id="rId37" Type="http://schemas.openxmlformats.org/officeDocument/2006/relationships/table" Target="../tables/table225.xml"/><Relationship Id="rId40" Type="http://schemas.openxmlformats.org/officeDocument/2006/relationships/table" Target="../tables/table228.xml"/><Relationship Id="rId45" Type="http://schemas.openxmlformats.org/officeDocument/2006/relationships/table" Target="../tables/table233.xml"/><Relationship Id="rId53" Type="http://schemas.openxmlformats.org/officeDocument/2006/relationships/table" Target="../tables/table241.xml"/><Relationship Id="rId58" Type="http://schemas.openxmlformats.org/officeDocument/2006/relationships/table" Target="../tables/table246.xml"/><Relationship Id="rId66" Type="http://schemas.openxmlformats.org/officeDocument/2006/relationships/table" Target="../tables/table254.xml"/><Relationship Id="rId5" Type="http://schemas.openxmlformats.org/officeDocument/2006/relationships/table" Target="../tables/table193.xml"/><Relationship Id="rId61" Type="http://schemas.openxmlformats.org/officeDocument/2006/relationships/table" Target="../tables/table249.xml"/><Relationship Id="rId19" Type="http://schemas.openxmlformats.org/officeDocument/2006/relationships/table" Target="../tables/table207.xml"/><Relationship Id="rId14" Type="http://schemas.openxmlformats.org/officeDocument/2006/relationships/table" Target="../tables/table202.xml"/><Relationship Id="rId22" Type="http://schemas.openxmlformats.org/officeDocument/2006/relationships/table" Target="../tables/table210.xml"/><Relationship Id="rId27" Type="http://schemas.openxmlformats.org/officeDocument/2006/relationships/table" Target="../tables/table215.xml"/><Relationship Id="rId30" Type="http://schemas.openxmlformats.org/officeDocument/2006/relationships/table" Target="../tables/table218.xml"/><Relationship Id="rId35" Type="http://schemas.openxmlformats.org/officeDocument/2006/relationships/table" Target="../tables/table223.xml"/><Relationship Id="rId43" Type="http://schemas.openxmlformats.org/officeDocument/2006/relationships/table" Target="../tables/table231.xml"/><Relationship Id="rId48" Type="http://schemas.openxmlformats.org/officeDocument/2006/relationships/table" Target="../tables/table236.xml"/><Relationship Id="rId56" Type="http://schemas.openxmlformats.org/officeDocument/2006/relationships/table" Target="../tables/table244.xml"/><Relationship Id="rId64" Type="http://schemas.openxmlformats.org/officeDocument/2006/relationships/table" Target="../tables/table252.xml"/><Relationship Id="rId8" Type="http://schemas.openxmlformats.org/officeDocument/2006/relationships/table" Target="../tables/table196.xml"/><Relationship Id="rId51" Type="http://schemas.openxmlformats.org/officeDocument/2006/relationships/table" Target="../tables/table239.xml"/><Relationship Id="rId3" Type="http://schemas.openxmlformats.org/officeDocument/2006/relationships/table" Target="../tables/table191.xml"/><Relationship Id="rId12" Type="http://schemas.openxmlformats.org/officeDocument/2006/relationships/table" Target="../tables/table200.xml"/><Relationship Id="rId17" Type="http://schemas.openxmlformats.org/officeDocument/2006/relationships/table" Target="../tables/table205.xml"/><Relationship Id="rId25" Type="http://schemas.openxmlformats.org/officeDocument/2006/relationships/table" Target="../tables/table213.xml"/><Relationship Id="rId33" Type="http://schemas.openxmlformats.org/officeDocument/2006/relationships/table" Target="../tables/table221.xml"/><Relationship Id="rId38" Type="http://schemas.openxmlformats.org/officeDocument/2006/relationships/table" Target="../tables/table226.xml"/><Relationship Id="rId46" Type="http://schemas.openxmlformats.org/officeDocument/2006/relationships/table" Target="../tables/table234.xml"/><Relationship Id="rId59" Type="http://schemas.openxmlformats.org/officeDocument/2006/relationships/table" Target="../tables/table247.xml"/><Relationship Id="rId20" Type="http://schemas.openxmlformats.org/officeDocument/2006/relationships/table" Target="../tables/table208.xml"/><Relationship Id="rId41" Type="http://schemas.openxmlformats.org/officeDocument/2006/relationships/table" Target="../tables/table229.xml"/><Relationship Id="rId54" Type="http://schemas.openxmlformats.org/officeDocument/2006/relationships/table" Target="../tables/table242.xml"/><Relationship Id="rId62" Type="http://schemas.openxmlformats.org/officeDocument/2006/relationships/table" Target="../tables/table250.xml"/><Relationship Id="rId1" Type="http://schemas.openxmlformats.org/officeDocument/2006/relationships/table" Target="../tables/table189.xml"/><Relationship Id="rId6" Type="http://schemas.openxmlformats.org/officeDocument/2006/relationships/table" Target="../tables/table194.xml"/><Relationship Id="rId15" Type="http://schemas.openxmlformats.org/officeDocument/2006/relationships/table" Target="../tables/table203.xml"/><Relationship Id="rId23" Type="http://schemas.openxmlformats.org/officeDocument/2006/relationships/table" Target="../tables/table211.xml"/><Relationship Id="rId28" Type="http://schemas.openxmlformats.org/officeDocument/2006/relationships/table" Target="../tables/table216.xml"/><Relationship Id="rId36" Type="http://schemas.openxmlformats.org/officeDocument/2006/relationships/table" Target="../tables/table224.xml"/><Relationship Id="rId49" Type="http://schemas.openxmlformats.org/officeDocument/2006/relationships/table" Target="../tables/table237.xml"/><Relationship Id="rId57" Type="http://schemas.openxmlformats.org/officeDocument/2006/relationships/table" Target="../tables/table245.xml"/><Relationship Id="rId10" Type="http://schemas.openxmlformats.org/officeDocument/2006/relationships/table" Target="../tables/table198.xml"/><Relationship Id="rId31" Type="http://schemas.openxmlformats.org/officeDocument/2006/relationships/table" Target="../tables/table219.xml"/><Relationship Id="rId44" Type="http://schemas.openxmlformats.org/officeDocument/2006/relationships/table" Target="../tables/table232.xml"/><Relationship Id="rId52" Type="http://schemas.openxmlformats.org/officeDocument/2006/relationships/table" Target="../tables/table240.xml"/><Relationship Id="rId60" Type="http://schemas.openxmlformats.org/officeDocument/2006/relationships/table" Target="../tables/table248.xml"/><Relationship Id="rId65" Type="http://schemas.openxmlformats.org/officeDocument/2006/relationships/table" Target="../tables/table253.xml"/><Relationship Id="rId4" Type="http://schemas.openxmlformats.org/officeDocument/2006/relationships/table" Target="../tables/table192.xml"/><Relationship Id="rId9" Type="http://schemas.openxmlformats.org/officeDocument/2006/relationships/table" Target="../tables/table197.xml"/><Relationship Id="rId13" Type="http://schemas.openxmlformats.org/officeDocument/2006/relationships/table" Target="../tables/table201.xml"/><Relationship Id="rId18" Type="http://schemas.openxmlformats.org/officeDocument/2006/relationships/table" Target="../tables/table206.xml"/><Relationship Id="rId39" Type="http://schemas.openxmlformats.org/officeDocument/2006/relationships/table" Target="../tables/table227.xml"/></Relationships>
</file>

<file path=xl/worksheets/_rels/sheet15.xml.rels><?xml version="1.0" encoding="UTF-8" standalone="yes"?>
<Relationships xmlns="http://schemas.openxmlformats.org/package/2006/relationships"><Relationship Id="rId8" Type="http://schemas.openxmlformats.org/officeDocument/2006/relationships/table" Target="../tables/table260.xml"/><Relationship Id="rId13" Type="http://schemas.openxmlformats.org/officeDocument/2006/relationships/table" Target="../tables/table265.xml"/><Relationship Id="rId18" Type="http://schemas.openxmlformats.org/officeDocument/2006/relationships/table" Target="../tables/table270.xml"/><Relationship Id="rId3" Type="http://schemas.openxmlformats.org/officeDocument/2006/relationships/table" Target="../tables/table255.xml"/><Relationship Id="rId7" Type="http://schemas.openxmlformats.org/officeDocument/2006/relationships/table" Target="../tables/table259.xml"/><Relationship Id="rId12" Type="http://schemas.openxmlformats.org/officeDocument/2006/relationships/table" Target="../tables/table264.xml"/><Relationship Id="rId17" Type="http://schemas.openxmlformats.org/officeDocument/2006/relationships/table" Target="../tables/table269.xml"/><Relationship Id="rId2" Type="http://schemas.openxmlformats.org/officeDocument/2006/relationships/vmlDrawing" Target="../drawings/vmlDrawing2.vml"/><Relationship Id="rId16" Type="http://schemas.openxmlformats.org/officeDocument/2006/relationships/table" Target="../tables/table268.xml"/><Relationship Id="rId20" Type="http://schemas.microsoft.com/office/2017/10/relationships/threadedComment" Target="../threadedComments/threadedComment2.xml"/><Relationship Id="rId1" Type="http://schemas.openxmlformats.org/officeDocument/2006/relationships/printerSettings" Target="../printerSettings/printerSettings5.bin"/><Relationship Id="rId6" Type="http://schemas.openxmlformats.org/officeDocument/2006/relationships/table" Target="../tables/table258.xml"/><Relationship Id="rId11" Type="http://schemas.openxmlformats.org/officeDocument/2006/relationships/table" Target="../tables/table263.xml"/><Relationship Id="rId5" Type="http://schemas.openxmlformats.org/officeDocument/2006/relationships/table" Target="../tables/table257.xml"/><Relationship Id="rId15" Type="http://schemas.openxmlformats.org/officeDocument/2006/relationships/table" Target="../tables/table267.xml"/><Relationship Id="rId10" Type="http://schemas.openxmlformats.org/officeDocument/2006/relationships/table" Target="../tables/table262.xml"/><Relationship Id="rId19" Type="http://schemas.openxmlformats.org/officeDocument/2006/relationships/comments" Target="../comments2.xml"/><Relationship Id="rId4" Type="http://schemas.openxmlformats.org/officeDocument/2006/relationships/table" Target="../tables/table256.xml"/><Relationship Id="rId9" Type="http://schemas.openxmlformats.org/officeDocument/2006/relationships/table" Target="../tables/table261.xml"/><Relationship Id="rId14" Type="http://schemas.openxmlformats.org/officeDocument/2006/relationships/table" Target="../tables/table266.xml"/></Relationships>
</file>

<file path=xl/worksheets/_rels/sheet2.xml.rels><?xml version="1.0" encoding="UTF-8" standalone="yes"?>
<Relationships xmlns="http://schemas.openxmlformats.org/package/2006/relationships"><Relationship Id="rId3" Type="http://schemas.microsoft.com/office/2017/10/relationships/threadedComment" Target="../threadedComments/threadedComment1.xml"/><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1" Type="http://schemas.openxmlformats.org/officeDocument/2006/relationships/table" Target="../tables/table1.xml"/></Relationships>
</file>

<file path=xl/worksheets/_rels/sheet4.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table" Target="../tables/table3.xml"/><Relationship Id="rId1" Type="http://schemas.openxmlformats.org/officeDocument/2006/relationships/table" Target="../tables/table2.xml"/><Relationship Id="rId5" Type="http://schemas.openxmlformats.org/officeDocument/2006/relationships/table" Target="../tables/table6.xml"/><Relationship Id="rId4" Type="http://schemas.openxmlformats.org/officeDocument/2006/relationships/table" Target="../tables/table5.xml"/></Relationships>
</file>

<file path=xl/worksheets/_rels/sheet5.xml.rels><?xml version="1.0" encoding="UTF-8" standalone="yes"?>
<Relationships xmlns="http://schemas.openxmlformats.org/package/2006/relationships"><Relationship Id="rId8" Type="http://schemas.openxmlformats.org/officeDocument/2006/relationships/table" Target="../tables/table14.xml"/><Relationship Id="rId3" Type="http://schemas.openxmlformats.org/officeDocument/2006/relationships/table" Target="../tables/table9.xml"/><Relationship Id="rId7" Type="http://schemas.openxmlformats.org/officeDocument/2006/relationships/table" Target="../tables/table13.xml"/><Relationship Id="rId2" Type="http://schemas.openxmlformats.org/officeDocument/2006/relationships/table" Target="../tables/table8.xml"/><Relationship Id="rId1" Type="http://schemas.openxmlformats.org/officeDocument/2006/relationships/table" Target="../tables/table7.xml"/><Relationship Id="rId6" Type="http://schemas.openxmlformats.org/officeDocument/2006/relationships/table" Target="../tables/table12.xml"/><Relationship Id="rId5" Type="http://schemas.openxmlformats.org/officeDocument/2006/relationships/table" Target="../tables/table11.xml"/><Relationship Id="rId4" Type="http://schemas.openxmlformats.org/officeDocument/2006/relationships/table" Target="../tables/table10.xml"/><Relationship Id="rId9" Type="http://schemas.openxmlformats.org/officeDocument/2006/relationships/table" Target="../tables/table15.xml"/></Relationships>
</file>

<file path=xl/worksheets/_rels/sheet6.xml.rels><?xml version="1.0" encoding="UTF-8" standalone="yes"?>
<Relationships xmlns="http://schemas.openxmlformats.org/package/2006/relationships"><Relationship Id="rId13" Type="http://schemas.openxmlformats.org/officeDocument/2006/relationships/table" Target="../tables/table26.xml"/><Relationship Id="rId18" Type="http://schemas.openxmlformats.org/officeDocument/2006/relationships/table" Target="../tables/table31.xml"/><Relationship Id="rId26" Type="http://schemas.openxmlformats.org/officeDocument/2006/relationships/table" Target="../tables/table39.xml"/><Relationship Id="rId39" Type="http://schemas.openxmlformats.org/officeDocument/2006/relationships/table" Target="../tables/table52.xml"/><Relationship Id="rId21" Type="http://schemas.openxmlformats.org/officeDocument/2006/relationships/table" Target="../tables/table34.xml"/><Relationship Id="rId34" Type="http://schemas.openxmlformats.org/officeDocument/2006/relationships/table" Target="../tables/table47.xml"/><Relationship Id="rId7" Type="http://schemas.openxmlformats.org/officeDocument/2006/relationships/table" Target="../tables/table20.xml"/><Relationship Id="rId12" Type="http://schemas.openxmlformats.org/officeDocument/2006/relationships/table" Target="../tables/table25.xml"/><Relationship Id="rId17" Type="http://schemas.openxmlformats.org/officeDocument/2006/relationships/table" Target="../tables/table30.xml"/><Relationship Id="rId25" Type="http://schemas.openxmlformats.org/officeDocument/2006/relationships/table" Target="../tables/table38.xml"/><Relationship Id="rId33" Type="http://schemas.openxmlformats.org/officeDocument/2006/relationships/table" Target="../tables/table46.xml"/><Relationship Id="rId38" Type="http://schemas.openxmlformats.org/officeDocument/2006/relationships/table" Target="../tables/table51.xml"/><Relationship Id="rId2" Type="http://schemas.openxmlformats.org/officeDocument/2006/relationships/drawing" Target="../drawings/drawing2.xml"/><Relationship Id="rId16" Type="http://schemas.openxmlformats.org/officeDocument/2006/relationships/table" Target="../tables/table29.xml"/><Relationship Id="rId20" Type="http://schemas.openxmlformats.org/officeDocument/2006/relationships/table" Target="../tables/table33.xml"/><Relationship Id="rId29" Type="http://schemas.openxmlformats.org/officeDocument/2006/relationships/table" Target="../tables/table42.xml"/><Relationship Id="rId1" Type="http://schemas.openxmlformats.org/officeDocument/2006/relationships/printerSettings" Target="../printerSettings/printerSettings1.bin"/><Relationship Id="rId6" Type="http://schemas.openxmlformats.org/officeDocument/2006/relationships/table" Target="../tables/table19.xml"/><Relationship Id="rId11" Type="http://schemas.openxmlformats.org/officeDocument/2006/relationships/table" Target="../tables/table24.xml"/><Relationship Id="rId24" Type="http://schemas.openxmlformats.org/officeDocument/2006/relationships/table" Target="../tables/table37.xml"/><Relationship Id="rId32" Type="http://schemas.openxmlformats.org/officeDocument/2006/relationships/table" Target="../tables/table45.xml"/><Relationship Id="rId37" Type="http://schemas.openxmlformats.org/officeDocument/2006/relationships/table" Target="../tables/table50.xml"/><Relationship Id="rId40" Type="http://schemas.openxmlformats.org/officeDocument/2006/relationships/table" Target="../tables/table53.xml"/><Relationship Id="rId5" Type="http://schemas.openxmlformats.org/officeDocument/2006/relationships/table" Target="../tables/table18.xml"/><Relationship Id="rId15" Type="http://schemas.openxmlformats.org/officeDocument/2006/relationships/table" Target="../tables/table28.xml"/><Relationship Id="rId23" Type="http://schemas.openxmlformats.org/officeDocument/2006/relationships/table" Target="../tables/table36.xml"/><Relationship Id="rId28" Type="http://schemas.openxmlformats.org/officeDocument/2006/relationships/table" Target="../tables/table41.xml"/><Relationship Id="rId36" Type="http://schemas.openxmlformats.org/officeDocument/2006/relationships/table" Target="../tables/table49.xml"/><Relationship Id="rId10" Type="http://schemas.openxmlformats.org/officeDocument/2006/relationships/table" Target="../tables/table23.xml"/><Relationship Id="rId19" Type="http://schemas.openxmlformats.org/officeDocument/2006/relationships/table" Target="../tables/table32.xml"/><Relationship Id="rId31" Type="http://schemas.openxmlformats.org/officeDocument/2006/relationships/table" Target="../tables/table44.xml"/><Relationship Id="rId4" Type="http://schemas.openxmlformats.org/officeDocument/2006/relationships/table" Target="../tables/table17.xml"/><Relationship Id="rId9" Type="http://schemas.openxmlformats.org/officeDocument/2006/relationships/table" Target="../tables/table22.xml"/><Relationship Id="rId14" Type="http://schemas.openxmlformats.org/officeDocument/2006/relationships/table" Target="../tables/table27.xml"/><Relationship Id="rId22" Type="http://schemas.openxmlformats.org/officeDocument/2006/relationships/table" Target="../tables/table35.xml"/><Relationship Id="rId27" Type="http://schemas.openxmlformats.org/officeDocument/2006/relationships/table" Target="../tables/table40.xml"/><Relationship Id="rId30" Type="http://schemas.openxmlformats.org/officeDocument/2006/relationships/table" Target="../tables/table43.xml"/><Relationship Id="rId35" Type="http://schemas.openxmlformats.org/officeDocument/2006/relationships/table" Target="../tables/table48.xml"/><Relationship Id="rId8" Type="http://schemas.openxmlformats.org/officeDocument/2006/relationships/table" Target="../tables/table21.xml"/><Relationship Id="rId3" Type="http://schemas.openxmlformats.org/officeDocument/2006/relationships/table" Target="../tables/table16.xml"/></Relationships>
</file>

<file path=xl/worksheets/_rels/sheet7.xml.rels><?xml version="1.0" encoding="UTF-8" standalone="yes"?>
<Relationships xmlns="http://schemas.openxmlformats.org/package/2006/relationships"><Relationship Id="rId13" Type="http://schemas.openxmlformats.org/officeDocument/2006/relationships/table" Target="../tables/table64.xml"/><Relationship Id="rId18" Type="http://schemas.openxmlformats.org/officeDocument/2006/relationships/table" Target="../tables/table69.xml"/><Relationship Id="rId26" Type="http://schemas.openxmlformats.org/officeDocument/2006/relationships/table" Target="../tables/table77.xml"/><Relationship Id="rId39" Type="http://schemas.openxmlformats.org/officeDocument/2006/relationships/table" Target="../tables/table90.xml"/><Relationship Id="rId21" Type="http://schemas.openxmlformats.org/officeDocument/2006/relationships/table" Target="../tables/table72.xml"/><Relationship Id="rId34" Type="http://schemas.openxmlformats.org/officeDocument/2006/relationships/table" Target="../tables/table85.xml"/><Relationship Id="rId7" Type="http://schemas.openxmlformats.org/officeDocument/2006/relationships/table" Target="../tables/table58.xml"/><Relationship Id="rId12" Type="http://schemas.openxmlformats.org/officeDocument/2006/relationships/table" Target="../tables/table63.xml"/><Relationship Id="rId17" Type="http://schemas.openxmlformats.org/officeDocument/2006/relationships/table" Target="../tables/table68.xml"/><Relationship Id="rId25" Type="http://schemas.openxmlformats.org/officeDocument/2006/relationships/table" Target="../tables/table76.xml"/><Relationship Id="rId33" Type="http://schemas.openxmlformats.org/officeDocument/2006/relationships/table" Target="../tables/table84.xml"/><Relationship Id="rId38" Type="http://schemas.openxmlformats.org/officeDocument/2006/relationships/table" Target="../tables/table89.xml"/><Relationship Id="rId2" Type="http://schemas.openxmlformats.org/officeDocument/2006/relationships/drawing" Target="../drawings/drawing3.xml"/><Relationship Id="rId16" Type="http://schemas.openxmlformats.org/officeDocument/2006/relationships/table" Target="../tables/table67.xml"/><Relationship Id="rId20" Type="http://schemas.openxmlformats.org/officeDocument/2006/relationships/table" Target="../tables/table71.xml"/><Relationship Id="rId29" Type="http://schemas.openxmlformats.org/officeDocument/2006/relationships/table" Target="../tables/table80.xml"/><Relationship Id="rId1" Type="http://schemas.openxmlformats.org/officeDocument/2006/relationships/printerSettings" Target="../printerSettings/printerSettings2.bin"/><Relationship Id="rId6" Type="http://schemas.openxmlformats.org/officeDocument/2006/relationships/table" Target="../tables/table57.xml"/><Relationship Id="rId11" Type="http://schemas.openxmlformats.org/officeDocument/2006/relationships/table" Target="../tables/table62.xml"/><Relationship Id="rId24" Type="http://schemas.openxmlformats.org/officeDocument/2006/relationships/table" Target="../tables/table75.xml"/><Relationship Id="rId32" Type="http://schemas.openxmlformats.org/officeDocument/2006/relationships/table" Target="../tables/table83.xml"/><Relationship Id="rId37" Type="http://schemas.openxmlformats.org/officeDocument/2006/relationships/table" Target="../tables/table88.xml"/><Relationship Id="rId40" Type="http://schemas.openxmlformats.org/officeDocument/2006/relationships/table" Target="../tables/table91.xml"/><Relationship Id="rId5" Type="http://schemas.openxmlformats.org/officeDocument/2006/relationships/table" Target="../tables/table56.xml"/><Relationship Id="rId15" Type="http://schemas.openxmlformats.org/officeDocument/2006/relationships/table" Target="../tables/table66.xml"/><Relationship Id="rId23" Type="http://schemas.openxmlformats.org/officeDocument/2006/relationships/table" Target="../tables/table74.xml"/><Relationship Id="rId28" Type="http://schemas.openxmlformats.org/officeDocument/2006/relationships/table" Target="../tables/table79.xml"/><Relationship Id="rId36" Type="http://schemas.openxmlformats.org/officeDocument/2006/relationships/table" Target="../tables/table87.xml"/><Relationship Id="rId10" Type="http://schemas.openxmlformats.org/officeDocument/2006/relationships/table" Target="../tables/table61.xml"/><Relationship Id="rId19" Type="http://schemas.openxmlformats.org/officeDocument/2006/relationships/table" Target="../tables/table70.xml"/><Relationship Id="rId31" Type="http://schemas.openxmlformats.org/officeDocument/2006/relationships/table" Target="../tables/table82.xml"/><Relationship Id="rId4" Type="http://schemas.openxmlformats.org/officeDocument/2006/relationships/table" Target="../tables/table55.xml"/><Relationship Id="rId9" Type="http://schemas.openxmlformats.org/officeDocument/2006/relationships/table" Target="../tables/table60.xml"/><Relationship Id="rId14" Type="http://schemas.openxmlformats.org/officeDocument/2006/relationships/table" Target="../tables/table65.xml"/><Relationship Id="rId22" Type="http://schemas.openxmlformats.org/officeDocument/2006/relationships/table" Target="../tables/table73.xml"/><Relationship Id="rId27" Type="http://schemas.openxmlformats.org/officeDocument/2006/relationships/table" Target="../tables/table78.xml"/><Relationship Id="rId30" Type="http://schemas.openxmlformats.org/officeDocument/2006/relationships/table" Target="../tables/table81.xml"/><Relationship Id="rId35" Type="http://schemas.openxmlformats.org/officeDocument/2006/relationships/table" Target="../tables/table86.xml"/><Relationship Id="rId8" Type="http://schemas.openxmlformats.org/officeDocument/2006/relationships/table" Target="../tables/table59.xml"/><Relationship Id="rId3" Type="http://schemas.openxmlformats.org/officeDocument/2006/relationships/table" Target="../tables/table54.xml"/></Relationships>
</file>

<file path=xl/worksheets/_rels/sheet8.xml.rels><?xml version="1.0" encoding="UTF-8" standalone="yes"?>
<Relationships xmlns="http://schemas.openxmlformats.org/package/2006/relationships"><Relationship Id="rId13" Type="http://schemas.openxmlformats.org/officeDocument/2006/relationships/table" Target="../tables/table102.xml"/><Relationship Id="rId18" Type="http://schemas.openxmlformats.org/officeDocument/2006/relationships/table" Target="../tables/table107.xml"/><Relationship Id="rId26" Type="http://schemas.openxmlformats.org/officeDocument/2006/relationships/table" Target="../tables/table115.xml"/><Relationship Id="rId39" Type="http://schemas.openxmlformats.org/officeDocument/2006/relationships/table" Target="../tables/table128.xml"/><Relationship Id="rId21" Type="http://schemas.openxmlformats.org/officeDocument/2006/relationships/table" Target="../tables/table110.xml"/><Relationship Id="rId34" Type="http://schemas.openxmlformats.org/officeDocument/2006/relationships/table" Target="../tables/table123.xml"/><Relationship Id="rId7" Type="http://schemas.openxmlformats.org/officeDocument/2006/relationships/table" Target="../tables/table96.xml"/><Relationship Id="rId12" Type="http://schemas.openxmlformats.org/officeDocument/2006/relationships/table" Target="../tables/table101.xml"/><Relationship Id="rId17" Type="http://schemas.openxmlformats.org/officeDocument/2006/relationships/table" Target="../tables/table106.xml"/><Relationship Id="rId25" Type="http://schemas.openxmlformats.org/officeDocument/2006/relationships/table" Target="../tables/table114.xml"/><Relationship Id="rId33" Type="http://schemas.openxmlformats.org/officeDocument/2006/relationships/table" Target="../tables/table122.xml"/><Relationship Id="rId38" Type="http://schemas.openxmlformats.org/officeDocument/2006/relationships/table" Target="../tables/table127.xml"/><Relationship Id="rId2" Type="http://schemas.openxmlformats.org/officeDocument/2006/relationships/drawing" Target="../drawings/drawing4.xml"/><Relationship Id="rId16" Type="http://schemas.openxmlformats.org/officeDocument/2006/relationships/table" Target="../tables/table105.xml"/><Relationship Id="rId20" Type="http://schemas.openxmlformats.org/officeDocument/2006/relationships/table" Target="../tables/table109.xml"/><Relationship Id="rId29" Type="http://schemas.openxmlformats.org/officeDocument/2006/relationships/table" Target="../tables/table118.xml"/><Relationship Id="rId1" Type="http://schemas.openxmlformats.org/officeDocument/2006/relationships/printerSettings" Target="../printerSettings/printerSettings3.bin"/><Relationship Id="rId6" Type="http://schemas.openxmlformats.org/officeDocument/2006/relationships/table" Target="../tables/table95.xml"/><Relationship Id="rId11" Type="http://schemas.openxmlformats.org/officeDocument/2006/relationships/table" Target="../tables/table100.xml"/><Relationship Id="rId24" Type="http://schemas.openxmlformats.org/officeDocument/2006/relationships/table" Target="../tables/table113.xml"/><Relationship Id="rId32" Type="http://schemas.openxmlformats.org/officeDocument/2006/relationships/table" Target="../tables/table121.xml"/><Relationship Id="rId37" Type="http://schemas.openxmlformats.org/officeDocument/2006/relationships/table" Target="../tables/table126.xml"/><Relationship Id="rId40" Type="http://schemas.openxmlformats.org/officeDocument/2006/relationships/table" Target="../tables/table129.xml"/><Relationship Id="rId5" Type="http://schemas.openxmlformats.org/officeDocument/2006/relationships/table" Target="../tables/table94.xml"/><Relationship Id="rId15" Type="http://schemas.openxmlformats.org/officeDocument/2006/relationships/table" Target="../tables/table104.xml"/><Relationship Id="rId23" Type="http://schemas.openxmlformats.org/officeDocument/2006/relationships/table" Target="../tables/table112.xml"/><Relationship Id="rId28" Type="http://schemas.openxmlformats.org/officeDocument/2006/relationships/table" Target="../tables/table117.xml"/><Relationship Id="rId36" Type="http://schemas.openxmlformats.org/officeDocument/2006/relationships/table" Target="../tables/table125.xml"/><Relationship Id="rId10" Type="http://schemas.openxmlformats.org/officeDocument/2006/relationships/table" Target="../tables/table99.xml"/><Relationship Id="rId19" Type="http://schemas.openxmlformats.org/officeDocument/2006/relationships/table" Target="../tables/table108.xml"/><Relationship Id="rId31" Type="http://schemas.openxmlformats.org/officeDocument/2006/relationships/table" Target="../tables/table120.xml"/><Relationship Id="rId4" Type="http://schemas.openxmlformats.org/officeDocument/2006/relationships/table" Target="../tables/table93.xml"/><Relationship Id="rId9" Type="http://schemas.openxmlformats.org/officeDocument/2006/relationships/table" Target="../tables/table98.xml"/><Relationship Id="rId14" Type="http://schemas.openxmlformats.org/officeDocument/2006/relationships/table" Target="../tables/table103.xml"/><Relationship Id="rId22" Type="http://schemas.openxmlformats.org/officeDocument/2006/relationships/table" Target="../tables/table111.xml"/><Relationship Id="rId27" Type="http://schemas.openxmlformats.org/officeDocument/2006/relationships/table" Target="../tables/table116.xml"/><Relationship Id="rId30" Type="http://schemas.openxmlformats.org/officeDocument/2006/relationships/table" Target="../tables/table119.xml"/><Relationship Id="rId35" Type="http://schemas.openxmlformats.org/officeDocument/2006/relationships/table" Target="../tables/table124.xml"/><Relationship Id="rId8" Type="http://schemas.openxmlformats.org/officeDocument/2006/relationships/table" Target="../tables/table97.xml"/><Relationship Id="rId3" Type="http://schemas.openxmlformats.org/officeDocument/2006/relationships/table" Target="../tables/table92.xml"/></Relationships>
</file>

<file path=xl/worksheets/_rels/sheet9.xml.rels><?xml version="1.0" encoding="UTF-8" standalone="yes"?>
<Relationships xmlns="http://schemas.openxmlformats.org/package/2006/relationships"><Relationship Id="rId13" Type="http://schemas.openxmlformats.org/officeDocument/2006/relationships/table" Target="../tables/table140.xml"/><Relationship Id="rId18" Type="http://schemas.openxmlformats.org/officeDocument/2006/relationships/table" Target="../tables/table145.xml"/><Relationship Id="rId26" Type="http://schemas.openxmlformats.org/officeDocument/2006/relationships/table" Target="../tables/table153.xml"/><Relationship Id="rId39" Type="http://schemas.openxmlformats.org/officeDocument/2006/relationships/table" Target="../tables/table166.xml"/><Relationship Id="rId21" Type="http://schemas.openxmlformats.org/officeDocument/2006/relationships/table" Target="../tables/table148.xml"/><Relationship Id="rId34" Type="http://schemas.openxmlformats.org/officeDocument/2006/relationships/table" Target="../tables/table161.xml"/><Relationship Id="rId7" Type="http://schemas.openxmlformats.org/officeDocument/2006/relationships/table" Target="../tables/table134.xml"/><Relationship Id="rId12" Type="http://schemas.openxmlformats.org/officeDocument/2006/relationships/table" Target="../tables/table139.xml"/><Relationship Id="rId17" Type="http://schemas.openxmlformats.org/officeDocument/2006/relationships/table" Target="../tables/table144.xml"/><Relationship Id="rId25" Type="http://schemas.openxmlformats.org/officeDocument/2006/relationships/table" Target="../tables/table152.xml"/><Relationship Id="rId33" Type="http://schemas.openxmlformats.org/officeDocument/2006/relationships/table" Target="../tables/table160.xml"/><Relationship Id="rId38" Type="http://schemas.openxmlformats.org/officeDocument/2006/relationships/table" Target="../tables/table165.xml"/><Relationship Id="rId2" Type="http://schemas.openxmlformats.org/officeDocument/2006/relationships/drawing" Target="../drawings/drawing5.xml"/><Relationship Id="rId16" Type="http://schemas.openxmlformats.org/officeDocument/2006/relationships/table" Target="../tables/table143.xml"/><Relationship Id="rId20" Type="http://schemas.openxmlformats.org/officeDocument/2006/relationships/table" Target="../tables/table147.xml"/><Relationship Id="rId29" Type="http://schemas.openxmlformats.org/officeDocument/2006/relationships/table" Target="../tables/table156.xml"/><Relationship Id="rId1" Type="http://schemas.openxmlformats.org/officeDocument/2006/relationships/printerSettings" Target="../printerSettings/printerSettings4.bin"/><Relationship Id="rId6" Type="http://schemas.openxmlformats.org/officeDocument/2006/relationships/table" Target="../tables/table133.xml"/><Relationship Id="rId11" Type="http://schemas.openxmlformats.org/officeDocument/2006/relationships/table" Target="../tables/table138.xml"/><Relationship Id="rId24" Type="http://schemas.openxmlformats.org/officeDocument/2006/relationships/table" Target="../tables/table151.xml"/><Relationship Id="rId32" Type="http://schemas.openxmlformats.org/officeDocument/2006/relationships/table" Target="../tables/table159.xml"/><Relationship Id="rId37" Type="http://schemas.openxmlformats.org/officeDocument/2006/relationships/table" Target="../tables/table164.xml"/><Relationship Id="rId40" Type="http://schemas.openxmlformats.org/officeDocument/2006/relationships/table" Target="../tables/table167.xml"/><Relationship Id="rId5" Type="http://schemas.openxmlformats.org/officeDocument/2006/relationships/table" Target="../tables/table132.xml"/><Relationship Id="rId15" Type="http://schemas.openxmlformats.org/officeDocument/2006/relationships/table" Target="../tables/table142.xml"/><Relationship Id="rId23" Type="http://schemas.openxmlformats.org/officeDocument/2006/relationships/table" Target="../tables/table150.xml"/><Relationship Id="rId28" Type="http://schemas.openxmlformats.org/officeDocument/2006/relationships/table" Target="../tables/table155.xml"/><Relationship Id="rId36" Type="http://schemas.openxmlformats.org/officeDocument/2006/relationships/table" Target="../tables/table163.xml"/><Relationship Id="rId10" Type="http://schemas.openxmlformats.org/officeDocument/2006/relationships/table" Target="../tables/table137.xml"/><Relationship Id="rId19" Type="http://schemas.openxmlformats.org/officeDocument/2006/relationships/table" Target="../tables/table146.xml"/><Relationship Id="rId31" Type="http://schemas.openxmlformats.org/officeDocument/2006/relationships/table" Target="../tables/table158.xml"/><Relationship Id="rId4" Type="http://schemas.openxmlformats.org/officeDocument/2006/relationships/table" Target="../tables/table131.xml"/><Relationship Id="rId9" Type="http://schemas.openxmlformats.org/officeDocument/2006/relationships/table" Target="../tables/table136.xml"/><Relationship Id="rId14" Type="http://schemas.openxmlformats.org/officeDocument/2006/relationships/table" Target="../tables/table141.xml"/><Relationship Id="rId22" Type="http://schemas.openxmlformats.org/officeDocument/2006/relationships/table" Target="../tables/table149.xml"/><Relationship Id="rId27" Type="http://schemas.openxmlformats.org/officeDocument/2006/relationships/table" Target="../tables/table154.xml"/><Relationship Id="rId30" Type="http://schemas.openxmlformats.org/officeDocument/2006/relationships/table" Target="../tables/table157.xml"/><Relationship Id="rId35" Type="http://schemas.openxmlformats.org/officeDocument/2006/relationships/table" Target="../tables/table162.xml"/><Relationship Id="rId8" Type="http://schemas.openxmlformats.org/officeDocument/2006/relationships/table" Target="../tables/table135.xml"/><Relationship Id="rId3" Type="http://schemas.openxmlformats.org/officeDocument/2006/relationships/table" Target="../tables/table130.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8A15DC-7124-4549-B4E1-15DBAEDA6340}">
  <sheetPr>
    <tabColor rgb="FFFF0000"/>
  </sheetPr>
  <dimension ref="C2:T33"/>
  <sheetViews>
    <sheetView zoomScale="137" zoomScaleNormal="180" workbookViewId="0">
      <selection activeCell="H13" sqref="H13"/>
    </sheetView>
  </sheetViews>
  <sheetFormatPr baseColWidth="10" defaultRowHeight="16" x14ac:dyDescent="0.2"/>
  <cols>
    <col min="1" max="1" width="8.83203125" customWidth="1"/>
    <col min="2" max="2" width="8.6640625" customWidth="1"/>
    <col min="3" max="3" width="12.5" customWidth="1"/>
    <col min="4" max="4" width="56.83203125" customWidth="1"/>
    <col min="5" max="5" width="20.5" bestFit="1" customWidth="1"/>
    <col min="6" max="6" width="15.83203125" customWidth="1"/>
    <col min="7" max="7" width="23.33203125" customWidth="1"/>
    <col min="9" max="9" width="19.1640625" customWidth="1"/>
    <col min="10" max="10" width="5.5" customWidth="1"/>
  </cols>
  <sheetData>
    <row r="2" spans="3:17" x14ac:dyDescent="0.2">
      <c r="C2" s="162" t="s">
        <v>1014</v>
      </c>
      <c r="F2" s="164"/>
    </row>
    <row r="4" spans="3:17" ht="19" x14ac:dyDescent="0.25">
      <c r="C4" s="163" t="s">
        <v>692</v>
      </c>
      <c r="D4" s="163"/>
      <c r="E4" s="163"/>
      <c r="F4" s="163"/>
      <c r="G4" s="163"/>
    </row>
    <row r="5" spans="3:17" ht="19" x14ac:dyDescent="0.25">
      <c r="C5" s="163" t="s">
        <v>1011</v>
      </c>
      <c r="D5" s="163"/>
      <c r="E5" s="163"/>
      <c r="F5" s="163"/>
      <c r="G5" s="163"/>
    </row>
    <row r="6" spans="3:17" ht="19" x14ac:dyDescent="0.25">
      <c r="C6" s="163" t="s">
        <v>895</v>
      </c>
      <c r="D6" s="163"/>
      <c r="E6" s="163"/>
      <c r="F6" s="163"/>
      <c r="G6" s="163"/>
    </row>
    <row r="8" spans="3:17" x14ac:dyDescent="0.2">
      <c r="L8" s="358"/>
    </row>
    <row r="9" spans="3:17" ht="34" x14ac:dyDescent="0.2">
      <c r="C9" s="362" t="s">
        <v>1019</v>
      </c>
      <c r="D9" s="363" t="s">
        <v>1018</v>
      </c>
      <c r="E9" s="362" t="s">
        <v>1020</v>
      </c>
      <c r="F9" s="362" t="s">
        <v>1041</v>
      </c>
      <c r="K9" s="42"/>
      <c r="L9" s="83"/>
      <c r="M9" s="83"/>
      <c r="N9" s="83"/>
      <c r="O9" s="83"/>
      <c r="P9" s="83"/>
      <c r="Q9" s="83"/>
    </row>
    <row r="10" spans="3:17" ht="66" customHeight="1" x14ac:dyDescent="0.2">
      <c r="C10" s="364" t="s">
        <v>648</v>
      </c>
      <c r="D10" s="365" t="s">
        <v>1017</v>
      </c>
      <c r="E10" s="366" t="s">
        <v>1012</v>
      </c>
      <c r="F10" s="366" t="s">
        <v>1012</v>
      </c>
      <c r="H10" s="360"/>
      <c r="K10" s="42"/>
      <c r="L10" s="359"/>
      <c r="M10" s="359"/>
      <c r="N10" s="359"/>
      <c r="O10" s="359"/>
      <c r="P10" s="359"/>
      <c r="Q10" s="359"/>
    </row>
    <row r="11" spans="3:17" ht="66" customHeight="1" x14ac:dyDescent="0.2">
      <c r="C11" s="367" t="s">
        <v>643</v>
      </c>
      <c r="D11" s="365" t="s">
        <v>1042</v>
      </c>
      <c r="E11" s="366" t="s">
        <v>1012</v>
      </c>
      <c r="F11" s="369" t="s">
        <v>1013</v>
      </c>
      <c r="H11" s="360"/>
      <c r="K11" s="358"/>
      <c r="L11" s="166"/>
      <c r="M11" s="166"/>
      <c r="N11" s="166"/>
      <c r="O11" s="166"/>
      <c r="P11" s="166"/>
      <c r="Q11" s="166"/>
    </row>
    <row r="12" spans="3:17" ht="66" customHeight="1" x14ac:dyDescent="0.2">
      <c r="C12" s="368" t="s">
        <v>645</v>
      </c>
      <c r="D12" s="365" t="s">
        <v>1043</v>
      </c>
      <c r="E12" s="369" t="s">
        <v>1013</v>
      </c>
      <c r="F12" s="366" t="s">
        <v>1012</v>
      </c>
      <c r="H12" s="361"/>
      <c r="K12" s="358"/>
      <c r="L12" s="359"/>
      <c r="M12" s="359"/>
      <c r="N12" s="359"/>
      <c r="O12" s="359"/>
      <c r="P12" s="359"/>
      <c r="Q12" s="359"/>
    </row>
    <row r="13" spans="3:17" ht="66" customHeight="1" x14ac:dyDescent="0.2">
      <c r="C13" s="370" t="s">
        <v>646</v>
      </c>
      <c r="D13" s="365" t="s">
        <v>1016</v>
      </c>
      <c r="E13" s="366" t="s">
        <v>1012</v>
      </c>
      <c r="F13" s="369" t="s">
        <v>1013</v>
      </c>
      <c r="H13" s="360"/>
      <c r="K13" s="3"/>
    </row>
    <row r="14" spans="3:17" ht="66" customHeight="1" x14ac:dyDescent="0.2">
      <c r="C14" s="371" t="s">
        <v>647</v>
      </c>
      <c r="D14" s="365" t="s">
        <v>1015</v>
      </c>
      <c r="E14" s="366" t="s">
        <v>1012</v>
      </c>
      <c r="F14" s="366" t="s">
        <v>1012</v>
      </c>
      <c r="H14" s="360"/>
    </row>
    <row r="15" spans="3:17" x14ac:dyDescent="0.2">
      <c r="C15" s="3"/>
    </row>
    <row r="16" spans="3:17" x14ac:dyDescent="0.2">
      <c r="C16" s="166"/>
    </row>
    <row r="21" spans="3:20" ht="32" customHeight="1" x14ac:dyDescent="0.2"/>
    <row r="24" spans="3:20" ht="19" hidden="1" customHeight="1" x14ac:dyDescent="0.25">
      <c r="C24" s="173" t="s">
        <v>719</v>
      </c>
      <c r="D24" s="165"/>
      <c r="E24" s="165"/>
      <c r="F24" s="165"/>
      <c r="G24" s="211" t="s">
        <v>720</v>
      </c>
      <c r="H24" s="210"/>
      <c r="I24" s="210"/>
    </row>
    <row r="25" spans="3:20" ht="32" hidden="1" customHeight="1" x14ac:dyDescent="0.2">
      <c r="C25" s="214" t="s">
        <v>644</v>
      </c>
      <c r="D25" s="416" t="s">
        <v>721</v>
      </c>
      <c r="E25" s="416"/>
      <c r="F25" s="416"/>
      <c r="G25" s="416"/>
      <c r="H25" s="416"/>
      <c r="I25" s="416"/>
    </row>
    <row r="26" spans="3:20" ht="32" hidden="1" customHeight="1" x14ac:dyDescent="0.2">
      <c r="C26" s="41" t="s">
        <v>643</v>
      </c>
      <c r="D26" s="416" t="s">
        <v>723</v>
      </c>
      <c r="E26" s="416"/>
      <c r="F26" s="416"/>
      <c r="G26" s="416"/>
      <c r="H26" s="416"/>
      <c r="I26" s="416"/>
    </row>
    <row r="27" spans="3:20" ht="16" hidden="1" customHeight="1" x14ac:dyDescent="0.2">
      <c r="C27" s="174" t="s">
        <v>646</v>
      </c>
      <c r="D27" s="416" t="s">
        <v>722</v>
      </c>
      <c r="E27" s="416"/>
      <c r="F27" s="416"/>
      <c r="G27" s="416"/>
      <c r="H27" s="416"/>
      <c r="I27" s="416"/>
    </row>
    <row r="28" spans="3:20" ht="16" hidden="1" customHeight="1" x14ac:dyDescent="0.2">
      <c r="C28" s="175" t="s">
        <v>647</v>
      </c>
      <c r="D28" s="416" t="s">
        <v>724</v>
      </c>
      <c r="E28" s="416"/>
      <c r="F28" s="416"/>
      <c r="G28" s="416"/>
      <c r="H28" s="416"/>
      <c r="I28" s="416"/>
    </row>
    <row r="29" spans="3:20" ht="19" x14ac:dyDescent="0.2">
      <c r="C29" s="4"/>
      <c r="N29" s="372"/>
    </row>
    <row r="30" spans="3:20" x14ac:dyDescent="0.2">
      <c r="N30" s="3"/>
      <c r="O30" s="83"/>
      <c r="P30" s="83"/>
      <c r="Q30" s="83"/>
      <c r="R30" s="83"/>
      <c r="S30" s="83"/>
      <c r="T30" s="83"/>
    </row>
    <row r="31" spans="3:20" x14ac:dyDescent="0.2">
      <c r="N31" s="3"/>
      <c r="O31" s="83"/>
      <c r="P31" s="83"/>
      <c r="Q31" s="83"/>
      <c r="R31" s="83"/>
      <c r="S31" s="83"/>
      <c r="T31" s="83"/>
    </row>
    <row r="32" spans="3:20" x14ac:dyDescent="0.2">
      <c r="N32" s="3"/>
      <c r="O32" s="83"/>
      <c r="P32" s="83"/>
      <c r="Q32" s="83"/>
      <c r="R32" s="83"/>
      <c r="S32" s="83"/>
      <c r="T32" s="83"/>
    </row>
    <row r="33" spans="14:20" x14ac:dyDescent="0.2">
      <c r="N33" s="3"/>
      <c r="O33" s="83"/>
      <c r="P33" s="83"/>
      <c r="Q33" s="83"/>
      <c r="R33" s="83"/>
      <c r="S33" s="83"/>
      <c r="T33" s="83"/>
    </row>
  </sheetData>
  <sheetProtection algorithmName="SHA-512" hashValue="YL+2JxlvGCb5AoeSI36/Lpa/zop46Zs0C4gBINc0bqtMIpvu9lY+461RaD7VNs0iQUMOf4jZg/GUWdh3rJC3wg==" saltValue="oapRjNmYfUk1CCr8Pon3aA==" spinCount="100000" sheet="1" objects="1" scenarios="1" formatCells="0"/>
  <mergeCells count="4">
    <mergeCell ref="D28:I28"/>
    <mergeCell ref="D27:I27"/>
    <mergeCell ref="D26:I26"/>
    <mergeCell ref="D25:I25"/>
  </mergeCell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36C37D-E337-B74F-AD3A-B1F8692FD885}">
  <sheetPr>
    <tabColor rgb="FF7030A0"/>
  </sheetPr>
  <dimension ref="A1:Z107"/>
  <sheetViews>
    <sheetView topLeftCell="A3" zoomScale="120" zoomScaleNormal="120" workbookViewId="0">
      <selection activeCell="O36" sqref="O36"/>
    </sheetView>
  </sheetViews>
  <sheetFormatPr baseColWidth="10" defaultRowHeight="16" x14ac:dyDescent="0.2"/>
  <cols>
    <col min="11" max="11" width="10.83203125" customWidth="1"/>
    <col min="12" max="12" width="12.5" customWidth="1"/>
    <col min="13" max="13" width="12.6640625" customWidth="1"/>
    <col min="14" max="14" width="12.1640625" customWidth="1"/>
    <col min="15" max="15" width="19.6640625" bestFit="1" customWidth="1"/>
    <col min="16" max="16" width="13.33203125" customWidth="1"/>
    <col min="17" max="17" width="5.1640625" customWidth="1"/>
    <col min="18" max="18" width="3.33203125" customWidth="1"/>
    <col min="19" max="19" width="5.1640625" customWidth="1"/>
    <col min="20" max="20" width="10.1640625" bestFit="1" customWidth="1"/>
    <col min="21" max="21" width="12.83203125" bestFit="1" customWidth="1"/>
    <col min="22" max="22" width="13" bestFit="1" customWidth="1"/>
    <col min="23" max="23" width="12.33203125" bestFit="1" customWidth="1"/>
    <col min="24" max="24" width="19.6640625" bestFit="1" customWidth="1"/>
    <col min="25" max="25" width="12.5" bestFit="1" customWidth="1"/>
    <col min="26" max="26" width="12" style="18" bestFit="1" customWidth="1"/>
  </cols>
  <sheetData>
    <row r="1" spans="1:26" ht="21" x14ac:dyDescent="0.25">
      <c r="A1" s="145" t="s">
        <v>223</v>
      </c>
      <c r="B1" s="145" t="s">
        <v>180</v>
      </c>
      <c r="C1" s="144" t="str">
        <f>IF(INITIAL_FORET!F2="","",INITIAL_FORET!F2)</f>
        <v/>
      </c>
      <c r="D1" s="143"/>
      <c r="E1" s="143"/>
      <c r="F1" s="143"/>
      <c r="G1" s="143"/>
      <c r="H1" s="143"/>
      <c r="I1" s="143"/>
      <c r="J1" s="143"/>
      <c r="K1" s="143"/>
      <c r="L1" s="143"/>
      <c r="M1" s="143"/>
      <c r="N1" s="143"/>
      <c r="O1" s="143"/>
      <c r="P1" s="143"/>
      <c r="R1" s="284"/>
      <c r="T1" s="145" t="s">
        <v>223</v>
      </c>
      <c r="U1" s="145" t="s">
        <v>180</v>
      </c>
      <c r="V1" s="144" t="str">
        <f>IF(INITIAL_FORET!W2="","",INITIAL_FORET!W2)</f>
        <v/>
      </c>
      <c r="W1" s="143"/>
      <c r="X1" s="143"/>
      <c r="Y1" s="143"/>
      <c r="Z1" s="346"/>
    </row>
    <row r="2" spans="1:26" x14ac:dyDescent="0.2">
      <c r="A2" s="461" t="s">
        <v>637</v>
      </c>
      <c r="B2" s="461"/>
      <c r="C2" s="461"/>
      <c r="D2" s="461"/>
      <c r="E2" s="3"/>
      <c r="F2" s="461" t="s">
        <v>638</v>
      </c>
      <c r="G2" s="461"/>
      <c r="H2" s="461"/>
      <c r="I2" s="461"/>
      <c r="K2" s="461" t="s">
        <v>820</v>
      </c>
      <c r="L2" s="461"/>
      <c r="M2" s="461"/>
      <c r="N2" s="461" t="s">
        <v>824</v>
      </c>
      <c r="O2" s="461"/>
      <c r="P2" s="461"/>
      <c r="R2" s="284"/>
    </row>
    <row r="3" spans="1:26" x14ac:dyDescent="0.2">
      <c r="A3" s="3" t="s">
        <v>94</v>
      </c>
      <c r="B3" s="3" t="s">
        <v>765</v>
      </c>
      <c r="C3" s="3" t="s">
        <v>766</v>
      </c>
      <c r="D3" s="3" t="s">
        <v>767</v>
      </c>
      <c r="F3" s="3" t="s">
        <v>94</v>
      </c>
      <c r="G3" s="3" t="s">
        <v>768</v>
      </c>
      <c r="H3" s="3" t="s">
        <v>769</v>
      </c>
      <c r="I3" s="3" t="s">
        <v>770</v>
      </c>
      <c r="K3" s="480" t="str">
        <f>INITIAL_FORET!$C$8</f>
        <v/>
      </c>
      <c r="L3" s="480"/>
      <c r="M3" s="480"/>
      <c r="N3" s="479" t="str">
        <f>IF(D23=0,"",VLOOKUP(B1,INITIAL_FORET!$J$2:$M$5,4,FALSE))</f>
        <v/>
      </c>
      <c r="O3" s="479"/>
      <c r="P3" s="479"/>
      <c r="R3" s="284"/>
      <c r="T3" s="461" t="s">
        <v>1009</v>
      </c>
      <c r="U3" s="461"/>
      <c r="V3" s="461"/>
      <c r="W3" s="461"/>
      <c r="X3" s="461"/>
      <c r="Y3" s="461"/>
      <c r="Z3" s="461"/>
    </row>
    <row r="4" spans="1:26" x14ac:dyDescent="0.2">
      <c r="A4" s="3">
        <v>1</v>
      </c>
      <c r="B4" s="95">
        <f>StrateA!B347</f>
        <v>0</v>
      </c>
      <c r="C4" s="95">
        <f>StrateA!C347</f>
        <v>0</v>
      </c>
      <c r="D4" s="95">
        <f>StrateA!D347</f>
        <v>0</v>
      </c>
      <c r="F4" s="3">
        <v>1</v>
      </c>
      <c r="G4" s="95">
        <f>StrateA!B370</f>
        <v>0</v>
      </c>
      <c r="H4" s="95">
        <f>StrateA!C370</f>
        <v>0</v>
      </c>
      <c r="I4" s="95">
        <f>StrateA!D370</f>
        <v>0</v>
      </c>
      <c r="K4" s="480"/>
      <c r="L4" s="480"/>
      <c r="M4" s="480"/>
      <c r="N4" s="479"/>
      <c r="O4" s="479"/>
      <c r="P4" s="479"/>
      <c r="R4" s="284"/>
      <c r="T4" t="s">
        <v>8</v>
      </c>
      <c r="U4" t="s">
        <v>815</v>
      </c>
      <c r="V4" t="s">
        <v>816</v>
      </c>
      <c r="W4" t="s">
        <v>817</v>
      </c>
      <c r="X4" t="s">
        <v>829</v>
      </c>
      <c r="Y4" t="s">
        <v>818</v>
      </c>
      <c r="Z4" s="18" t="s">
        <v>819</v>
      </c>
    </row>
    <row r="5" spans="1:26" x14ac:dyDescent="0.2">
      <c r="A5" s="3">
        <v>2</v>
      </c>
      <c r="B5" s="95">
        <f>StrateA!B348</f>
        <v>0</v>
      </c>
      <c r="C5" s="95">
        <f>StrateA!C348</f>
        <v>0</v>
      </c>
      <c r="D5" s="95">
        <f>StrateA!D348</f>
        <v>0</v>
      </c>
      <c r="F5" s="3">
        <v>2</v>
      </c>
      <c r="G5" s="95">
        <f>StrateA!B371</f>
        <v>0</v>
      </c>
      <c r="H5" s="95">
        <f>StrateA!C371</f>
        <v>0</v>
      </c>
      <c r="I5" s="95">
        <f>StrateA!D371</f>
        <v>0</v>
      </c>
      <c r="R5" s="284"/>
      <c r="T5" t="str">
        <f>IF($D$23=0,"",INITIAL_FORET!AA40)</f>
        <v/>
      </c>
      <c r="U5" s="231" t="str">
        <f>IF($T5="","",VLOOKUP(CONCATENATE($B$1,"_",$T5),INITIAL_FORET!$AB$40:$AL$55,5,FALSE))</f>
        <v/>
      </c>
      <c r="V5" s="231" t="str">
        <f>IF($T5="","",VLOOKUP(CONCATENATE($B$1,"_",$T5),INITIAL_FORET!$AB$40:$AL$55,8,FALSE)*U5)</f>
        <v/>
      </c>
      <c r="W5" s="1" t="str">
        <f>IF($T5="","",VLOOKUP($T5,INITIAL_FORET!$Q$2:$R$13,2,FALSE))</f>
        <v/>
      </c>
      <c r="X5" s="231" t="str">
        <f>IF($T5="","",VLOOKUP(CONCATENATE($B$1,"_",$T5),INITIAL_FORET!$AB$40:$AO$55,14,FALSE))</f>
        <v/>
      </c>
      <c r="Y5" s="231" t="str">
        <f>IF($T5="","",VLOOKUP(CONCATENATE($B$1,"_",$T5),INITIAL_FORET!$AB$40:$AL$55,10,FALSE))</f>
        <v/>
      </c>
      <c r="Z5" s="347" t="str">
        <f>IF($T5="","",VLOOKUP(CONCATENATE($B$1,"_",$T5),INITIAL_FORET!$AB$40:$AL$55,11,FALSE))</f>
        <v/>
      </c>
    </row>
    <row r="6" spans="1:26" x14ac:dyDescent="0.2">
      <c r="A6" s="3">
        <v>3</v>
      </c>
      <c r="B6" s="95">
        <f>StrateA!B349</f>
        <v>0</v>
      </c>
      <c r="C6" s="95">
        <f>StrateA!C349</f>
        <v>0</v>
      </c>
      <c r="D6" s="95">
        <f>StrateA!D349</f>
        <v>0</v>
      </c>
      <c r="F6" s="3">
        <v>3</v>
      </c>
      <c r="G6" s="95">
        <f>StrateA!B372</f>
        <v>0</v>
      </c>
      <c r="H6" s="95">
        <f>StrateA!C372</f>
        <v>0</v>
      </c>
      <c r="I6" s="95">
        <f>StrateA!D372</f>
        <v>0</v>
      </c>
      <c r="R6" s="284"/>
      <c r="T6" t="str">
        <f>IF($D$23=0,"",INITIAL_FORET!AA41)</f>
        <v/>
      </c>
      <c r="U6" s="231" t="str">
        <f>IF($T6="","",VLOOKUP(CONCATENATE($B$1,"_",$T6),INITIAL_FORET!$AB$40:$AL$55,5,FALSE))</f>
        <v/>
      </c>
      <c r="V6" s="231" t="str">
        <f>IF($T6="","",VLOOKUP(CONCATENATE($B$1,"_",$T6),INITIAL_FORET!$AB$40:$AL$55,8,FALSE)*U6)</f>
        <v/>
      </c>
      <c r="W6" s="1" t="str">
        <f>IF($T6="","",VLOOKUP($T6,INITIAL_FORET!$Q$2:$R$13,2,FALSE))</f>
        <v/>
      </c>
      <c r="X6" s="231" t="str">
        <f>IF($T6="","",VLOOKUP(CONCATENATE($B$1,"_",$T6),INITIAL_FORET!$AB$40:$AO$55,14,FALSE))</f>
        <v/>
      </c>
      <c r="Y6" s="231" t="str">
        <f>IF($T6="","",VLOOKUP(CONCATENATE($B$1,"_",$T6),INITIAL_FORET!$AB$40:$AL$55,10,FALSE))</f>
        <v/>
      </c>
      <c r="Z6" s="347" t="str">
        <f>IF($T6="","",VLOOKUP(CONCATENATE($B$1,"_",$T6),INITIAL_FORET!$AB$40:$AL$55,11,FALSE))</f>
        <v/>
      </c>
    </row>
    <row r="7" spans="1:26" x14ac:dyDescent="0.2">
      <c r="A7" s="3">
        <v>4</v>
      </c>
      <c r="B7" s="95">
        <f>StrateA!B350</f>
        <v>0</v>
      </c>
      <c r="C7" s="95">
        <f>StrateA!C350</f>
        <v>0</v>
      </c>
      <c r="D7" s="95">
        <f>StrateA!D350</f>
        <v>0</v>
      </c>
      <c r="F7" s="3">
        <v>4</v>
      </c>
      <c r="G7" s="95">
        <f>StrateA!B373</f>
        <v>0</v>
      </c>
      <c r="H7" s="95">
        <f>StrateA!C373</f>
        <v>0</v>
      </c>
      <c r="I7" s="95">
        <f>StrateA!D373</f>
        <v>0</v>
      </c>
      <c r="K7" s="461" t="s">
        <v>821</v>
      </c>
      <c r="L7" s="461"/>
      <c r="M7" s="461" t="s">
        <v>822</v>
      </c>
      <c r="N7" s="461"/>
      <c r="O7" s="461" t="s">
        <v>823</v>
      </c>
      <c r="P7" s="461"/>
      <c r="R7" s="284"/>
      <c r="T7" t="str">
        <f>IF($D$23=0,"",INITIAL_FORET!AA42)</f>
        <v/>
      </c>
      <c r="U7" s="231" t="str">
        <f>IF($T7="","",VLOOKUP(CONCATENATE($B$1,"_",$T7),INITIAL_FORET!$AB$40:$AL$55,5,FALSE))</f>
        <v/>
      </c>
      <c r="V7" s="231" t="str">
        <f>IF($T7="","",VLOOKUP(CONCATENATE($B$1,"_",$T7),INITIAL_FORET!$AB$40:$AL$55,8,FALSE)*U7)</f>
        <v/>
      </c>
      <c r="W7" s="1" t="str">
        <f>IF($T7="","",VLOOKUP($T7,INITIAL_FORET!$Q$2:$R$13,2,FALSE))</f>
        <v/>
      </c>
      <c r="X7" s="231" t="str">
        <f>IF($T7="","",VLOOKUP(CONCATENATE($B$1,"_",$T7),INITIAL_FORET!$AB$40:$AO$55,14,FALSE))</f>
        <v/>
      </c>
      <c r="Y7" s="231" t="str">
        <f>IF($T7="","",VLOOKUP(CONCATENATE($B$1,"_",$T7),INITIAL_FORET!$AB$40:$AL$55,10,FALSE))</f>
        <v/>
      </c>
      <c r="Z7" s="347" t="str">
        <f>IF($T7="","",VLOOKUP(CONCATENATE($B$1,"_",$T7),INITIAL_FORET!$AB$40:$AL$55,11,FALSE))</f>
        <v/>
      </c>
    </row>
    <row r="8" spans="1:26" x14ac:dyDescent="0.2">
      <c r="A8" s="3">
        <v>5</v>
      </c>
      <c r="B8" s="95">
        <f>StrateA!B351</f>
        <v>0</v>
      </c>
      <c r="C8" s="95">
        <f>StrateA!C351</f>
        <v>0</v>
      </c>
      <c r="D8" s="95">
        <f>StrateA!D351</f>
        <v>0</v>
      </c>
      <c r="F8" s="3">
        <v>5</v>
      </c>
      <c r="G8" s="95">
        <f>StrateA!B374</f>
        <v>0</v>
      </c>
      <c r="H8" s="95">
        <f>StrateA!C374</f>
        <v>0</v>
      </c>
      <c r="I8" s="95">
        <f>StrateA!D374</f>
        <v>0</v>
      </c>
      <c r="K8" s="478" t="str">
        <f>IF(D23=0,"",VLOOKUP(B1,INITIAL_FORET!$J$2:$L$5,2,FALSE))</f>
        <v/>
      </c>
      <c r="L8" s="478"/>
      <c r="M8" s="479" t="str">
        <f>IF(D23=0,"",VLOOKUP(B1,INITIAL_FORET!$J$2:$L$5,3,FALSE))</f>
        <v/>
      </c>
      <c r="N8" s="479"/>
      <c r="O8" s="49" t="str">
        <f>IF(M$8="IRR",T5,"")</f>
        <v/>
      </c>
      <c r="P8" s="49" t="str">
        <f>IF(O8="","",CONCATENATE(VLOOKUP(O8,INITIAL_FORET!$Q$2:$T$13,4,FALSE)," cm"))</f>
        <v/>
      </c>
      <c r="R8" s="284"/>
      <c r="T8" t="str">
        <f>IF($D$23=0,"",INITIAL_FORET!AA43)</f>
        <v/>
      </c>
      <c r="U8" s="231" t="str">
        <f>IF($T8="","",VLOOKUP(CONCATENATE($B$1,"_",$T8),INITIAL_FORET!$AB$40:$AL$55,5,FALSE))</f>
        <v/>
      </c>
      <c r="V8" s="231" t="str">
        <f>IF($T8="","",VLOOKUP(CONCATENATE($B$1,"_",$T8),INITIAL_FORET!$AB$40:$AL$55,8,FALSE)*U8)</f>
        <v/>
      </c>
      <c r="W8" s="1" t="str">
        <f>IF($T8="","",VLOOKUP($T8,INITIAL_FORET!$Q$2:$R$13,2,FALSE))</f>
        <v/>
      </c>
      <c r="X8" s="231" t="str">
        <f>IF($T8="","",VLOOKUP(CONCATENATE($B$1,"_",$T8),INITIAL_FORET!$AB$40:$AO$55,14,FALSE))</f>
        <v/>
      </c>
      <c r="Y8" s="231" t="str">
        <f>IF($T8="","",VLOOKUP(CONCATENATE($B$1,"_",$T8),INITIAL_FORET!$AB$40:$AL$55,10,FALSE))</f>
        <v/>
      </c>
      <c r="Z8" s="347" t="str">
        <f>IF($T8="","",VLOOKUP(CONCATENATE($B$1,"_",$T8),INITIAL_FORET!$AB$40:$AL$55,11,FALSE))</f>
        <v/>
      </c>
    </row>
    <row r="9" spans="1:26" x14ac:dyDescent="0.2">
      <c r="A9" s="3">
        <v>6</v>
      </c>
      <c r="B9" s="95">
        <f>StrateA!B352</f>
        <v>0</v>
      </c>
      <c r="C9" s="95">
        <f>StrateA!C352</f>
        <v>0</v>
      </c>
      <c r="D9" s="95">
        <f>StrateA!D352</f>
        <v>0</v>
      </c>
      <c r="F9" s="3">
        <v>6</v>
      </c>
      <c r="G9" s="95">
        <f>StrateA!B375</f>
        <v>0</v>
      </c>
      <c r="H9" s="95">
        <f>StrateA!C375</f>
        <v>0</v>
      </c>
      <c r="I9" s="95">
        <f>StrateA!D375</f>
        <v>0</v>
      </c>
      <c r="K9" s="478"/>
      <c r="L9" s="478"/>
      <c r="M9" s="479"/>
      <c r="N9" s="479"/>
      <c r="O9" s="49" t="str">
        <f>IF(M$8="IRR",T6,"")</f>
        <v/>
      </c>
      <c r="P9" s="49" t="str">
        <f>IF(O9="","",CONCATENATE(VLOOKUP(O9,INITIAL_FORET!$Q$2:$T$13,4,FALSE)," cm"))</f>
        <v/>
      </c>
      <c r="R9" s="284"/>
    </row>
    <row r="10" spans="1:26" x14ac:dyDescent="0.2">
      <c r="A10" s="3">
        <v>7</v>
      </c>
      <c r="B10" s="95">
        <f>StrateA!B353</f>
        <v>0</v>
      </c>
      <c r="C10" s="95">
        <f>StrateA!C353</f>
        <v>0</v>
      </c>
      <c r="D10" s="95">
        <f>StrateA!D353</f>
        <v>0</v>
      </c>
      <c r="F10" s="3">
        <v>7</v>
      </c>
      <c r="G10" s="95">
        <f>StrateA!B376</f>
        <v>0</v>
      </c>
      <c r="H10" s="95">
        <f>StrateA!C376</f>
        <v>0</v>
      </c>
      <c r="I10" s="95">
        <f>StrateA!D376</f>
        <v>0</v>
      </c>
      <c r="K10" s="478"/>
      <c r="L10" s="478"/>
      <c r="M10" s="479"/>
      <c r="N10" s="479"/>
      <c r="O10" s="49" t="str">
        <f>IF(M$8="IRR",T7,"")</f>
        <v/>
      </c>
      <c r="P10" s="49" t="str">
        <f>IF(O10="","",CONCATENATE(VLOOKUP(O10,INITIAL_FORET!$Q$2:$T$13,5,FALSE)," cm"))</f>
        <v/>
      </c>
      <c r="R10" s="284"/>
      <c r="T10" s="461" t="s">
        <v>1010</v>
      </c>
      <c r="U10" s="461"/>
      <c r="V10" s="461"/>
      <c r="W10" s="461"/>
      <c r="X10" s="461"/>
      <c r="Y10" s="461"/>
      <c r="Z10" s="461"/>
    </row>
    <row r="11" spans="1:26" x14ac:dyDescent="0.2">
      <c r="A11" s="3">
        <v>8</v>
      </c>
      <c r="B11" s="95">
        <f>StrateA!B354</f>
        <v>0</v>
      </c>
      <c r="C11" s="95">
        <f>StrateA!C354</f>
        <v>0</v>
      </c>
      <c r="D11" s="95">
        <f>StrateA!D354</f>
        <v>0</v>
      </c>
      <c r="F11" s="3">
        <v>8</v>
      </c>
      <c r="G11" s="95">
        <f>StrateA!B377</f>
        <v>0</v>
      </c>
      <c r="H11" s="95">
        <f>StrateA!C377</f>
        <v>0</v>
      </c>
      <c r="I11" s="95">
        <f>StrateA!D377</f>
        <v>0</v>
      </c>
      <c r="K11" s="478"/>
      <c r="L11" s="478"/>
      <c r="M11" s="479"/>
      <c r="N11" s="479"/>
      <c r="O11" s="49" t="str">
        <f>IF(M$8="IRR",T8,"")</f>
        <v/>
      </c>
      <c r="P11" s="49" t="str">
        <f>IF(O11="","",CONCATENATE(VLOOKUP(O11,INITIAL_FORET!$Q$2:$T$13,5,FALSE)," cm"))</f>
        <v/>
      </c>
      <c r="R11" s="284"/>
      <c r="T11" t="s">
        <v>8</v>
      </c>
      <c r="U11" t="s">
        <v>815</v>
      </c>
      <c r="V11" t="s">
        <v>816</v>
      </c>
      <c r="W11" t="s">
        <v>817</v>
      </c>
      <c r="X11" t="s">
        <v>829</v>
      </c>
      <c r="Y11" t="s">
        <v>818</v>
      </c>
      <c r="Z11" s="18" t="s">
        <v>819</v>
      </c>
    </row>
    <row r="12" spans="1:26" x14ac:dyDescent="0.2">
      <c r="A12" s="3">
        <v>9</v>
      </c>
      <c r="B12" s="95">
        <f>StrateA!B355</f>
        <v>0</v>
      </c>
      <c r="C12" s="95">
        <f>StrateA!C355</f>
        <v>0</v>
      </c>
      <c r="D12" s="95">
        <f>StrateA!D355</f>
        <v>0</v>
      </c>
      <c r="F12" s="3">
        <v>9</v>
      </c>
      <c r="G12" s="95">
        <f>StrateA!B378</f>
        <v>0</v>
      </c>
      <c r="H12" s="95">
        <f>StrateA!C378</f>
        <v>0</v>
      </c>
      <c r="I12" s="95">
        <f>StrateA!D378</f>
        <v>0</v>
      </c>
      <c r="R12" s="284"/>
      <c r="S12" s="249"/>
      <c r="T12" t="str">
        <f t="shared" ref="T12:T15" si="0">IF(T5="","",T5)</f>
        <v/>
      </c>
      <c r="U12" s="231" t="str">
        <f>IF($T12="","",U5/N$3)</f>
        <v/>
      </c>
      <c r="V12" s="231" t="str">
        <f>IF($T12="","",V5/N$3)</f>
        <v/>
      </c>
      <c r="W12" s="1" t="str">
        <f t="shared" ref="W12:W15" si="1">W5</f>
        <v/>
      </c>
      <c r="X12" s="231" t="str">
        <f>IF($T12="","",X5/N$3)</f>
        <v/>
      </c>
      <c r="Y12" s="231" t="str">
        <f>IF($T12="","",Y5/N$3)</f>
        <v/>
      </c>
      <c r="Z12" s="347" t="str">
        <f>IF($T12="","",Z5/N$3)</f>
        <v/>
      </c>
    </row>
    <row r="13" spans="1:26" x14ac:dyDescent="0.2">
      <c r="A13" s="3">
        <v>10</v>
      </c>
      <c r="B13" s="95">
        <f>StrateA!B356</f>
        <v>0</v>
      </c>
      <c r="C13" s="95">
        <f>StrateA!C356</f>
        <v>0</v>
      </c>
      <c r="D13" s="95">
        <f>StrateA!D356</f>
        <v>0</v>
      </c>
      <c r="F13" s="3">
        <v>10</v>
      </c>
      <c r="G13" s="95">
        <f>StrateA!B379</f>
        <v>0</v>
      </c>
      <c r="H13" s="95">
        <f>StrateA!C379</f>
        <v>0</v>
      </c>
      <c r="I13" s="95">
        <f>StrateA!D379</f>
        <v>0</v>
      </c>
      <c r="R13" s="284"/>
      <c r="T13" t="str">
        <f t="shared" si="0"/>
        <v/>
      </c>
      <c r="U13" s="231" t="str">
        <f>IF($T13="","",U6/N$3)</f>
        <v/>
      </c>
      <c r="V13" s="231" t="str">
        <f>IF($T13="","",V6/N$3)</f>
        <v/>
      </c>
      <c r="W13" s="1" t="str">
        <f t="shared" si="1"/>
        <v/>
      </c>
      <c r="X13" s="231" t="str">
        <f>IF($T13="","",X6/N$3)</f>
        <v/>
      </c>
      <c r="Y13" s="231" t="str">
        <f>IF($T13="","",Y6/N$3)</f>
        <v/>
      </c>
      <c r="Z13" s="347" t="str">
        <f>IF($T13="","",Z6/N$3)</f>
        <v/>
      </c>
    </row>
    <row r="14" spans="1:26" x14ac:dyDescent="0.2">
      <c r="A14" s="3">
        <v>11</v>
      </c>
      <c r="B14" s="95">
        <f>StrateA!B357</f>
        <v>0</v>
      </c>
      <c r="C14" s="95">
        <f>StrateA!C357</f>
        <v>0</v>
      </c>
      <c r="D14" s="95">
        <f>StrateA!D357</f>
        <v>0</v>
      </c>
      <c r="F14" s="3">
        <v>11</v>
      </c>
      <c r="G14" s="95">
        <f>StrateA!B380</f>
        <v>0</v>
      </c>
      <c r="H14" s="95">
        <f>StrateA!C380</f>
        <v>0</v>
      </c>
      <c r="I14" s="95">
        <f>StrateA!D380</f>
        <v>0</v>
      </c>
      <c r="R14" s="284"/>
      <c r="T14" t="str">
        <f t="shared" si="0"/>
        <v/>
      </c>
      <c r="U14" s="231" t="str">
        <f>IF($T14="","",U7/N$3)</f>
        <v/>
      </c>
      <c r="V14" s="231" t="str">
        <f>IF($T14="","",V7/N$3)</f>
        <v/>
      </c>
      <c r="W14" s="1" t="str">
        <f t="shared" si="1"/>
        <v/>
      </c>
      <c r="X14" s="231" t="str">
        <f>IF($T14="","",X7/N$3)</f>
        <v/>
      </c>
      <c r="Y14" s="231" t="str">
        <f>IF($T14="","",Y7/N$3)</f>
        <v/>
      </c>
      <c r="Z14" s="347" t="str">
        <f>IF($T14="","",Z7/N$3)</f>
        <v/>
      </c>
    </row>
    <row r="15" spans="1:26" x14ac:dyDescent="0.2">
      <c r="A15" s="3">
        <v>12</v>
      </c>
      <c r="B15" s="95">
        <f>StrateA!B358</f>
        <v>0</v>
      </c>
      <c r="C15" s="95">
        <f>StrateA!C358</f>
        <v>0</v>
      </c>
      <c r="D15" s="95">
        <f>StrateA!D358</f>
        <v>0</v>
      </c>
      <c r="F15" s="3">
        <v>12</v>
      </c>
      <c r="G15" s="95">
        <f>StrateA!B381</f>
        <v>0</v>
      </c>
      <c r="H15" s="95">
        <f>StrateA!C381</f>
        <v>0</v>
      </c>
      <c r="I15" s="95">
        <f>StrateA!D381</f>
        <v>0</v>
      </c>
      <c r="R15" s="284"/>
      <c r="T15" t="str">
        <f t="shared" si="0"/>
        <v/>
      </c>
      <c r="U15" s="231" t="str">
        <f>IF($T15="","",U8/N$3)</f>
        <v/>
      </c>
      <c r="V15" s="231" t="str">
        <f>IF($T15="","",V8/N$3)</f>
        <v/>
      </c>
      <c r="W15" s="1" t="str">
        <f t="shared" si="1"/>
        <v/>
      </c>
      <c r="X15" s="231" t="str">
        <f>IF($T15="","",X8/N$3)</f>
        <v/>
      </c>
      <c r="Y15" s="231" t="str">
        <f>IF($T15="","",Y8/N$3)</f>
        <v/>
      </c>
      <c r="Z15" s="347" t="str">
        <f>IF($T15="","",Z8/N$3)</f>
        <v/>
      </c>
    </row>
    <row r="16" spans="1:26" x14ac:dyDescent="0.2">
      <c r="A16" s="3">
        <v>13</v>
      </c>
      <c r="B16" s="95">
        <f>StrateA!B359</f>
        <v>0</v>
      </c>
      <c r="C16" s="95">
        <f>StrateA!C359</f>
        <v>0</v>
      </c>
      <c r="D16" s="95">
        <f>StrateA!D359</f>
        <v>0</v>
      </c>
      <c r="F16" s="3">
        <v>13</v>
      </c>
      <c r="G16" s="95">
        <f>StrateA!B382</f>
        <v>0</v>
      </c>
      <c r="H16" s="95">
        <f>StrateA!C382</f>
        <v>0</v>
      </c>
      <c r="I16" s="95">
        <f>StrateA!D382</f>
        <v>0</v>
      </c>
      <c r="R16" s="284"/>
    </row>
    <row r="17" spans="1:26" x14ac:dyDescent="0.2">
      <c r="A17" s="3">
        <v>14</v>
      </c>
      <c r="B17" s="95">
        <f>StrateA!B360</f>
        <v>0</v>
      </c>
      <c r="C17" s="95">
        <f>StrateA!C360</f>
        <v>0</v>
      </c>
      <c r="D17" s="95">
        <f>StrateA!D360</f>
        <v>0</v>
      </c>
      <c r="F17" s="3">
        <v>14</v>
      </c>
      <c r="G17" s="95">
        <f>StrateA!B383</f>
        <v>0</v>
      </c>
      <c r="H17" s="95">
        <f>StrateA!C383</f>
        <v>0</v>
      </c>
      <c r="I17" s="95">
        <f>StrateA!D383</f>
        <v>0</v>
      </c>
      <c r="R17" s="284"/>
    </row>
    <row r="18" spans="1:26" x14ac:dyDescent="0.2">
      <c r="A18" s="3">
        <v>15</v>
      </c>
      <c r="B18" s="95">
        <f>StrateA!B361</f>
        <v>0</v>
      </c>
      <c r="C18" s="95">
        <f>StrateA!C361</f>
        <v>0</v>
      </c>
      <c r="D18" s="95">
        <f>StrateA!D361</f>
        <v>0</v>
      </c>
      <c r="F18" s="3">
        <v>15</v>
      </c>
      <c r="G18" s="95">
        <f>StrateA!B384</f>
        <v>0</v>
      </c>
      <c r="H18" s="95">
        <f>StrateA!C384</f>
        <v>0</v>
      </c>
      <c r="I18" s="95">
        <f>StrateA!D384</f>
        <v>0</v>
      </c>
      <c r="R18" s="284"/>
    </row>
    <row r="19" spans="1:26" x14ac:dyDescent="0.2">
      <c r="A19" s="3">
        <v>16</v>
      </c>
      <c r="B19" s="95">
        <f>StrateA!B362</f>
        <v>0</v>
      </c>
      <c r="C19" s="95">
        <f>StrateA!C362</f>
        <v>0</v>
      </c>
      <c r="D19" s="95">
        <f>StrateA!D362</f>
        <v>0</v>
      </c>
      <c r="F19" s="3">
        <v>16</v>
      </c>
      <c r="G19" s="95">
        <f>StrateA!B385</f>
        <v>0</v>
      </c>
      <c r="H19" s="95">
        <f>StrateA!C385</f>
        <v>0</v>
      </c>
      <c r="I19" s="95">
        <f>StrateA!D385</f>
        <v>0</v>
      </c>
      <c r="R19" s="284"/>
    </row>
    <row r="20" spans="1:26" x14ac:dyDescent="0.2">
      <c r="A20" s="3">
        <v>17</v>
      </c>
      <c r="B20" s="95">
        <f>StrateA!B363</f>
        <v>0</v>
      </c>
      <c r="C20" s="95">
        <f>StrateA!C363</f>
        <v>0</v>
      </c>
      <c r="D20" s="95">
        <f>StrateA!D363</f>
        <v>0</v>
      </c>
      <c r="F20" s="3">
        <v>17</v>
      </c>
      <c r="G20" s="95">
        <f>StrateA!B386</f>
        <v>0</v>
      </c>
      <c r="H20" s="95">
        <f>StrateA!C386</f>
        <v>0</v>
      </c>
      <c r="I20" s="95">
        <f>StrateA!D386</f>
        <v>0</v>
      </c>
      <c r="R20" s="284"/>
    </row>
    <row r="21" spans="1:26" x14ac:dyDescent="0.2">
      <c r="A21" s="3">
        <v>18</v>
      </c>
      <c r="B21" s="95">
        <f>StrateA!B364</f>
        <v>0</v>
      </c>
      <c r="C21" s="95">
        <f>StrateA!C364</f>
        <v>0</v>
      </c>
      <c r="D21" s="95">
        <f>StrateA!D364</f>
        <v>0</v>
      </c>
      <c r="F21" s="3">
        <v>18</v>
      </c>
      <c r="G21" s="95">
        <f>StrateA!B387</f>
        <v>0</v>
      </c>
      <c r="H21" s="95">
        <f>StrateA!C387</f>
        <v>0</v>
      </c>
      <c r="I21" s="95">
        <f>StrateA!D387</f>
        <v>0</v>
      </c>
      <c r="R21" s="284"/>
    </row>
    <row r="22" spans="1:26" x14ac:dyDescent="0.2">
      <c r="A22" s="3">
        <v>19</v>
      </c>
      <c r="B22" s="95">
        <f>StrateA!B365</f>
        <v>0</v>
      </c>
      <c r="C22" s="95">
        <f>StrateA!C365</f>
        <v>0</v>
      </c>
      <c r="D22" s="95">
        <f>StrateA!D365</f>
        <v>0</v>
      </c>
      <c r="F22" s="3">
        <v>19</v>
      </c>
      <c r="G22" s="95">
        <f>StrateA!B388</f>
        <v>0</v>
      </c>
      <c r="H22" s="95">
        <f>StrateA!C388</f>
        <v>0</v>
      </c>
      <c r="I22" s="95">
        <f>StrateA!D388</f>
        <v>0</v>
      </c>
      <c r="R22" s="284"/>
    </row>
    <row r="23" spans="1:26" x14ac:dyDescent="0.2">
      <c r="A23" s="94">
        <v>20</v>
      </c>
      <c r="B23" s="96">
        <f>StrateA!B366</f>
        <v>0</v>
      </c>
      <c r="C23" s="96">
        <f>StrateA!C366</f>
        <v>0</v>
      </c>
      <c r="D23" s="96">
        <f>StrateA!D366</f>
        <v>0</v>
      </c>
      <c r="F23" s="94">
        <v>20</v>
      </c>
      <c r="G23" s="96">
        <f>StrateA!B389</f>
        <v>0</v>
      </c>
      <c r="H23" s="96">
        <f>StrateA!C389</f>
        <v>0</v>
      </c>
      <c r="I23" s="96">
        <f>StrateA!D389</f>
        <v>0</v>
      </c>
      <c r="R23" s="284"/>
      <c r="S23" s="78"/>
      <c r="T23" s="78"/>
    </row>
    <row r="24" spans="1:26" x14ac:dyDescent="0.2">
      <c r="R24" s="284"/>
    </row>
    <row r="25" spans="1:26" x14ac:dyDescent="0.2">
      <c r="R25" s="284"/>
      <c r="S25" s="1"/>
      <c r="T25" s="1"/>
    </row>
    <row r="26" spans="1:26" x14ac:dyDescent="0.2">
      <c r="R26" s="284"/>
    </row>
    <row r="27" spans="1:26" x14ac:dyDescent="0.2">
      <c r="R27" s="284"/>
    </row>
    <row r="28" spans="1:26" ht="21" x14ac:dyDescent="0.25">
      <c r="A28" s="145" t="s">
        <v>223</v>
      </c>
      <c r="B28" s="145" t="s">
        <v>188</v>
      </c>
      <c r="C28" s="144" t="str">
        <f>IF(INITIAL_FORET!F3="","",INITIAL_FORET!F3)</f>
        <v/>
      </c>
      <c r="D28" s="143"/>
      <c r="E28" s="143"/>
      <c r="F28" s="143"/>
      <c r="G28" s="143"/>
      <c r="H28" s="143"/>
      <c r="I28" s="143"/>
      <c r="J28" s="143"/>
      <c r="K28" s="143"/>
      <c r="L28" s="143"/>
      <c r="M28" s="143"/>
      <c r="N28" s="143"/>
      <c r="O28" s="143"/>
      <c r="P28" s="143"/>
      <c r="R28" s="284"/>
      <c r="T28" s="145" t="s">
        <v>223</v>
      </c>
      <c r="U28" s="145" t="s">
        <v>188</v>
      </c>
      <c r="V28" s="144" t="str">
        <f>IF(INITIAL_FORET!W3="","",INITIAL_FORET!W3)</f>
        <v/>
      </c>
      <c r="W28" s="143"/>
      <c r="X28" s="143"/>
      <c r="Y28" s="143"/>
      <c r="Z28" s="346"/>
    </row>
    <row r="29" spans="1:26" x14ac:dyDescent="0.2">
      <c r="A29" s="461" t="s">
        <v>637</v>
      </c>
      <c r="B29" s="461"/>
      <c r="C29" s="461"/>
      <c r="D29" s="461"/>
      <c r="E29" s="3"/>
      <c r="F29" s="461" t="s">
        <v>638</v>
      </c>
      <c r="G29" s="461"/>
      <c r="H29" s="461"/>
      <c r="I29" s="461"/>
      <c r="K29" s="461" t="s">
        <v>820</v>
      </c>
      <c r="L29" s="461"/>
      <c r="M29" s="461"/>
      <c r="N29" s="461" t="s">
        <v>824</v>
      </c>
      <c r="O29" s="461"/>
      <c r="P29" s="461"/>
      <c r="R29" s="284"/>
    </row>
    <row r="30" spans="1:26" x14ac:dyDescent="0.2">
      <c r="A30" s="3" t="s">
        <v>94</v>
      </c>
      <c r="B30" s="3" t="s">
        <v>765</v>
      </c>
      <c r="C30" s="3" t="s">
        <v>766</v>
      </c>
      <c r="D30" s="3" t="s">
        <v>767</v>
      </c>
      <c r="F30" s="3" t="s">
        <v>94</v>
      </c>
      <c r="G30" s="3" t="s">
        <v>768</v>
      </c>
      <c r="H30" s="3" t="s">
        <v>769</v>
      </c>
      <c r="I30" s="3" t="s">
        <v>770</v>
      </c>
      <c r="K30" s="480" t="str">
        <f>INITIAL_FORET!$C$8</f>
        <v/>
      </c>
      <c r="L30" s="480"/>
      <c r="M30" s="480"/>
      <c r="N30" s="479" t="str">
        <f>IF(D50=0,"",VLOOKUP(B28,INITIAL_FORET!$J$2:$M$5,4,FALSE))</f>
        <v/>
      </c>
      <c r="O30" s="479"/>
      <c r="P30" s="479"/>
      <c r="R30" s="284"/>
      <c r="T30" s="461" t="s">
        <v>1009</v>
      </c>
      <c r="U30" s="461"/>
      <c r="V30" s="461"/>
      <c r="W30" s="461"/>
      <c r="X30" s="461"/>
      <c r="Y30" s="461"/>
      <c r="Z30" s="461"/>
    </row>
    <row r="31" spans="1:26" x14ac:dyDescent="0.2">
      <c r="A31" s="3">
        <v>1</v>
      </c>
      <c r="B31" s="95">
        <f>StrateB!B347</f>
        <v>0</v>
      </c>
      <c r="C31" s="95">
        <f>StrateB!C347</f>
        <v>0</v>
      </c>
      <c r="D31" s="95">
        <f>StrateB!D347</f>
        <v>0</v>
      </c>
      <c r="F31" s="3">
        <v>1</v>
      </c>
      <c r="G31" s="95">
        <f>StrateB!B370</f>
        <v>0</v>
      </c>
      <c r="H31" s="95">
        <f>StrateB!C370</f>
        <v>0</v>
      </c>
      <c r="I31" s="95">
        <f>StrateB!D370</f>
        <v>0</v>
      </c>
      <c r="K31" s="480"/>
      <c r="L31" s="480"/>
      <c r="M31" s="480"/>
      <c r="N31" s="479"/>
      <c r="O31" s="479"/>
      <c r="P31" s="479"/>
      <c r="R31" s="284"/>
      <c r="T31" t="s">
        <v>8</v>
      </c>
      <c r="U31" t="s">
        <v>815</v>
      </c>
      <c r="V31" t="s">
        <v>816</v>
      </c>
      <c r="W31" t="s">
        <v>817</v>
      </c>
      <c r="X31" t="s">
        <v>829</v>
      </c>
      <c r="Y31" t="s">
        <v>818</v>
      </c>
      <c r="Z31" s="18" t="s">
        <v>819</v>
      </c>
    </row>
    <row r="32" spans="1:26" x14ac:dyDescent="0.2">
      <c r="A32" s="3">
        <v>2</v>
      </c>
      <c r="B32" s="95">
        <f>StrateB!B348</f>
        <v>0</v>
      </c>
      <c r="C32" s="95">
        <f>StrateB!C348</f>
        <v>0</v>
      </c>
      <c r="D32" s="95">
        <f>StrateB!D348</f>
        <v>0</v>
      </c>
      <c r="F32" s="3">
        <v>2</v>
      </c>
      <c r="G32" s="95">
        <f>StrateB!B371</f>
        <v>0</v>
      </c>
      <c r="H32" s="95">
        <f>StrateB!C371</f>
        <v>0</v>
      </c>
      <c r="I32" s="95">
        <f>StrateB!D371</f>
        <v>0</v>
      </c>
      <c r="R32" s="284"/>
      <c r="T32" t="str">
        <f>IF($D$50=0,"",INITIAL_FORET!AA44)</f>
        <v/>
      </c>
      <c r="U32" s="231" t="str">
        <f>IF($T32="","",VLOOKUP(CONCATENATE($B$28,"_",$T32),INITIAL_FORET!$AB$40:$AL$55,5,FALSE))</f>
        <v/>
      </c>
      <c r="V32" s="231" t="str">
        <f>IF($T32="","",VLOOKUP(CONCATENATE($B$28,"_",$T32),INITIAL_FORET!$AB$40:$AL$55,8,FALSE)*U32)</f>
        <v/>
      </c>
      <c r="W32" s="1" t="str">
        <f>IF($T32="","",VLOOKUP($T32,INITIAL_FORET!$Q$2:$R$13,2,FALSE))</f>
        <v/>
      </c>
      <c r="X32" s="231" t="str">
        <f>IF($T32="","",VLOOKUP(CONCATENATE($B$28,"_",$T32),INITIAL_FORET!$AB$40:$AO$55,14,FALSE))</f>
        <v/>
      </c>
      <c r="Y32" s="231" t="str">
        <f>IF($T32="","",VLOOKUP(CONCATENATE($B$28,"_",$T32),INITIAL_FORET!$AB$40:$AL$55,10,FALSE))</f>
        <v/>
      </c>
      <c r="Z32" s="347" t="str">
        <f>IF($T32="","",VLOOKUP(CONCATENATE($B$28,"_",$T32),INITIAL_FORET!$AB$40:$AL$55,11,FALSE))</f>
        <v/>
      </c>
    </row>
    <row r="33" spans="1:26" x14ac:dyDescent="0.2">
      <c r="A33" s="3">
        <v>3</v>
      </c>
      <c r="B33" s="95">
        <f>StrateB!B349</f>
        <v>0</v>
      </c>
      <c r="C33" s="95">
        <f>StrateB!C349</f>
        <v>0</v>
      </c>
      <c r="D33" s="95">
        <f>StrateB!D349</f>
        <v>0</v>
      </c>
      <c r="F33" s="3">
        <v>3</v>
      </c>
      <c r="G33" s="95">
        <f>StrateB!B372</f>
        <v>0</v>
      </c>
      <c r="H33" s="95">
        <f>StrateB!C372</f>
        <v>0</v>
      </c>
      <c r="I33" s="95">
        <f>StrateB!D372</f>
        <v>0</v>
      </c>
      <c r="R33" s="284"/>
      <c r="T33" t="str">
        <f>IF($D$50=0,"",INITIAL_FORET!AA45)</f>
        <v/>
      </c>
      <c r="U33" s="231" t="str">
        <f>IF($T33="","",VLOOKUP(CONCATENATE($B$28,"_",$T33),INITIAL_FORET!$AB$40:$AL$55,5,FALSE))</f>
        <v/>
      </c>
      <c r="V33" s="231" t="str">
        <f>IF($T33="","",VLOOKUP(CONCATENATE($B$28,"_",$T33),INITIAL_FORET!$AB$40:$AL$55,8,FALSE)*U33)</f>
        <v/>
      </c>
      <c r="W33" s="1" t="str">
        <f>IF($T33="","",VLOOKUP($T33,INITIAL_FORET!$Q$2:$R$13,2,FALSE))</f>
        <v/>
      </c>
      <c r="X33" s="231" t="str">
        <f>IF($T33="","",VLOOKUP(CONCATENATE($B$28,"_",$T33),INITIAL_FORET!$AB$40:$AO$55,14,FALSE))</f>
        <v/>
      </c>
      <c r="Y33" s="231" t="str">
        <f>IF($T33="","",VLOOKUP(CONCATENATE($B$28,"_",$T33),INITIAL_FORET!$AB$40:$AL$55,10,FALSE))</f>
        <v/>
      </c>
      <c r="Z33" s="347" t="str">
        <f>IF($T33="","",VLOOKUP(CONCATENATE($B$28,"_",$T33),INITIAL_FORET!$AB$40:$AL$55,11,FALSE))</f>
        <v/>
      </c>
    </row>
    <row r="34" spans="1:26" x14ac:dyDescent="0.2">
      <c r="A34" s="3">
        <v>4</v>
      </c>
      <c r="B34" s="95">
        <f>StrateB!B350</f>
        <v>0</v>
      </c>
      <c r="C34" s="95">
        <f>StrateB!C350</f>
        <v>0</v>
      </c>
      <c r="D34" s="95">
        <f>StrateB!D350</f>
        <v>0</v>
      </c>
      <c r="F34" s="3">
        <v>4</v>
      </c>
      <c r="G34" s="95">
        <f>StrateB!B373</f>
        <v>0</v>
      </c>
      <c r="H34" s="95">
        <f>StrateB!C373</f>
        <v>0</v>
      </c>
      <c r="I34" s="95">
        <f>StrateB!D373</f>
        <v>0</v>
      </c>
      <c r="K34" s="461" t="s">
        <v>821</v>
      </c>
      <c r="L34" s="461"/>
      <c r="M34" s="461" t="s">
        <v>822</v>
      </c>
      <c r="N34" s="461"/>
      <c r="O34" s="461" t="s">
        <v>823</v>
      </c>
      <c r="P34" s="461"/>
      <c r="R34" s="284"/>
      <c r="T34" t="str">
        <f>IF($D$50=0,"",INITIAL_FORET!AA46)</f>
        <v/>
      </c>
      <c r="U34" s="231" t="str">
        <f>IF($T34="","",VLOOKUP(CONCATENATE($B$28,"_",$T34),INITIAL_FORET!$AB$40:$AL$55,5,FALSE))</f>
        <v/>
      </c>
      <c r="V34" s="231" t="str">
        <f>IF($T34="","",VLOOKUP(CONCATENATE($B$28,"_",$T34),INITIAL_FORET!$AB$40:$AL$55,8,FALSE)*U34)</f>
        <v/>
      </c>
      <c r="W34" s="1" t="str">
        <f>IF($T34="","",VLOOKUP($T34,INITIAL_FORET!$Q$2:$R$13,2,FALSE))</f>
        <v/>
      </c>
      <c r="X34" s="231" t="str">
        <f>IF($T34="","",VLOOKUP(CONCATENATE($B$28,"_",$T34),INITIAL_FORET!$AB$40:$AO$55,14,FALSE))</f>
        <v/>
      </c>
      <c r="Y34" s="231" t="str">
        <f>IF($T34="","",VLOOKUP(CONCATENATE($B$28,"_",$T34),INITIAL_FORET!$AB$40:$AL$55,10,FALSE))</f>
        <v/>
      </c>
      <c r="Z34" s="347" t="str">
        <f>IF($T34="","",VLOOKUP(CONCATENATE($B$28,"_",$T34),INITIAL_FORET!$AB$40:$AL$55,11,FALSE))</f>
        <v/>
      </c>
    </row>
    <row r="35" spans="1:26" x14ac:dyDescent="0.2">
      <c r="A35" s="3">
        <v>5</v>
      </c>
      <c r="B35" s="95">
        <f>StrateB!B351</f>
        <v>0</v>
      </c>
      <c r="C35" s="95">
        <f>StrateB!C351</f>
        <v>0</v>
      </c>
      <c r="D35" s="95">
        <f>StrateB!D351</f>
        <v>0</v>
      </c>
      <c r="F35" s="3">
        <v>5</v>
      </c>
      <c r="G35" s="95">
        <f>StrateB!B374</f>
        <v>0</v>
      </c>
      <c r="H35" s="95">
        <f>StrateB!C374</f>
        <v>0</v>
      </c>
      <c r="I35" s="95">
        <f>StrateB!D374</f>
        <v>0</v>
      </c>
      <c r="K35" s="478" t="str">
        <f>IF(D50=0,"",VLOOKUP(B28,INITIAL_FORET!$J$2:$L$5,2,FALSE))</f>
        <v/>
      </c>
      <c r="L35" s="478"/>
      <c r="M35" s="479" t="str">
        <f>IF(D50=0,"",VLOOKUP(B28,INITIAL_FORET!$J$2:$L$5,3,FALSE))</f>
        <v/>
      </c>
      <c r="N35" s="479"/>
      <c r="O35" s="49" t="str">
        <f>IF(M$35="IRR",T32,"")</f>
        <v/>
      </c>
      <c r="P35" s="49" t="str">
        <f>IF(O35="","",CONCATENATE(VLOOKUP(O35,INITIAL_FORET!$Q$2:$T$13,4,FALSE)," cm"))</f>
        <v/>
      </c>
      <c r="R35" s="284"/>
      <c r="T35" t="str">
        <f>IF($D$50=0,"",INITIAL_FORET!AA47)</f>
        <v/>
      </c>
      <c r="U35" s="231" t="str">
        <f>IF($T35="","",VLOOKUP(CONCATENATE($B$28,"_",$T35),INITIAL_FORET!$AB$40:$AL$55,5,FALSE))</f>
        <v/>
      </c>
      <c r="V35" s="231" t="str">
        <f>IF($T35="","",VLOOKUP(CONCATENATE($B$28,"_",$T35),INITIAL_FORET!$AB$40:$AL$55,8,FALSE)*U35)</f>
        <v/>
      </c>
      <c r="W35" s="1" t="str">
        <f>IF($T35="","",VLOOKUP($T35,INITIAL_FORET!$Q$2:$R$13,2,FALSE))</f>
        <v/>
      </c>
      <c r="X35" s="231" t="str">
        <f>IF($T35="","",VLOOKUP(CONCATENATE($B$28,"_",$T35),INITIAL_FORET!$AB$40:$AO$55,14,FALSE))</f>
        <v/>
      </c>
      <c r="Y35" s="231" t="str">
        <f>IF($T35="","",VLOOKUP(CONCATENATE($B$28,"_",$T35),INITIAL_FORET!$AB$40:$AL$55,10,FALSE))</f>
        <v/>
      </c>
      <c r="Z35" s="347" t="str">
        <f>IF($T35="","",VLOOKUP(CONCATENATE($B$28,"_",$T35),INITIAL_FORET!$AB$40:$AL$55,11,FALSE))</f>
        <v/>
      </c>
    </row>
    <row r="36" spans="1:26" x14ac:dyDescent="0.2">
      <c r="A36" s="3">
        <v>6</v>
      </c>
      <c r="B36" s="95">
        <f>StrateB!B352</f>
        <v>0</v>
      </c>
      <c r="C36" s="95">
        <f>StrateB!C352</f>
        <v>0</v>
      </c>
      <c r="D36" s="95">
        <f>StrateB!D352</f>
        <v>0</v>
      </c>
      <c r="F36" s="3">
        <v>6</v>
      </c>
      <c r="G36" s="95">
        <f>StrateB!B375</f>
        <v>0</v>
      </c>
      <c r="H36" s="95">
        <f>StrateB!C375</f>
        <v>0</v>
      </c>
      <c r="I36" s="95">
        <f>StrateB!D375</f>
        <v>0</v>
      </c>
      <c r="K36" s="478"/>
      <c r="L36" s="478"/>
      <c r="M36" s="479"/>
      <c r="N36" s="479"/>
      <c r="O36" s="49" t="str">
        <f>IF(M$35="IRR",T33,"")</f>
        <v/>
      </c>
      <c r="P36" s="49" t="str">
        <f>IF(O36="","",CONCATENATE(VLOOKUP(O36,INITIAL_FORET!$Q$2:$T$13,4,FALSE)," cm"))</f>
        <v/>
      </c>
      <c r="R36" s="284"/>
      <c r="W36" s="1"/>
    </row>
    <row r="37" spans="1:26" x14ac:dyDescent="0.2">
      <c r="A37" s="3">
        <v>7</v>
      </c>
      <c r="B37" s="95">
        <f>StrateB!B353</f>
        <v>0</v>
      </c>
      <c r="C37" s="95">
        <f>StrateB!C353</f>
        <v>0</v>
      </c>
      <c r="D37" s="95">
        <f>StrateB!D353</f>
        <v>0</v>
      </c>
      <c r="F37" s="3">
        <v>7</v>
      </c>
      <c r="G37" s="95">
        <f>StrateB!B376</f>
        <v>0</v>
      </c>
      <c r="H37" s="95">
        <f>StrateB!C376</f>
        <v>0</v>
      </c>
      <c r="I37" s="95">
        <f>StrateB!D376</f>
        <v>0</v>
      </c>
      <c r="K37" s="478"/>
      <c r="L37" s="478"/>
      <c r="M37" s="479"/>
      <c r="N37" s="479"/>
      <c r="O37" s="49" t="str">
        <f>IF(M$35="IRR",T34,"")</f>
        <v/>
      </c>
      <c r="P37" s="49" t="str">
        <f>IF(O37="","",CONCATENATE(VLOOKUP(O37,INITIAL_FORET!$Q$2:$T$13,5,FALSE)," cm"))</f>
        <v/>
      </c>
      <c r="R37" s="284"/>
      <c r="T37" s="461" t="s">
        <v>1010</v>
      </c>
      <c r="U37" s="461"/>
      <c r="V37" s="461"/>
      <c r="W37" s="461"/>
      <c r="X37" s="461"/>
      <c r="Y37" s="461"/>
      <c r="Z37" s="461"/>
    </row>
    <row r="38" spans="1:26" x14ac:dyDescent="0.2">
      <c r="A38" s="3">
        <v>8</v>
      </c>
      <c r="B38" s="95">
        <f>StrateB!B354</f>
        <v>0</v>
      </c>
      <c r="C38" s="95">
        <f>StrateB!C354</f>
        <v>0</v>
      </c>
      <c r="D38" s="95">
        <f>StrateB!D354</f>
        <v>0</v>
      </c>
      <c r="F38" s="3">
        <v>8</v>
      </c>
      <c r="G38" s="95">
        <f>StrateB!B377</f>
        <v>0</v>
      </c>
      <c r="H38" s="95">
        <f>StrateB!C377</f>
        <v>0</v>
      </c>
      <c r="I38" s="95">
        <f>StrateB!D377</f>
        <v>0</v>
      </c>
      <c r="K38" s="478"/>
      <c r="L38" s="478"/>
      <c r="M38" s="479"/>
      <c r="N38" s="479"/>
      <c r="O38" s="49" t="str">
        <f>IF(M$35="IRR",T35,"")</f>
        <v/>
      </c>
      <c r="P38" s="49" t="str">
        <f>IF(O38="","",CONCATENATE(VLOOKUP(O38,INITIAL_FORET!$Q$2:$T$13,5,FALSE)," cm"))</f>
        <v/>
      </c>
      <c r="R38" s="284"/>
      <c r="T38" t="s">
        <v>8</v>
      </c>
      <c r="U38" t="s">
        <v>815</v>
      </c>
      <c r="V38" t="s">
        <v>816</v>
      </c>
      <c r="W38" t="s">
        <v>817</v>
      </c>
      <c r="X38" t="s">
        <v>829</v>
      </c>
      <c r="Y38" t="s">
        <v>818</v>
      </c>
      <c r="Z38" s="18" t="s">
        <v>819</v>
      </c>
    </row>
    <row r="39" spans="1:26" x14ac:dyDescent="0.2">
      <c r="A39" s="3">
        <v>9</v>
      </c>
      <c r="B39" s="95">
        <f>StrateB!B355</f>
        <v>0</v>
      </c>
      <c r="C39" s="95">
        <f>StrateB!C355</f>
        <v>0</v>
      </c>
      <c r="D39" s="95">
        <f>StrateB!D355</f>
        <v>0</v>
      </c>
      <c r="F39" s="3">
        <v>9</v>
      </c>
      <c r="G39" s="95">
        <f>StrateB!B378</f>
        <v>0</v>
      </c>
      <c r="H39" s="95">
        <f>StrateB!C378</f>
        <v>0</v>
      </c>
      <c r="I39" s="95">
        <f>StrateB!D378</f>
        <v>0</v>
      </c>
      <c r="R39" s="284"/>
      <c r="T39" t="str">
        <f t="shared" ref="T39:T42" si="2">IF(T32="","",T32)</f>
        <v/>
      </c>
      <c r="U39" s="231" t="str">
        <f t="shared" ref="U39:V42" si="3">IF($T39="","",U32/$N$30)</f>
        <v/>
      </c>
      <c r="V39" s="231" t="str">
        <f t="shared" si="3"/>
        <v/>
      </c>
      <c r="W39" s="1" t="str">
        <f t="shared" ref="W39:W42" si="4">W32</f>
        <v/>
      </c>
      <c r="X39" s="231" t="str">
        <f t="shared" ref="X39:Z42" si="5">IF($T39="","",X32/$N$30)</f>
        <v/>
      </c>
      <c r="Y39" s="231" t="str">
        <f t="shared" si="5"/>
        <v/>
      </c>
      <c r="Z39" s="347" t="str">
        <f t="shared" si="5"/>
        <v/>
      </c>
    </row>
    <row r="40" spans="1:26" x14ac:dyDescent="0.2">
      <c r="A40" s="3">
        <v>10</v>
      </c>
      <c r="B40" s="95">
        <f>StrateB!B356</f>
        <v>0</v>
      </c>
      <c r="C40" s="95">
        <f>StrateB!C356</f>
        <v>0</v>
      </c>
      <c r="D40" s="95">
        <f>StrateB!D356</f>
        <v>0</v>
      </c>
      <c r="F40" s="3">
        <v>10</v>
      </c>
      <c r="G40" s="95">
        <f>StrateB!B379</f>
        <v>0</v>
      </c>
      <c r="H40" s="95">
        <f>StrateB!C379</f>
        <v>0</v>
      </c>
      <c r="I40" s="95">
        <f>StrateB!D379</f>
        <v>0</v>
      </c>
      <c r="R40" s="284"/>
      <c r="T40" t="str">
        <f t="shared" si="2"/>
        <v/>
      </c>
      <c r="U40" s="231" t="str">
        <f t="shared" si="3"/>
        <v/>
      </c>
      <c r="V40" s="231" t="str">
        <f t="shared" si="3"/>
        <v/>
      </c>
      <c r="W40" s="1" t="str">
        <f t="shared" si="4"/>
        <v/>
      </c>
      <c r="X40" s="231" t="str">
        <f t="shared" si="5"/>
        <v/>
      </c>
      <c r="Y40" s="231" t="str">
        <f t="shared" si="5"/>
        <v/>
      </c>
      <c r="Z40" s="347" t="str">
        <f t="shared" si="5"/>
        <v/>
      </c>
    </row>
    <row r="41" spans="1:26" x14ac:dyDescent="0.2">
      <c r="A41" s="3">
        <v>11</v>
      </c>
      <c r="B41" s="95">
        <f>StrateB!B357</f>
        <v>0</v>
      </c>
      <c r="C41" s="95">
        <f>StrateB!C357</f>
        <v>0</v>
      </c>
      <c r="D41" s="95">
        <f>StrateB!D357</f>
        <v>0</v>
      </c>
      <c r="F41" s="3">
        <v>11</v>
      </c>
      <c r="G41" s="95">
        <f>StrateB!B380</f>
        <v>0</v>
      </c>
      <c r="H41" s="95">
        <f>StrateB!C380</f>
        <v>0</v>
      </c>
      <c r="I41" s="95">
        <f>StrateB!D380</f>
        <v>0</v>
      </c>
      <c r="R41" s="284"/>
      <c r="T41" t="str">
        <f t="shared" si="2"/>
        <v/>
      </c>
      <c r="U41" s="231" t="str">
        <f t="shared" si="3"/>
        <v/>
      </c>
      <c r="V41" s="231" t="str">
        <f t="shared" si="3"/>
        <v/>
      </c>
      <c r="W41" s="1" t="str">
        <f t="shared" si="4"/>
        <v/>
      </c>
      <c r="X41" s="231" t="str">
        <f t="shared" si="5"/>
        <v/>
      </c>
      <c r="Y41" s="231" t="str">
        <f t="shared" si="5"/>
        <v/>
      </c>
      <c r="Z41" s="347" t="str">
        <f t="shared" si="5"/>
        <v/>
      </c>
    </row>
    <row r="42" spans="1:26" x14ac:dyDescent="0.2">
      <c r="A42" s="3">
        <v>12</v>
      </c>
      <c r="B42" s="95">
        <f>StrateB!B358</f>
        <v>0</v>
      </c>
      <c r="C42" s="95">
        <f>StrateB!C358</f>
        <v>0</v>
      </c>
      <c r="D42" s="95">
        <f>StrateB!D358</f>
        <v>0</v>
      </c>
      <c r="F42" s="3">
        <v>12</v>
      </c>
      <c r="G42" s="95">
        <f>StrateB!B381</f>
        <v>0</v>
      </c>
      <c r="H42" s="95">
        <f>StrateB!C381</f>
        <v>0</v>
      </c>
      <c r="I42" s="95">
        <f>StrateB!D381</f>
        <v>0</v>
      </c>
      <c r="R42" s="284"/>
      <c r="T42" t="str">
        <f t="shared" si="2"/>
        <v/>
      </c>
      <c r="U42" s="231" t="str">
        <f t="shared" si="3"/>
        <v/>
      </c>
      <c r="V42" s="231" t="str">
        <f t="shared" si="3"/>
        <v/>
      </c>
      <c r="W42" s="1" t="str">
        <f t="shared" si="4"/>
        <v/>
      </c>
      <c r="X42" s="231" t="str">
        <f t="shared" si="5"/>
        <v/>
      </c>
      <c r="Y42" s="231" t="str">
        <f t="shared" si="5"/>
        <v/>
      </c>
      <c r="Z42" s="347" t="str">
        <f t="shared" si="5"/>
        <v/>
      </c>
    </row>
    <row r="43" spans="1:26" x14ac:dyDescent="0.2">
      <c r="A43" s="3">
        <v>13</v>
      </c>
      <c r="B43" s="95">
        <f>StrateB!B359</f>
        <v>0</v>
      </c>
      <c r="C43" s="95">
        <f>StrateB!C359</f>
        <v>0</v>
      </c>
      <c r="D43" s="95">
        <f>StrateB!D359</f>
        <v>0</v>
      </c>
      <c r="F43" s="3">
        <v>13</v>
      </c>
      <c r="G43" s="95">
        <f>StrateB!B382</f>
        <v>0</v>
      </c>
      <c r="H43" s="95">
        <f>StrateB!C382</f>
        <v>0</v>
      </c>
      <c r="I43" s="95">
        <f>StrateB!D382</f>
        <v>0</v>
      </c>
      <c r="R43" s="284"/>
    </row>
    <row r="44" spans="1:26" x14ac:dyDescent="0.2">
      <c r="A44" s="3">
        <v>14</v>
      </c>
      <c r="B44" s="95">
        <f>StrateB!B360</f>
        <v>0</v>
      </c>
      <c r="C44" s="95">
        <f>StrateB!C360</f>
        <v>0</v>
      </c>
      <c r="D44" s="95">
        <f>StrateB!D360</f>
        <v>0</v>
      </c>
      <c r="F44" s="3">
        <v>14</v>
      </c>
      <c r="G44" s="95">
        <f>StrateB!B383</f>
        <v>0</v>
      </c>
      <c r="H44" s="95">
        <f>StrateB!C383</f>
        <v>0</v>
      </c>
      <c r="I44" s="95">
        <f>StrateB!D383</f>
        <v>0</v>
      </c>
      <c r="R44" s="284"/>
    </row>
    <row r="45" spans="1:26" x14ac:dyDescent="0.2">
      <c r="A45" s="3">
        <v>15</v>
      </c>
      <c r="B45" s="95">
        <f>StrateB!B361</f>
        <v>0</v>
      </c>
      <c r="C45" s="95">
        <f>StrateB!C361</f>
        <v>0</v>
      </c>
      <c r="D45" s="95">
        <f>StrateB!D361</f>
        <v>0</v>
      </c>
      <c r="F45" s="3">
        <v>15</v>
      </c>
      <c r="G45" s="95">
        <f>StrateB!B384</f>
        <v>0</v>
      </c>
      <c r="H45" s="95">
        <f>StrateB!C384</f>
        <v>0</v>
      </c>
      <c r="I45" s="95">
        <f>StrateB!D384</f>
        <v>0</v>
      </c>
      <c r="R45" s="284"/>
    </row>
    <row r="46" spans="1:26" x14ac:dyDescent="0.2">
      <c r="A46" s="3">
        <v>16</v>
      </c>
      <c r="B46" s="95">
        <f>StrateB!B362</f>
        <v>0</v>
      </c>
      <c r="C46" s="95">
        <f>StrateB!C362</f>
        <v>0</v>
      </c>
      <c r="D46" s="95">
        <f>StrateB!D362</f>
        <v>0</v>
      </c>
      <c r="F46" s="3">
        <v>16</v>
      </c>
      <c r="G46" s="95">
        <f>StrateB!B385</f>
        <v>0</v>
      </c>
      <c r="H46" s="95">
        <f>StrateB!C385</f>
        <v>0</v>
      </c>
      <c r="I46" s="95">
        <f>StrateB!D385</f>
        <v>0</v>
      </c>
      <c r="R46" s="284"/>
    </row>
    <row r="47" spans="1:26" x14ac:dyDescent="0.2">
      <c r="A47" s="3">
        <v>17</v>
      </c>
      <c r="B47" s="95">
        <f>StrateB!B363</f>
        <v>0</v>
      </c>
      <c r="C47" s="95">
        <f>StrateB!C363</f>
        <v>0</v>
      </c>
      <c r="D47" s="95">
        <f>StrateB!D363</f>
        <v>0</v>
      </c>
      <c r="F47" s="3">
        <v>17</v>
      </c>
      <c r="G47" s="95">
        <f>StrateB!B386</f>
        <v>0</v>
      </c>
      <c r="H47" s="95">
        <f>StrateB!C386</f>
        <v>0</v>
      </c>
      <c r="I47" s="95">
        <f>StrateB!D386</f>
        <v>0</v>
      </c>
      <c r="R47" s="284"/>
    </row>
    <row r="48" spans="1:26" x14ac:dyDescent="0.2">
      <c r="A48" s="3">
        <v>18</v>
      </c>
      <c r="B48" s="95">
        <f>StrateB!B364</f>
        <v>0</v>
      </c>
      <c r="C48" s="95">
        <f>StrateB!C364</f>
        <v>0</v>
      </c>
      <c r="D48" s="95">
        <f>StrateB!D364</f>
        <v>0</v>
      </c>
      <c r="F48" s="3">
        <v>18</v>
      </c>
      <c r="G48" s="95">
        <f>StrateB!B387</f>
        <v>0</v>
      </c>
      <c r="H48" s="95">
        <f>StrateB!C387</f>
        <v>0</v>
      </c>
      <c r="I48" s="95">
        <f>StrateB!D387</f>
        <v>0</v>
      </c>
      <c r="R48" s="284"/>
    </row>
    <row r="49" spans="1:26" x14ac:dyDescent="0.2">
      <c r="A49" s="3">
        <v>19</v>
      </c>
      <c r="B49" s="95">
        <f>StrateB!B365</f>
        <v>0</v>
      </c>
      <c r="C49" s="95">
        <f>StrateB!C365</f>
        <v>0</v>
      </c>
      <c r="D49" s="95">
        <f>StrateB!D365</f>
        <v>0</v>
      </c>
      <c r="F49" s="3">
        <v>19</v>
      </c>
      <c r="G49" s="95">
        <f>StrateB!B388</f>
        <v>0</v>
      </c>
      <c r="H49" s="95">
        <f>StrateB!C388</f>
        <v>0</v>
      </c>
      <c r="I49" s="95">
        <f>StrateB!D388</f>
        <v>0</v>
      </c>
      <c r="R49" s="284"/>
    </row>
    <row r="50" spans="1:26" x14ac:dyDescent="0.2">
      <c r="A50" s="3">
        <v>20</v>
      </c>
      <c r="B50" s="95">
        <f>StrateB!B366</f>
        <v>0</v>
      </c>
      <c r="C50" s="95">
        <f>StrateB!C366</f>
        <v>0</v>
      </c>
      <c r="D50" s="95">
        <f>StrateB!D366</f>
        <v>0</v>
      </c>
      <c r="F50" s="3">
        <v>20</v>
      </c>
      <c r="G50" s="95">
        <f>StrateB!B389</f>
        <v>0</v>
      </c>
      <c r="H50" s="95">
        <f>StrateB!C389</f>
        <v>0</v>
      </c>
      <c r="I50" s="95">
        <f>StrateB!D389</f>
        <v>0</v>
      </c>
      <c r="R50" s="284"/>
    </row>
    <row r="51" spans="1:26" x14ac:dyDescent="0.2">
      <c r="R51" s="284"/>
    </row>
    <row r="52" spans="1:26" x14ac:dyDescent="0.2">
      <c r="R52" s="284"/>
    </row>
    <row r="53" spans="1:26" x14ac:dyDescent="0.2">
      <c r="R53" s="284"/>
    </row>
    <row r="54" spans="1:26" x14ac:dyDescent="0.2">
      <c r="R54" s="284"/>
    </row>
    <row r="55" spans="1:26" ht="21" x14ac:dyDescent="0.25">
      <c r="A55" s="145" t="s">
        <v>223</v>
      </c>
      <c r="B55" s="145" t="s">
        <v>190</v>
      </c>
      <c r="C55" s="144" t="str">
        <f>IF(INITIAL_FORET!F4="","",INITIAL_FORET!F4)</f>
        <v/>
      </c>
      <c r="D55" s="143"/>
      <c r="E55" s="143"/>
      <c r="F55" s="143"/>
      <c r="G55" s="143"/>
      <c r="H55" s="143"/>
      <c r="I55" s="143"/>
      <c r="J55" s="143"/>
      <c r="K55" s="143"/>
      <c r="L55" s="143"/>
      <c r="M55" s="143"/>
      <c r="N55" s="143"/>
      <c r="O55" s="143"/>
      <c r="P55" s="143"/>
      <c r="R55" s="284"/>
      <c r="T55" s="145" t="s">
        <v>223</v>
      </c>
      <c r="U55" s="145" t="s">
        <v>190</v>
      </c>
      <c r="V55" s="144" t="str">
        <f>IF(INITIAL_FORET!W30="","",INITIAL_FORET!W30)</f>
        <v/>
      </c>
      <c r="W55" s="143"/>
      <c r="X55" s="143"/>
      <c r="Y55" s="143"/>
      <c r="Z55" s="346"/>
    </row>
    <row r="56" spans="1:26" x14ac:dyDescent="0.2">
      <c r="A56" s="461" t="s">
        <v>637</v>
      </c>
      <c r="B56" s="461"/>
      <c r="C56" s="461"/>
      <c r="D56" s="461"/>
      <c r="E56" s="3"/>
      <c r="F56" s="461" t="s">
        <v>638</v>
      </c>
      <c r="G56" s="461"/>
      <c r="H56" s="461"/>
      <c r="I56" s="461"/>
      <c r="K56" s="461" t="s">
        <v>820</v>
      </c>
      <c r="L56" s="461"/>
      <c r="M56" s="461"/>
      <c r="N56" s="461" t="s">
        <v>824</v>
      </c>
      <c r="O56" s="461"/>
      <c r="P56" s="461"/>
      <c r="R56" s="284"/>
    </row>
    <row r="57" spans="1:26" x14ac:dyDescent="0.2">
      <c r="A57" s="3" t="s">
        <v>94</v>
      </c>
      <c r="B57" s="3" t="s">
        <v>765</v>
      </c>
      <c r="C57" s="3" t="s">
        <v>766</v>
      </c>
      <c r="D57" s="3" t="s">
        <v>767</v>
      </c>
      <c r="F57" s="3" t="s">
        <v>94</v>
      </c>
      <c r="G57" s="3" t="s">
        <v>768</v>
      </c>
      <c r="H57" s="3" t="s">
        <v>769</v>
      </c>
      <c r="I57" s="3" t="s">
        <v>770</v>
      </c>
      <c r="K57" s="480" t="str">
        <f>INITIAL_FORET!$C$8</f>
        <v/>
      </c>
      <c r="L57" s="480"/>
      <c r="M57" s="480"/>
      <c r="N57" s="479" t="str">
        <f>IF(D77=0,"",VLOOKUP(B55,INITIAL_FORET!$J$2:$M$5,4,FALSE))</f>
        <v/>
      </c>
      <c r="O57" s="479"/>
      <c r="P57" s="479"/>
      <c r="R57" s="284"/>
      <c r="T57" s="461" t="s">
        <v>1009</v>
      </c>
      <c r="U57" s="461"/>
      <c r="V57" s="461"/>
      <c r="W57" s="461"/>
      <c r="X57" s="461"/>
      <c r="Y57" s="461"/>
      <c r="Z57" s="461"/>
    </row>
    <row r="58" spans="1:26" x14ac:dyDescent="0.2">
      <c r="A58" s="3">
        <v>1</v>
      </c>
      <c r="B58" s="95">
        <f>StrateC!B347</f>
        <v>0</v>
      </c>
      <c r="C58" s="95">
        <f>StrateC!C347</f>
        <v>0</v>
      </c>
      <c r="D58" s="95">
        <f>StrateC!D347</f>
        <v>0</v>
      </c>
      <c r="F58" s="3">
        <v>1</v>
      </c>
      <c r="G58" s="95">
        <f>StrateC!B370</f>
        <v>0</v>
      </c>
      <c r="H58" s="95">
        <f>StrateC!C370</f>
        <v>0</v>
      </c>
      <c r="I58" s="95">
        <f>StrateC!D370</f>
        <v>0</v>
      </c>
      <c r="K58" s="480"/>
      <c r="L58" s="480"/>
      <c r="M58" s="480"/>
      <c r="N58" s="479"/>
      <c r="O58" s="479"/>
      <c r="P58" s="479"/>
      <c r="R58" s="284"/>
      <c r="T58" t="s">
        <v>8</v>
      </c>
      <c r="U58" t="s">
        <v>815</v>
      </c>
      <c r="V58" t="s">
        <v>816</v>
      </c>
      <c r="W58" t="s">
        <v>817</v>
      </c>
      <c r="X58" t="s">
        <v>829</v>
      </c>
      <c r="Y58" t="s">
        <v>818</v>
      </c>
      <c r="Z58" s="18" t="s">
        <v>819</v>
      </c>
    </row>
    <row r="59" spans="1:26" x14ac:dyDescent="0.2">
      <c r="A59" s="3">
        <v>2</v>
      </c>
      <c r="B59" s="95">
        <f>StrateC!B348</f>
        <v>0</v>
      </c>
      <c r="C59" s="95">
        <f>StrateC!C348</f>
        <v>0</v>
      </c>
      <c r="D59" s="95">
        <f>StrateC!D348</f>
        <v>0</v>
      </c>
      <c r="F59" s="3">
        <v>2</v>
      </c>
      <c r="G59" s="95">
        <f>StrateC!B371</f>
        <v>0</v>
      </c>
      <c r="H59" s="95">
        <f>StrateC!C371</f>
        <v>0</v>
      </c>
      <c r="I59" s="95">
        <f>StrateC!D371</f>
        <v>0</v>
      </c>
      <c r="R59" s="284"/>
      <c r="T59" t="str">
        <f>IF($D$77=0,"",INITIAL_FORET!AA48)</f>
        <v/>
      </c>
      <c r="U59" s="231" t="str">
        <f>IF($T59="","",VLOOKUP(CONCATENATE($B$55,"_",$T59),INITIAL_FORET!$AB$40:$AL$55,5,FALSE))</f>
        <v/>
      </c>
      <c r="V59" s="231" t="str">
        <f>IF($T59="","",VLOOKUP(CONCATENATE($B$55,"_",$T59),INITIAL_FORET!$AB$40:$AL$55,8,FALSE)*U59)</f>
        <v/>
      </c>
      <c r="W59" s="1" t="str">
        <f>IF($T59="","",VLOOKUP($T59,INITIAL_FORET!$Q$2:$R$13,2,FALSE))</f>
        <v/>
      </c>
      <c r="X59" s="231" t="str">
        <f>IF($T59="","",VLOOKUP(CONCATENATE($B$55,"_",$T59),INITIAL_FORET!$AB$40:$AO$55,14,FALSE))</f>
        <v/>
      </c>
      <c r="Y59" s="231" t="str">
        <f>IF($T59="","",VLOOKUP(CONCATENATE($B$55,"_",$T59),INITIAL_FORET!$AB$40:$AL$55,10,FALSE))</f>
        <v/>
      </c>
      <c r="Z59" s="347" t="str">
        <f>IF($T59="","",VLOOKUP(CONCATENATE($B$55,"_",$T59),INITIAL_FORET!$AB$40:$AL$55,11,FALSE))</f>
        <v/>
      </c>
    </row>
    <row r="60" spans="1:26" x14ac:dyDescent="0.2">
      <c r="A60" s="3">
        <v>3</v>
      </c>
      <c r="B60" s="95">
        <f>StrateC!B349</f>
        <v>0</v>
      </c>
      <c r="C60" s="95">
        <f>StrateC!C349</f>
        <v>0</v>
      </c>
      <c r="D60" s="95">
        <f>StrateC!D349</f>
        <v>0</v>
      </c>
      <c r="F60" s="3">
        <v>3</v>
      </c>
      <c r="G60" s="95">
        <f>StrateC!B372</f>
        <v>0</v>
      </c>
      <c r="H60" s="95">
        <f>StrateC!C372</f>
        <v>0</v>
      </c>
      <c r="I60" s="95">
        <f>StrateC!D372</f>
        <v>0</v>
      </c>
      <c r="R60" s="284"/>
      <c r="T60" t="str">
        <f>IF($D$77=0,"",INITIAL_FORET!AA49)</f>
        <v/>
      </c>
      <c r="U60" s="231" t="str">
        <f>IF($T60="","",VLOOKUP(CONCATENATE($B$55,"_",$T60),INITIAL_FORET!$AB$40:$AL$55,5,FALSE))</f>
        <v/>
      </c>
      <c r="V60" s="231" t="str">
        <f>IF($T60="","",VLOOKUP(CONCATENATE($B$55,"_",$T60),INITIAL_FORET!$AB$40:$AL$55,8,FALSE)*U60)</f>
        <v/>
      </c>
      <c r="W60" s="1" t="str">
        <f>IF($T60="","",VLOOKUP($T60,INITIAL_FORET!$Q$2:$R$13,2,FALSE))</f>
        <v/>
      </c>
      <c r="X60" s="231" t="str">
        <f>IF($T60="","",VLOOKUP(CONCATENATE($B$55,"_",$T60),INITIAL_FORET!$AB$40:$AO$55,14,FALSE))</f>
        <v/>
      </c>
      <c r="Y60" s="231" t="str">
        <f>IF($T60="","",VLOOKUP(CONCATENATE($B$55,"_",$T60),INITIAL_FORET!$AB$40:$AL$55,10,FALSE))</f>
        <v/>
      </c>
      <c r="Z60" s="347" t="str">
        <f>IF($T60="","",VLOOKUP(CONCATENATE($B$55,"_",$T60),INITIAL_FORET!$AB$40:$AL$55,11,FALSE))</f>
        <v/>
      </c>
    </row>
    <row r="61" spans="1:26" x14ac:dyDescent="0.2">
      <c r="A61" s="3">
        <v>4</v>
      </c>
      <c r="B61" s="95">
        <f>StrateC!B350</f>
        <v>0</v>
      </c>
      <c r="C61" s="95">
        <f>StrateC!C350</f>
        <v>0</v>
      </c>
      <c r="D61" s="95">
        <f>StrateC!D350</f>
        <v>0</v>
      </c>
      <c r="F61" s="3">
        <v>4</v>
      </c>
      <c r="G61" s="95">
        <f>StrateC!B373</f>
        <v>0</v>
      </c>
      <c r="H61" s="95">
        <f>StrateC!C373</f>
        <v>0</v>
      </c>
      <c r="I61" s="95">
        <f>StrateC!D373</f>
        <v>0</v>
      </c>
      <c r="K61" s="461" t="s">
        <v>821</v>
      </c>
      <c r="L61" s="461"/>
      <c r="M61" s="461" t="s">
        <v>822</v>
      </c>
      <c r="N61" s="461"/>
      <c r="O61" s="461" t="s">
        <v>823</v>
      </c>
      <c r="P61" s="461"/>
      <c r="R61" s="284"/>
      <c r="T61" t="str">
        <f>IF($D$77=0,"",INITIAL_FORET!AA50)</f>
        <v/>
      </c>
      <c r="U61" s="231" t="str">
        <f>IF($T61="","",VLOOKUP(CONCATENATE($B$55,"_",$T61),INITIAL_FORET!$AB$40:$AL$55,5,FALSE))</f>
        <v/>
      </c>
      <c r="V61" s="231" t="str">
        <f>IF($T61="","",VLOOKUP(CONCATENATE($B$55,"_",$T61),INITIAL_FORET!$AB$40:$AL$55,8,FALSE)*U61)</f>
        <v/>
      </c>
      <c r="W61" s="1" t="str">
        <f>IF($T61="","",VLOOKUP($T61,INITIAL_FORET!$Q$2:$R$13,2,FALSE))</f>
        <v/>
      </c>
      <c r="X61" s="231" t="str">
        <f>IF($T61="","",VLOOKUP(CONCATENATE($B$55,"_",$T61),INITIAL_FORET!$AB$40:$AO$55,14,FALSE))</f>
        <v/>
      </c>
      <c r="Y61" s="231" t="str">
        <f>IF($T61="","",VLOOKUP(CONCATENATE($B$55,"_",$T61),INITIAL_FORET!$AB$40:$AL$55,10,FALSE))</f>
        <v/>
      </c>
      <c r="Z61" s="347" t="str">
        <f>IF($T61="","",VLOOKUP(CONCATENATE($B$55,"_",$T61),INITIAL_FORET!$AB$40:$AL$55,11,FALSE))</f>
        <v/>
      </c>
    </row>
    <row r="62" spans="1:26" x14ac:dyDescent="0.2">
      <c r="A62" s="3">
        <v>5</v>
      </c>
      <c r="B62" s="95">
        <f>StrateC!B351</f>
        <v>0</v>
      </c>
      <c r="C62" s="95">
        <f>StrateC!C351</f>
        <v>0</v>
      </c>
      <c r="D62" s="95">
        <f>StrateC!D351</f>
        <v>0</v>
      </c>
      <c r="F62" s="3">
        <v>5</v>
      </c>
      <c r="G62" s="95">
        <f>StrateC!B374</f>
        <v>0</v>
      </c>
      <c r="H62" s="95">
        <f>StrateC!C374</f>
        <v>0</v>
      </c>
      <c r="I62" s="95">
        <f>StrateC!D374</f>
        <v>0</v>
      </c>
      <c r="K62" s="478" t="str">
        <f>IF(D77=0,"",VLOOKUP(B55,INITIAL_FORET!$J$2:$L$5,2,FALSE))</f>
        <v/>
      </c>
      <c r="L62" s="478"/>
      <c r="M62" s="479" t="str">
        <f>IF(D77=0,"",VLOOKUP(B55,INITIAL_FORET!$J$2:$L$5,3,FALSE))</f>
        <v/>
      </c>
      <c r="N62" s="479"/>
      <c r="O62" s="49" t="str">
        <f>IF(M$62="IRR",T59,"")</f>
        <v/>
      </c>
      <c r="P62" s="49" t="str">
        <f>IF(O62="","",CONCATENATE(VLOOKUP(O62,INITIAL_FORET!$Q$2:$T$13,4,FALSE)," cm"))</f>
        <v/>
      </c>
      <c r="R62" s="284"/>
      <c r="T62" t="str">
        <f>IF($D$77=0,"",INITIAL_FORET!AA51)</f>
        <v/>
      </c>
      <c r="U62" s="231" t="str">
        <f>IF($T62="","",VLOOKUP(CONCATENATE($B$55,"_",$T62),INITIAL_FORET!$AB$40:$AL$55,5,FALSE))</f>
        <v/>
      </c>
      <c r="V62" s="231" t="str">
        <f>IF($T62="","",VLOOKUP(CONCATENATE($B$55,"_",$T62),INITIAL_FORET!$AB$40:$AL$55,8,FALSE)*U62)</f>
        <v/>
      </c>
      <c r="W62" s="1" t="str">
        <f>IF($T62="","",VLOOKUP($T62,INITIAL_FORET!$Q$2:$R$13,2,FALSE))</f>
        <v/>
      </c>
      <c r="X62" s="231" t="str">
        <f>IF($T62="","",VLOOKUP(CONCATENATE($B$55,"_",$T62),INITIAL_FORET!$AB$40:$AO$55,14,FALSE))</f>
        <v/>
      </c>
      <c r="Y62" s="231" t="str">
        <f>IF($T62="","",VLOOKUP(CONCATENATE($B$55,"_",$T62),INITIAL_FORET!$AB$40:$AL$55,10,FALSE))</f>
        <v/>
      </c>
      <c r="Z62" s="347" t="str">
        <f>IF($T62="","",VLOOKUP(CONCATENATE($B$55,"_",$T62),INITIAL_FORET!$AB$40:$AL$55,11,FALSE))</f>
        <v/>
      </c>
    </row>
    <row r="63" spans="1:26" x14ac:dyDescent="0.2">
      <c r="A63" s="3">
        <v>6</v>
      </c>
      <c r="B63" s="95">
        <f>StrateC!B352</f>
        <v>0</v>
      </c>
      <c r="C63" s="95">
        <f>StrateC!C352</f>
        <v>0</v>
      </c>
      <c r="D63" s="95">
        <f>StrateC!D352</f>
        <v>0</v>
      </c>
      <c r="F63" s="3">
        <v>6</v>
      </c>
      <c r="G63" s="95">
        <f>StrateC!B375</f>
        <v>0</v>
      </c>
      <c r="H63" s="95">
        <f>StrateC!C375</f>
        <v>0</v>
      </c>
      <c r="I63" s="95">
        <f>StrateC!D375</f>
        <v>0</v>
      </c>
      <c r="K63" s="478"/>
      <c r="L63" s="478"/>
      <c r="M63" s="479"/>
      <c r="N63" s="479"/>
      <c r="O63" s="49" t="str">
        <f>IF(M$62="IRR",T60,"")</f>
        <v/>
      </c>
      <c r="P63" s="49" t="str">
        <f>IF(O63="","",CONCATENATE(VLOOKUP(O63,INITIAL_FORET!$Q$2:$T$13,4,FALSE)," cm"))</f>
        <v/>
      </c>
      <c r="R63" s="284"/>
    </row>
    <row r="64" spans="1:26" x14ac:dyDescent="0.2">
      <c r="A64" s="3">
        <v>7</v>
      </c>
      <c r="B64" s="95">
        <f>StrateC!B353</f>
        <v>0</v>
      </c>
      <c r="C64" s="95">
        <f>StrateC!C353</f>
        <v>0</v>
      </c>
      <c r="D64" s="95">
        <f>StrateC!D353</f>
        <v>0</v>
      </c>
      <c r="F64" s="3">
        <v>7</v>
      </c>
      <c r="G64" s="95">
        <f>StrateC!B376</f>
        <v>0</v>
      </c>
      <c r="H64" s="95">
        <f>StrateC!C376</f>
        <v>0</v>
      </c>
      <c r="I64" s="95">
        <f>StrateC!D376</f>
        <v>0</v>
      </c>
      <c r="K64" s="478"/>
      <c r="L64" s="478"/>
      <c r="M64" s="479"/>
      <c r="N64" s="479"/>
      <c r="O64" s="49" t="str">
        <f>IF(M$62="IRR",T61,"")</f>
        <v/>
      </c>
      <c r="P64" s="49" t="str">
        <f>IF(O64="","",CONCATENATE(VLOOKUP(O64,INITIAL_FORET!$Q$2:$T$13,5,FALSE)," cm"))</f>
        <v/>
      </c>
      <c r="R64" s="284"/>
      <c r="T64" s="461" t="s">
        <v>1010</v>
      </c>
      <c r="U64" s="461"/>
      <c r="V64" s="461"/>
      <c r="W64" s="461"/>
      <c r="X64" s="461"/>
      <c r="Y64" s="461"/>
      <c r="Z64" s="461"/>
    </row>
    <row r="65" spans="1:26" x14ac:dyDescent="0.2">
      <c r="A65" s="3">
        <v>8</v>
      </c>
      <c r="B65" s="95">
        <f>StrateC!B354</f>
        <v>0</v>
      </c>
      <c r="C65" s="95">
        <f>StrateC!C354</f>
        <v>0</v>
      </c>
      <c r="D65" s="95">
        <f>StrateC!D354</f>
        <v>0</v>
      </c>
      <c r="F65" s="3">
        <v>8</v>
      </c>
      <c r="G65" s="95">
        <f>StrateC!B377</f>
        <v>0</v>
      </c>
      <c r="H65" s="95">
        <f>StrateC!C377</f>
        <v>0</v>
      </c>
      <c r="I65" s="95">
        <f>StrateC!D377</f>
        <v>0</v>
      </c>
      <c r="K65" s="478"/>
      <c r="L65" s="478"/>
      <c r="M65" s="479"/>
      <c r="N65" s="479"/>
      <c r="O65" s="49" t="str">
        <f>IF(M$62="IRR",T62,"")</f>
        <v/>
      </c>
      <c r="P65" s="49" t="str">
        <f>IF(O65="","",CONCATENATE(VLOOKUP(O65,INITIAL_FORET!$Q$2:$T$13,5,FALSE)," cm"))</f>
        <v/>
      </c>
      <c r="R65" s="284"/>
      <c r="T65" t="s">
        <v>8</v>
      </c>
      <c r="U65" t="s">
        <v>815</v>
      </c>
      <c r="V65" t="s">
        <v>816</v>
      </c>
      <c r="W65" t="s">
        <v>817</v>
      </c>
      <c r="X65" t="s">
        <v>829</v>
      </c>
      <c r="Y65" t="s">
        <v>818</v>
      </c>
      <c r="Z65" s="18" t="s">
        <v>819</v>
      </c>
    </row>
    <row r="66" spans="1:26" x14ac:dyDescent="0.2">
      <c r="A66" s="3">
        <v>9</v>
      </c>
      <c r="B66" s="95">
        <f>StrateC!B355</f>
        <v>0</v>
      </c>
      <c r="C66" s="95">
        <f>StrateC!C355</f>
        <v>0</v>
      </c>
      <c r="D66" s="95">
        <f>StrateC!D355</f>
        <v>0</v>
      </c>
      <c r="F66" s="3">
        <v>9</v>
      </c>
      <c r="G66" s="95">
        <f>StrateC!B378</f>
        <v>0</v>
      </c>
      <c r="H66" s="95">
        <f>StrateC!C378</f>
        <v>0</v>
      </c>
      <c r="I66" s="95">
        <f>StrateC!D378</f>
        <v>0</v>
      </c>
      <c r="R66" s="284"/>
      <c r="T66" t="str">
        <f t="shared" ref="T66:T69" si="6">IF(T59="","",T59)</f>
        <v/>
      </c>
      <c r="U66" s="231" t="str">
        <f t="shared" ref="U66:V69" si="7">IF($T66="","",U59/$N$57)</f>
        <v/>
      </c>
      <c r="V66" s="231" t="str">
        <f t="shared" si="7"/>
        <v/>
      </c>
      <c r="W66" s="1" t="str">
        <f t="shared" ref="W66:W69" si="8">W59</f>
        <v/>
      </c>
      <c r="X66" s="231" t="str">
        <f t="shared" ref="X66:Z69" si="9">IF($T66="","",X59/$N$57)</f>
        <v/>
      </c>
      <c r="Y66" s="231" t="str">
        <f t="shared" si="9"/>
        <v/>
      </c>
      <c r="Z66" s="347" t="str">
        <f t="shared" si="9"/>
        <v/>
      </c>
    </row>
    <row r="67" spans="1:26" x14ac:dyDescent="0.2">
      <c r="A67" s="3">
        <v>10</v>
      </c>
      <c r="B67" s="95">
        <f>StrateC!B356</f>
        <v>0</v>
      </c>
      <c r="C67" s="95">
        <f>StrateC!C356</f>
        <v>0</v>
      </c>
      <c r="D67" s="95">
        <f>StrateC!D356</f>
        <v>0</v>
      </c>
      <c r="F67" s="3">
        <v>10</v>
      </c>
      <c r="G67" s="95">
        <f>StrateC!B379</f>
        <v>0</v>
      </c>
      <c r="H67" s="95">
        <f>StrateC!C379</f>
        <v>0</v>
      </c>
      <c r="I67" s="95">
        <f>StrateC!D379</f>
        <v>0</v>
      </c>
      <c r="R67" s="284"/>
      <c r="T67" t="str">
        <f t="shared" si="6"/>
        <v/>
      </c>
      <c r="U67" s="231" t="str">
        <f t="shared" si="7"/>
        <v/>
      </c>
      <c r="V67" s="231" t="str">
        <f t="shared" si="7"/>
        <v/>
      </c>
      <c r="W67" s="1" t="str">
        <f t="shared" si="8"/>
        <v/>
      </c>
      <c r="X67" s="231" t="str">
        <f t="shared" si="9"/>
        <v/>
      </c>
      <c r="Y67" s="231" t="str">
        <f t="shared" si="9"/>
        <v/>
      </c>
      <c r="Z67" s="347" t="str">
        <f t="shared" si="9"/>
        <v/>
      </c>
    </row>
    <row r="68" spans="1:26" x14ac:dyDescent="0.2">
      <c r="A68" s="3">
        <v>11</v>
      </c>
      <c r="B68" s="95">
        <f>StrateC!B357</f>
        <v>0</v>
      </c>
      <c r="C68" s="95">
        <f>StrateC!C357</f>
        <v>0</v>
      </c>
      <c r="D68" s="95">
        <f>StrateC!D357</f>
        <v>0</v>
      </c>
      <c r="F68" s="3">
        <v>11</v>
      </c>
      <c r="G68" s="95">
        <f>StrateC!B380</f>
        <v>0</v>
      </c>
      <c r="H68" s="95">
        <f>StrateC!C380</f>
        <v>0</v>
      </c>
      <c r="I68" s="95">
        <f>StrateC!D380</f>
        <v>0</v>
      </c>
      <c r="R68" s="284"/>
      <c r="T68" t="str">
        <f t="shared" si="6"/>
        <v/>
      </c>
      <c r="U68" s="231" t="str">
        <f t="shared" si="7"/>
        <v/>
      </c>
      <c r="V68" s="231" t="str">
        <f t="shared" si="7"/>
        <v/>
      </c>
      <c r="W68" s="1" t="str">
        <f t="shared" si="8"/>
        <v/>
      </c>
      <c r="X68" s="231" t="str">
        <f t="shared" si="9"/>
        <v/>
      </c>
      <c r="Y68" s="231" t="str">
        <f t="shared" si="9"/>
        <v/>
      </c>
      <c r="Z68" s="347" t="str">
        <f t="shared" si="9"/>
        <v/>
      </c>
    </row>
    <row r="69" spans="1:26" x14ac:dyDescent="0.2">
      <c r="A69" s="3">
        <v>12</v>
      </c>
      <c r="B69" s="95">
        <f>StrateC!B358</f>
        <v>0</v>
      </c>
      <c r="C69" s="95">
        <f>StrateC!C358</f>
        <v>0</v>
      </c>
      <c r="D69" s="95">
        <f>StrateC!D358</f>
        <v>0</v>
      </c>
      <c r="F69" s="3">
        <v>12</v>
      </c>
      <c r="G69" s="95">
        <f>StrateC!B381</f>
        <v>0</v>
      </c>
      <c r="H69" s="95">
        <f>StrateC!C381</f>
        <v>0</v>
      </c>
      <c r="I69" s="95">
        <f>StrateC!D381</f>
        <v>0</v>
      </c>
      <c r="R69" s="284"/>
      <c r="T69" t="str">
        <f t="shared" si="6"/>
        <v/>
      </c>
      <c r="U69" s="231" t="str">
        <f t="shared" si="7"/>
        <v/>
      </c>
      <c r="V69" s="231" t="str">
        <f t="shared" si="7"/>
        <v/>
      </c>
      <c r="W69" s="1" t="str">
        <f t="shared" si="8"/>
        <v/>
      </c>
      <c r="X69" s="231" t="str">
        <f t="shared" si="9"/>
        <v/>
      </c>
      <c r="Y69" s="231" t="str">
        <f t="shared" si="9"/>
        <v/>
      </c>
      <c r="Z69" s="347" t="str">
        <f t="shared" si="9"/>
        <v/>
      </c>
    </row>
    <row r="70" spans="1:26" x14ac:dyDescent="0.2">
      <c r="A70" s="3">
        <v>13</v>
      </c>
      <c r="B70" s="95">
        <f>StrateC!B359</f>
        <v>0</v>
      </c>
      <c r="C70" s="95">
        <f>StrateC!C359</f>
        <v>0</v>
      </c>
      <c r="D70" s="95">
        <f>StrateC!D359</f>
        <v>0</v>
      </c>
      <c r="F70" s="3">
        <v>13</v>
      </c>
      <c r="G70" s="95">
        <f>StrateC!B382</f>
        <v>0</v>
      </c>
      <c r="H70" s="95">
        <f>StrateC!C382</f>
        <v>0</v>
      </c>
      <c r="I70" s="95">
        <f>StrateC!D382</f>
        <v>0</v>
      </c>
      <c r="R70" s="284"/>
    </row>
    <row r="71" spans="1:26" x14ac:dyDescent="0.2">
      <c r="A71" s="3">
        <v>14</v>
      </c>
      <c r="B71" s="95">
        <f>StrateC!B360</f>
        <v>0</v>
      </c>
      <c r="C71" s="95">
        <f>StrateC!C360</f>
        <v>0</v>
      </c>
      <c r="D71" s="95">
        <f>StrateC!D360</f>
        <v>0</v>
      </c>
      <c r="F71" s="3">
        <v>14</v>
      </c>
      <c r="G71" s="95">
        <f>StrateC!B383</f>
        <v>0</v>
      </c>
      <c r="H71" s="95">
        <f>StrateC!C383</f>
        <v>0</v>
      </c>
      <c r="I71" s="95">
        <f>StrateC!D383</f>
        <v>0</v>
      </c>
      <c r="R71" s="284"/>
    </row>
    <row r="72" spans="1:26" x14ac:dyDescent="0.2">
      <c r="A72" s="3">
        <v>15</v>
      </c>
      <c r="B72" s="95">
        <f>StrateC!B361</f>
        <v>0</v>
      </c>
      <c r="C72" s="95">
        <f>StrateC!C361</f>
        <v>0</v>
      </c>
      <c r="D72" s="95">
        <f>StrateC!D361</f>
        <v>0</v>
      </c>
      <c r="F72" s="3">
        <v>15</v>
      </c>
      <c r="G72" s="95">
        <f>StrateC!B384</f>
        <v>0</v>
      </c>
      <c r="H72" s="95">
        <f>StrateC!C384</f>
        <v>0</v>
      </c>
      <c r="I72" s="95">
        <f>StrateC!D384</f>
        <v>0</v>
      </c>
      <c r="R72" s="284"/>
    </row>
    <row r="73" spans="1:26" x14ac:dyDescent="0.2">
      <c r="A73" s="3">
        <v>16</v>
      </c>
      <c r="B73" s="95">
        <f>StrateC!B362</f>
        <v>0</v>
      </c>
      <c r="C73" s="95">
        <f>StrateC!C362</f>
        <v>0</v>
      </c>
      <c r="D73" s="95">
        <f>StrateC!D362</f>
        <v>0</v>
      </c>
      <c r="F73" s="3">
        <v>16</v>
      </c>
      <c r="G73" s="95">
        <f>StrateC!B385</f>
        <v>0</v>
      </c>
      <c r="H73" s="95">
        <f>StrateC!C385</f>
        <v>0</v>
      </c>
      <c r="I73" s="95">
        <f>StrateC!D385</f>
        <v>0</v>
      </c>
      <c r="R73" s="284"/>
    </row>
    <row r="74" spans="1:26" x14ac:dyDescent="0.2">
      <c r="A74" s="3">
        <v>17</v>
      </c>
      <c r="B74" s="95">
        <f>StrateC!B363</f>
        <v>0</v>
      </c>
      <c r="C74" s="95">
        <f>StrateC!C363</f>
        <v>0</v>
      </c>
      <c r="D74" s="95">
        <f>StrateC!D363</f>
        <v>0</v>
      </c>
      <c r="F74" s="3">
        <v>17</v>
      </c>
      <c r="G74" s="95">
        <f>StrateC!B386</f>
        <v>0</v>
      </c>
      <c r="H74" s="95">
        <f>StrateC!C386</f>
        <v>0</v>
      </c>
      <c r="I74" s="95">
        <f>StrateC!D386</f>
        <v>0</v>
      </c>
      <c r="R74" s="284"/>
    </row>
    <row r="75" spans="1:26" x14ac:dyDescent="0.2">
      <c r="A75" s="3">
        <v>18</v>
      </c>
      <c r="B75" s="95">
        <f>StrateC!B364</f>
        <v>0</v>
      </c>
      <c r="C75" s="95">
        <f>StrateC!C364</f>
        <v>0</v>
      </c>
      <c r="D75" s="95">
        <f>StrateC!D364</f>
        <v>0</v>
      </c>
      <c r="F75" s="3">
        <v>18</v>
      </c>
      <c r="G75" s="95">
        <f>StrateC!B387</f>
        <v>0</v>
      </c>
      <c r="H75" s="95">
        <f>StrateC!C387</f>
        <v>0</v>
      </c>
      <c r="I75" s="95">
        <f>StrateC!D387</f>
        <v>0</v>
      </c>
      <c r="R75" s="284"/>
    </row>
    <row r="76" spans="1:26" x14ac:dyDescent="0.2">
      <c r="A76" s="3">
        <v>19</v>
      </c>
      <c r="B76" s="95">
        <f>StrateC!B365</f>
        <v>0</v>
      </c>
      <c r="C76" s="95">
        <f>StrateC!C365</f>
        <v>0</v>
      </c>
      <c r="D76" s="95">
        <f>StrateC!D365</f>
        <v>0</v>
      </c>
      <c r="F76" s="3">
        <v>19</v>
      </c>
      <c r="G76" s="95">
        <f>StrateC!B388</f>
        <v>0</v>
      </c>
      <c r="H76" s="95">
        <f>StrateC!C388</f>
        <v>0</v>
      </c>
      <c r="I76" s="95">
        <f>StrateC!D388</f>
        <v>0</v>
      </c>
      <c r="R76" s="284"/>
    </row>
    <row r="77" spans="1:26" x14ac:dyDescent="0.2">
      <c r="A77" s="3">
        <v>20</v>
      </c>
      <c r="B77" s="95">
        <f>StrateC!B366</f>
        <v>0</v>
      </c>
      <c r="C77" s="95">
        <f>StrateC!C366</f>
        <v>0</v>
      </c>
      <c r="D77" s="95">
        <f>StrateC!D366</f>
        <v>0</v>
      </c>
      <c r="F77" s="3">
        <v>20</v>
      </c>
      <c r="G77" s="95">
        <f>StrateC!B389</f>
        <v>0</v>
      </c>
      <c r="H77" s="95">
        <f>StrateC!C389</f>
        <v>0</v>
      </c>
      <c r="I77" s="95">
        <f>StrateC!D389</f>
        <v>0</v>
      </c>
      <c r="R77" s="284"/>
    </row>
    <row r="78" spans="1:26" x14ac:dyDescent="0.2">
      <c r="R78" s="284"/>
    </row>
    <row r="79" spans="1:26" x14ac:dyDescent="0.2">
      <c r="R79" s="284"/>
    </row>
    <row r="80" spans="1:26" x14ac:dyDescent="0.2">
      <c r="R80" s="284"/>
    </row>
    <row r="81" spans="1:26" x14ac:dyDescent="0.2">
      <c r="R81" s="284"/>
    </row>
    <row r="82" spans="1:26" ht="21" x14ac:dyDescent="0.25">
      <c r="A82" s="145" t="s">
        <v>223</v>
      </c>
      <c r="B82" s="145" t="s">
        <v>192</v>
      </c>
      <c r="C82" s="144" t="str">
        <f>IF(INITIAL_FORET!F5="","",INITIAL_FORET!F5)</f>
        <v/>
      </c>
      <c r="D82" s="143"/>
      <c r="E82" s="143"/>
      <c r="F82" s="143"/>
      <c r="G82" s="143"/>
      <c r="H82" s="143"/>
      <c r="I82" s="143"/>
      <c r="J82" s="143"/>
      <c r="K82" s="143"/>
      <c r="L82" s="143"/>
      <c r="M82" s="143"/>
      <c r="N82" s="143"/>
      <c r="O82" s="143"/>
      <c r="P82" s="143"/>
      <c r="R82" s="284"/>
      <c r="T82" s="145" t="s">
        <v>223</v>
      </c>
      <c r="U82" s="145" t="s">
        <v>192</v>
      </c>
      <c r="V82" s="144" t="str">
        <f>IF(INITIAL_FORET!W57="","",INITIAL_FORET!W57)</f>
        <v/>
      </c>
      <c r="W82" s="143"/>
      <c r="X82" s="143"/>
      <c r="Y82" s="143"/>
      <c r="Z82" s="346"/>
    </row>
    <row r="83" spans="1:26" x14ac:dyDescent="0.2">
      <c r="A83" s="461" t="s">
        <v>637</v>
      </c>
      <c r="B83" s="461"/>
      <c r="C83" s="461"/>
      <c r="D83" s="461"/>
      <c r="E83" s="3"/>
      <c r="F83" s="461" t="s">
        <v>638</v>
      </c>
      <c r="G83" s="461"/>
      <c r="H83" s="461"/>
      <c r="I83" s="461"/>
      <c r="K83" s="461" t="s">
        <v>820</v>
      </c>
      <c r="L83" s="461"/>
      <c r="M83" s="461"/>
      <c r="N83" s="461" t="s">
        <v>824</v>
      </c>
      <c r="O83" s="461"/>
      <c r="P83" s="461"/>
      <c r="R83" s="284"/>
    </row>
    <row r="84" spans="1:26" x14ac:dyDescent="0.2">
      <c r="A84" s="3" t="s">
        <v>94</v>
      </c>
      <c r="B84" s="3" t="s">
        <v>765</v>
      </c>
      <c r="C84" s="3" t="s">
        <v>766</v>
      </c>
      <c r="D84" s="3" t="s">
        <v>767</v>
      </c>
      <c r="F84" s="3" t="s">
        <v>94</v>
      </c>
      <c r="G84" s="3" t="s">
        <v>768</v>
      </c>
      <c r="H84" s="3" t="s">
        <v>769</v>
      </c>
      <c r="I84" s="3" t="s">
        <v>770</v>
      </c>
      <c r="K84" s="480" t="str">
        <f>INITIAL_FORET!$C$8</f>
        <v/>
      </c>
      <c r="L84" s="480"/>
      <c r="M84" s="480"/>
      <c r="N84" s="479" t="str">
        <f>IF(D104=0,"",VLOOKUP(B82,INITIAL_FORET!$J$2:$M$5,4,FALSE))</f>
        <v/>
      </c>
      <c r="O84" s="479"/>
      <c r="P84" s="479"/>
      <c r="R84" s="284"/>
      <c r="T84" s="461" t="s">
        <v>1009</v>
      </c>
      <c r="U84" s="461"/>
      <c r="V84" s="461"/>
      <c r="W84" s="461"/>
      <c r="X84" s="461"/>
      <c r="Y84" s="461"/>
      <c r="Z84" s="461"/>
    </row>
    <row r="85" spans="1:26" x14ac:dyDescent="0.2">
      <c r="A85" s="3">
        <v>1</v>
      </c>
      <c r="B85" s="95">
        <f>StrateD!B347</f>
        <v>0</v>
      </c>
      <c r="C85" s="95">
        <f>StrateD!C347</f>
        <v>0</v>
      </c>
      <c r="D85" s="95">
        <f>StrateD!D347</f>
        <v>0</v>
      </c>
      <c r="F85" s="3">
        <v>1</v>
      </c>
      <c r="G85" s="95">
        <f>StrateD!B370</f>
        <v>0</v>
      </c>
      <c r="H85" s="95">
        <f>StrateD!C370</f>
        <v>0</v>
      </c>
      <c r="I85" s="95">
        <f>StrateD!D370</f>
        <v>0</v>
      </c>
      <c r="K85" s="480"/>
      <c r="L85" s="480"/>
      <c r="M85" s="480"/>
      <c r="N85" s="479"/>
      <c r="O85" s="479"/>
      <c r="P85" s="479"/>
      <c r="R85" s="284"/>
      <c r="T85" t="s">
        <v>8</v>
      </c>
      <c r="U85" t="s">
        <v>815</v>
      </c>
      <c r="V85" t="s">
        <v>816</v>
      </c>
      <c r="W85" t="s">
        <v>817</v>
      </c>
      <c r="X85" t="s">
        <v>829</v>
      </c>
      <c r="Y85" t="s">
        <v>818</v>
      </c>
      <c r="Z85" s="18" t="s">
        <v>819</v>
      </c>
    </row>
    <row r="86" spans="1:26" x14ac:dyDescent="0.2">
      <c r="A86" s="3">
        <v>2</v>
      </c>
      <c r="B86" s="95">
        <f>StrateD!B348</f>
        <v>0</v>
      </c>
      <c r="C86" s="95">
        <f>StrateD!C348</f>
        <v>0</v>
      </c>
      <c r="D86" s="95">
        <f>StrateD!D348</f>
        <v>0</v>
      </c>
      <c r="F86" s="3">
        <v>2</v>
      </c>
      <c r="G86" s="95">
        <f>StrateD!B371</f>
        <v>0</v>
      </c>
      <c r="H86" s="95">
        <f>StrateD!C371</f>
        <v>0</v>
      </c>
      <c r="I86" s="95">
        <f>StrateD!D371</f>
        <v>0</v>
      </c>
      <c r="R86" s="284"/>
      <c r="T86" t="str">
        <f>IF($D$104=0,"",INITIAL_FORET!AA52)</f>
        <v/>
      </c>
      <c r="U86" s="231" t="str">
        <f>IF($T86="","",VLOOKUP(CONCATENATE($B$82,"_",$T86),INITIAL_FORET!$AB$40:$AL$55,5,FALSE))</f>
        <v/>
      </c>
      <c r="V86" s="231" t="str">
        <f>IF($T86="","",VLOOKUP(CONCATENATE($B$82,"_",$T86),INITIAL_FORET!$AB$40:$AL$55,8,FALSE)*U86)</f>
        <v/>
      </c>
      <c r="W86" s="1" t="str">
        <f>IF($T86="","",VLOOKUP($T86,INITIAL_FORET!$Q$2:$R$13,2,FALSE))</f>
        <v/>
      </c>
      <c r="X86" s="231" t="str">
        <f>IF($T86="","",VLOOKUP(CONCATENATE($B$82,"_",$T86),INITIAL_FORET!$AB$40:$AO$55,14,FALSE))</f>
        <v/>
      </c>
      <c r="Y86" s="231" t="str">
        <f>IF($T86="","",VLOOKUP(CONCATENATE($B$82,"_",$T86),INITIAL_FORET!$AB$40:$AL$55,10,FALSE))</f>
        <v/>
      </c>
      <c r="Z86" s="347" t="str">
        <f>IF($T86="","",VLOOKUP(CONCATENATE($B$82,"_",$T86),INITIAL_FORET!$AB$40:$AL$55,11,FALSE))</f>
        <v/>
      </c>
    </row>
    <row r="87" spans="1:26" x14ac:dyDescent="0.2">
      <c r="A87" s="3">
        <v>3</v>
      </c>
      <c r="B87" s="95">
        <f>StrateD!B349</f>
        <v>0</v>
      </c>
      <c r="C87" s="95">
        <f>StrateD!C349</f>
        <v>0</v>
      </c>
      <c r="D87" s="95">
        <f>StrateD!D349</f>
        <v>0</v>
      </c>
      <c r="F87" s="3">
        <v>3</v>
      </c>
      <c r="G87" s="95">
        <f>StrateD!B372</f>
        <v>0</v>
      </c>
      <c r="H87" s="95">
        <f>StrateD!C372</f>
        <v>0</v>
      </c>
      <c r="I87" s="95">
        <f>StrateD!D372</f>
        <v>0</v>
      </c>
      <c r="R87" s="284"/>
      <c r="T87" t="str">
        <f>IF($D$104=0,"",INITIAL_FORET!AA53)</f>
        <v/>
      </c>
      <c r="U87" s="231" t="str">
        <f>IF($T87="","",VLOOKUP(CONCATENATE($B$82,"_",$T87),INITIAL_FORET!$AB$40:$AL$55,5,FALSE))</f>
        <v/>
      </c>
      <c r="V87" s="231" t="str">
        <f>IF($T87="","",VLOOKUP(CONCATENATE($B$82,"_",$T87),INITIAL_FORET!$AB$40:$AL$55,8,FALSE)*U87)</f>
        <v/>
      </c>
      <c r="W87" s="1" t="str">
        <f>IF($T87="","",VLOOKUP($T87,INITIAL_FORET!$Q$2:$R$13,2,FALSE))</f>
        <v/>
      </c>
      <c r="X87" s="231" t="str">
        <f>IF($T87="","",VLOOKUP(CONCATENATE($B$82,"_",$T87),INITIAL_FORET!$AB$40:$AO$55,14,FALSE))</f>
        <v/>
      </c>
      <c r="Y87" s="231" t="str">
        <f>IF($T87="","",VLOOKUP(CONCATENATE($B$82,"_",$T87),INITIAL_FORET!$AB$40:$AL$55,10,FALSE))</f>
        <v/>
      </c>
      <c r="Z87" s="347" t="str">
        <f>IF($T87="","",VLOOKUP(CONCATENATE($B$82,"_",$T87),INITIAL_FORET!$AB$40:$AL$55,11,FALSE))</f>
        <v/>
      </c>
    </row>
    <row r="88" spans="1:26" x14ac:dyDescent="0.2">
      <c r="A88" s="3">
        <v>4</v>
      </c>
      <c r="B88" s="95">
        <f>StrateD!B350</f>
        <v>0</v>
      </c>
      <c r="C88" s="95">
        <f>StrateD!C350</f>
        <v>0</v>
      </c>
      <c r="D88" s="95">
        <f>StrateD!D350</f>
        <v>0</v>
      </c>
      <c r="F88" s="3">
        <v>4</v>
      </c>
      <c r="G88" s="95">
        <f>StrateD!B373</f>
        <v>0</v>
      </c>
      <c r="H88" s="95">
        <f>StrateD!C373</f>
        <v>0</v>
      </c>
      <c r="I88" s="95">
        <f>StrateD!D373</f>
        <v>0</v>
      </c>
      <c r="K88" s="461" t="s">
        <v>821</v>
      </c>
      <c r="L88" s="461"/>
      <c r="M88" s="461" t="s">
        <v>822</v>
      </c>
      <c r="N88" s="461"/>
      <c r="O88" s="461" t="s">
        <v>823</v>
      </c>
      <c r="P88" s="461"/>
      <c r="R88" s="284"/>
      <c r="T88" t="str">
        <f>IF($D$104=0,"",INITIAL_FORET!AA54)</f>
        <v/>
      </c>
      <c r="U88" s="231" t="str">
        <f>IF($T88="","",VLOOKUP(CONCATENATE($B$82,"_",$T88),INITIAL_FORET!$AB$40:$AL$55,5,FALSE))</f>
        <v/>
      </c>
      <c r="V88" s="231" t="str">
        <f>IF($T88="","",VLOOKUP(CONCATENATE($B$82,"_",$T88),INITIAL_FORET!$AB$40:$AL$55,8,FALSE)*U88)</f>
        <v/>
      </c>
      <c r="W88" s="1" t="str">
        <f>IF($T88="","",VLOOKUP($T88,INITIAL_FORET!$Q$2:$R$13,2,FALSE))</f>
        <v/>
      </c>
      <c r="X88" s="231" t="str">
        <f>IF($T88="","",VLOOKUP(CONCATENATE($B$82,"_",$T88),INITIAL_FORET!$AB$40:$AO$55,14,FALSE))</f>
        <v/>
      </c>
      <c r="Y88" s="231" t="str">
        <f>IF($T88="","",VLOOKUP(CONCATENATE($B$82,"_",$T88),INITIAL_FORET!$AB$40:$AL$55,10,FALSE))</f>
        <v/>
      </c>
      <c r="Z88" s="347" t="str">
        <f>IF($T88="","",VLOOKUP(CONCATENATE($B$82,"_",$T88),INITIAL_FORET!$AB$40:$AL$55,11,FALSE))</f>
        <v/>
      </c>
    </row>
    <row r="89" spans="1:26" x14ac:dyDescent="0.2">
      <c r="A89" s="3">
        <v>5</v>
      </c>
      <c r="B89" s="95">
        <f>StrateD!B351</f>
        <v>0</v>
      </c>
      <c r="C89" s="95">
        <f>StrateD!C351</f>
        <v>0</v>
      </c>
      <c r="D89" s="95">
        <f>StrateD!D351</f>
        <v>0</v>
      </c>
      <c r="F89" s="3">
        <v>5</v>
      </c>
      <c r="G89" s="95">
        <f>StrateD!B374</f>
        <v>0</v>
      </c>
      <c r="H89" s="95">
        <f>StrateD!C374</f>
        <v>0</v>
      </c>
      <c r="I89" s="95">
        <f>StrateD!D374</f>
        <v>0</v>
      </c>
      <c r="K89" s="478" t="str">
        <f>IF(D104=0,"",VLOOKUP(B82,INITIAL_FORET!$J$2:$L$5,2,FALSE))</f>
        <v/>
      </c>
      <c r="L89" s="478"/>
      <c r="M89" s="479" t="str">
        <f>IF(D104=0,"",VLOOKUP(B82,INITIAL_FORET!$J$2:$L$5,3,FALSE))</f>
        <v/>
      </c>
      <c r="N89" s="479"/>
      <c r="O89" s="49" t="str">
        <f>IF(M$89="IRR",T86,"")</f>
        <v/>
      </c>
      <c r="P89" s="49" t="str">
        <f>IF(O89="","",CONCATENATE(VLOOKUP(O89,INITIAL_FORET!$Q$2:$T$13,4,FALSE)," cm"))</f>
        <v/>
      </c>
      <c r="R89" s="284"/>
      <c r="T89" t="str">
        <f>IF($D$104=0,"",INITIAL_FORET!AA55)</f>
        <v/>
      </c>
      <c r="U89" s="231" t="str">
        <f>IF($T89="","",VLOOKUP(CONCATENATE($B$82,"_",$T89),INITIAL_FORET!$AB$40:$AL$55,5,FALSE))</f>
        <v/>
      </c>
      <c r="V89" s="231" t="str">
        <f>IF($T89="","",VLOOKUP(CONCATENATE($B$82,"_",$T89),INITIAL_FORET!$AB$40:$AL$55,8,FALSE)*U89)</f>
        <v/>
      </c>
      <c r="W89" s="1" t="str">
        <f>IF($T89="","",VLOOKUP($T89,INITIAL_FORET!$Q$2:$R$13,2,FALSE))</f>
        <v/>
      </c>
      <c r="X89" s="231" t="str">
        <f>IF($T89="","",VLOOKUP(CONCATENATE($B$82,"_",$T89),INITIAL_FORET!$AB$40:$AO$55,14,FALSE))</f>
        <v/>
      </c>
      <c r="Y89" s="231" t="str">
        <f>IF($T89="","",VLOOKUP(CONCATENATE($B$82,"_",$T89),INITIAL_FORET!$AB$40:$AL$55,10,FALSE))</f>
        <v/>
      </c>
      <c r="Z89" s="347" t="str">
        <f>IF($T89="","",VLOOKUP(CONCATENATE($B$82,"_",$T89),INITIAL_FORET!$AB$40:$AL$55,11,FALSE))</f>
        <v/>
      </c>
    </row>
    <row r="90" spans="1:26" x14ac:dyDescent="0.2">
      <c r="A90" s="3">
        <v>6</v>
      </c>
      <c r="B90" s="95">
        <f>StrateD!B352</f>
        <v>0</v>
      </c>
      <c r="C90" s="95">
        <f>StrateD!C352</f>
        <v>0</v>
      </c>
      <c r="D90" s="95">
        <f>StrateD!D352</f>
        <v>0</v>
      </c>
      <c r="F90" s="3">
        <v>6</v>
      </c>
      <c r="G90" s="95">
        <f>StrateD!B375</f>
        <v>0</v>
      </c>
      <c r="H90" s="95">
        <f>StrateD!C375</f>
        <v>0</v>
      </c>
      <c r="I90" s="95">
        <f>StrateD!D375</f>
        <v>0</v>
      </c>
      <c r="K90" s="478"/>
      <c r="L90" s="478"/>
      <c r="M90" s="479"/>
      <c r="N90" s="479"/>
      <c r="O90" s="49" t="str">
        <f>IF(M$89="IRR",T87,"")</f>
        <v/>
      </c>
      <c r="P90" s="49" t="str">
        <f>IF(O90="","",CONCATENATE(VLOOKUP(O90,INITIAL_FORET!$Q$2:$T$13,4,FALSE)," cm"))</f>
        <v/>
      </c>
      <c r="R90" s="284"/>
    </row>
    <row r="91" spans="1:26" x14ac:dyDescent="0.2">
      <c r="A91" s="3">
        <v>7</v>
      </c>
      <c r="B91" s="95">
        <f>StrateD!B353</f>
        <v>0</v>
      </c>
      <c r="C91" s="95">
        <f>StrateD!C353</f>
        <v>0</v>
      </c>
      <c r="D91" s="95">
        <f>StrateD!D353</f>
        <v>0</v>
      </c>
      <c r="F91" s="3">
        <v>7</v>
      </c>
      <c r="G91" s="95">
        <f>StrateD!B376</f>
        <v>0</v>
      </c>
      <c r="H91" s="95">
        <f>StrateD!C376</f>
        <v>0</v>
      </c>
      <c r="I91" s="95">
        <f>StrateD!D376</f>
        <v>0</v>
      </c>
      <c r="K91" s="478"/>
      <c r="L91" s="478"/>
      <c r="M91" s="479"/>
      <c r="N91" s="479"/>
      <c r="O91" s="49" t="str">
        <f>IF(M$89="IRR",T88,"")</f>
        <v/>
      </c>
      <c r="P91" s="49" t="str">
        <f>IF(O91="","",CONCATENATE(VLOOKUP(O91,INITIAL_FORET!$Q$2:$T$13,5,FALSE)," cm"))</f>
        <v/>
      </c>
      <c r="R91" s="284"/>
      <c r="T91" s="461" t="s">
        <v>1010</v>
      </c>
      <c r="U91" s="461"/>
      <c r="V91" s="461"/>
      <c r="W91" s="461"/>
      <c r="X91" s="461"/>
      <c r="Y91" s="461"/>
      <c r="Z91" s="461"/>
    </row>
    <row r="92" spans="1:26" x14ac:dyDescent="0.2">
      <c r="A92" s="3">
        <v>8</v>
      </c>
      <c r="B92" s="95">
        <f>StrateD!B354</f>
        <v>0</v>
      </c>
      <c r="C92" s="95">
        <f>StrateD!C354</f>
        <v>0</v>
      </c>
      <c r="D92" s="95">
        <f>StrateD!D354</f>
        <v>0</v>
      </c>
      <c r="F92" s="3">
        <v>8</v>
      </c>
      <c r="G92" s="95">
        <f>StrateD!B377</f>
        <v>0</v>
      </c>
      <c r="H92" s="95">
        <f>StrateD!C377</f>
        <v>0</v>
      </c>
      <c r="I92" s="95">
        <f>StrateD!D377</f>
        <v>0</v>
      </c>
      <c r="K92" s="478"/>
      <c r="L92" s="478"/>
      <c r="M92" s="479"/>
      <c r="N92" s="479"/>
      <c r="O92" s="49" t="str">
        <f>IF(M$89="IRR",T89,"")</f>
        <v/>
      </c>
      <c r="P92" s="49" t="str">
        <f>IF(O92="","",CONCATENATE(VLOOKUP(O92,INITIAL_FORET!$Q$2:$T$13,5,FALSE)," cm"))</f>
        <v/>
      </c>
      <c r="R92" s="284"/>
      <c r="T92" t="s">
        <v>8</v>
      </c>
      <c r="U92" t="s">
        <v>815</v>
      </c>
      <c r="V92" t="s">
        <v>816</v>
      </c>
      <c r="W92" t="s">
        <v>817</v>
      </c>
      <c r="X92" t="s">
        <v>829</v>
      </c>
      <c r="Y92" t="s">
        <v>818</v>
      </c>
      <c r="Z92" s="18" t="s">
        <v>819</v>
      </c>
    </row>
    <row r="93" spans="1:26" x14ac:dyDescent="0.2">
      <c r="A93" s="3">
        <v>9</v>
      </c>
      <c r="B93" s="95">
        <f>StrateD!B355</f>
        <v>0</v>
      </c>
      <c r="C93" s="95">
        <f>StrateD!C355</f>
        <v>0</v>
      </c>
      <c r="D93" s="95">
        <f>StrateD!D355</f>
        <v>0</v>
      </c>
      <c r="F93" s="3">
        <v>9</v>
      </c>
      <c r="G93" s="95">
        <f>StrateD!B378</f>
        <v>0</v>
      </c>
      <c r="H93" s="95">
        <f>StrateD!C378</f>
        <v>0</v>
      </c>
      <c r="I93" s="95">
        <f>StrateD!D378</f>
        <v>0</v>
      </c>
      <c r="R93" s="284"/>
      <c r="T93" t="str">
        <f t="shared" ref="T93:T96" si="10">IF(T86="","",T86)</f>
        <v/>
      </c>
      <c r="U93" s="231" t="str">
        <f t="shared" ref="U93:V96" si="11">IF($T93="","",U86/$N$84)</f>
        <v/>
      </c>
      <c r="V93" s="231" t="str">
        <f t="shared" si="11"/>
        <v/>
      </c>
      <c r="W93" s="1" t="str">
        <f>W86</f>
        <v/>
      </c>
      <c r="X93" s="231" t="str">
        <f t="shared" ref="X93:Z96" si="12">IF($T93="","",X86/$N$84)</f>
        <v/>
      </c>
      <c r="Y93" s="231" t="str">
        <f t="shared" si="12"/>
        <v/>
      </c>
      <c r="Z93" s="347" t="str">
        <f t="shared" si="12"/>
        <v/>
      </c>
    </row>
    <row r="94" spans="1:26" x14ac:dyDescent="0.2">
      <c r="A94" s="3">
        <v>10</v>
      </c>
      <c r="B94" s="95">
        <f>StrateD!B356</f>
        <v>0</v>
      </c>
      <c r="C94" s="95">
        <f>StrateD!C356</f>
        <v>0</v>
      </c>
      <c r="D94" s="95">
        <f>StrateD!D356</f>
        <v>0</v>
      </c>
      <c r="F94" s="3">
        <v>10</v>
      </c>
      <c r="G94" s="95">
        <f>StrateD!B379</f>
        <v>0</v>
      </c>
      <c r="H94" s="95">
        <f>StrateD!C379</f>
        <v>0</v>
      </c>
      <c r="I94" s="95">
        <f>StrateD!D379</f>
        <v>0</v>
      </c>
      <c r="R94" s="284"/>
      <c r="T94" t="str">
        <f t="shared" si="10"/>
        <v/>
      </c>
      <c r="U94" s="231" t="str">
        <f t="shared" si="11"/>
        <v/>
      </c>
      <c r="V94" s="231" t="str">
        <f t="shared" si="11"/>
        <v/>
      </c>
      <c r="W94" s="1" t="str">
        <f t="shared" ref="W94:W96" si="13">W87</f>
        <v/>
      </c>
      <c r="X94" s="231" t="str">
        <f t="shared" si="12"/>
        <v/>
      </c>
      <c r="Y94" s="231" t="str">
        <f t="shared" si="12"/>
        <v/>
      </c>
      <c r="Z94" s="347" t="str">
        <f t="shared" si="12"/>
        <v/>
      </c>
    </row>
    <row r="95" spans="1:26" x14ac:dyDescent="0.2">
      <c r="A95" s="3">
        <v>11</v>
      </c>
      <c r="B95" s="95">
        <f>StrateD!B357</f>
        <v>0</v>
      </c>
      <c r="C95" s="95">
        <f>StrateD!C357</f>
        <v>0</v>
      </c>
      <c r="D95" s="95">
        <f>StrateD!D357</f>
        <v>0</v>
      </c>
      <c r="F95" s="3">
        <v>11</v>
      </c>
      <c r="G95" s="95">
        <f>StrateD!B380</f>
        <v>0</v>
      </c>
      <c r="H95" s="95">
        <f>StrateD!C380</f>
        <v>0</v>
      </c>
      <c r="I95" s="95">
        <f>StrateD!D380</f>
        <v>0</v>
      </c>
      <c r="R95" s="284"/>
      <c r="T95" t="str">
        <f t="shared" si="10"/>
        <v/>
      </c>
      <c r="U95" s="231" t="str">
        <f t="shared" si="11"/>
        <v/>
      </c>
      <c r="V95" s="231" t="str">
        <f t="shared" si="11"/>
        <v/>
      </c>
      <c r="W95" s="1" t="str">
        <f t="shared" si="13"/>
        <v/>
      </c>
      <c r="X95" s="231" t="str">
        <f t="shared" si="12"/>
        <v/>
      </c>
      <c r="Y95" s="231" t="str">
        <f t="shared" si="12"/>
        <v/>
      </c>
      <c r="Z95" s="347" t="str">
        <f t="shared" si="12"/>
        <v/>
      </c>
    </row>
    <row r="96" spans="1:26" x14ac:dyDescent="0.2">
      <c r="A96" s="3">
        <v>12</v>
      </c>
      <c r="B96" s="95">
        <f>StrateD!B358</f>
        <v>0</v>
      </c>
      <c r="C96" s="95">
        <f>StrateD!C358</f>
        <v>0</v>
      </c>
      <c r="D96" s="95">
        <f>StrateD!D358</f>
        <v>0</v>
      </c>
      <c r="F96" s="3">
        <v>12</v>
      </c>
      <c r="G96" s="95">
        <f>StrateD!B381</f>
        <v>0</v>
      </c>
      <c r="H96" s="95">
        <f>StrateD!C381</f>
        <v>0</v>
      </c>
      <c r="I96" s="95">
        <f>StrateD!D381</f>
        <v>0</v>
      </c>
      <c r="R96" s="284"/>
      <c r="T96" t="str">
        <f t="shared" si="10"/>
        <v/>
      </c>
      <c r="U96" s="231" t="str">
        <f t="shared" si="11"/>
        <v/>
      </c>
      <c r="V96" s="231" t="str">
        <f t="shared" si="11"/>
        <v/>
      </c>
      <c r="W96" s="1" t="str">
        <f t="shared" si="13"/>
        <v/>
      </c>
      <c r="X96" s="231" t="str">
        <f t="shared" si="12"/>
        <v/>
      </c>
      <c r="Y96" s="231" t="str">
        <f t="shared" si="12"/>
        <v/>
      </c>
      <c r="Z96" s="347" t="str">
        <f t="shared" si="12"/>
        <v/>
      </c>
    </row>
    <row r="97" spans="1:18" x14ac:dyDescent="0.2">
      <c r="A97" s="3">
        <v>13</v>
      </c>
      <c r="B97" s="95">
        <f>StrateD!B359</f>
        <v>0</v>
      </c>
      <c r="C97" s="95">
        <f>StrateD!C359</f>
        <v>0</v>
      </c>
      <c r="D97" s="95">
        <f>StrateD!D359</f>
        <v>0</v>
      </c>
      <c r="F97" s="3">
        <v>13</v>
      </c>
      <c r="G97" s="95">
        <f>StrateD!B382</f>
        <v>0</v>
      </c>
      <c r="H97" s="95">
        <f>StrateD!C382</f>
        <v>0</v>
      </c>
      <c r="I97" s="95">
        <f>StrateD!D382</f>
        <v>0</v>
      </c>
      <c r="R97" s="284"/>
    </row>
    <row r="98" spans="1:18" x14ac:dyDescent="0.2">
      <c r="A98" s="3">
        <v>14</v>
      </c>
      <c r="B98" s="95">
        <f>StrateD!B360</f>
        <v>0</v>
      </c>
      <c r="C98" s="95">
        <f>StrateD!C360</f>
        <v>0</v>
      </c>
      <c r="D98" s="95">
        <f>StrateD!D360</f>
        <v>0</v>
      </c>
      <c r="F98" s="3">
        <v>14</v>
      </c>
      <c r="G98" s="95">
        <f>StrateD!B383</f>
        <v>0</v>
      </c>
      <c r="H98" s="95">
        <f>StrateD!C383</f>
        <v>0</v>
      </c>
      <c r="I98" s="95">
        <f>StrateD!D383</f>
        <v>0</v>
      </c>
      <c r="R98" s="284"/>
    </row>
    <row r="99" spans="1:18" x14ac:dyDescent="0.2">
      <c r="A99" s="3">
        <v>15</v>
      </c>
      <c r="B99" s="95">
        <f>StrateD!B361</f>
        <v>0</v>
      </c>
      <c r="C99" s="95">
        <f>StrateD!C361</f>
        <v>0</v>
      </c>
      <c r="D99" s="95">
        <f>StrateD!D361</f>
        <v>0</v>
      </c>
      <c r="F99" s="3">
        <v>15</v>
      </c>
      <c r="G99" s="95">
        <f>StrateD!B384</f>
        <v>0</v>
      </c>
      <c r="H99" s="95">
        <f>StrateD!C384</f>
        <v>0</v>
      </c>
      <c r="I99" s="95">
        <f>StrateD!D384</f>
        <v>0</v>
      </c>
      <c r="R99" s="284"/>
    </row>
    <row r="100" spans="1:18" x14ac:dyDescent="0.2">
      <c r="A100" s="3">
        <v>16</v>
      </c>
      <c r="B100" s="95">
        <f>StrateD!B362</f>
        <v>0</v>
      </c>
      <c r="C100" s="95">
        <f>StrateD!C362</f>
        <v>0</v>
      </c>
      <c r="D100" s="95">
        <f>StrateD!D362</f>
        <v>0</v>
      </c>
      <c r="F100" s="3">
        <v>16</v>
      </c>
      <c r="G100" s="95">
        <f>StrateD!B385</f>
        <v>0</v>
      </c>
      <c r="H100" s="95">
        <f>StrateD!C385</f>
        <v>0</v>
      </c>
      <c r="I100" s="95">
        <f>StrateD!D385</f>
        <v>0</v>
      </c>
      <c r="R100" s="284"/>
    </row>
    <row r="101" spans="1:18" x14ac:dyDescent="0.2">
      <c r="A101" s="3">
        <v>17</v>
      </c>
      <c r="B101" s="95">
        <f>StrateD!B363</f>
        <v>0</v>
      </c>
      <c r="C101" s="95">
        <f>StrateD!C363</f>
        <v>0</v>
      </c>
      <c r="D101" s="95">
        <f>StrateD!D363</f>
        <v>0</v>
      </c>
      <c r="F101" s="3">
        <v>17</v>
      </c>
      <c r="G101" s="95">
        <f>StrateD!B386</f>
        <v>0</v>
      </c>
      <c r="H101" s="95">
        <f>StrateD!C386</f>
        <v>0</v>
      </c>
      <c r="I101" s="95">
        <f>StrateD!D386</f>
        <v>0</v>
      </c>
      <c r="R101" s="284"/>
    </row>
    <row r="102" spans="1:18" x14ac:dyDescent="0.2">
      <c r="A102" s="3">
        <v>18</v>
      </c>
      <c r="B102" s="95">
        <f>StrateD!B364</f>
        <v>0</v>
      </c>
      <c r="C102" s="95">
        <f>StrateD!C364</f>
        <v>0</v>
      </c>
      <c r="D102" s="95">
        <f>StrateD!D364</f>
        <v>0</v>
      </c>
      <c r="F102" s="3">
        <v>18</v>
      </c>
      <c r="G102" s="95">
        <f>StrateD!B387</f>
        <v>0</v>
      </c>
      <c r="H102" s="95">
        <f>StrateD!C387</f>
        <v>0</v>
      </c>
      <c r="I102" s="95">
        <f>StrateD!D387</f>
        <v>0</v>
      </c>
      <c r="R102" s="284"/>
    </row>
    <row r="103" spans="1:18" x14ac:dyDescent="0.2">
      <c r="A103" s="3">
        <v>19</v>
      </c>
      <c r="B103" s="95">
        <f>StrateD!B365</f>
        <v>0</v>
      </c>
      <c r="C103" s="95">
        <f>StrateD!C365</f>
        <v>0</v>
      </c>
      <c r="D103" s="95">
        <f>StrateD!D365</f>
        <v>0</v>
      </c>
      <c r="F103" s="3">
        <v>19</v>
      </c>
      <c r="G103" s="95">
        <f>StrateD!B388</f>
        <v>0</v>
      </c>
      <c r="H103" s="95">
        <f>StrateD!C388</f>
        <v>0</v>
      </c>
      <c r="I103" s="95">
        <f>StrateD!D388</f>
        <v>0</v>
      </c>
      <c r="R103" s="284"/>
    </row>
    <row r="104" spans="1:18" x14ac:dyDescent="0.2">
      <c r="A104" s="3">
        <v>20</v>
      </c>
      <c r="B104" s="95">
        <f>StrateD!B366</f>
        <v>0</v>
      </c>
      <c r="C104" s="95">
        <f>StrateD!C366</f>
        <v>0</v>
      </c>
      <c r="D104" s="95">
        <f>StrateD!D366</f>
        <v>0</v>
      </c>
      <c r="F104" s="3">
        <v>20</v>
      </c>
      <c r="G104" s="95">
        <f>StrateD!B389</f>
        <v>0</v>
      </c>
      <c r="H104" s="95">
        <f>StrateD!C389</f>
        <v>0</v>
      </c>
      <c r="I104" s="95">
        <f>StrateD!D389</f>
        <v>0</v>
      </c>
      <c r="R104" s="284"/>
    </row>
    <row r="105" spans="1:18" x14ac:dyDescent="0.2">
      <c r="R105" s="284"/>
    </row>
    <row r="106" spans="1:18" x14ac:dyDescent="0.2">
      <c r="R106" s="284"/>
    </row>
    <row r="107" spans="1:18" x14ac:dyDescent="0.2">
      <c r="R107" s="284"/>
    </row>
  </sheetData>
  <sheetProtection algorithmName="SHA-512" hashValue="bPwwIkZhsPSdgBSDosD8km7w9j1lwcTD2s7DFo+ryuARwqlo+4tuFaFTrSTabMZtAuOK3+G5jaJkbma1VSF/zg==" saltValue="WF+3mzRceKSnr15A9E90og==" spinCount="100000" sheet="1" objects="1" scenarios="1"/>
  <mergeCells count="52">
    <mergeCell ref="O34:P34"/>
    <mergeCell ref="K35:L38"/>
    <mergeCell ref="M35:N38"/>
    <mergeCell ref="T30:Z30"/>
    <mergeCell ref="T91:Z91"/>
    <mergeCell ref="T84:Z84"/>
    <mergeCell ref="T64:Z64"/>
    <mergeCell ref="T57:Z57"/>
    <mergeCell ref="T37:Z37"/>
    <mergeCell ref="O88:P88"/>
    <mergeCell ref="K2:M2"/>
    <mergeCell ref="K3:M4"/>
    <mergeCell ref="N2:P2"/>
    <mergeCell ref="N3:P4"/>
    <mergeCell ref="O7:P7"/>
    <mergeCell ref="M7:N7"/>
    <mergeCell ref="K7:L7"/>
    <mergeCell ref="K8:L11"/>
    <mergeCell ref="M8:N11"/>
    <mergeCell ref="K84:M85"/>
    <mergeCell ref="N84:P85"/>
    <mergeCell ref="K61:L61"/>
    <mergeCell ref="M61:N61"/>
    <mergeCell ref="O61:P61"/>
    <mergeCell ref="K62:L65"/>
    <mergeCell ref="T3:Z3"/>
    <mergeCell ref="T10:Z10"/>
    <mergeCell ref="A56:D56"/>
    <mergeCell ref="F56:I56"/>
    <mergeCell ref="A83:D83"/>
    <mergeCell ref="F83:I83"/>
    <mergeCell ref="N29:P29"/>
    <mergeCell ref="K30:M31"/>
    <mergeCell ref="N30:P31"/>
    <mergeCell ref="K56:M56"/>
    <mergeCell ref="N56:P56"/>
    <mergeCell ref="K57:M58"/>
    <mergeCell ref="N57:P58"/>
    <mergeCell ref="K83:M83"/>
    <mergeCell ref="N83:P83"/>
    <mergeCell ref="M62:N65"/>
    <mergeCell ref="K89:L92"/>
    <mergeCell ref="M89:N92"/>
    <mergeCell ref="A2:D2"/>
    <mergeCell ref="F2:I2"/>
    <mergeCell ref="A29:D29"/>
    <mergeCell ref="F29:I29"/>
    <mergeCell ref="K29:M29"/>
    <mergeCell ref="K88:L88"/>
    <mergeCell ref="M88:N88"/>
    <mergeCell ref="K34:L34"/>
    <mergeCell ref="M34:N34"/>
  </mergeCells>
  <conditionalFormatting sqref="W5:W8">
    <cfRule type="cellIs" dxfId="28" priority="10" operator="greaterThan">
      <formula>0.5</formula>
    </cfRule>
  </conditionalFormatting>
  <conditionalFormatting sqref="W12:W15">
    <cfRule type="cellIs" dxfId="27" priority="6" operator="greaterThan">
      <formula>0.5</formula>
    </cfRule>
  </conditionalFormatting>
  <conditionalFormatting sqref="W32:W36">
    <cfRule type="cellIs" dxfId="26" priority="9" operator="greaterThan">
      <formula>0.5</formula>
    </cfRule>
  </conditionalFormatting>
  <conditionalFormatting sqref="W39:W42">
    <cfRule type="cellIs" dxfId="25" priority="5" operator="greaterThan">
      <formula>0.5</formula>
    </cfRule>
  </conditionalFormatting>
  <conditionalFormatting sqref="W59:W62">
    <cfRule type="cellIs" dxfId="24" priority="8" operator="greaterThan">
      <formula>0.5</formula>
    </cfRule>
  </conditionalFormatting>
  <conditionalFormatting sqref="W66:W69">
    <cfRule type="cellIs" dxfId="23" priority="2" operator="greaterThan">
      <formula>0.5</formula>
    </cfRule>
  </conditionalFormatting>
  <conditionalFormatting sqref="W86:W89">
    <cfRule type="cellIs" dxfId="22" priority="7" operator="greaterThan">
      <formula>0.5</formula>
    </cfRule>
  </conditionalFormatting>
  <conditionalFormatting sqref="W93:W96">
    <cfRule type="cellIs" dxfId="21" priority="1" operator="greaterThan">
      <formula>0.5</formula>
    </cfRule>
  </conditionalFormatting>
  <pageMargins left="0.7" right="0.7" top="0.75" bottom="0.75" header="0.3" footer="0.3"/>
  <tableParts count="16">
    <tablePart r:id="rId1"/>
    <tablePart r:id="rId2"/>
    <tablePart r:id="rId3"/>
    <tablePart r:id="rId4"/>
    <tablePart r:id="rId5"/>
    <tablePart r:id="rId6"/>
    <tablePart r:id="rId7"/>
    <tablePart r:id="rId8"/>
    <tablePart r:id="rId9"/>
    <tablePart r:id="rId10"/>
    <tablePart r:id="rId11"/>
    <tablePart r:id="rId12"/>
    <tablePart r:id="rId13"/>
    <tablePart r:id="rId14"/>
    <tablePart r:id="rId15"/>
    <tablePart r:id="rId16"/>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BF5FEB-F72E-8743-8AAE-4D9878967F0F}">
  <sheetPr>
    <tabColor rgb="FF7030A0"/>
  </sheetPr>
  <dimension ref="A1:P51"/>
  <sheetViews>
    <sheetView zoomScale="140" zoomScaleNormal="140" workbookViewId="0">
      <selection activeCell="M33" sqref="M33"/>
    </sheetView>
  </sheetViews>
  <sheetFormatPr baseColWidth="10" defaultRowHeight="16" x14ac:dyDescent="0.2"/>
  <cols>
    <col min="1" max="1" width="12.5" customWidth="1"/>
    <col min="2" max="2" width="13.33203125" customWidth="1"/>
    <col min="3" max="3" width="14.5" customWidth="1"/>
    <col min="4" max="4" width="15.1640625" bestFit="1" customWidth="1"/>
    <col min="5" max="5" width="14.83203125" customWidth="1"/>
    <col min="6" max="6" width="13.33203125" customWidth="1"/>
    <col min="7" max="7" width="12.5" customWidth="1"/>
    <col min="8" max="8" width="13.5" customWidth="1"/>
    <col min="9" max="9" width="14.83203125" bestFit="1" customWidth="1"/>
    <col min="10" max="10" width="14" bestFit="1" customWidth="1"/>
    <col min="11" max="11" width="7" customWidth="1"/>
    <col min="12" max="12" width="19" customWidth="1"/>
    <col min="13" max="13" width="18.33203125" bestFit="1" customWidth="1"/>
    <col min="14" max="14" width="13.1640625" customWidth="1"/>
    <col min="17" max="17" width="12" customWidth="1"/>
    <col min="18" max="18" width="13" customWidth="1"/>
  </cols>
  <sheetData>
    <row r="1" spans="1:10" ht="19" x14ac:dyDescent="0.25">
      <c r="A1" s="152" t="s">
        <v>671</v>
      </c>
      <c r="B1" s="153"/>
      <c r="C1" s="153"/>
      <c r="D1" s="152"/>
      <c r="E1" s="154"/>
      <c r="F1" s="154"/>
      <c r="G1" s="152"/>
      <c r="H1" s="152"/>
      <c r="I1" s="152"/>
      <c r="J1" s="152"/>
    </row>
    <row r="2" spans="1:10" x14ac:dyDescent="0.2">
      <c r="B2" s="4"/>
      <c r="C2" s="4"/>
      <c r="E2" s="78"/>
      <c r="F2" s="78"/>
      <c r="G2" s="157"/>
    </row>
    <row r="3" spans="1:10" ht="17" customHeight="1" x14ac:dyDescent="0.2">
      <c r="A3" s="482" t="s">
        <v>673</v>
      </c>
      <c r="B3" s="39" t="s">
        <v>0</v>
      </c>
      <c r="C3" s="39" t="s">
        <v>278</v>
      </c>
      <c r="D3" s="39" t="s">
        <v>279</v>
      </c>
      <c r="E3" s="39" t="s">
        <v>691</v>
      </c>
      <c r="G3" s="156"/>
    </row>
    <row r="4" spans="1:10" x14ac:dyDescent="0.2">
      <c r="A4" s="482"/>
      <c r="B4" s="4" t="s">
        <v>180</v>
      </c>
      <c r="C4" s="103">
        <f>IF(INITIAL_FORET!M2=0,0,SUM(StrateA!$AM$61:$AM$80))</f>
        <v>0</v>
      </c>
      <c r="D4" s="103">
        <f>IF(INITIAL_FORET!M2=0,0,SUM(StrateA!$AM$177:$AM$196))</f>
        <v>0</v>
      </c>
      <c r="E4" s="103">
        <f t="shared" ref="E4:E8" si="0">C4-D4</f>
        <v>0</v>
      </c>
      <c r="G4" s="157"/>
    </row>
    <row r="5" spans="1:10" x14ac:dyDescent="0.2">
      <c r="A5" s="482"/>
      <c r="B5" s="4" t="s">
        <v>188</v>
      </c>
      <c r="C5" s="103">
        <f>IF(INITIAL_FORET!M3=0,0,SUM(StrateB!$AM$61:$AM$80))</f>
        <v>0</v>
      </c>
      <c r="D5" s="103">
        <f>IF(INITIAL_FORET!M3=0,0,SUM(StrateB!$AM$177:$AM$196))</f>
        <v>0</v>
      </c>
      <c r="E5" s="103">
        <f t="shared" si="0"/>
        <v>0</v>
      </c>
      <c r="G5" s="157"/>
    </row>
    <row r="6" spans="1:10" x14ac:dyDescent="0.2">
      <c r="A6" s="482"/>
      <c r="B6" s="4" t="s">
        <v>190</v>
      </c>
      <c r="C6" s="103">
        <f>IF(INITIAL_FORET!M4=0,0,SUM(StrateC!$AM$61:$AM$80))</f>
        <v>0</v>
      </c>
      <c r="D6" s="103">
        <f>IF(INITIAL_FORET!M4=0,0,SUM(StrateC!$AM$177:$AM$196))</f>
        <v>0</v>
      </c>
      <c r="E6" s="103">
        <f t="shared" si="0"/>
        <v>0</v>
      </c>
      <c r="G6" s="156"/>
    </row>
    <row r="7" spans="1:10" x14ac:dyDescent="0.2">
      <c r="A7" s="482"/>
      <c r="B7" s="4" t="s">
        <v>192</v>
      </c>
      <c r="C7" s="103">
        <f>IF(INITIAL_FORET!M5=0,0,SUM(StrateD!$AM$61:$AM$80))</f>
        <v>0</v>
      </c>
      <c r="D7" s="103">
        <f>IF(INITIAL_FORET!M5=0,0,SUM(StrateD!$AM$177:$AM$196))</f>
        <v>0</v>
      </c>
      <c r="E7" s="103">
        <f t="shared" si="0"/>
        <v>0</v>
      </c>
    </row>
    <row r="8" spans="1:10" x14ac:dyDescent="0.2">
      <c r="A8" s="482"/>
      <c r="B8" s="4" t="s">
        <v>261</v>
      </c>
      <c r="C8" s="103">
        <f>SUM(C4:C7)</f>
        <v>0</v>
      </c>
      <c r="D8" s="103">
        <f>SUM(D4:D7)</f>
        <v>0</v>
      </c>
      <c r="E8" s="103">
        <f t="shared" si="0"/>
        <v>0</v>
      </c>
    </row>
    <row r="9" spans="1:10" ht="16" customHeight="1" x14ac:dyDescent="0.2"/>
    <row r="10" spans="1:10" ht="16" customHeight="1" x14ac:dyDescent="0.2">
      <c r="A10" s="483" t="s">
        <v>674</v>
      </c>
      <c r="B10" s="483"/>
      <c r="C10" s="316">
        <f>E8</f>
        <v>0</v>
      </c>
      <c r="D10" s="317" t="s">
        <v>280</v>
      </c>
    </row>
    <row r="11" spans="1:10" ht="16" customHeight="1" x14ac:dyDescent="0.2"/>
    <row r="12" spans="1:10" ht="16" customHeight="1" x14ac:dyDescent="0.2">
      <c r="A12" s="483" t="s">
        <v>675</v>
      </c>
      <c r="B12" s="483"/>
      <c r="C12" s="327">
        <f>IF(C10&gt;Listes!T30,Listes!V30,IF(C10&gt;Listes!T29,Listes!V29,IF(C10&gt;Listes!T28,Listes!V28,IF(C10&gt;Listes!T27,Listes!V27,Listes!V26))))</f>
        <v>0.25</v>
      </c>
    </row>
    <row r="13" spans="1:10" x14ac:dyDescent="0.2">
      <c r="J13" s="78"/>
    </row>
    <row r="14" spans="1:10" ht="19" x14ac:dyDescent="0.25">
      <c r="A14" s="152" t="s">
        <v>1001</v>
      </c>
      <c r="B14" s="153"/>
      <c r="C14" s="153"/>
      <c r="D14" s="152"/>
      <c r="E14" s="154"/>
      <c r="F14" s="154"/>
      <c r="G14" s="152"/>
      <c r="H14" s="152"/>
      <c r="I14" s="152"/>
      <c r="J14" s="152"/>
    </row>
    <row r="15" spans="1:10" x14ac:dyDescent="0.2">
      <c r="J15" s="78"/>
    </row>
    <row r="16" spans="1:10" ht="16" customHeight="1" x14ac:dyDescent="0.2">
      <c r="A16" s="482" t="s">
        <v>1002</v>
      </c>
      <c r="B16" s="39" t="s">
        <v>0</v>
      </c>
      <c r="C16" s="39" t="s">
        <v>1003</v>
      </c>
      <c r="J16" s="78"/>
    </row>
    <row r="17" spans="1:14" x14ac:dyDescent="0.2">
      <c r="A17" s="482"/>
      <c r="B17" s="4" t="s">
        <v>180</v>
      </c>
      <c r="C17" s="304" t="str">
        <f>IF(INITIAL_FORET!M2=0,"",INITIAL_FORET!N2)</f>
        <v/>
      </c>
      <c r="J17" s="78"/>
    </row>
    <row r="18" spans="1:14" x14ac:dyDescent="0.2">
      <c r="A18" s="482"/>
      <c r="B18" s="4" t="s">
        <v>188</v>
      </c>
      <c r="C18" s="304" t="str">
        <f>IF(INITIAL_FORET!M3=0,"",INITIAL_FORET!N3)</f>
        <v/>
      </c>
      <c r="J18" s="78"/>
    </row>
    <row r="19" spans="1:14" x14ac:dyDescent="0.2">
      <c r="A19" s="482"/>
      <c r="B19" s="4" t="s">
        <v>190</v>
      </c>
      <c r="C19" s="304" t="str">
        <f>IF(INITIAL_FORET!M4=0,"",INITIAL_FORET!N4)</f>
        <v/>
      </c>
      <c r="J19" s="78"/>
    </row>
    <row r="20" spans="1:14" x14ac:dyDescent="0.2">
      <c r="A20" s="482"/>
      <c r="B20" s="4" t="s">
        <v>192</v>
      </c>
      <c r="C20" s="304" t="str">
        <f>IF(INITIAL_FORET!M5=0,"",INITIAL_FORET!N5)</f>
        <v/>
      </c>
      <c r="J20" s="78"/>
    </row>
    <row r="21" spans="1:14" x14ac:dyDescent="0.2">
      <c r="J21" s="78"/>
    </row>
    <row r="22" spans="1:14" ht="19" x14ac:dyDescent="0.25">
      <c r="A22" s="152" t="s">
        <v>672</v>
      </c>
      <c r="B22" s="153"/>
      <c r="C22" s="153"/>
      <c r="D22" s="152"/>
      <c r="E22" s="154"/>
      <c r="F22" s="154"/>
      <c r="G22" s="152"/>
      <c r="H22" s="152"/>
      <c r="I22" s="152"/>
      <c r="J22" s="152"/>
    </row>
    <row r="23" spans="1:14" x14ac:dyDescent="0.2">
      <c r="J23" s="78"/>
    </row>
    <row r="24" spans="1:14" x14ac:dyDescent="0.2">
      <c r="A24" s="482" t="s">
        <v>999</v>
      </c>
      <c r="B24" t="s">
        <v>262</v>
      </c>
      <c r="C24" t="s">
        <v>263</v>
      </c>
      <c r="M24" s="231"/>
      <c r="N24" s="231"/>
    </row>
    <row r="25" spans="1:14" x14ac:dyDescent="0.2">
      <c r="A25" s="482"/>
      <c r="B25" t="s">
        <v>897</v>
      </c>
      <c r="C25" s="100">
        <f>INITIAL_FORET!$C$12</f>
        <v>0.1</v>
      </c>
      <c r="D25" s="104"/>
      <c r="M25" s="231"/>
      <c r="N25" s="231"/>
    </row>
    <row r="26" spans="1:14" x14ac:dyDescent="0.2">
      <c r="A26" s="482"/>
      <c r="B26" t="s">
        <v>259</v>
      </c>
      <c r="C26" s="100" t="str">
        <f>INITIAL_FORET!C13</f>
        <v/>
      </c>
      <c r="D26" s="104"/>
    </row>
    <row r="28" spans="1:14" x14ac:dyDescent="0.2">
      <c r="A28" s="484" t="s">
        <v>676</v>
      </c>
      <c r="B28" s="484"/>
      <c r="C28" s="327" t="e">
        <f>MAX(1-((1-C26)*(1-C25)),10%)</f>
        <v>#VALUE!</v>
      </c>
      <c r="D28" s="240"/>
      <c r="M28" s="231"/>
      <c r="N28" s="231"/>
    </row>
    <row r="30" spans="1:14" s="155" customFormat="1" ht="21" customHeight="1" x14ac:dyDescent="0.25">
      <c r="A30" s="159" t="s">
        <v>1000</v>
      </c>
      <c r="B30" s="77"/>
      <c r="C30" s="77"/>
      <c r="D30" s="77"/>
      <c r="E30" s="77"/>
      <c r="F30" s="77"/>
      <c r="G30" s="77"/>
      <c r="H30" s="77"/>
      <c r="I30" s="152"/>
      <c r="J30" s="152"/>
    </row>
    <row r="32" spans="1:14" x14ac:dyDescent="0.2">
      <c r="A32" s="484" t="s">
        <v>677</v>
      </c>
      <c r="B32" s="484"/>
      <c r="C32" s="315" t="str">
        <f>Niv_engt</f>
        <v/>
      </c>
    </row>
    <row r="34" spans="1:16" x14ac:dyDescent="0.2">
      <c r="A34" s="482" t="s">
        <v>688</v>
      </c>
      <c r="B34" s="3" t="s">
        <v>0</v>
      </c>
      <c r="C34" s="3" t="s">
        <v>275</v>
      </c>
      <c r="D34" s="3" t="s">
        <v>686</v>
      </c>
      <c r="E34" s="322" t="s">
        <v>678</v>
      </c>
      <c r="F34" s="322" t="s">
        <v>679</v>
      </c>
      <c r="G34" s="322" t="s">
        <v>680</v>
      </c>
      <c r="H34" s="4" t="s">
        <v>687</v>
      </c>
      <c r="I34" t="s">
        <v>93</v>
      </c>
      <c r="J34" t="s">
        <v>1006</v>
      </c>
    </row>
    <row r="35" spans="1:16" x14ac:dyDescent="0.2">
      <c r="A35" s="482"/>
      <c r="B35" s="3" t="s">
        <v>180</v>
      </c>
      <c r="C35" s="95">
        <f>SUM(StrateA!$L$4:$L$7)</f>
        <v>0</v>
      </c>
      <c r="D35" s="95">
        <f>SUM(StrateA!C$332:E$332)</f>
        <v>0</v>
      </c>
      <c r="E35" s="323">
        <f>-StrateA!G$332</f>
        <v>0</v>
      </c>
      <c r="F35" s="323">
        <f>-StrateA!H$332</f>
        <v>0</v>
      </c>
      <c r="G35" s="323" t="e">
        <f>-StrateA!I$332</f>
        <v>#VALUE!</v>
      </c>
      <c r="H35" s="321" t="e">
        <f>SUM(D35:G35)</f>
        <v>#VALUE!</v>
      </c>
      <c r="I35" s="318" t="e">
        <f t="shared" ref="I35:I38" si="1">IF(H35=0,0,H35/20)</f>
        <v>#VALUE!</v>
      </c>
      <c r="J35" s="318">
        <f>StrateA!C$337</f>
        <v>0</v>
      </c>
    </row>
    <row r="36" spans="1:16" x14ac:dyDescent="0.2">
      <c r="A36" s="482"/>
      <c r="B36" s="3" t="s">
        <v>188</v>
      </c>
      <c r="C36" s="95">
        <f>SUM(StrateB!$L$4:$L$7)</f>
        <v>0</v>
      </c>
      <c r="D36" s="95">
        <f>SUM(StrateB!C$332:E$332)</f>
        <v>0</v>
      </c>
      <c r="E36" s="323">
        <f>-StrateB!G$332</f>
        <v>0</v>
      </c>
      <c r="F36" s="323">
        <f>-StrateB!H$332</f>
        <v>0</v>
      </c>
      <c r="G36" s="323" t="e">
        <f>-StrateB!I$332</f>
        <v>#VALUE!</v>
      </c>
      <c r="H36" s="321" t="e">
        <f t="shared" ref="H36:H38" si="2">SUM(D36:G36)</f>
        <v>#VALUE!</v>
      </c>
      <c r="I36" s="318" t="e">
        <f t="shared" si="1"/>
        <v>#VALUE!</v>
      </c>
      <c r="J36" s="318">
        <f>StrateB!C$337</f>
        <v>0</v>
      </c>
    </row>
    <row r="37" spans="1:16" x14ac:dyDescent="0.2">
      <c r="A37" s="482"/>
      <c r="B37" s="3" t="s">
        <v>190</v>
      </c>
      <c r="C37" s="95">
        <f>SUM(StrateC!$L$4:$L$7)</f>
        <v>0</v>
      </c>
      <c r="D37" s="95">
        <f>SUM(StrateC!C$332:E$332)</f>
        <v>0</v>
      </c>
      <c r="E37" s="323">
        <f>-StrateC!G$332</f>
        <v>0</v>
      </c>
      <c r="F37" s="323">
        <f>-StrateC!H$332</f>
        <v>0</v>
      </c>
      <c r="G37" s="323" t="e">
        <f>-StrateC!I$332</f>
        <v>#VALUE!</v>
      </c>
      <c r="H37" s="321" t="e">
        <f t="shared" si="2"/>
        <v>#VALUE!</v>
      </c>
      <c r="I37" s="318" t="e">
        <f t="shared" si="1"/>
        <v>#VALUE!</v>
      </c>
      <c r="J37" s="318">
        <f>StrateC!C$337</f>
        <v>0</v>
      </c>
    </row>
    <row r="38" spans="1:16" x14ac:dyDescent="0.2">
      <c r="A38" s="482"/>
      <c r="B38" s="3" t="s">
        <v>192</v>
      </c>
      <c r="C38" s="95">
        <f>SUM(StrateD!$L$4:$L$7)</f>
        <v>0</v>
      </c>
      <c r="D38" s="95">
        <f>SUM(StrateD!C$332:E$332)</f>
        <v>0</v>
      </c>
      <c r="E38" s="323">
        <f>-StrateD!G$332</f>
        <v>0</v>
      </c>
      <c r="F38" s="323">
        <f>-StrateD!H$332</f>
        <v>0</v>
      </c>
      <c r="G38" s="323" t="e">
        <f>-StrateD!I$332</f>
        <v>#VALUE!</v>
      </c>
      <c r="H38" s="321" t="e">
        <f t="shared" si="2"/>
        <v>#VALUE!</v>
      </c>
      <c r="I38" s="318" t="e">
        <f t="shared" si="1"/>
        <v>#VALUE!</v>
      </c>
      <c r="J38" s="318">
        <f>StrateD!C$337</f>
        <v>0</v>
      </c>
    </row>
    <row r="39" spans="1:16" x14ac:dyDescent="0.2">
      <c r="I39" s="160"/>
    </row>
    <row r="40" spans="1:16" ht="34" customHeight="1" x14ac:dyDescent="0.2">
      <c r="A40" s="482" t="s">
        <v>690</v>
      </c>
      <c r="B40" s="305"/>
      <c r="C40" s="306" t="s">
        <v>682</v>
      </c>
      <c r="D40" s="306" t="s">
        <v>1005</v>
      </c>
      <c r="E40" s="324" t="s">
        <v>683</v>
      </c>
      <c r="F40" s="324" t="s">
        <v>684</v>
      </c>
      <c r="G40" s="324" t="s">
        <v>685</v>
      </c>
      <c r="H40" s="306" t="s">
        <v>1004</v>
      </c>
      <c r="I40" s="307" t="s">
        <v>894</v>
      </c>
      <c r="J40" s="307" t="s">
        <v>1007</v>
      </c>
    </row>
    <row r="41" spans="1:16" ht="16" customHeight="1" x14ac:dyDescent="0.2">
      <c r="A41" s="482"/>
      <c r="B41" s="308" t="s">
        <v>1008</v>
      </c>
      <c r="C41" s="309">
        <f t="shared" ref="C41:G41" si="3">SUM(C35:C38)</f>
        <v>0</v>
      </c>
      <c r="D41" s="309">
        <f>SUM(D35:D38)</f>
        <v>0</v>
      </c>
      <c r="E41" s="325">
        <f t="shared" si="3"/>
        <v>0</v>
      </c>
      <c r="F41" s="325">
        <f t="shared" si="3"/>
        <v>0</v>
      </c>
      <c r="G41" s="325" t="e">
        <f t="shared" si="3"/>
        <v>#VALUE!</v>
      </c>
      <c r="H41" s="313" t="e">
        <f>SUM(H35:H38)</f>
        <v>#VALUE!</v>
      </c>
      <c r="I41" s="319" t="e">
        <f>INT(H41/20)</f>
        <v>#VALUE!</v>
      </c>
      <c r="J41" s="331" t="e">
        <f>I41/SUM(INITIAL_FORET!M2:M5)</f>
        <v>#VALUE!</v>
      </c>
      <c r="O41" s="82"/>
    </row>
    <row r="42" spans="1:16" ht="16" customHeight="1" x14ac:dyDescent="0.2">
      <c r="A42" s="482"/>
      <c r="B42" s="311" t="s">
        <v>681</v>
      </c>
      <c r="C42" s="312" t="s">
        <v>280</v>
      </c>
      <c r="D42" s="312" t="s">
        <v>91</v>
      </c>
      <c r="E42" s="326" t="s">
        <v>91</v>
      </c>
      <c r="F42" s="326" t="s">
        <v>91</v>
      </c>
      <c r="G42" s="326" t="s">
        <v>91</v>
      </c>
      <c r="H42" s="314" t="s">
        <v>91</v>
      </c>
      <c r="I42" s="320" t="s">
        <v>93</v>
      </c>
      <c r="J42" s="320" t="s">
        <v>93</v>
      </c>
      <c r="O42" s="82"/>
    </row>
    <row r="43" spans="1:16" x14ac:dyDescent="0.2">
      <c r="A43" s="482"/>
      <c r="P43" s="82"/>
    </row>
    <row r="44" spans="1:16" x14ac:dyDescent="0.2">
      <c r="A44" s="482"/>
      <c r="B44" s="481" t="s">
        <v>689</v>
      </c>
      <c r="C44" s="239" t="e">
        <f>H41</f>
        <v>#VALUE!</v>
      </c>
      <c r="D44" s="238" t="str">
        <f>CONCATENATE("URE NETTES CALCULÉES")</f>
        <v>URE NETTES CALCULÉES</v>
      </c>
      <c r="P44" s="82"/>
    </row>
    <row r="45" spans="1:16" ht="24" x14ac:dyDescent="0.3">
      <c r="A45" s="482"/>
      <c r="B45" s="481"/>
      <c r="C45" s="225" t="e">
        <f>I41</f>
        <v>#VALUE!</v>
      </c>
      <c r="D45" s="237" t="e">
        <f>CONCATENATE("URE GÉNÉRÉES PAR AN, PENDANT 20 ANS, SOIT ",C45*5," URE en 5 ans")</f>
        <v>#VALUE!</v>
      </c>
      <c r="P45" s="82"/>
    </row>
    <row r="46" spans="1:16" ht="24" x14ac:dyDescent="0.2">
      <c r="A46" s="482"/>
      <c r="B46" s="481"/>
      <c r="C46" s="129" t="e">
        <f>I41*20</f>
        <v>#VALUE!</v>
      </c>
      <c r="D46" s="161" t="e">
        <f>CONCATENATE("URE DÉLIVRABLES EN 20 ANS (",C45," URE/AN PENDANT 20 ANS)")</f>
        <v>#VALUE!</v>
      </c>
      <c r="O46" s="100"/>
      <c r="P46" s="82"/>
    </row>
    <row r="47" spans="1:16" ht="20" customHeight="1" x14ac:dyDescent="0.2">
      <c r="A47" s="482"/>
      <c r="B47" s="481"/>
      <c r="C47" s="328" t="e">
        <f>G41</f>
        <v>#VALUE!</v>
      </c>
      <c r="D47" s="329" t="s">
        <v>802</v>
      </c>
      <c r="O47" s="100"/>
    </row>
    <row r="48" spans="1:16" x14ac:dyDescent="0.2">
      <c r="A48" s="482"/>
      <c r="B48" s="481"/>
    </row>
    <row r="49" spans="1:4" ht="22" customHeight="1" x14ac:dyDescent="0.3">
      <c r="A49" s="482"/>
      <c r="B49" s="481"/>
      <c r="C49" s="233" t="e">
        <f>J41</f>
        <v>#VALUE!</v>
      </c>
      <c r="D49" s="235" t="s">
        <v>803</v>
      </c>
    </row>
    <row r="50" spans="1:4" ht="22" customHeight="1" x14ac:dyDescent="0.3">
      <c r="A50" s="482"/>
      <c r="B50" s="481"/>
      <c r="C50" s="234" t="e">
        <f>C45/Surf_boisée</f>
        <v>#VALUE!</v>
      </c>
      <c r="D50" s="236" t="s">
        <v>801</v>
      </c>
    </row>
    <row r="51" spans="1:4" ht="24" x14ac:dyDescent="0.3">
      <c r="A51" s="482"/>
      <c r="B51" s="481"/>
      <c r="C51" s="242" t="e">
        <f>C45/Surf_pté</f>
        <v>#VALUE!</v>
      </c>
      <c r="D51" s="241" t="s">
        <v>809</v>
      </c>
    </row>
  </sheetData>
  <sheetProtection algorithmName="SHA-512" hashValue="5kkcgGNySgFjwwi0oauhYrXxjFgW/J7bNDDPevgMrDZN8IV7BG43ntxJMNKF1+c0J5x/P+Ntoi+juMzQCnGlcQ==" saltValue="MZsQEnco6512tdA17h/FFg==" spinCount="100000" sheet="1" objects="1" scenarios="1"/>
  <mergeCells count="10">
    <mergeCell ref="B44:B51"/>
    <mergeCell ref="A40:A51"/>
    <mergeCell ref="A3:A8"/>
    <mergeCell ref="A10:B10"/>
    <mergeCell ref="A12:B12"/>
    <mergeCell ref="A24:A26"/>
    <mergeCell ref="A28:B28"/>
    <mergeCell ref="A34:A38"/>
    <mergeCell ref="A32:B32"/>
    <mergeCell ref="A16:A20"/>
  </mergeCells>
  <pageMargins left="0.7" right="0.7" top="0.75" bottom="0.75" header="0.3" footer="0.3"/>
  <pageSetup paperSize="9" orientation="portrait" horizontalDpi="0" verticalDpi="0"/>
  <tableParts count="4">
    <tablePart r:id="rId1"/>
    <tablePart r:id="rId2"/>
    <tablePart r:id="rId3"/>
    <tablePart r:id="rId4"/>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239121-3F27-5847-907B-F0A1E1DB98DB}">
  <sheetPr>
    <tabColor rgb="FF7030A0"/>
  </sheetPr>
  <dimension ref="A1:AP200"/>
  <sheetViews>
    <sheetView zoomScale="88" zoomScaleNormal="160" workbookViewId="0">
      <selection activeCell="M39" sqref="M39"/>
    </sheetView>
  </sheetViews>
  <sheetFormatPr baseColWidth="10" defaultColWidth="12.83203125" defaultRowHeight="16" x14ac:dyDescent="0.2"/>
  <cols>
    <col min="1" max="1" width="12.6640625" customWidth="1"/>
    <col min="2" max="3" width="13.5" customWidth="1"/>
    <col min="4" max="4" width="17.5" customWidth="1"/>
    <col min="5" max="5" width="12.83203125" customWidth="1"/>
    <col min="6" max="6" width="12.6640625" customWidth="1"/>
    <col min="7" max="8" width="13.5" customWidth="1"/>
    <col min="9" max="9" width="16.33203125" customWidth="1"/>
    <col min="10" max="10" width="12.83203125" customWidth="1"/>
    <col min="11" max="11" width="12.6640625" customWidth="1"/>
    <col min="12" max="13" width="13.5" customWidth="1"/>
    <col min="14" max="14" width="19.83203125" customWidth="1"/>
    <col min="15" max="15" width="12.83203125" customWidth="1"/>
    <col min="16" max="16" width="12.6640625" customWidth="1"/>
    <col min="17" max="18" width="13.5" customWidth="1"/>
    <col min="19" max="19" width="16.1640625" customWidth="1"/>
    <col min="20" max="22" width="2.1640625" customWidth="1"/>
    <col min="23" max="23" width="13" customWidth="1"/>
    <col min="24" max="24" width="15.1640625" customWidth="1"/>
    <col min="25" max="25" width="16.6640625" customWidth="1"/>
    <col min="26" max="26" width="14" customWidth="1"/>
    <col min="27" max="27" width="13.1640625" customWidth="1"/>
    <col min="28" max="28" width="14" customWidth="1"/>
    <col min="29" max="29" width="16.6640625" customWidth="1"/>
    <col min="30" max="30" width="7.1640625" customWidth="1"/>
    <col min="31" max="32" width="2.1640625" customWidth="1"/>
    <col min="33" max="33" width="0.1640625" customWidth="1"/>
    <col min="34" max="34" width="2" customWidth="1"/>
    <col min="35" max="35" width="11.5" customWidth="1"/>
    <col min="36" max="36" width="23" customWidth="1"/>
    <col min="37" max="37" width="17.5" customWidth="1"/>
    <col min="38" max="38" width="15.6640625" customWidth="1"/>
    <col min="39" max="39" width="20" customWidth="1"/>
    <col min="40" max="40" width="14.5" customWidth="1"/>
    <col min="41" max="41" width="13.5" customWidth="1"/>
  </cols>
  <sheetData>
    <row r="1" spans="1:42" ht="29" x14ac:dyDescent="0.35">
      <c r="A1" s="485" t="s">
        <v>918</v>
      </c>
      <c r="B1" s="485"/>
      <c r="C1" s="485"/>
      <c r="D1" s="485"/>
      <c r="E1" s="485"/>
      <c r="F1" s="485"/>
      <c r="G1" s="485"/>
      <c r="H1" s="485"/>
      <c r="I1" s="485"/>
      <c r="J1" s="485"/>
      <c r="K1" s="485"/>
      <c r="L1" s="485"/>
      <c r="M1" s="485"/>
      <c r="N1" s="485"/>
      <c r="O1" s="485"/>
      <c r="P1" s="485"/>
      <c r="Q1" s="485"/>
      <c r="R1" s="485"/>
      <c r="S1" s="485"/>
      <c r="U1" s="284"/>
      <c r="W1" s="485" t="s">
        <v>919</v>
      </c>
      <c r="X1" s="485"/>
      <c r="Y1" s="485"/>
      <c r="Z1" s="485"/>
      <c r="AA1" s="485"/>
      <c r="AB1" s="485"/>
      <c r="AC1" s="485"/>
      <c r="AD1" s="485"/>
      <c r="AF1" s="284"/>
      <c r="AI1" s="485" t="s">
        <v>925</v>
      </c>
      <c r="AJ1" s="485"/>
      <c r="AK1" s="485"/>
      <c r="AL1" s="485"/>
      <c r="AM1" s="485"/>
      <c r="AN1" s="485"/>
      <c r="AO1" s="485"/>
      <c r="AP1" s="485"/>
    </row>
    <row r="2" spans="1:42" x14ac:dyDescent="0.2">
      <c r="U2" s="284"/>
      <c r="W2" t="s">
        <v>923</v>
      </c>
      <c r="X2" t="s">
        <v>924</v>
      </c>
      <c r="AF2" s="284"/>
    </row>
    <row r="3" spans="1:42" x14ac:dyDescent="0.2">
      <c r="A3" s="281" t="s">
        <v>0</v>
      </c>
      <c r="B3" s="281" t="s">
        <v>180</v>
      </c>
      <c r="C3" s="281"/>
      <c r="D3" s="281"/>
      <c r="E3" s="281"/>
      <c r="F3" s="281"/>
      <c r="G3" s="281"/>
      <c r="H3" s="281"/>
      <c r="I3" s="281"/>
      <c r="J3" s="281"/>
      <c r="K3" s="281"/>
      <c r="L3" s="281"/>
      <c r="M3" s="281"/>
      <c r="N3" s="281"/>
      <c r="O3" s="281"/>
      <c r="P3" s="281"/>
      <c r="Q3" s="281"/>
      <c r="R3" s="281"/>
      <c r="S3" s="281"/>
      <c r="U3" s="284"/>
      <c r="W3" s="281" t="s">
        <v>0</v>
      </c>
      <c r="X3" s="281" t="s">
        <v>180</v>
      </c>
      <c r="Y3" s="281"/>
      <c r="Z3" s="281"/>
      <c r="AA3" s="281"/>
      <c r="AB3" s="281"/>
      <c r="AC3" s="281"/>
      <c r="AF3" s="284"/>
    </row>
    <row r="4" spans="1:42" x14ac:dyDescent="0.2">
      <c r="A4" t="s">
        <v>901</v>
      </c>
      <c r="B4" t="str">
        <f>IF(StrateA!B58="","",StrateA!B58)</f>
        <v/>
      </c>
      <c r="C4" s="222" t="s">
        <v>908</v>
      </c>
      <c r="D4" s="39" t="str">
        <f>IF(B4="","",StrateA!D58)</f>
        <v/>
      </c>
      <c r="F4" t="s">
        <v>902</v>
      </c>
      <c r="G4" t="str">
        <f>IF(StrateA!K58="","",StrateA!K58)</f>
        <v/>
      </c>
      <c r="H4" s="222" t="s">
        <v>908</v>
      </c>
      <c r="I4" t="str">
        <f>IF(G4="","",StrateA!M58)</f>
        <v/>
      </c>
      <c r="K4" t="s">
        <v>903</v>
      </c>
      <c r="L4" t="str">
        <f>IF(StrateA!T58="","",StrateA!T58)</f>
        <v/>
      </c>
      <c r="M4" s="222" t="s">
        <v>908</v>
      </c>
      <c r="N4" t="str">
        <f>IF(L4="","",StrateA!V58)</f>
        <v/>
      </c>
      <c r="P4" t="s">
        <v>904</v>
      </c>
      <c r="Q4" t="str">
        <f>IF(StrateA!AC58="","",StrateA!AC58)</f>
        <v/>
      </c>
      <c r="R4" s="222" t="s">
        <v>908</v>
      </c>
      <c r="S4" t="str">
        <f>IF(Q4="","",StrateA!AE58)</f>
        <v/>
      </c>
      <c r="U4" s="284"/>
      <c r="W4" t="s">
        <v>921</v>
      </c>
      <c r="X4" t="str">
        <f>'3.ESS_RÉGÉ'!A19</f>
        <v/>
      </c>
      <c r="AF4" s="284"/>
      <c r="AI4" s="4" t="s">
        <v>94</v>
      </c>
      <c r="AJ4" s="4" t="s">
        <v>914</v>
      </c>
      <c r="AK4" t="s">
        <v>926</v>
      </c>
      <c r="AL4" s="4" t="s">
        <v>916</v>
      </c>
      <c r="AM4" s="4" t="s">
        <v>915</v>
      </c>
      <c r="AN4" s="4" t="s">
        <v>927</v>
      </c>
      <c r="AO4" s="4" t="s">
        <v>917</v>
      </c>
    </row>
    <row r="5" spans="1:42" x14ac:dyDescent="0.2">
      <c r="A5" t="s">
        <v>906</v>
      </c>
      <c r="B5" s="282" t="str">
        <f>IF(B4="","",VLOOKUP(B4,'1.GLOBAL'!$B$36:$E$47,4,FALSE))</f>
        <v/>
      </c>
      <c r="F5" t="s">
        <v>906</v>
      </c>
      <c r="G5" s="282" t="str">
        <f>IF(G4="","",VLOOKUP(G4,'1.GLOBAL'!$B$36:$E$47,4,FALSE))</f>
        <v/>
      </c>
      <c r="K5" t="s">
        <v>906</v>
      </c>
      <c r="L5" s="282" t="str">
        <f>IF(L4="","",VLOOKUP(L4,'1.GLOBAL'!$B$36:$E$47,4,FALSE))</f>
        <v/>
      </c>
      <c r="P5" t="s">
        <v>906</v>
      </c>
      <c r="Q5" s="282" t="str">
        <f>IF(Q4="","",VLOOKUP(Q4,'1.GLOBAL'!$B$36:$E$47,4,FALSE))</f>
        <v/>
      </c>
      <c r="U5" s="284"/>
      <c r="AF5" s="284"/>
      <c r="AI5" s="4">
        <v>1</v>
      </c>
      <c r="AJ5" s="285">
        <f t="shared" ref="AJ5:AJ24" si="0">SUM(D8,I8,N8,S8,D58,I58,N58,S58,D108,I108,N108,S108,D158,I158,N158,S158)</f>
        <v>0</v>
      </c>
      <c r="AK5" s="283">
        <f t="shared" ref="AK5:AK24" si="1">SUM(Y8,Y34,Y60,Y86)</f>
        <v>0</v>
      </c>
      <c r="AL5" s="285">
        <f>IF($AI5=1,AJ5-AK5,((AJ5-AK5)/(1+4.5%)^$AI5))</f>
        <v>0</v>
      </c>
      <c r="AM5" s="285">
        <f t="shared" ref="AM5:AM24" si="2">SUM(D31,I31,N31,S31,D81,I81,N81,S81,D131,I131,N131,S131,D181,I181,N181,S181)</f>
        <v>0</v>
      </c>
      <c r="AN5" s="283">
        <f t="shared" ref="AN5:AN24" si="3">SUM(AC8,AC34,AC60,AC86)</f>
        <v>0</v>
      </c>
      <c r="AO5" s="285">
        <f>IF($AI5=1,AM5-AN5,((AM5-AN5)/(1+4.5%)^$AI5))</f>
        <v>0</v>
      </c>
    </row>
    <row r="6" spans="1:42" x14ac:dyDescent="0.2">
      <c r="A6" s="279" t="s">
        <v>900</v>
      </c>
      <c r="B6" s="279"/>
      <c r="C6" s="279"/>
      <c r="D6" s="279"/>
      <c r="E6" s="279"/>
      <c r="F6" s="279"/>
      <c r="G6" s="279"/>
      <c r="H6" s="279"/>
      <c r="I6" s="279"/>
      <c r="J6" s="279"/>
      <c r="K6" s="279"/>
      <c r="L6" s="279"/>
      <c r="M6" s="279"/>
      <c r="N6" s="279"/>
      <c r="O6" s="279"/>
      <c r="P6" s="279"/>
      <c r="Q6" s="279"/>
      <c r="R6" s="279"/>
      <c r="S6" s="279"/>
      <c r="U6" s="284"/>
      <c r="W6" s="279" t="s">
        <v>900</v>
      </c>
      <c r="X6" s="279"/>
      <c r="Y6" s="279"/>
      <c r="AA6" s="280" t="s">
        <v>907</v>
      </c>
      <c r="AB6" s="280"/>
      <c r="AC6" s="280"/>
      <c r="AF6" s="284"/>
      <c r="AI6" s="4">
        <v>2</v>
      </c>
      <c r="AJ6" s="285">
        <f t="shared" si="0"/>
        <v>0</v>
      </c>
      <c r="AK6" s="283">
        <f t="shared" si="1"/>
        <v>0</v>
      </c>
      <c r="AL6" s="285">
        <f t="shared" ref="AL6:AL24" si="4">IF($AI6=1,AJ6-AK6,((AJ6-AK6)/(1+4.5%)^$AI6))</f>
        <v>0</v>
      </c>
      <c r="AM6" s="285">
        <f t="shared" si="2"/>
        <v>0</v>
      </c>
      <c r="AN6" s="283">
        <f t="shared" si="3"/>
        <v>0</v>
      </c>
      <c r="AO6" s="285">
        <f t="shared" ref="AO6:AO24" si="5">IF($AI6=1,AM6-AN6,((AM6-AN6)/(1+4.5%)^$AI6))</f>
        <v>0</v>
      </c>
    </row>
    <row r="7" spans="1:42" x14ac:dyDescent="0.2">
      <c r="A7" s="332" t="s">
        <v>94</v>
      </c>
      <c r="B7" s="333" t="s">
        <v>18</v>
      </c>
      <c r="C7" s="333" t="s">
        <v>899</v>
      </c>
      <c r="D7" s="334" t="s">
        <v>905</v>
      </c>
      <c r="F7" s="332" t="s">
        <v>94</v>
      </c>
      <c r="G7" s="333" t="s">
        <v>18</v>
      </c>
      <c r="H7" s="333" t="s">
        <v>899</v>
      </c>
      <c r="I7" s="334" t="s">
        <v>905</v>
      </c>
      <c r="K7" s="332" t="s">
        <v>94</v>
      </c>
      <c r="L7" s="333" t="s">
        <v>18</v>
      </c>
      <c r="M7" s="333" t="s">
        <v>899</v>
      </c>
      <c r="N7" s="334" t="s">
        <v>905</v>
      </c>
      <c r="P7" s="332" t="s">
        <v>94</v>
      </c>
      <c r="Q7" s="333" t="s">
        <v>18</v>
      </c>
      <c r="R7" s="333" t="s">
        <v>899</v>
      </c>
      <c r="S7" s="334" t="s">
        <v>905</v>
      </c>
      <c r="U7" s="284"/>
      <c r="W7" s="332" t="s">
        <v>94</v>
      </c>
      <c r="X7" s="333" t="s">
        <v>920</v>
      </c>
      <c r="Y7" s="334" t="s">
        <v>922</v>
      </c>
      <c r="AA7" s="332" t="s">
        <v>94</v>
      </c>
      <c r="AB7" s="333" t="s">
        <v>920</v>
      </c>
      <c r="AC7" s="334" t="s">
        <v>922</v>
      </c>
      <c r="AF7" s="284"/>
      <c r="AI7" s="4">
        <v>3</v>
      </c>
      <c r="AJ7" s="285">
        <f t="shared" si="0"/>
        <v>0</v>
      </c>
      <c r="AK7" s="283">
        <f t="shared" si="1"/>
        <v>0</v>
      </c>
      <c r="AL7" s="285">
        <f t="shared" si="4"/>
        <v>0</v>
      </c>
      <c r="AM7" s="285">
        <f t="shared" si="2"/>
        <v>0</v>
      </c>
      <c r="AN7" s="283">
        <f t="shared" si="3"/>
        <v>0</v>
      </c>
      <c r="AO7" s="285">
        <f t="shared" si="5"/>
        <v>0</v>
      </c>
    </row>
    <row r="8" spans="1:42" x14ac:dyDescent="0.2">
      <c r="A8" s="335">
        <v>1</v>
      </c>
      <c r="B8" s="310">
        <f>StrateA!D61</f>
        <v>0</v>
      </c>
      <c r="C8" s="336">
        <f>IF(B8=0,0,INT(B8/D$4))</f>
        <v>0</v>
      </c>
      <c r="D8" s="337">
        <f>IF(C8=0,0,C8*B$5)</f>
        <v>0</v>
      </c>
      <c r="F8" s="335">
        <v>1</v>
      </c>
      <c r="G8" s="310">
        <f>StrateA!M61</f>
        <v>0</v>
      </c>
      <c r="H8" s="336">
        <f>IF(G8=0,0,INT(G8/I$4))</f>
        <v>0</v>
      </c>
      <c r="I8" s="337">
        <f>IF(H8=0,0,H8*G$5)</f>
        <v>0</v>
      </c>
      <c r="K8" s="335">
        <v>1</v>
      </c>
      <c r="L8" s="310">
        <f>StrateA!V61</f>
        <v>0</v>
      </c>
      <c r="M8" s="336">
        <f>IF(L8=0,0,INT(L8/N$4))</f>
        <v>0</v>
      </c>
      <c r="N8" s="337">
        <f>IF(M8=0,0,M8*L$5)</f>
        <v>0</v>
      </c>
      <c r="P8" s="335">
        <v>1</v>
      </c>
      <c r="Q8" s="310">
        <f>StrateA!AE61</f>
        <v>0</v>
      </c>
      <c r="R8" s="336">
        <f>IF(Q8=0,0,INT(Q8/S$4))</f>
        <v>0</v>
      </c>
      <c r="S8" s="337">
        <f>IF(R8=0,0,R8*Q$5)</f>
        <v>0</v>
      </c>
      <c r="U8" s="284"/>
      <c r="W8" s="335">
        <v>1</v>
      </c>
      <c r="X8" s="342" cm="1">
        <f t="array" ref="X8">IF(X4="",0,TRANSPOSE(StrateA!C86:V86))</f>
        <v>0</v>
      </c>
      <c r="Y8" s="337">
        <f>X8*2000</f>
        <v>0</v>
      </c>
      <c r="AA8" s="335">
        <v>1</v>
      </c>
      <c r="AB8" s="342" cm="1">
        <f t="array" ref="AB8">IF(X4="",0,TRANSPOSE(StrateA!C202:V202))</f>
        <v>0</v>
      </c>
      <c r="AC8" s="337">
        <f>AB8*2000</f>
        <v>0</v>
      </c>
      <c r="AF8" s="284"/>
      <c r="AI8" s="4">
        <v>4</v>
      </c>
      <c r="AJ8" s="285">
        <f t="shared" si="0"/>
        <v>0</v>
      </c>
      <c r="AK8" s="283">
        <f t="shared" si="1"/>
        <v>0</v>
      </c>
      <c r="AL8" s="285">
        <f t="shared" si="4"/>
        <v>0</v>
      </c>
      <c r="AM8" s="285">
        <f t="shared" si="2"/>
        <v>0</v>
      </c>
      <c r="AN8" s="283">
        <f t="shared" si="3"/>
        <v>0</v>
      </c>
      <c r="AO8" s="285">
        <f t="shared" si="5"/>
        <v>0</v>
      </c>
    </row>
    <row r="9" spans="1:42" x14ac:dyDescent="0.2">
      <c r="A9" s="338">
        <v>2</v>
      </c>
      <c r="B9" s="339">
        <f>StrateA!D62</f>
        <v>0</v>
      </c>
      <c r="C9" s="340">
        <f t="shared" ref="C9:C27" si="6">IF(B9=0,0,INT(B9/D$4))</f>
        <v>0</v>
      </c>
      <c r="D9" s="341">
        <f t="shared" ref="D9:D27" si="7">IF(C9=0,0,C9*B$5)</f>
        <v>0</v>
      </c>
      <c r="F9" s="338">
        <v>2</v>
      </c>
      <c r="G9" s="339">
        <f>StrateA!M62</f>
        <v>0</v>
      </c>
      <c r="H9" s="340">
        <f t="shared" ref="H9:H27" si="8">IF(G9=0,0,INT(G9/I$4))</f>
        <v>0</v>
      </c>
      <c r="I9" s="341">
        <f t="shared" ref="I9:I27" si="9">IF(H9=0,0,H9*G$5)</f>
        <v>0</v>
      </c>
      <c r="K9" s="338">
        <v>2</v>
      </c>
      <c r="L9" s="339">
        <f>StrateA!V62</f>
        <v>0</v>
      </c>
      <c r="M9" s="340">
        <f t="shared" ref="M9:M27" si="10">IF(L9=0,0,INT(L9/N$4))</f>
        <v>0</v>
      </c>
      <c r="N9" s="341">
        <f t="shared" ref="N9:N27" si="11">IF(M9=0,0,M9*L$5)</f>
        <v>0</v>
      </c>
      <c r="P9" s="338">
        <v>2</v>
      </c>
      <c r="Q9" s="339">
        <f>StrateA!AE62</f>
        <v>0</v>
      </c>
      <c r="R9" s="340">
        <f t="shared" ref="R9:R27" si="12">IF(Q9=0,0,INT(Q9/S$4))</f>
        <v>0</v>
      </c>
      <c r="S9" s="341">
        <f t="shared" ref="S9:S27" si="13">IF(R9=0,0,R9*Q$5)</f>
        <v>0</v>
      </c>
      <c r="U9" s="284"/>
      <c r="W9" s="338">
        <v>2</v>
      </c>
      <c r="X9" s="343"/>
      <c r="Y9" s="341">
        <f t="shared" ref="Y9:Y27" si="14">X9*2000</f>
        <v>0</v>
      </c>
      <c r="AA9" s="338">
        <v>2</v>
      </c>
      <c r="AB9" s="343"/>
      <c r="AC9" s="341">
        <f t="shared" ref="AC9:AC27" si="15">AB9*2000</f>
        <v>0</v>
      </c>
      <c r="AF9" s="284"/>
      <c r="AI9" s="4">
        <v>5</v>
      </c>
      <c r="AJ9" s="285">
        <f t="shared" si="0"/>
        <v>0</v>
      </c>
      <c r="AK9" s="283">
        <f t="shared" si="1"/>
        <v>0</v>
      </c>
      <c r="AL9" s="285">
        <f t="shared" si="4"/>
        <v>0</v>
      </c>
      <c r="AM9" s="285">
        <f t="shared" si="2"/>
        <v>0</v>
      </c>
      <c r="AN9" s="283">
        <f t="shared" si="3"/>
        <v>0</v>
      </c>
      <c r="AO9" s="285">
        <f t="shared" si="5"/>
        <v>0</v>
      </c>
    </row>
    <row r="10" spans="1:42" x14ac:dyDescent="0.2">
      <c r="A10" s="335">
        <v>3</v>
      </c>
      <c r="B10" s="310">
        <f>StrateA!D63</f>
        <v>0</v>
      </c>
      <c r="C10" s="336">
        <f t="shared" si="6"/>
        <v>0</v>
      </c>
      <c r="D10" s="337">
        <f t="shared" si="7"/>
        <v>0</v>
      </c>
      <c r="F10" s="335">
        <v>3</v>
      </c>
      <c r="G10" s="310">
        <f>StrateA!M63</f>
        <v>0</v>
      </c>
      <c r="H10" s="336">
        <f t="shared" si="8"/>
        <v>0</v>
      </c>
      <c r="I10" s="337">
        <f t="shared" si="9"/>
        <v>0</v>
      </c>
      <c r="K10" s="335">
        <v>3</v>
      </c>
      <c r="L10" s="310">
        <f>StrateA!V63</f>
        <v>0</v>
      </c>
      <c r="M10" s="336">
        <f t="shared" si="10"/>
        <v>0</v>
      </c>
      <c r="N10" s="337">
        <f t="shared" si="11"/>
        <v>0</v>
      </c>
      <c r="P10" s="335">
        <v>3</v>
      </c>
      <c r="Q10" s="310">
        <f>StrateA!AE63</f>
        <v>0</v>
      </c>
      <c r="R10" s="336">
        <f t="shared" si="12"/>
        <v>0</v>
      </c>
      <c r="S10" s="337">
        <f t="shared" si="13"/>
        <v>0</v>
      </c>
      <c r="U10" s="284"/>
      <c r="W10" s="335">
        <v>3</v>
      </c>
      <c r="X10" s="342"/>
      <c r="Y10" s="337">
        <f t="shared" si="14"/>
        <v>0</v>
      </c>
      <c r="AA10" s="335">
        <v>3</v>
      </c>
      <c r="AB10" s="342"/>
      <c r="AC10" s="337">
        <f t="shared" si="15"/>
        <v>0</v>
      </c>
      <c r="AF10" s="284"/>
      <c r="AI10" s="4">
        <v>6</v>
      </c>
      <c r="AJ10" s="285">
        <f t="shared" si="0"/>
        <v>0</v>
      </c>
      <c r="AK10" s="283">
        <f t="shared" si="1"/>
        <v>0</v>
      </c>
      <c r="AL10" s="285">
        <f t="shared" si="4"/>
        <v>0</v>
      </c>
      <c r="AM10" s="285">
        <f t="shared" si="2"/>
        <v>0</v>
      </c>
      <c r="AN10" s="283">
        <f t="shared" si="3"/>
        <v>0</v>
      </c>
      <c r="AO10" s="285">
        <f t="shared" si="5"/>
        <v>0</v>
      </c>
    </row>
    <row r="11" spans="1:42" x14ac:dyDescent="0.2">
      <c r="A11" s="338">
        <v>4</v>
      </c>
      <c r="B11" s="339">
        <f>StrateA!D64</f>
        <v>0</v>
      </c>
      <c r="C11" s="340">
        <f t="shared" si="6"/>
        <v>0</v>
      </c>
      <c r="D11" s="341">
        <f t="shared" si="7"/>
        <v>0</v>
      </c>
      <c r="F11" s="338">
        <v>4</v>
      </c>
      <c r="G11" s="339">
        <f>StrateA!M64</f>
        <v>0</v>
      </c>
      <c r="H11" s="340">
        <f t="shared" si="8"/>
        <v>0</v>
      </c>
      <c r="I11" s="341">
        <f t="shared" si="9"/>
        <v>0</v>
      </c>
      <c r="K11" s="338">
        <v>4</v>
      </c>
      <c r="L11" s="339">
        <f>StrateA!V64</f>
        <v>0</v>
      </c>
      <c r="M11" s="340">
        <f t="shared" si="10"/>
        <v>0</v>
      </c>
      <c r="N11" s="341">
        <f t="shared" si="11"/>
        <v>0</v>
      </c>
      <c r="P11" s="338">
        <v>4</v>
      </c>
      <c r="Q11" s="339">
        <f>StrateA!AE64</f>
        <v>0</v>
      </c>
      <c r="R11" s="340">
        <f t="shared" si="12"/>
        <v>0</v>
      </c>
      <c r="S11" s="341">
        <f t="shared" si="13"/>
        <v>0</v>
      </c>
      <c r="U11" s="284"/>
      <c r="W11" s="338">
        <v>4</v>
      </c>
      <c r="X11" s="343"/>
      <c r="Y11" s="341">
        <f t="shared" si="14"/>
        <v>0</v>
      </c>
      <c r="AA11" s="338">
        <v>4</v>
      </c>
      <c r="AB11" s="343"/>
      <c r="AC11" s="341">
        <f t="shared" si="15"/>
        <v>0</v>
      </c>
      <c r="AF11" s="284"/>
      <c r="AI11" s="4">
        <v>7</v>
      </c>
      <c r="AJ11" s="285">
        <f t="shared" si="0"/>
        <v>0</v>
      </c>
      <c r="AK11" s="283">
        <f t="shared" si="1"/>
        <v>0</v>
      </c>
      <c r="AL11" s="285">
        <f t="shared" si="4"/>
        <v>0</v>
      </c>
      <c r="AM11" s="285">
        <f t="shared" si="2"/>
        <v>0</v>
      </c>
      <c r="AN11" s="283">
        <f t="shared" si="3"/>
        <v>0</v>
      </c>
      <c r="AO11" s="285">
        <f t="shared" si="5"/>
        <v>0</v>
      </c>
    </row>
    <row r="12" spans="1:42" x14ac:dyDescent="0.2">
      <c r="A12" s="335">
        <v>5</v>
      </c>
      <c r="B12" s="310">
        <f>StrateA!D65</f>
        <v>0</v>
      </c>
      <c r="C12" s="336">
        <f t="shared" si="6"/>
        <v>0</v>
      </c>
      <c r="D12" s="337">
        <f t="shared" si="7"/>
        <v>0</v>
      </c>
      <c r="F12" s="335">
        <v>5</v>
      </c>
      <c r="G12" s="310">
        <f>StrateA!M65</f>
        <v>0</v>
      </c>
      <c r="H12" s="336">
        <f t="shared" si="8"/>
        <v>0</v>
      </c>
      <c r="I12" s="337">
        <f t="shared" si="9"/>
        <v>0</v>
      </c>
      <c r="K12" s="335">
        <v>5</v>
      </c>
      <c r="L12" s="310">
        <f>StrateA!V65</f>
        <v>0</v>
      </c>
      <c r="M12" s="336">
        <f t="shared" si="10"/>
        <v>0</v>
      </c>
      <c r="N12" s="337">
        <f t="shared" si="11"/>
        <v>0</v>
      </c>
      <c r="P12" s="335">
        <v>5</v>
      </c>
      <c r="Q12" s="310">
        <f>StrateA!AE65</f>
        <v>0</v>
      </c>
      <c r="R12" s="336">
        <f t="shared" si="12"/>
        <v>0</v>
      </c>
      <c r="S12" s="337">
        <f t="shared" si="13"/>
        <v>0</v>
      </c>
      <c r="U12" s="284"/>
      <c r="W12" s="335">
        <v>5</v>
      </c>
      <c r="X12" s="342"/>
      <c r="Y12" s="337">
        <f t="shared" si="14"/>
        <v>0</v>
      </c>
      <c r="AA12" s="335">
        <v>5</v>
      </c>
      <c r="AB12" s="342"/>
      <c r="AC12" s="337">
        <f t="shared" si="15"/>
        <v>0</v>
      </c>
      <c r="AF12" s="284"/>
      <c r="AI12" s="4">
        <v>8</v>
      </c>
      <c r="AJ12" s="285">
        <f t="shared" si="0"/>
        <v>0</v>
      </c>
      <c r="AK12" s="283">
        <f t="shared" si="1"/>
        <v>0</v>
      </c>
      <c r="AL12" s="285">
        <f t="shared" si="4"/>
        <v>0</v>
      </c>
      <c r="AM12" s="285">
        <f t="shared" si="2"/>
        <v>0</v>
      </c>
      <c r="AN12" s="283">
        <f t="shared" si="3"/>
        <v>0</v>
      </c>
      <c r="AO12" s="285">
        <f t="shared" si="5"/>
        <v>0</v>
      </c>
    </row>
    <row r="13" spans="1:42" x14ac:dyDescent="0.2">
      <c r="A13" s="338">
        <v>6</v>
      </c>
      <c r="B13" s="339">
        <f>StrateA!D66</f>
        <v>0</v>
      </c>
      <c r="C13" s="340">
        <f t="shared" si="6"/>
        <v>0</v>
      </c>
      <c r="D13" s="341">
        <f t="shared" si="7"/>
        <v>0</v>
      </c>
      <c r="F13" s="338">
        <v>6</v>
      </c>
      <c r="G13" s="339">
        <f>StrateA!M66</f>
        <v>0</v>
      </c>
      <c r="H13" s="340">
        <f t="shared" si="8"/>
        <v>0</v>
      </c>
      <c r="I13" s="341">
        <f t="shared" si="9"/>
        <v>0</v>
      </c>
      <c r="K13" s="338">
        <v>6</v>
      </c>
      <c r="L13" s="339">
        <f>StrateA!V66</f>
        <v>0</v>
      </c>
      <c r="M13" s="340">
        <f t="shared" si="10"/>
        <v>0</v>
      </c>
      <c r="N13" s="341">
        <f t="shared" si="11"/>
        <v>0</v>
      </c>
      <c r="P13" s="338">
        <v>6</v>
      </c>
      <c r="Q13" s="339">
        <f>StrateA!AE66</f>
        <v>0</v>
      </c>
      <c r="R13" s="340">
        <f t="shared" si="12"/>
        <v>0</v>
      </c>
      <c r="S13" s="341">
        <f t="shared" si="13"/>
        <v>0</v>
      </c>
      <c r="U13" s="284"/>
      <c r="W13" s="338">
        <v>6</v>
      </c>
      <c r="X13" s="343"/>
      <c r="Y13" s="341">
        <f t="shared" si="14"/>
        <v>0</v>
      </c>
      <c r="AA13" s="338">
        <v>6</v>
      </c>
      <c r="AB13" s="343"/>
      <c r="AC13" s="341">
        <f t="shared" si="15"/>
        <v>0</v>
      </c>
      <c r="AF13" s="284"/>
      <c r="AI13" s="4">
        <v>9</v>
      </c>
      <c r="AJ13" s="285">
        <f t="shared" si="0"/>
        <v>0</v>
      </c>
      <c r="AK13" s="283">
        <f t="shared" si="1"/>
        <v>0</v>
      </c>
      <c r="AL13" s="285">
        <f t="shared" si="4"/>
        <v>0</v>
      </c>
      <c r="AM13" s="285">
        <f t="shared" si="2"/>
        <v>0</v>
      </c>
      <c r="AN13" s="283">
        <f t="shared" si="3"/>
        <v>0</v>
      </c>
      <c r="AO13" s="285">
        <f t="shared" si="5"/>
        <v>0</v>
      </c>
    </row>
    <row r="14" spans="1:42" x14ac:dyDescent="0.2">
      <c r="A14" s="335">
        <v>7</v>
      </c>
      <c r="B14" s="310">
        <f>StrateA!D67</f>
        <v>0</v>
      </c>
      <c r="C14" s="336">
        <f t="shared" si="6"/>
        <v>0</v>
      </c>
      <c r="D14" s="337">
        <f t="shared" si="7"/>
        <v>0</v>
      </c>
      <c r="F14" s="335">
        <v>7</v>
      </c>
      <c r="G14" s="310">
        <f>StrateA!M67</f>
        <v>0</v>
      </c>
      <c r="H14" s="336">
        <f t="shared" si="8"/>
        <v>0</v>
      </c>
      <c r="I14" s="337">
        <f t="shared" si="9"/>
        <v>0</v>
      </c>
      <c r="K14" s="335">
        <v>7</v>
      </c>
      <c r="L14" s="310">
        <f>StrateA!V67</f>
        <v>0</v>
      </c>
      <c r="M14" s="336">
        <f t="shared" si="10"/>
        <v>0</v>
      </c>
      <c r="N14" s="337">
        <f t="shared" si="11"/>
        <v>0</v>
      </c>
      <c r="P14" s="335">
        <v>7</v>
      </c>
      <c r="Q14" s="310">
        <f>StrateA!AE67</f>
        <v>0</v>
      </c>
      <c r="R14" s="336">
        <f t="shared" si="12"/>
        <v>0</v>
      </c>
      <c r="S14" s="337">
        <f t="shared" si="13"/>
        <v>0</v>
      </c>
      <c r="U14" s="284"/>
      <c r="W14" s="335">
        <v>7</v>
      </c>
      <c r="X14" s="342"/>
      <c r="Y14" s="337">
        <f t="shared" si="14"/>
        <v>0</v>
      </c>
      <c r="AA14" s="335">
        <v>7</v>
      </c>
      <c r="AB14" s="342"/>
      <c r="AC14" s="337">
        <f t="shared" si="15"/>
        <v>0</v>
      </c>
      <c r="AF14" s="284"/>
      <c r="AI14" s="4">
        <v>10</v>
      </c>
      <c r="AJ14" s="285">
        <f t="shared" si="0"/>
        <v>0</v>
      </c>
      <c r="AK14" s="283">
        <f t="shared" si="1"/>
        <v>0</v>
      </c>
      <c r="AL14" s="285">
        <f t="shared" si="4"/>
        <v>0</v>
      </c>
      <c r="AM14" s="285">
        <f t="shared" si="2"/>
        <v>0</v>
      </c>
      <c r="AN14" s="283">
        <f t="shared" si="3"/>
        <v>0</v>
      </c>
      <c r="AO14" s="285">
        <f t="shared" si="5"/>
        <v>0</v>
      </c>
    </row>
    <row r="15" spans="1:42" x14ac:dyDescent="0.2">
      <c r="A15" s="338">
        <v>8</v>
      </c>
      <c r="B15" s="339">
        <f>StrateA!D68</f>
        <v>0</v>
      </c>
      <c r="C15" s="340">
        <f t="shared" si="6"/>
        <v>0</v>
      </c>
      <c r="D15" s="341">
        <f t="shared" si="7"/>
        <v>0</v>
      </c>
      <c r="F15" s="338">
        <v>8</v>
      </c>
      <c r="G15" s="339">
        <f>StrateA!M68</f>
        <v>0</v>
      </c>
      <c r="H15" s="340">
        <f t="shared" si="8"/>
        <v>0</v>
      </c>
      <c r="I15" s="341">
        <f t="shared" si="9"/>
        <v>0</v>
      </c>
      <c r="K15" s="338">
        <v>8</v>
      </c>
      <c r="L15" s="339">
        <f>StrateA!V68</f>
        <v>0</v>
      </c>
      <c r="M15" s="340">
        <f t="shared" si="10"/>
        <v>0</v>
      </c>
      <c r="N15" s="341">
        <f t="shared" si="11"/>
        <v>0</v>
      </c>
      <c r="P15" s="338">
        <v>8</v>
      </c>
      <c r="Q15" s="339">
        <f>StrateA!AE68</f>
        <v>0</v>
      </c>
      <c r="R15" s="340">
        <f t="shared" si="12"/>
        <v>0</v>
      </c>
      <c r="S15" s="341">
        <f t="shared" si="13"/>
        <v>0</v>
      </c>
      <c r="U15" s="284"/>
      <c r="W15" s="338">
        <v>8</v>
      </c>
      <c r="X15" s="343"/>
      <c r="Y15" s="341">
        <f t="shared" si="14"/>
        <v>0</v>
      </c>
      <c r="AA15" s="338">
        <v>8</v>
      </c>
      <c r="AB15" s="343"/>
      <c r="AC15" s="341">
        <f t="shared" si="15"/>
        <v>0</v>
      </c>
      <c r="AF15" s="284"/>
      <c r="AI15" s="4">
        <v>11</v>
      </c>
      <c r="AJ15" s="285">
        <f t="shared" si="0"/>
        <v>0</v>
      </c>
      <c r="AK15" s="283">
        <f t="shared" si="1"/>
        <v>0</v>
      </c>
      <c r="AL15" s="285">
        <f t="shared" si="4"/>
        <v>0</v>
      </c>
      <c r="AM15" s="285">
        <f t="shared" si="2"/>
        <v>0</v>
      </c>
      <c r="AN15" s="283">
        <f t="shared" si="3"/>
        <v>0</v>
      </c>
      <c r="AO15" s="285">
        <f t="shared" si="5"/>
        <v>0</v>
      </c>
    </row>
    <row r="16" spans="1:42" x14ac:dyDescent="0.2">
      <c r="A16" s="335">
        <v>9</v>
      </c>
      <c r="B16" s="310">
        <f>StrateA!D69</f>
        <v>0</v>
      </c>
      <c r="C16" s="336">
        <f t="shared" si="6"/>
        <v>0</v>
      </c>
      <c r="D16" s="337">
        <f t="shared" si="7"/>
        <v>0</v>
      </c>
      <c r="F16" s="335">
        <v>9</v>
      </c>
      <c r="G16" s="310">
        <f>StrateA!M69</f>
        <v>0</v>
      </c>
      <c r="H16" s="336">
        <f t="shared" si="8"/>
        <v>0</v>
      </c>
      <c r="I16" s="337">
        <f t="shared" si="9"/>
        <v>0</v>
      </c>
      <c r="K16" s="335">
        <v>9</v>
      </c>
      <c r="L16" s="310">
        <f>StrateA!V69</f>
        <v>0</v>
      </c>
      <c r="M16" s="336">
        <f t="shared" si="10"/>
        <v>0</v>
      </c>
      <c r="N16" s="337">
        <f t="shared" si="11"/>
        <v>0</v>
      </c>
      <c r="P16" s="335">
        <v>9</v>
      </c>
      <c r="Q16" s="310">
        <f>StrateA!AE69</f>
        <v>0</v>
      </c>
      <c r="R16" s="336">
        <f t="shared" si="12"/>
        <v>0</v>
      </c>
      <c r="S16" s="337">
        <f t="shared" si="13"/>
        <v>0</v>
      </c>
      <c r="U16" s="284"/>
      <c r="W16" s="335">
        <v>9</v>
      </c>
      <c r="X16" s="342"/>
      <c r="Y16" s="337">
        <f t="shared" si="14"/>
        <v>0</v>
      </c>
      <c r="AA16" s="335">
        <v>9</v>
      </c>
      <c r="AB16" s="342"/>
      <c r="AC16" s="337">
        <f t="shared" si="15"/>
        <v>0</v>
      </c>
      <c r="AF16" s="284"/>
      <c r="AI16" s="4">
        <v>12</v>
      </c>
      <c r="AJ16" s="285">
        <f t="shared" si="0"/>
        <v>0</v>
      </c>
      <c r="AK16" s="283">
        <f t="shared" si="1"/>
        <v>0</v>
      </c>
      <c r="AL16" s="285">
        <f t="shared" si="4"/>
        <v>0</v>
      </c>
      <c r="AM16" s="285">
        <f t="shared" si="2"/>
        <v>0</v>
      </c>
      <c r="AN16" s="283">
        <f t="shared" si="3"/>
        <v>0</v>
      </c>
      <c r="AO16" s="285">
        <f t="shared" si="5"/>
        <v>0</v>
      </c>
    </row>
    <row r="17" spans="1:41" x14ac:dyDescent="0.2">
      <c r="A17" s="338">
        <v>10</v>
      </c>
      <c r="B17" s="339">
        <f>StrateA!D70</f>
        <v>0</v>
      </c>
      <c r="C17" s="340">
        <f t="shared" si="6"/>
        <v>0</v>
      </c>
      <c r="D17" s="341">
        <f t="shared" si="7"/>
        <v>0</v>
      </c>
      <c r="F17" s="338">
        <v>10</v>
      </c>
      <c r="G17" s="339">
        <f>StrateA!M70</f>
        <v>0</v>
      </c>
      <c r="H17" s="340">
        <f t="shared" si="8"/>
        <v>0</v>
      </c>
      <c r="I17" s="341">
        <f t="shared" si="9"/>
        <v>0</v>
      </c>
      <c r="K17" s="338">
        <v>10</v>
      </c>
      <c r="L17" s="339">
        <f>StrateA!V70</f>
        <v>0</v>
      </c>
      <c r="M17" s="340">
        <f t="shared" si="10"/>
        <v>0</v>
      </c>
      <c r="N17" s="341">
        <f t="shared" si="11"/>
        <v>0</v>
      </c>
      <c r="P17" s="338">
        <v>10</v>
      </c>
      <c r="Q17" s="339">
        <f>StrateA!AE70</f>
        <v>0</v>
      </c>
      <c r="R17" s="340">
        <f t="shared" si="12"/>
        <v>0</v>
      </c>
      <c r="S17" s="341">
        <f t="shared" si="13"/>
        <v>0</v>
      </c>
      <c r="U17" s="284"/>
      <c r="W17" s="338">
        <v>10</v>
      </c>
      <c r="X17" s="343"/>
      <c r="Y17" s="341">
        <f t="shared" si="14"/>
        <v>0</v>
      </c>
      <c r="AA17" s="338">
        <v>10</v>
      </c>
      <c r="AB17" s="343"/>
      <c r="AC17" s="341">
        <f t="shared" si="15"/>
        <v>0</v>
      </c>
      <c r="AF17" s="284"/>
      <c r="AI17" s="4">
        <v>13</v>
      </c>
      <c r="AJ17" s="285">
        <f t="shared" si="0"/>
        <v>0</v>
      </c>
      <c r="AK17" s="283">
        <f t="shared" si="1"/>
        <v>0</v>
      </c>
      <c r="AL17" s="285">
        <f t="shared" si="4"/>
        <v>0</v>
      </c>
      <c r="AM17" s="285">
        <f t="shared" si="2"/>
        <v>0</v>
      </c>
      <c r="AN17" s="283">
        <f t="shared" si="3"/>
        <v>0</v>
      </c>
      <c r="AO17" s="285">
        <f t="shared" si="5"/>
        <v>0</v>
      </c>
    </row>
    <row r="18" spans="1:41" x14ac:dyDescent="0.2">
      <c r="A18" s="335">
        <v>11</v>
      </c>
      <c r="B18" s="310">
        <f>StrateA!D71</f>
        <v>0</v>
      </c>
      <c r="C18" s="336">
        <f t="shared" si="6"/>
        <v>0</v>
      </c>
      <c r="D18" s="337">
        <f t="shared" si="7"/>
        <v>0</v>
      </c>
      <c r="F18" s="335">
        <v>11</v>
      </c>
      <c r="G18" s="310">
        <f>StrateA!M71</f>
        <v>0</v>
      </c>
      <c r="H18" s="336">
        <f t="shared" si="8"/>
        <v>0</v>
      </c>
      <c r="I18" s="337">
        <f t="shared" si="9"/>
        <v>0</v>
      </c>
      <c r="K18" s="335">
        <v>11</v>
      </c>
      <c r="L18" s="310">
        <f>StrateA!V71</f>
        <v>0</v>
      </c>
      <c r="M18" s="336">
        <f t="shared" si="10"/>
        <v>0</v>
      </c>
      <c r="N18" s="337">
        <f t="shared" si="11"/>
        <v>0</v>
      </c>
      <c r="P18" s="335">
        <v>11</v>
      </c>
      <c r="Q18" s="310">
        <f>StrateA!AE71</f>
        <v>0</v>
      </c>
      <c r="R18" s="336">
        <f t="shared" si="12"/>
        <v>0</v>
      </c>
      <c r="S18" s="337">
        <f t="shared" si="13"/>
        <v>0</v>
      </c>
      <c r="U18" s="284"/>
      <c r="W18" s="335">
        <v>11</v>
      </c>
      <c r="X18" s="342"/>
      <c r="Y18" s="337">
        <f t="shared" si="14"/>
        <v>0</v>
      </c>
      <c r="AA18" s="335">
        <v>11</v>
      </c>
      <c r="AB18" s="342"/>
      <c r="AC18" s="337">
        <f t="shared" si="15"/>
        <v>0</v>
      </c>
      <c r="AF18" s="284"/>
      <c r="AI18" s="4">
        <v>14</v>
      </c>
      <c r="AJ18" s="285">
        <f t="shared" si="0"/>
        <v>0</v>
      </c>
      <c r="AK18" s="283">
        <f t="shared" si="1"/>
        <v>0</v>
      </c>
      <c r="AL18" s="285">
        <f t="shared" si="4"/>
        <v>0</v>
      </c>
      <c r="AM18" s="285">
        <f t="shared" si="2"/>
        <v>0</v>
      </c>
      <c r="AN18" s="283">
        <f t="shared" si="3"/>
        <v>0</v>
      </c>
      <c r="AO18" s="285">
        <f t="shared" si="5"/>
        <v>0</v>
      </c>
    </row>
    <row r="19" spans="1:41" x14ac:dyDescent="0.2">
      <c r="A19" s="338">
        <v>12</v>
      </c>
      <c r="B19" s="339">
        <f>StrateA!D72</f>
        <v>0</v>
      </c>
      <c r="C19" s="340">
        <f t="shared" si="6"/>
        <v>0</v>
      </c>
      <c r="D19" s="341">
        <f t="shared" si="7"/>
        <v>0</v>
      </c>
      <c r="F19" s="338">
        <v>12</v>
      </c>
      <c r="G19" s="339">
        <f>StrateA!M72</f>
        <v>0</v>
      </c>
      <c r="H19" s="340">
        <f t="shared" si="8"/>
        <v>0</v>
      </c>
      <c r="I19" s="341">
        <f t="shared" si="9"/>
        <v>0</v>
      </c>
      <c r="K19" s="338">
        <v>12</v>
      </c>
      <c r="L19" s="339">
        <f>StrateA!V72</f>
        <v>0</v>
      </c>
      <c r="M19" s="340">
        <f t="shared" si="10"/>
        <v>0</v>
      </c>
      <c r="N19" s="341">
        <f t="shared" si="11"/>
        <v>0</v>
      </c>
      <c r="P19" s="338">
        <v>12</v>
      </c>
      <c r="Q19" s="339">
        <f>StrateA!AE72</f>
        <v>0</v>
      </c>
      <c r="R19" s="340">
        <f t="shared" si="12"/>
        <v>0</v>
      </c>
      <c r="S19" s="341">
        <f t="shared" si="13"/>
        <v>0</v>
      </c>
      <c r="U19" s="284"/>
      <c r="W19" s="338">
        <v>12</v>
      </c>
      <c r="X19" s="343"/>
      <c r="Y19" s="341">
        <f t="shared" si="14"/>
        <v>0</v>
      </c>
      <c r="AA19" s="338">
        <v>12</v>
      </c>
      <c r="AB19" s="343"/>
      <c r="AC19" s="341">
        <f t="shared" si="15"/>
        <v>0</v>
      </c>
      <c r="AF19" s="284"/>
      <c r="AI19" s="4">
        <v>15</v>
      </c>
      <c r="AJ19" s="285">
        <f t="shared" si="0"/>
        <v>0</v>
      </c>
      <c r="AK19" s="283">
        <f t="shared" si="1"/>
        <v>0</v>
      </c>
      <c r="AL19" s="285">
        <f t="shared" si="4"/>
        <v>0</v>
      </c>
      <c r="AM19" s="285">
        <f t="shared" si="2"/>
        <v>0</v>
      </c>
      <c r="AN19" s="283">
        <f t="shared" si="3"/>
        <v>0</v>
      </c>
      <c r="AO19" s="285">
        <f t="shared" si="5"/>
        <v>0</v>
      </c>
    </row>
    <row r="20" spans="1:41" x14ac:dyDescent="0.2">
      <c r="A20" s="335">
        <v>13</v>
      </c>
      <c r="B20" s="310">
        <f>StrateA!D73</f>
        <v>0</v>
      </c>
      <c r="C20" s="336">
        <f t="shared" si="6"/>
        <v>0</v>
      </c>
      <c r="D20" s="337">
        <f t="shared" si="7"/>
        <v>0</v>
      </c>
      <c r="F20" s="335">
        <v>13</v>
      </c>
      <c r="G20" s="310">
        <f>StrateA!M73</f>
        <v>0</v>
      </c>
      <c r="H20" s="336">
        <f t="shared" si="8"/>
        <v>0</v>
      </c>
      <c r="I20" s="337">
        <f t="shared" si="9"/>
        <v>0</v>
      </c>
      <c r="K20" s="335">
        <v>13</v>
      </c>
      <c r="L20" s="310">
        <f>StrateA!V73</f>
        <v>0</v>
      </c>
      <c r="M20" s="336">
        <f t="shared" si="10"/>
        <v>0</v>
      </c>
      <c r="N20" s="337">
        <f t="shared" si="11"/>
        <v>0</v>
      </c>
      <c r="P20" s="335">
        <v>13</v>
      </c>
      <c r="Q20" s="310">
        <f>StrateA!AE73</f>
        <v>0</v>
      </c>
      <c r="R20" s="336">
        <f t="shared" si="12"/>
        <v>0</v>
      </c>
      <c r="S20" s="337">
        <f t="shared" si="13"/>
        <v>0</v>
      </c>
      <c r="U20" s="284"/>
      <c r="W20" s="335">
        <v>13</v>
      </c>
      <c r="X20" s="342"/>
      <c r="Y20" s="337">
        <f t="shared" si="14"/>
        <v>0</v>
      </c>
      <c r="AA20" s="335">
        <v>13</v>
      </c>
      <c r="AB20" s="342"/>
      <c r="AC20" s="337">
        <f t="shared" si="15"/>
        <v>0</v>
      </c>
      <c r="AF20" s="284"/>
      <c r="AI20" s="4">
        <v>16</v>
      </c>
      <c r="AJ20" s="285">
        <f t="shared" si="0"/>
        <v>0</v>
      </c>
      <c r="AK20" s="283">
        <f t="shared" si="1"/>
        <v>0</v>
      </c>
      <c r="AL20" s="285">
        <f t="shared" si="4"/>
        <v>0</v>
      </c>
      <c r="AM20" s="285">
        <f t="shared" si="2"/>
        <v>0</v>
      </c>
      <c r="AN20" s="283">
        <f t="shared" si="3"/>
        <v>0</v>
      </c>
      <c r="AO20" s="285">
        <f t="shared" si="5"/>
        <v>0</v>
      </c>
    </row>
    <row r="21" spans="1:41" x14ac:dyDescent="0.2">
      <c r="A21" s="338">
        <v>14</v>
      </c>
      <c r="B21" s="339">
        <f>StrateA!D74</f>
        <v>0</v>
      </c>
      <c r="C21" s="340">
        <f t="shared" si="6"/>
        <v>0</v>
      </c>
      <c r="D21" s="341">
        <f t="shared" si="7"/>
        <v>0</v>
      </c>
      <c r="F21" s="338">
        <v>14</v>
      </c>
      <c r="G21" s="339">
        <f>StrateA!M74</f>
        <v>0</v>
      </c>
      <c r="H21" s="340">
        <f t="shared" si="8"/>
        <v>0</v>
      </c>
      <c r="I21" s="341">
        <f t="shared" si="9"/>
        <v>0</v>
      </c>
      <c r="K21" s="338">
        <v>14</v>
      </c>
      <c r="L21" s="339">
        <f>StrateA!V74</f>
        <v>0</v>
      </c>
      <c r="M21" s="340">
        <f t="shared" si="10"/>
        <v>0</v>
      </c>
      <c r="N21" s="341">
        <f t="shared" si="11"/>
        <v>0</v>
      </c>
      <c r="P21" s="338">
        <v>14</v>
      </c>
      <c r="Q21" s="339">
        <f>StrateA!AE74</f>
        <v>0</v>
      </c>
      <c r="R21" s="340">
        <f t="shared" si="12"/>
        <v>0</v>
      </c>
      <c r="S21" s="341">
        <f t="shared" si="13"/>
        <v>0</v>
      </c>
      <c r="U21" s="284"/>
      <c r="W21" s="338">
        <v>14</v>
      </c>
      <c r="X21" s="343"/>
      <c r="Y21" s="341">
        <f t="shared" si="14"/>
        <v>0</v>
      </c>
      <c r="AA21" s="338">
        <v>14</v>
      </c>
      <c r="AB21" s="343"/>
      <c r="AC21" s="341">
        <f t="shared" si="15"/>
        <v>0</v>
      </c>
      <c r="AF21" s="284"/>
      <c r="AI21" s="4">
        <v>17</v>
      </c>
      <c r="AJ21" s="285">
        <f t="shared" si="0"/>
        <v>0</v>
      </c>
      <c r="AK21" s="283">
        <f t="shared" si="1"/>
        <v>0</v>
      </c>
      <c r="AL21" s="285">
        <f t="shared" si="4"/>
        <v>0</v>
      </c>
      <c r="AM21" s="285">
        <f t="shared" si="2"/>
        <v>0</v>
      </c>
      <c r="AN21" s="283">
        <f t="shared" si="3"/>
        <v>0</v>
      </c>
      <c r="AO21" s="285">
        <f t="shared" si="5"/>
        <v>0</v>
      </c>
    </row>
    <row r="22" spans="1:41" x14ac:dyDescent="0.2">
      <c r="A22" s="335">
        <v>15</v>
      </c>
      <c r="B22" s="310">
        <f>StrateA!D75</f>
        <v>0</v>
      </c>
      <c r="C22" s="336">
        <f t="shared" si="6"/>
        <v>0</v>
      </c>
      <c r="D22" s="337">
        <f t="shared" si="7"/>
        <v>0</v>
      </c>
      <c r="F22" s="335">
        <v>15</v>
      </c>
      <c r="G22" s="310">
        <f>StrateA!M75</f>
        <v>0</v>
      </c>
      <c r="H22" s="336">
        <f t="shared" si="8"/>
        <v>0</v>
      </c>
      <c r="I22" s="337">
        <f t="shared" si="9"/>
        <v>0</v>
      </c>
      <c r="K22" s="335">
        <v>15</v>
      </c>
      <c r="L22" s="310">
        <f>StrateA!V75</f>
        <v>0</v>
      </c>
      <c r="M22" s="336">
        <f t="shared" si="10"/>
        <v>0</v>
      </c>
      <c r="N22" s="337">
        <f t="shared" si="11"/>
        <v>0</v>
      </c>
      <c r="P22" s="335">
        <v>15</v>
      </c>
      <c r="Q22" s="310">
        <f>StrateA!AE75</f>
        <v>0</v>
      </c>
      <c r="R22" s="336">
        <f t="shared" si="12"/>
        <v>0</v>
      </c>
      <c r="S22" s="337">
        <f t="shared" si="13"/>
        <v>0</v>
      </c>
      <c r="U22" s="284"/>
      <c r="W22" s="335">
        <v>15</v>
      </c>
      <c r="X22" s="342"/>
      <c r="Y22" s="337">
        <f t="shared" si="14"/>
        <v>0</v>
      </c>
      <c r="AA22" s="335">
        <v>15</v>
      </c>
      <c r="AB22" s="342"/>
      <c r="AC22" s="337">
        <f t="shared" si="15"/>
        <v>0</v>
      </c>
      <c r="AF22" s="284"/>
      <c r="AI22" s="4">
        <v>18</v>
      </c>
      <c r="AJ22" s="285">
        <f t="shared" si="0"/>
        <v>0</v>
      </c>
      <c r="AK22" s="283">
        <f t="shared" si="1"/>
        <v>0</v>
      </c>
      <c r="AL22" s="285">
        <f t="shared" si="4"/>
        <v>0</v>
      </c>
      <c r="AM22" s="285">
        <f t="shared" si="2"/>
        <v>0</v>
      </c>
      <c r="AN22" s="283">
        <f t="shared" si="3"/>
        <v>0</v>
      </c>
      <c r="AO22" s="285">
        <f t="shared" si="5"/>
        <v>0</v>
      </c>
    </row>
    <row r="23" spans="1:41" x14ac:dyDescent="0.2">
      <c r="A23" s="338">
        <v>16</v>
      </c>
      <c r="B23" s="339">
        <f>StrateA!D76</f>
        <v>0</v>
      </c>
      <c r="C23" s="340">
        <f t="shared" si="6"/>
        <v>0</v>
      </c>
      <c r="D23" s="341">
        <f t="shared" si="7"/>
        <v>0</v>
      </c>
      <c r="F23" s="338">
        <v>16</v>
      </c>
      <c r="G23" s="339">
        <f>StrateA!M76</f>
        <v>0</v>
      </c>
      <c r="H23" s="340">
        <f t="shared" si="8"/>
        <v>0</v>
      </c>
      <c r="I23" s="341">
        <f t="shared" si="9"/>
        <v>0</v>
      </c>
      <c r="K23" s="338">
        <v>16</v>
      </c>
      <c r="L23" s="339">
        <f>StrateA!V76</f>
        <v>0</v>
      </c>
      <c r="M23" s="340">
        <f t="shared" si="10"/>
        <v>0</v>
      </c>
      <c r="N23" s="341">
        <f t="shared" si="11"/>
        <v>0</v>
      </c>
      <c r="P23" s="338">
        <v>16</v>
      </c>
      <c r="Q23" s="339">
        <f>StrateA!AE76</f>
        <v>0</v>
      </c>
      <c r="R23" s="340">
        <f t="shared" si="12"/>
        <v>0</v>
      </c>
      <c r="S23" s="341">
        <f t="shared" si="13"/>
        <v>0</v>
      </c>
      <c r="U23" s="284"/>
      <c r="W23" s="338">
        <v>16</v>
      </c>
      <c r="X23" s="343"/>
      <c r="Y23" s="341">
        <f t="shared" si="14"/>
        <v>0</v>
      </c>
      <c r="AA23" s="338">
        <v>16</v>
      </c>
      <c r="AB23" s="343"/>
      <c r="AC23" s="341">
        <f t="shared" si="15"/>
        <v>0</v>
      </c>
      <c r="AF23" s="284"/>
      <c r="AI23" s="4">
        <v>19</v>
      </c>
      <c r="AJ23" s="285">
        <f t="shared" si="0"/>
        <v>0</v>
      </c>
      <c r="AK23" s="283">
        <f t="shared" si="1"/>
        <v>0</v>
      </c>
      <c r="AL23" s="285">
        <f t="shared" si="4"/>
        <v>0</v>
      </c>
      <c r="AM23" s="285">
        <f t="shared" si="2"/>
        <v>0</v>
      </c>
      <c r="AN23" s="283">
        <f t="shared" si="3"/>
        <v>0</v>
      </c>
      <c r="AO23" s="285">
        <f t="shared" si="5"/>
        <v>0</v>
      </c>
    </row>
    <row r="24" spans="1:41" x14ac:dyDescent="0.2">
      <c r="A24" s="335">
        <v>17</v>
      </c>
      <c r="B24" s="310">
        <f>StrateA!D77</f>
        <v>0</v>
      </c>
      <c r="C24" s="336">
        <f t="shared" si="6"/>
        <v>0</v>
      </c>
      <c r="D24" s="337">
        <f t="shared" si="7"/>
        <v>0</v>
      </c>
      <c r="F24" s="335">
        <v>17</v>
      </c>
      <c r="G24" s="310">
        <f>StrateA!M77</f>
        <v>0</v>
      </c>
      <c r="H24" s="336">
        <f t="shared" si="8"/>
        <v>0</v>
      </c>
      <c r="I24" s="337">
        <f t="shared" si="9"/>
        <v>0</v>
      </c>
      <c r="K24" s="335">
        <v>17</v>
      </c>
      <c r="L24" s="310">
        <f>StrateA!V77</f>
        <v>0</v>
      </c>
      <c r="M24" s="336">
        <f t="shared" si="10"/>
        <v>0</v>
      </c>
      <c r="N24" s="337">
        <f t="shared" si="11"/>
        <v>0</v>
      </c>
      <c r="P24" s="335">
        <v>17</v>
      </c>
      <c r="Q24" s="310">
        <f>StrateA!AE77</f>
        <v>0</v>
      </c>
      <c r="R24" s="336">
        <f t="shared" si="12"/>
        <v>0</v>
      </c>
      <c r="S24" s="337">
        <f t="shared" si="13"/>
        <v>0</v>
      </c>
      <c r="U24" s="284"/>
      <c r="W24" s="335">
        <v>17</v>
      </c>
      <c r="X24" s="342"/>
      <c r="Y24" s="337">
        <f t="shared" si="14"/>
        <v>0</v>
      </c>
      <c r="AA24" s="335">
        <v>17</v>
      </c>
      <c r="AB24" s="342"/>
      <c r="AC24" s="337">
        <f t="shared" si="15"/>
        <v>0</v>
      </c>
      <c r="AF24" s="284"/>
      <c r="AI24" s="4">
        <v>20</v>
      </c>
      <c r="AJ24" s="285">
        <f t="shared" si="0"/>
        <v>0</v>
      </c>
      <c r="AK24" s="283">
        <f t="shared" si="1"/>
        <v>0</v>
      </c>
      <c r="AL24" s="285">
        <f t="shared" si="4"/>
        <v>0</v>
      </c>
      <c r="AM24" s="285">
        <f t="shared" si="2"/>
        <v>0</v>
      </c>
      <c r="AN24" s="283">
        <f t="shared" si="3"/>
        <v>0</v>
      </c>
      <c r="AO24" s="285">
        <f t="shared" si="5"/>
        <v>0</v>
      </c>
    </row>
    <row r="25" spans="1:41" x14ac:dyDescent="0.2">
      <c r="A25" s="338">
        <v>18</v>
      </c>
      <c r="B25" s="339">
        <f>StrateA!D78</f>
        <v>0</v>
      </c>
      <c r="C25" s="340">
        <f t="shared" si="6"/>
        <v>0</v>
      </c>
      <c r="D25" s="341">
        <f t="shared" si="7"/>
        <v>0</v>
      </c>
      <c r="F25" s="338">
        <v>18</v>
      </c>
      <c r="G25" s="339">
        <f>StrateA!M78</f>
        <v>0</v>
      </c>
      <c r="H25" s="340">
        <f t="shared" si="8"/>
        <v>0</v>
      </c>
      <c r="I25" s="341">
        <f t="shared" si="9"/>
        <v>0</v>
      </c>
      <c r="K25" s="338">
        <v>18</v>
      </c>
      <c r="L25" s="339">
        <f>StrateA!V78</f>
        <v>0</v>
      </c>
      <c r="M25" s="340">
        <f t="shared" si="10"/>
        <v>0</v>
      </c>
      <c r="N25" s="341">
        <f t="shared" si="11"/>
        <v>0</v>
      </c>
      <c r="P25" s="338">
        <v>18</v>
      </c>
      <c r="Q25" s="339">
        <f>StrateA!AE78</f>
        <v>0</v>
      </c>
      <c r="R25" s="340">
        <f t="shared" si="12"/>
        <v>0</v>
      </c>
      <c r="S25" s="341">
        <f t="shared" si="13"/>
        <v>0</v>
      </c>
      <c r="U25" s="284"/>
      <c r="W25" s="338">
        <v>18</v>
      </c>
      <c r="X25" s="343"/>
      <c r="Y25" s="341">
        <f t="shared" si="14"/>
        <v>0</v>
      </c>
      <c r="AA25" s="338">
        <v>18</v>
      </c>
      <c r="AB25" s="343"/>
      <c r="AC25" s="341">
        <f t="shared" si="15"/>
        <v>0</v>
      </c>
      <c r="AF25" s="284"/>
    </row>
    <row r="26" spans="1:41" x14ac:dyDescent="0.2">
      <c r="A26" s="335">
        <v>19</v>
      </c>
      <c r="B26" s="310">
        <f>StrateA!D79</f>
        <v>0</v>
      </c>
      <c r="C26" s="336">
        <f t="shared" si="6"/>
        <v>0</v>
      </c>
      <c r="D26" s="337">
        <f t="shared" si="7"/>
        <v>0</v>
      </c>
      <c r="F26" s="335">
        <v>19</v>
      </c>
      <c r="G26" s="310">
        <f>StrateA!M79</f>
        <v>0</v>
      </c>
      <c r="H26" s="336">
        <f t="shared" si="8"/>
        <v>0</v>
      </c>
      <c r="I26" s="337">
        <f t="shared" si="9"/>
        <v>0</v>
      </c>
      <c r="K26" s="335">
        <v>19</v>
      </c>
      <c r="L26" s="310">
        <f>StrateA!V79</f>
        <v>0</v>
      </c>
      <c r="M26" s="336">
        <f t="shared" si="10"/>
        <v>0</v>
      </c>
      <c r="N26" s="337">
        <f t="shared" si="11"/>
        <v>0</v>
      </c>
      <c r="P26" s="335">
        <v>19</v>
      </c>
      <c r="Q26" s="310">
        <f>StrateA!AE79</f>
        <v>0</v>
      </c>
      <c r="R26" s="336">
        <f t="shared" si="12"/>
        <v>0</v>
      </c>
      <c r="S26" s="337">
        <f t="shared" si="13"/>
        <v>0</v>
      </c>
      <c r="U26" s="284"/>
      <c r="W26" s="335">
        <v>19</v>
      </c>
      <c r="X26" s="342"/>
      <c r="Y26" s="337">
        <f t="shared" si="14"/>
        <v>0</v>
      </c>
      <c r="AA26" s="335">
        <v>19</v>
      </c>
      <c r="AB26" s="342"/>
      <c r="AC26" s="337">
        <f t="shared" si="15"/>
        <v>0</v>
      </c>
      <c r="AF26" s="284"/>
    </row>
    <row r="27" spans="1:41" x14ac:dyDescent="0.2">
      <c r="A27" s="338">
        <v>20</v>
      </c>
      <c r="B27" s="339">
        <f>StrateA!D80</f>
        <v>0</v>
      </c>
      <c r="C27" s="340">
        <f t="shared" si="6"/>
        <v>0</v>
      </c>
      <c r="D27" s="341">
        <f t="shared" si="7"/>
        <v>0</v>
      </c>
      <c r="F27" s="338">
        <v>20</v>
      </c>
      <c r="G27" s="339">
        <f>StrateA!M80</f>
        <v>0</v>
      </c>
      <c r="H27" s="340">
        <f t="shared" si="8"/>
        <v>0</v>
      </c>
      <c r="I27" s="341">
        <f t="shared" si="9"/>
        <v>0</v>
      </c>
      <c r="K27" s="338">
        <v>20</v>
      </c>
      <c r="L27" s="339">
        <f>StrateA!V80</f>
        <v>0</v>
      </c>
      <c r="M27" s="340">
        <f t="shared" si="10"/>
        <v>0</v>
      </c>
      <c r="N27" s="341">
        <f t="shared" si="11"/>
        <v>0</v>
      </c>
      <c r="P27" s="338">
        <v>20</v>
      </c>
      <c r="Q27" s="339">
        <f>StrateA!AE80</f>
        <v>0</v>
      </c>
      <c r="R27" s="340">
        <f t="shared" si="12"/>
        <v>0</v>
      </c>
      <c r="S27" s="341">
        <f t="shared" si="13"/>
        <v>0</v>
      </c>
      <c r="U27" s="284"/>
      <c r="W27" s="338">
        <v>20</v>
      </c>
      <c r="X27" s="343"/>
      <c r="Y27" s="341">
        <f t="shared" si="14"/>
        <v>0</v>
      </c>
      <c r="AA27" s="338">
        <v>20</v>
      </c>
      <c r="AB27" s="343"/>
      <c r="AC27" s="341">
        <f t="shared" si="15"/>
        <v>0</v>
      </c>
      <c r="AF27" s="284"/>
    </row>
    <row r="28" spans="1:41" x14ac:dyDescent="0.2">
      <c r="U28" s="284"/>
      <c r="AF28" s="284"/>
    </row>
    <row r="29" spans="1:41" x14ac:dyDescent="0.2">
      <c r="A29" s="344" t="s">
        <v>907</v>
      </c>
      <c r="B29" s="344"/>
      <c r="C29" s="344"/>
      <c r="D29" s="344"/>
      <c r="E29" s="344"/>
      <c r="F29" s="344"/>
      <c r="G29" s="344"/>
      <c r="H29" s="344"/>
      <c r="I29" s="344"/>
      <c r="J29" s="344"/>
      <c r="K29" s="344"/>
      <c r="L29" s="344"/>
      <c r="M29" s="344"/>
      <c r="N29" s="344"/>
      <c r="O29" s="344"/>
      <c r="P29" s="344"/>
      <c r="Q29" s="344"/>
      <c r="R29" s="344"/>
      <c r="S29" s="344"/>
      <c r="U29" s="284"/>
      <c r="W29" s="281" t="s">
        <v>0</v>
      </c>
      <c r="X29" s="281" t="s">
        <v>188</v>
      </c>
      <c r="Y29" s="281"/>
      <c r="Z29" s="281"/>
      <c r="AA29" s="281"/>
      <c r="AB29" s="281"/>
      <c r="AC29" s="281"/>
      <c r="AF29" s="284"/>
    </row>
    <row r="30" spans="1:41" x14ac:dyDescent="0.2">
      <c r="A30" s="332" t="s">
        <v>94</v>
      </c>
      <c r="B30" s="333" t="s">
        <v>18</v>
      </c>
      <c r="C30" s="333" t="s">
        <v>899</v>
      </c>
      <c r="D30" s="334" t="s">
        <v>905</v>
      </c>
      <c r="F30" s="332" t="s">
        <v>94</v>
      </c>
      <c r="G30" s="333" t="s">
        <v>18</v>
      </c>
      <c r="H30" s="333" t="s">
        <v>899</v>
      </c>
      <c r="I30" s="334" t="s">
        <v>905</v>
      </c>
      <c r="K30" s="332" t="s">
        <v>94</v>
      </c>
      <c r="L30" s="333" t="s">
        <v>18</v>
      </c>
      <c r="M30" s="333" t="s">
        <v>899</v>
      </c>
      <c r="N30" s="334" t="s">
        <v>905</v>
      </c>
      <c r="P30" s="332" t="s">
        <v>94</v>
      </c>
      <c r="Q30" s="333" t="s">
        <v>18</v>
      </c>
      <c r="R30" s="333" t="s">
        <v>899</v>
      </c>
      <c r="S30" s="334" t="s">
        <v>905</v>
      </c>
      <c r="U30" s="284"/>
      <c r="W30" t="s">
        <v>921</v>
      </c>
      <c r="X30" t="str">
        <f>'3.ESS_RÉGÉ'!G19</f>
        <v/>
      </c>
      <c r="AF30" s="284"/>
    </row>
    <row r="31" spans="1:41" x14ac:dyDescent="0.2">
      <c r="A31" s="335">
        <v>1</v>
      </c>
      <c r="B31" s="310">
        <f>StrateA!D177</f>
        <v>0</v>
      </c>
      <c r="C31" s="336">
        <f>IF(B31=0,0,INT(B31/D$4))</f>
        <v>0</v>
      </c>
      <c r="D31" s="337">
        <f>IF(C31=0,0,C31*B$5)</f>
        <v>0</v>
      </c>
      <c r="F31" s="335">
        <v>1</v>
      </c>
      <c r="G31" s="310">
        <f>StrateA!M177</f>
        <v>0</v>
      </c>
      <c r="H31" s="336">
        <f>IF(G31=0,0,INT(G31/I$4))</f>
        <v>0</v>
      </c>
      <c r="I31" s="337">
        <f>IF(H31=0,0,H31*G$5)</f>
        <v>0</v>
      </c>
      <c r="K31" s="335">
        <v>1</v>
      </c>
      <c r="L31" s="310">
        <f>StrateA!V177</f>
        <v>0</v>
      </c>
      <c r="M31" s="336">
        <f>IF(L31=0,0,INT(L31/N$4))</f>
        <v>0</v>
      </c>
      <c r="N31" s="337">
        <f>IF(M31=0,0,M31*L$5)</f>
        <v>0</v>
      </c>
      <c r="P31" s="335">
        <v>1</v>
      </c>
      <c r="Q31" s="310">
        <f>StrateA!AE177</f>
        <v>0</v>
      </c>
      <c r="R31" s="336">
        <f>IF(Q31=0,0,INT(Q31/S$4))</f>
        <v>0</v>
      </c>
      <c r="S31" s="337">
        <f>IF(R31=0,0,R31*Q$5)</f>
        <v>0</v>
      </c>
      <c r="U31" s="284"/>
      <c r="AF31" s="284"/>
    </row>
    <row r="32" spans="1:41" x14ac:dyDescent="0.2">
      <c r="A32" s="338">
        <v>2</v>
      </c>
      <c r="B32" s="339">
        <f>StrateA!D178</f>
        <v>0</v>
      </c>
      <c r="C32" s="340">
        <f t="shared" ref="C32:C50" si="16">IF(B32=0,0,INT(B32/D$4))</f>
        <v>0</v>
      </c>
      <c r="D32" s="341">
        <f t="shared" ref="D32:D50" si="17">IF(C32=0,0,C32*B$5)</f>
        <v>0</v>
      </c>
      <c r="F32" s="338">
        <v>2</v>
      </c>
      <c r="G32" s="339">
        <f>StrateA!M178</f>
        <v>0</v>
      </c>
      <c r="H32" s="340">
        <f t="shared" ref="H32:H50" si="18">IF(G32=0,0,INT(G32/I$4))</f>
        <v>0</v>
      </c>
      <c r="I32" s="341">
        <f t="shared" ref="I32:I50" si="19">IF(H32=0,0,H32*G$5)</f>
        <v>0</v>
      </c>
      <c r="K32" s="338">
        <v>2</v>
      </c>
      <c r="L32" s="339">
        <f>StrateA!V178</f>
        <v>0</v>
      </c>
      <c r="M32" s="340">
        <f t="shared" ref="M32:M50" si="20">IF(L32=0,0,INT(L32/N$4))</f>
        <v>0</v>
      </c>
      <c r="N32" s="341">
        <f t="shared" ref="N32:N50" si="21">IF(M32=0,0,M32*L$5)</f>
        <v>0</v>
      </c>
      <c r="P32" s="338">
        <v>2</v>
      </c>
      <c r="Q32" s="339">
        <f>StrateA!AE178</f>
        <v>0</v>
      </c>
      <c r="R32" s="340">
        <f t="shared" ref="R32:R50" si="22">IF(Q32=0,0,INT(Q32/S$4))</f>
        <v>0</v>
      </c>
      <c r="S32" s="341">
        <f t="shared" ref="S32:S50" si="23">IF(R32=0,0,R32*Q$5)</f>
        <v>0</v>
      </c>
      <c r="U32" s="284"/>
      <c r="W32" s="279" t="s">
        <v>900</v>
      </c>
      <c r="X32" s="279"/>
      <c r="Y32" s="279"/>
      <c r="AA32" s="280" t="s">
        <v>907</v>
      </c>
      <c r="AB32" s="280"/>
      <c r="AC32" s="280"/>
      <c r="AF32" s="284"/>
      <c r="AI32" s="486" t="s">
        <v>910</v>
      </c>
      <c r="AJ32" s="487"/>
      <c r="AK32" s="490">
        <f>SUM(AL5:AL24)</f>
        <v>0</v>
      </c>
      <c r="AL32" s="491"/>
    </row>
    <row r="33" spans="1:38" x14ac:dyDescent="0.2">
      <c r="A33" s="335">
        <v>3</v>
      </c>
      <c r="B33" s="310">
        <f>StrateA!D179</f>
        <v>0</v>
      </c>
      <c r="C33" s="336">
        <f t="shared" si="16"/>
        <v>0</v>
      </c>
      <c r="D33" s="337">
        <f t="shared" si="17"/>
        <v>0</v>
      </c>
      <c r="F33" s="335">
        <v>3</v>
      </c>
      <c r="G33" s="310">
        <f>StrateA!M179</f>
        <v>0</v>
      </c>
      <c r="H33" s="336">
        <f t="shared" si="18"/>
        <v>0</v>
      </c>
      <c r="I33" s="337">
        <f t="shared" si="19"/>
        <v>0</v>
      </c>
      <c r="K33" s="335">
        <v>3</v>
      </c>
      <c r="L33" s="310">
        <f>StrateA!V179</f>
        <v>0</v>
      </c>
      <c r="M33" s="336">
        <f t="shared" si="20"/>
        <v>0</v>
      </c>
      <c r="N33" s="337">
        <f t="shared" si="21"/>
        <v>0</v>
      </c>
      <c r="P33" s="335">
        <v>3</v>
      </c>
      <c r="Q33" s="310">
        <f>StrateA!AE179</f>
        <v>0</v>
      </c>
      <c r="R33" s="336">
        <f t="shared" si="22"/>
        <v>0</v>
      </c>
      <c r="S33" s="337">
        <f t="shared" si="23"/>
        <v>0</v>
      </c>
      <c r="U33" s="284"/>
      <c r="W33" s="332" t="s">
        <v>94</v>
      </c>
      <c r="X33" s="333" t="s">
        <v>920</v>
      </c>
      <c r="Y33" s="334" t="s">
        <v>922</v>
      </c>
      <c r="AA33" s="332" t="s">
        <v>94</v>
      </c>
      <c r="AB33" s="333" t="s">
        <v>920</v>
      </c>
      <c r="AC33" s="334" t="s">
        <v>922</v>
      </c>
      <c r="AF33" s="284"/>
      <c r="AI33" s="486" t="s">
        <v>911</v>
      </c>
      <c r="AJ33" s="487"/>
      <c r="AK33" s="492">
        <f>SUM(AO5:AO24)</f>
        <v>0</v>
      </c>
      <c r="AL33" s="493"/>
    </row>
    <row r="34" spans="1:38" x14ac:dyDescent="0.2">
      <c r="A34" s="338">
        <v>4</v>
      </c>
      <c r="B34" s="339">
        <f>StrateA!D180</f>
        <v>0</v>
      </c>
      <c r="C34" s="340">
        <f t="shared" si="16"/>
        <v>0</v>
      </c>
      <c r="D34" s="341">
        <f t="shared" si="17"/>
        <v>0</v>
      </c>
      <c r="F34" s="338">
        <v>4</v>
      </c>
      <c r="G34" s="339">
        <f>StrateA!M180</f>
        <v>0</v>
      </c>
      <c r="H34" s="340">
        <f t="shared" si="18"/>
        <v>0</v>
      </c>
      <c r="I34" s="341">
        <f t="shared" si="19"/>
        <v>0</v>
      </c>
      <c r="K34" s="338">
        <v>4</v>
      </c>
      <c r="L34" s="339">
        <f>StrateA!V180</f>
        <v>0</v>
      </c>
      <c r="M34" s="340">
        <f t="shared" si="20"/>
        <v>0</v>
      </c>
      <c r="N34" s="341">
        <f t="shared" si="21"/>
        <v>0</v>
      </c>
      <c r="P34" s="338">
        <v>4</v>
      </c>
      <c r="Q34" s="339">
        <f>StrateA!AE180</f>
        <v>0</v>
      </c>
      <c r="R34" s="340">
        <f t="shared" si="22"/>
        <v>0</v>
      </c>
      <c r="S34" s="341">
        <f t="shared" si="23"/>
        <v>0</v>
      </c>
      <c r="U34" s="284"/>
      <c r="W34" s="335">
        <v>1</v>
      </c>
      <c r="X34" s="342" cm="1">
        <f t="array" ref="X34">IF(X30="",0,TRANSPOSE(StrateB!C86:V86))</f>
        <v>0</v>
      </c>
      <c r="Y34" s="337">
        <f>X34*2000</f>
        <v>0</v>
      </c>
      <c r="AA34" s="335">
        <v>1</v>
      </c>
      <c r="AB34" s="342" cm="1">
        <f t="array" ref="AB34">IF(X30="",0,TRANSPOSE(StrateB!C202:V202))</f>
        <v>0</v>
      </c>
      <c r="AC34" s="337">
        <f>AB34*2000</f>
        <v>0</v>
      </c>
      <c r="AF34" s="284"/>
      <c r="AI34" s="486" t="s">
        <v>912</v>
      </c>
      <c r="AJ34" s="487"/>
      <c r="AK34" s="490">
        <f>AK33-AK32</f>
        <v>0</v>
      </c>
      <c r="AL34" s="491"/>
    </row>
    <row r="35" spans="1:38" x14ac:dyDescent="0.2">
      <c r="A35" s="335">
        <v>5</v>
      </c>
      <c r="B35" s="310">
        <f>StrateA!D181</f>
        <v>0</v>
      </c>
      <c r="C35" s="336">
        <f t="shared" si="16"/>
        <v>0</v>
      </c>
      <c r="D35" s="337">
        <f t="shared" si="17"/>
        <v>0</v>
      </c>
      <c r="F35" s="335">
        <v>5</v>
      </c>
      <c r="G35" s="310">
        <f>StrateA!M181</f>
        <v>0</v>
      </c>
      <c r="H35" s="336">
        <f t="shared" si="18"/>
        <v>0</v>
      </c>
      <c r="I35" s="337">
        <f t="shared" si="19"/>
        <v>0</v>
      </c>
      <c r="K35" s="335">
        <v>5</v>
      </c>
      <c r="L35" s="310">
        <f>StrateA!V181</f>
        <v>0</v>
      </c>
      <c r="M35" s="336">
        <f t="shared" si="20"/>
        <v>0</v>
      </c>
      <c r="N35" s="337">
        <f t="shared" si="21"/>
        <v>0</v>
      </c>
      <c r="P35" s="335">
        <v>5</v>
      </c>
      <c r="Q35" s="310">
        <f>StrateA!AE181</f>
        <v>0</v>
      </c>
      <c r="R35" s="336">
        <f t="shared" si="22"/>
        <v>0</v>
      </c>
      <c r="S35" s="337">
        <f t="shared" si="23"/>
        <v>0</v>
      </c>
      <c r="U35" s="284"/>
      <c r="W35" s="338">
        <v>2</v>
      </c>
      <c r="X35" s="343"/>
      <c r="Y35" s="341">
        <f t="shared" ref="Y35:Y53" si="24">X35*2000</f>
        <v>0</v>
      </c>
      <c r="AA35" s="338">
        <v>2</v>
      </c>
      <c r="AB35" s="343"/>
      <c r="AC35" s="341">
        <f t="shared" ref="AC35:AC53" si="25">AB35*2000</f>
        <v>0</v>
      </c>
      <c r="AF35" s="284"/>
      <c r="AI35" s="486" t="s">
        <v>913</v>
      </c>
      <c r="AJ35" s="487"/>
      <c r="AK35" s="488" t="str">
        <f>IF(AK34&gt;=0,"le projet n'est pas additionnel","le projet est additionnel")</f>
        <v>le projet n'est pas additionnel</v>
      </c>
      <c r="AL35" s="489"/>
    </row>
    <row r="36" spans="1:38" x14ac:dyDescent="0.2">
      <c r="A36" s="338">
        <v>6</v>
      </c>
      <c r="B36" s="339">
        <f>StrateA!D182</f>
        <v>0</v>
      </c>
      <c r="C36" s="340">
        <f t="shared" si="16"/>
        <v>0</v>
      </c>
      <c r="D36" s="341">
        <f t="shared" si="17"/>
        <v>0</v>
      </c>
      <c r="F36" s="338">
        <v>6</v>
      </c>
      <c r="G36" s="339">
        <f>StrateA!M182</f>
        <v>0</v>
      </c>
      <c r="H36" s="340">
        <f t="shared" si="18"/>
        <v>0</v>
      </c>
      <c r="I36" s="341">
        <f t="shared" si="19"/>
        <v>0</v>
      </c>
      <c r="K36" s="338">
        <v>6</v>
      </c>
      <c r="L36" s="339">
        <f>StrateA!V182</f>
        <v>0</v>
      </c>
      <c r="M36" s="340">
        <f t="shared" si="20"/>
        <v>0</v>
      </c>
      <c r="N36" s="341">
        <f t="shared" si="21"/>
        <v>0</v>
      </c>
      <c r="P36" s="338">
        <v>6</v>
      </c>
      <c r="Q36" s="339">
        <f>StrateA!AE182</f>
        <v>0</v>
      </c>
      <c r="R36" s="340">
        <f t="shared" si="22"/>
        <v>0</v>
      </c>
      <c r="S36" s="341">
        <f t="shared" si="23"/>
        <v>0</v>
      </c>
      <c r="U36" s="284"/>
      <c r="W36" s="335">
        <v>3</v>
      </c>
      <c r="X36" s="342"/>
      <c r="Y36" s="337">
        <f t="shared" si="24"/>
        <v>0</v>
      </c>
      <c r="AA36" s="335">
        <v>3</v>
      </c>
      <c r="AB36" s="342"/>
      <c r="AC36" s="337">
        <f t="shared" si="25"/>
        <v>0</v>
      </c>
      <c r="AF36" s="284"/>
    </row>
    <row r="37" spans="1:38" x14ac:dyDescent="0.2">
      <c r="A37" s="335">
        <v>7</v>
      </c>
      <c r="B37" s="310">
        <f>StrateA!D183</f>
        <v>0</v>
      </c>
      <c r="C37" s="336">
        <f t="shared" si="16"/>
        <v>0</v>
      </c>
      <c r="D37" s="337">
        <f t="shared" si="17"/>
        <v>0</v>
      </c>
      <c r="F37" s="335">
        <v>7</v>
      </c>
      <c r="G37" s="310">
        <f>StrateA!M183</f>
        <v>0</v>
      </c>
      <c r="H37" s="336">
        <f t="shared" si="18"/>
        <v>0</v>
      </c>
      <c r="I37" s="337">
        <f t="shared" si="19"/>
        <v>0</v>
      </c>
      <c r="K37" s="335">
        <v>7</v>
      </c>
      <c r="L37" s="310">
        <f>StrateA!V183</f>
        <v>0</v>
      </c>
      <c r="M37" s="336">
        <f t="shared" si="20"/>
        <v>0</v>
      </c>
      <c r="N37" s="337">
        <f t="shared" si="21"/>
        <v>0</v>
      </c>
      <c r="P37" s="335">
        <v>7</v>
      </c>
      <c r="Q37" s="310">
        <f>StrateA!AE183</f>
        <v>0</v>
      </c>
      <c r="R37" s="336">
        <f t="shared" si="22"/>
        <v>0</v>
      </c>
      <c r="S37" s="337">
        <f t="shared" si="23"/>
        <v>0</v>
      </c>
      <c r="U37" s="284"/>
      <c r="W37" s="338">
        <v>4</v>
      </c>
      <c r="X37" s="343"/>
      <c r="Y37" s="341">
        <f t="shared" si="24"/>
        <v>0</v>
      </c>
      <c r="AA37" s="338">
        <v>4</v>
      </c>
      <c r="AB37" s="343"/>
      <c r="AC37" s="341">
        <f t="shared" si="25"/>
        <v>0</v>
      </c>
      <c r="AF37" s="284"/>
    </row>
    <row r="38" spans="1:38" x14ac:dyDescent="0.2">
      <c r="A38" s="338">
        <v>8</v>
      </c>
      <c r="B38" s="339">
        <f>StrateA!D184</f>
        <v>0</v>
      </c>
      <c r="C38" s="340">
        <f t="shared" si="16"/>
        <v>0</v>
      </c>
      <c r="D38" s="341">
        <f t="shared" si="17"/>
        <v>0</v>
      </c>
      <c r="F38" s="338">
        <v>8</v>
      </c>
      <c r="G38" s="339">
        <f>StrateA!M184</f>
        <v>0</v>
      </c>
      <c r="H38" s="340">
        <f t="shared" si="18"/>
        <v>0</v>
      </c>
      <c r="I38" s="341">
        <f t="shared" si="19"/>
        <v>0</v>
      </c>
      <c r="K38" s="338">
        <v>8</v>
      </c>
      <c r="L38" s="339">
        <f>StrateA!V184</f>
        <v>0</v>
      </c>
      <c r="M38" s="340">
        <f t="shared" si="20"/>
        <v>0</v>
      </c>
      <c r="N38" s="341">
        <f t="shared" si="21"/>
        <v>0</v>
      </c>
      <c r="P38" s="338">
        <v>8</v>
      </c>
      <c r="Q38" s="339">
        <f>StrateA!AE184</f>
        <v>0</v>
      </c>
      <c r="R38" s="340">
        <f t="shared" si="22"/>
        <v>0</v>
      </c>
      <c r="S38" s="341">
        <f t="shared" si="23"/>
        <v>0</v>
      </c>
      <c r="U38" s="284"/>
      <c r="W38" s="335">
        <v>5</v>
      </c>
      <c r="X38" s="342"/>
      <c r="Y38" s="337">
        <f t="shared" si="24"/>
        <v>0</v>
      </c>
      <c r="AA38" s="335">
        <v>5</v>
      </c>
      <c r="AB38" s="342"/>
      <c r="AC38" s="337">
        <f t="shared" si="25"/>
        <v>0</v>
      </c>
      <c r="AF38" s="284"/>
    </row>
    <row r="39" spans="1:38" x14ac:dyDescent="0.2">
      <c r="A39" s="335">
        <v>9</v>
      </c>
      <c r="B39" s="310">
        <f>StrateA!D185</f>
        <v>0</v>
      </c>
      <c r="C39" s="336">
        <f t="shared" si="16"/>
        <v>0</v>
      </c>
      <c r="D39" s="337">
        <f t="shared" si="17"/>
        <v>0</v>
      </c>
      <c r="F39" s="335">
        <v>9</v>
      </c>
      <c r="G39" s="310">
        <f>StrateA!M185</f>
        <v>0</v>
      </c>
      <c r="H39" s="336">
        <f t="shared" si="18"/>
        <v>0</v>
      </c>
      <c r="I39" s="337">
        <f t="shared" si="19"/>
        <v>0</v>
      </c>
      <c r="K39" s="335">
        <v>9</v>
      </c>
      <c r="L39" s="310">
        <f>StrateA!V185</f>
        <v>0</v>
      </c>
      <c r="M39" s="336">
        <f t="shared" si="20"/>
        <v>0</v>
      </c>
      <c r="N39" s="337">
        <f t="shared" si="21"/>
        <v>0</v>
      </c>
      <c r="P39" s="335">
        <v>9</v>
      </c>
      <c r="Q39" s="310">
        <f>StrateA!AE185</f>
        <v>0</v>
      </c>
      <c r="R39" s="336">
        <f t="shared" si="22"/>
        <v>0</v>
      </c>
      <c r="S39" s="337">
        <f t="shared" si="23"/>
        <v>0</v>
      </c>
      <c r="U39" s="284"/>
      <c r="W39" s="338">
        <v>6</v>
      </c>
      <c r="X39" s="343"/>
      <c r="Y39" s="341">
        <f t="shared" si="24"/>
        <v>0</v>
      </c>
      <c r="AA39" s="338">
        <v>6</v>
      </c>
      <c r="AB39" s="343"/>
      <c r="AC39" s="341">
        <f t="shared" si="25"/>
        <v>0</v>
      </c>
      <c r="AF39" s="284"/>
    </row>
    <row r="40" spans="1:38" x14ac:dyDescent="0.2">
      <c r="A40" s="338">
        <v>10</v>
      </c>
      <c r="B40" s="339">
        <f>StrateA!D186</f>
        <v>0</v>
      </c>
      <c r="C40" s="340">
        <f t="shared" si="16"/>
        <v>0</v>
      </c>
      <c r="D40" s="341">
        <f t="shared" si="17"/>
        <v>0</v>
      </c>
      <c r="F40" s="338">
        <v>10</v>
      </c>
      <c r="G40" s="339">
        <f>StrateA!M186</f>
        <v>0</v>
      </c>
      <c r="H40" s="340">
        <f t="shared" si="18"/>
        <v>0</v>
      </c>
      <c r="I40" s="341">
        <f t="shared" si="19"/>
        <v>0</v>
      </c>
      <c r="K40" s="338">
        <v>10</v>
      </c>
      <c r="L40" s="339">
        <f>StrateA!V186</f>
        <v>0</v>
      </c>
      <c r="M40" s="340">
        <f t="shared" si="20"/>
        <v>0</v>
      </c>
      <c r="N40" s="341">
        <f t="shared" si="21"/>
        <v>0</v>
      </c>
      <c r="P40" s="338">
        <v>10</v>
      </c>
      <c r="Q40" s="339">
        <f>StrateA!AE186</f>
        <v>0</v>
      </c>
      <c r="R40" s="340">
        <f t="shared" si="22"/>
        <v>0</v>
      </c>
      <c r="S40" s="341">
        <f t="shared" si="23"/>
        <v>0</v>
      </c>
      <c r="U40" s="284"/>
      <c r="W40" s="335">
        <v>7</v>
      </c>
      <c r="X40" s="342"/>
      <c r="Y40" s="337">
        <f t="shared" si="24"/>
        <v>0</v>
      </c>
      <c r="AA40" s="335">
        <v>7</v>
      </c>
      <c r="AB40" s="342"/>
      <c r="AC40" s="337">
        <f t="shared" si="25"/>
        <v>0</v>
      </c>
      <c r="AF40" s="284"/>
    </row>
    <row r="41" spans="1:38" x14ac:dyDescent="0.2">
      <c r="A41" s="335">
        <v>11</v>
      </c>
      <c r="B41" s="310">
        <f>StrateA!D187</f>
        <v>0</v>
      </c>
      <c r="C41" s="336">
        <f t="shared" si="16"/>
        <v>0</v>
      </c>
      <c r="D41" s="337">
        <f t="shared" si="17"/>
        <v>0</v>
      </c>
      <c r="F41" s="335">
        <v>11</v>
      </c>
      <c r="G41" s="310">
        <f>StrateA!M187</f>
        <v>0</v>
      </c>
      <c r="H41" s="336">
        <f t="shared" si="18"/>
        <v>0</v>
      </c>
      <c r="I41" s="337">
        <f t="shared" si="19"/>
        <v>0</v>
      </c>
      <c r="K41" s="335">
        <v>11</v>
      </c>
      <c r="L41" s="310">
        <f>StrateA!V187</f>
        <v>0</v>
      </c>
      <c r="M41" s="336">
        <f t="shared" si="20"/>
        <v>0</v>
      </c>
      <c r="N41" s="337">
        <f t="shared" si="21"/>
        <v>0</v>
      </c>
      <c r="P41" s="335">
        <v>11</v>
      </c>
      <c r="Q41" s="310">
        <f>StrateA!AE187</f>
        <v>0</v>
      </c>
      <c r="R41" s="336">
        <f t="shared" si="22"/>
        <v>0</v>
      </c>
      <c r="S41" s="337">
        <f t="shared" si="23"/>
        <v>0</v>
      </c>
      <c r="U41" s="284"/>
      <c r="W41" s="338">
        <v>8</v>
      </c>
      <c r="X41" s="343"/>
      <c r="Y41" s="341">
        <f t="shared" si="24"/>
        <v>0</v>
      </c>
      <c r="AA41" s="338">
        <v>8</v>
      </c>
      <c r="AB41" s="343"/>
      <c r="AC41" s="341">
        <f t="shared" si="25"/>
        <v>0</v>
      </c>
      <c r="AF41" s="284"/>
    </row>
    <row r="42" spans="1:38" x14ac:dyDescent="0.2">
      <c r="A42" s="338">
        <v>12</v>
      </c>
      <c r="B42" s="339">
        <f>StrateA!D188</f>
        <v>0</v>
      </c>
      <c r="C42" s="340">
        <f t="shared" si="16"/>
        <v>0</v>
      </c>
      <c r="D42" s="341">
        <f t="shared" si="17"/>
        <v>0</v>
      </c>
      <c r="F42" s="338">
        <v>12</v>
      </c>
      <c r="G42" s="339">
        <f>StrateA!M188</f>
        <v>0</v>
      </c>
      <c r="H42" s="340">
        <f t="shared" si="18"/>
        <v>0</v>
      </c>
      <c r="I42" s="341">
        <f t="shared" si="19"/>
        <v>0</v>
      </c>
      <c r="K42" s="338">
        <v>12</v>
      </c>
      <c r="L42" s="339">
        <f>StrateA!V188</f>
        <v>0</v>
      </c>
      <c r="M42" s="340">
        <f t="shared" si="20"/>
        <v>0</v>
      </c>
      <c r="N42" s="341">
        <f t="shared" si="21"/>
        <v>0</v>
      </c>
      <c r="P42" s="338">
        <v>12</v>
      </c>
      <c r="Q42" s="339">
        <f>StrateA!AE188</f>
        <v>0</v>
      </c>
      <c r="R42" s="340">
        <f t="shared" si="22"/>
        <v>0</v>
      </c>
      <c r="S42" s="341">
        <f t="shared" si="23"/>
        <v>0</v>
      </c>
      <c r="U42" s="284"/>
      <c r="W42" s="335">
        <v>9</v>
      </c>
      <c r="X42" s="342"/>
      <c r="Y42" s="337">
        <f t="shared" si="24"/>
        <v>0</v>
      </c>
      <c r="AA42" s="335">
        <v>9</v>
      </c>
      <c r="AB42" s="342"/>
      <c r="AC42" s="337">
        <f t="shared" si="25"/>
        <v>0</v>
      </c>
      <c r="AF42" s="284"/>
    </row>
    <row r="43" spans="1:38" x14ac:dyDescent="0.2">
      <c r="A43" s="335">
        <v>13</v>
      </c>
      <c r="B43" s="310">
        <f>StrateA!D189</f>
        <v>0</v>
      </c>
      <c r="C43" s="336">
        <f t="shared" si="16"/>
        <v>0</v>
      </c>
      <c r="D43" s="337">
        <f t="shared" si="17"/>
        <v>0</v>
      </c>
      <c r="F43" s="335">
        <v>13</v>
      </c>
      <c r="G43" s="310">
        <f>StrateA!M189</f>
        <v>0</v>
      </c>
      <c r="H43" s="336">
        <f t="shared" si="18"/>
        <v>0</v>
      </c>
      <c r="I43" s="337">
        <f t="shared" si="19"/>
        <v>0</v>
      </c>
      <c r="K43" s="335">
        <v>13</v>
      </c>
      <c r="L43" s="310">
        <f>StrateA!V189</f>
        <v>0</v>
      </c>
      <c r="M43" s="336">
        <f t="shared" si="20"/>
        <v>0</v>
      </c>
      <c r="N43" s="337">
        <f t="shared" si="21"/>
        <v>0</v>
      </c>
      <c r="P43" s="335">
        <v>13</v>
      </c>
      <c r="Q43" s="310">
        <f>StrateA!AE189</f>
        <v>0</v>
      </c>
      <c r="R43" s="336">
        <f t="shared" si="22"/>
        <v>0</v>
      </c>
      <c r="S43" s="337">
        <f t="shared" si="23"/>
        <v>0</v>
      </c>
      <c r="U43" s="284"/>
      <c r="W43" s="338">
        <v>10</v>
      </c>
      <c r="X43" s="343"/>
      <c r="Y43" s="341">
        <f t="shared" si="24"/>
        <v>0</v>
      </c>
      <c r="AA43" s="338">
        <v>10</v>
      </c>
      <c r="AB43" s="343"/>
      <c r="AC43" s="341">
        <f t="shared" si="25"/>
        <v>0</v>
      </c>
      <c r="AF43" s="284"/>
    </row>
    <row r="44" spans="1:38" x14ac:dyDescent="0.2">
      <c r="A44" s="338">
        <v>14</v>
      </c>
      <c r="B44" s="339">
        <f>StrateA!D190</f>
        <v>0</v>
      </c>
      <c r="C44" s="340">
        <f t="shared" si="16"/>
        <v>0</v>
      </c>
      <c r="D44" s="341">
        <f t="shared" si="17"/>
        <v>0</v>
      </c>
      <c r="F44" s="338">
        <v>14</v>
      </c>
      <c r="G44" s="339">
        <f>StrateA!M190</f>
        <v>0</v>
      </c>
      <c r="H44" s="340">
        <f t="shared" si="18"/>
        <v>0</v>
      </c>
      <c r="I44" s="341">
        <f t="shared" si="19"/>
        <v>0</v>
      </c>
      <c r="K44" s="338">
        <v>14</v>
      </c>
      <c r="L44" s="339">
        <f>StrateA!V190</f>
        <v>0</v>
      </c>
      <c r="M44" s="340">
        <f t="shared" si="20"/>
        <v>0</v>
      </c>
      <c r="N44" s="341">
        <f t="shared" si="21"/>
        <v>0</v>
      </c>
      <c r="P44" s="338">
        <v>14</v>
      </c>
      <c r="Q44" s="339">
        <f>StrateA!AE190</f>
        <v>0</v>
      </c>
      <c r="R44" s="340">
        <f t="shared" si="22"/>
        <v>0</v>
      </c>
      <c r="S44" s="341">
        <f t="shared" si="23"/>
        <v>0</v>
      </c>
      <c r="U44" s="284"/>
      <c r="W44" s="335">
        <v>11</v>
      </c>
      <c r="X44" s="342"/>
      <c r="Y44" s="337">
        <f t="shared" si="24"/>
        <v>0</v>
      </c>
      <c r="AA44" s="335">
        <v>11</v>
      </c>
      <c r="AB44" s="342"/>
      <c r="AC44" s="337">
        <f t="shared" si="25"/>
        <v>0</v>
      </c>
      <c r="AF44" s="284"/>
    </row>
    <row r="45" spans="1:38" x14ac:dyDescent="0.2">
      <c r="A45" s="335">
        <v>15</v>
      </c>
      <c r="B45" s="310">
        <f>StrateA!D191</f>
        <v>0</v>
      </c>
      <c r="C45" s="336">
        <f t="shared" si="16"/>
        <v>0</v>
      </c>
      <c r="D45" s="337">
        <f t="shared" si="17"/>
        <v>0</v>
      </c>
      <c r="F45" s="335">
        <v>15</v>
      </c>
      <c r="G45" s="310">
        <f>StrateA!M191</f>
        <v>0</v>
      </c>
      <c r="H45" s="336">
        <f t="shared" si="18"/>
        <v>0</v>
      </c>
      <c r="I45" s="337">
        <f t="shared" si="19"/>
        <v>0</v>
      </c>
      <c r="K45" s="335">
        <v>15</v>
      </c>
      <c r="L45" s="310">
        <f>StrateA!V191</f>
        <v>0</v>
      </c>
      <c r="M45" s="336">
        <f t="shared" si="20"/>
        <v>0</v>
      </c>
      <c r="N45" s="337">
        <f t="shared" si="21"/>
        <v>0</v>
      </c>
      <c r="P45" s="335">
        <v>15</v>
      </c>
      <c r="Q45" s="310">
        <f>StrateA!AE191</f>
        <v>0</v>
      </c>
      <c r="R45" s="336">
        <f t="shared" si="22"/>
        <v>0</v>
      </c>
      <c r="S45" s="337">
        <f t="shared" si="23"/>
        <v>0</v>
      </c>
      <c r="U45" s="284"/>
      <c r="W45" s="338">
        <v>12</v>
      </c>
      <c r="X45" s="343"/>
      <c r="Y45" s="341">
        <f t="shared" si="24"/>
        <v>0</v>
      </c>
      <c r="AA45" s="338">
        <v>12</v>
      </c>
      <c r="AB45" s="343"/>
      <c r="AC45" s="341">
        <f t="shared" si="25"/>
        <v>0</v>
      </c>
      <c r="AF45" s="284"/>
    </row>
    <row r="46" spans="1:38" x14ac:dyDescent="0.2">
      <c r="A46" s="338">
        <v>16</v>
      </c>
      <c r="B46" s="339">
        <f>StrateA!D192</f>
        <v>0</v>
      </c>
      <c r="C46" s="340">
        <f t="shared" si="16"/>
        <v>0</v>
      </c>
      <c r="D46" s="341">
        <f t="shared" si="17"/>
        <v>0</v>
      </c>
      <c r="F46" s="338">
        <v>16</v>
      </c>
      <c r="G46" s="339">
        <f>StrateA!M192</f>
        <v>0</v>
      </c>
      <c r="H46" s="340">
        <f t="shared" si="18"/>
        <v>0</v>
      </c>
      <c r="I46" s="341">
        <f t="shared" si="19"/>
        <v>0</v>
      </c>
      <c r="K46" s="338">
        <v>16</v>
      </c>
      <c r="L46" s="339">
        <f>StrateA!V192</f>
        <v>0</v>
      </c>
      <c r="M46" s="340">
        <f t="shared" si="20"/>
        <v>0</v>
      </c>
      <c r="N46" s="341">
        <f t="shared" si="21"/>
        <v>0</v>
      </c>
      <c r="P46" s="338">
        <v>16</v>
      </c>
      <c r="Q46" s="339">
        <f>StrateA!AE192</f>
        <v>0</v>
      </c>
      <c r="R46" s="340">
        <f t="shared" si="22"/>
        <v>0</v>
      </c>
      <c r="S46" s="341">
        <f t="shared" si="23"/>
        <v>0</v>
      </c>
      <c r="U46" s="284"/>
      <c r="W46" s="335">
        <v>13</v>
      </c>
      <c r="X46" s="342"/>
      <c r="Y46" s="337">
        <f t="shared" si="24"/>
        <v>0</v>
      </c>
      <c r="AA46" s="335">
        <v>13</v>
      </c>
      <c r="AB46" s="342"/>
      <c r="AC46" s="337">
        <f t="shared" si="25"/>
        <v>0</v>
      </c>
      <c r="AF46" s="284"/>
    </row>
    <row r="47" spans="1:38" x14ac:dyDescent="0.2">
      <c r="A47" s="335">
        <v>17</v>
      </c>
      <c r="B47" s="310">
        <f>StrateA!D193</f>
        <v>0</v>
      </c>
      <c r="C47" s="336">
        <f t="shared" si="16"/>
        <v>0</v>
      </c>
      <c r="D47" s="337">
        <f t="shared" si="17"/>
        <v>0</v>
      </c>
      <c r="F47" s="335">
        <v>17</v>
      </c>
      <c r="G47" s="310">
        <f>StrateA!M193</f>
        <v>0</v>
      </c>
      <c r="H47" s="336">
        <f t="shared" si="18"/>
        <v>0</v>
      </c>
      <c r="I47" s="337">
        <f t="shared" si="19"/>
        <v>0</v>
      </c>
      <c r="K47" s="335">
        <v>17</v>
      </c>
      <c r="L47" s="310">
        <f>StrateA!V193</f>
        <v>0</v>
      </c>
      <c r="M47" s="336">
        <f t="shared" si="20"/>
        <v>0</v>
      </c>
      <c r="N47" s="337">
        <f t="shared" si="21"/>
        <v>0</v>
      </c>
      <c r="P47" s="335">
        <v>17</v>
      </c>
      <c r="Q47" s="310">
        <f>StrateA!AE193</f>
        <v>0</v>
      </c>
      <c r="R47" s="336">
        <f t="shared" si="22"/>
        <v>0</v>
      </c>
      <c r="S47" s="337">
        <f t="shared" si="23"/>
        <v>0</v>
      </c>
      <c r="U47" s="284"/>
      <c r="W47" s="338">
        <v>14</v>
      </c>
      <c r="X47" s="343"/>
      <c r="Y47" s="341">
        <f t="shared" si="24"/>
        <v>0</v>
      </c>
      <c r="AA47" s="338">
        <v>14</v>
      </c>
      <c r="AB47" s="343"/>
      <c r="AC47" s="341">
        <f t="shared" si="25"/>
        <v>0</v>
      </c>
      <c r="AF47" s="284"/>
    </row>
    <row r="48" spans="1:38" x14ac:dyDescent="0.2">
      <c r="A48" s="338">
        <v>18</v>
      </c>
      <c r="B48" s="339">
        <f>StrateA!D194</f>
        <v>0</v>
      </c>
      <c r="C48" s="340">
        <f t="shared" si="16"/>
        <v>0</v>
      </c>
      <c r="D48" s="341">
        <f t="shared" si="17"/>
        <v>0</v>
      </c>
      <c r="F48" s="338">
        <v>18</v>
      </c>
      <c r="G48" s="339">
        <f>StrateA!M194</f>
        <v>0</v>
      </c>
      <c r="H48" s="340">
        <f t="shared" si="18"/>
        <v>0</v>
      </c>
      <c r="I48" s="341">
        <f t="shared" si="19"/>
        <v>0</v>
      </c>
      <c r="K48" s="338">
        <v>18</v>
      </c>
      <c r="L48" s="339">
        <f>StrateA!V194</f>
        <v>0</v>
      </c>
      <c r="M48" s="340">
        <f t="shared" si="20"/>
        <v>0</v>
      </c>
      <c r="N48" s="341">
        <f t="shared" si="21"/>
        <v>0</v>
      </c>
      <c r="P48" s="338">
        <v>18</v>
      </c>
      <c r="Q48" s="339">
        <f>StrateA!AE194</f>
        <v>0</v>
      </c>
      <c r="R48" s="340">
        <f t="shared" si="22"/>
        <v>0</v>
      </c>
      <c r="S48" s="341">
        <f t="shared" si="23"/>
        <v>0</v>
      </c>
      <c r="U48" s="284"/>
      <c r="W48" s="335">
        <v>15</v>
      </c>
      <c r="X48" s="342"/>
      <c r="Y48" s="337">
        <f t="shared" si="24"/>
        <v>0</v>
      </c>
      <c r="AA48" s="335">
        <v>15</v>
      </c>
      <c r="AB48" s="342"/>
      <c r="AC48" s="337">
        <f t="shared" si="25"/>
        <v>0</v>
      </c>
      <c r="AF48" s="284"/>
    </row>
    <row r="49" spans="1:32" x14ac:dyDescent="0.2">
      <c r="A49" s="335">
        <v>19</v>
      </c>
      <c r="B49" s="310">
        <f>StrateA!D195</f>
        <v>0</v>
      </c>
      <c r="C49" s="336">
        <f t="shared" si="16"/>
        <v>0</v>
      </c>
      <c r="D49" s="337">
        <f t="shared" si="17"/>
        <v>0</v>
      </c>
      <c r="F49" s="335">
        <v>19</v>
      </c>
      <c r="G49" s="310">
        <f>StrateA!M195</f>
        <v>0</v>
      </c>
      <c r="H49" s="336">
        <f t="shared" si="18"/>
        <v>0</v>
      </c>
      <c r="I49" s="337">
        <f t="shared" si="19"/>
        <v>0</v>
      </c>
      <c r="K49" s="335">
        <v>19</v>
      </c>
      <c r="L49" s="310">
        <f>StrateA!V195</f>
        <v>0</v>
      </c>
      <c r="M49" s="336">
        <f t="shared" si="20"/>
        <v>0</v>
      </c>
      <c r="N49" s="337">
        <f t="shared" si="21"/>
        <v>0</v>
      </c>
      <c r="P49" s="335">
        <v>19</v>
      </c>
      <c r="Q49" s="310">
        <f>StrateA!AE195</f>
        <v>0</v>
      </c>
      <c r="R49" s="336">
        <f t="shared" si="22"/>
        <v>0</v>
      </c>
      <c r="S49" s="337">
        <f t="shared" si="23"/>
        <v>0</v>
      </c>
      <c r="U49" s="284"/>
      <c r="W49" s="338">
        <v>16</v>
      </c>
      <c r="X49" s="343"/>
      <c r="Y49" s="341">
        <f t="shared" si="24"/>
        <v>0</v>
      </c>
      <c r="AA49" s="338">
        <v>16</v>
      </c>
      <c r="AB49" s="343"/>
      <c r="AC49" s="341">
        <f t="shared" si="25"/>
        <v>0</v>
      </c>
      <c r="AF49" s="284"/>
    </row>
    <row r="50" spans="1:32" x14ac:dyDescent="0.2">
      <c r="A50" s="338">
        <v>20</v>
      </c>
      <c r="B50" s="339">
        <f>StrateA!D196</f>
        <v>0</v>
      </c>
      <c r="C50" s="340">
        <f t="shared" si="16"/>
        <v>0</v>
      </c>
      <c r="D50" s="341">
        <f t="shared" si="17"/>
        <v>0</v>
      </c>
      <c r="F50" s="338">
        <v>20</v>
      </c>
      <c r="G50" s="339">
        <f>StrateA!M196</f>
        <v>0</v>
      </c>
      <c r="H50" s="340">
        <f t="shared" si="18"/>
        <v>0</v>
      </c>
      <c r="I50" s="341">
        <f t="shared" si="19"/>
        <v>0</v>
      </c>
      <c r="K50" s="338">
        <v>20</v>
      </c>
      <c r="L50" s="339">
        <f>StrateA!V196</f>
        <v>0</v>
      </c>
      <c r="M50" s="340">
        <f t="shared" si="20"/>
        <v>0</v>
      </c>
      <c r="N50" s="341">
        <f t="shared" si="21"/>
        <v>0</v>
      </c>
      <c r="P50" s="338">
        <v>20</v>
      </c>
      <c r="Q50" s="339">
        <f>StrateA!AE196</f>
        <v>0</v>
      </c>
      <c r="R50" s="340">
        <f t="shared" si="22"/>
        <v>0</v>
      </c>
      <c r="S50" s="341">
        <f t="shared" si="23"/>
        <v>0</v>
      </c>
      <c r="U50" s="284"/>
      <c r="W50" s="335">
        <v>17</v>
      </c>
      <c r="X50" s="342"/>
      <c r="Y50" s="337">
        <f t="shared" si="24"/>
        <v>0</v>
      </c>
      <c r="AA50" s="335">
        <v>17</v>
      </c>
      <c r="AB50" s="342"/>
      <c r="AC50" s="337">
        <f t="shared" si="25"/>
        <v>0</v>
      </c>
      <c r="AF50" s="284"/>
    </row>
    <row r="51" spans="1:32" x14ac:dyDescent="0.2">
      <c r="U51" s="284"/>
      <c r="W51" s="338">
        <v>18</v>
      </c>
      <c r="X51" s="343"/>
      <c r="Y51" s="341">
        <f t="shared" si="24"/>
        <v>0</v>
      </c>
      <c r="AA51" s="338">
        <v>18</v>
      </c>
      <c r="AB51" s="343"/>
      <c r="AC51" s="341">
        <f t="shared" si="25"/>
        <v>0</v>
      </c>
      <c r="AF51" s="284"/>
    </row>
    <row r="52" spans="1:32" x14ac:dyDescent="0.2">
      <c r="U52" s="284"/>
      <c r="W52" s="335">
        <v>19</v>
      </c>
      <c r="X52" s="342"/>
      <c r="Y52" s="337">
        <f t="shared" si="24"/>
        <v>0</v>
      </c>
      <c r="AA52" s="335">
        <v>19</v>
      </c>
      <c r="AB52" s="342"/>
      <c r="AC52" s="337">
        <f t="shared" si="25"/>
        <v>0</v>
      </c>
      <c r="AF52" s="284"/>
    </row>
    <row r="53" spans="1:32" x14ac:dyDescent="0.2">
      <c r="A53" s="281" t="s">
        <v>0</v>
      </c>
      <c r="B53" s="281" t="s">
        <v>188</v>
      </c>
      <c r="C53" s="281"/>
      <c r="D53" s="281"/>
      <c r="E53" s="281"/>
      <c r="F53" s="281"/>
      <c r="G53" s="281"/>
      <c r="H53" s="281"/>
      <c r="I53" s="281"/>
      <c r="J53" s="281"/>
      <c r="K53" s="281"/>
      <c r="L53" s="281"/>
      <c r="M53" s="281"/>
      <c r="N53" s="281"/>
      <c r="O53" s="281"/>
      <c r="P53" s="281"/>
      <c r="Q53" s="281"/>
      <c r="R53" s="281"/>
      <c r="S53" s="281"/>
      <c r="U53" s="284"/>
      <c r="W53" s="338">
        <v>20</v>
      </c>
      <c r="X53" s="343"/>
      <c r="Y53" s="341">
        <f t="shared" si="24"/>
        <v>0</v>
      </c>
      <c r="AA53" s="338">
        <v>20</v>
      </c>
      <c r="AB53" s="343"/>
      <c r="AC53" s="341">
        <f t="shared" si="25"/>
        <v>0</v>
      </c>
      <c r="AF53" s="284"/>
    </row>
    <row r="54" spans="1:32" x14ac:dyDescent="0.2">
      <c r="A54" t="s">
        <v>901</v>
      </c>
      <c r="B54" t="str">
        <f>IF(StrateB!B58="","",StrateB!B58)</f>
        <v/>
      </c>
      <c r="C54" s="222" t="s">
        <v>908</v>
      </c>
      <c r="D54" t="str">
        <f>IF(B4="","",StrateB!D58)</f>
        <v/>
      </c>
      <c r="F54" t="s">
        <v>902</v>
      </c>
      <c r="G54" t="str">
        <f>IF(StrateB!K58="","",StrateB!K58)</f>
        <v/>
      </c>
      <c r="H54" s="222" t="s">
        <v>908</v>
      </c>
      <c r="I54" t="str">
        <f>IF(G4="","",StrateB!M58)</f>
        <v/>
      </c>
      <c r="K54" t="s">
        <v>903</v>
      </c>
      <c r="L54" t="str">
        <f>IF(StrateB!T58="","",StrateB!T58)</f>
        <v/>
      </c>
      <c r="M54" s="222" t="s">
        <v>908</v>
      </c>
      <c r="N54" t="str">
        <f>IF(L4="","",StrateB!V58)</f>
        <v/>
      </c>
      <c r="P54" t="s">
        <v>904</v>
      </c>
      <c r="Q54" t="str">
        <f>IF(StrateB!AC58="","",StrateB!AC58)</f>
        <v/>
      </c>
      <c r="R54" s="222" t="s">
        <v>908</v>
      </c>
      <c r="S54" t="str">
        <f>IF(Q4="","",StrateB!AE58)</f>
        <v/>
      </c>
      <c r="U54" s="284"/>
      <c r="AF54" s="284"/>
    </row>
    <row r="55" spans="1:32" x14ac:dyDescent="0.2">
      <c r="A55" t="s">
        <v>906</v>
      </c>
      <c r="B55" s="282" t="str">
        <f>IF(B54="","",VLOOKUP(B54,'1.GLOBAL'!$B$36:$E$47,4,FALSE))</f>
        <v/>
      </c>
      <c r="F55" t="s">
        <v>906</v>
      </c>
      <c r="G55" s="282" t="str">
        <f>IF(G54="","",VLOOKUP(G54,'1.GLOBAL'!$B$36:$E$47,4,FALSE))</f>
        <v/>
      </c>
      <c r="K55" t="s">
        <v>906</v>
      </c>
      <c r="L55" s="282" t="str">
        <f>IF(L54="","",VLOOKUP(L54,'1.GLOBAL'!$B$36:$E$47,4,FALSE))</f>
        <v/>
      </c>
      <c r="P55" t="s">
        <v>906</v>
      </c>
      <c r="Q55" s="282" t="str">
        <f>IF(Q54="","",VLOOKUP(Q54,'1.GLOBAL'!$B$36:$E$47,4,FALSE))</f>
        <v/>
      </c>
      <c r="U55" s="284"/>
      <c r="W55" s="281" t="s">
        <v>0</v>
      </c>
      <c r="X55" s="281" t="s">
        <v>190</v>
      </c>
      <c r="Y55" s="281"/>
      <c r="Z55" s="281"/>
      <c r="AA55" s="281"/>
      <c r="AB55" s="281"/>
      <c r="AC55" s="281"/>
      <c r="AF55" s="284"/>
    </row>
    <row r="56" spans="1:32" x14ac:dyDescent="0.2">
      <c r="A56" s="279" t="s">
        <v>900</v>
      </c>
      <c r="B56" s="279"/>
      <c r="C56" s="279"/>
      <c r="D56" s="279"/>
      <c r="E56" s="279"/>
      <c r="F56" s="279"/>
      <c r="G56" s="279"/>
      <c r="H56" s="279"/>
      <c r="I56" s="279"/>
      <c r="J56" s="279"/>
      <c r="K56" s="279"/>
      <c r="L56" s="279"/>
      <c r="M56" s="279"/>
      <c r="N56" s="279"/>
      <c r="O56" s="279"/>
      <c r="P56" s="279"/>
      <c r="Q56" s="279"/>
      <c r="R56" s="279"/>
      <c r="S56" s="279"/>
      <c r="U56" s="284"/>
      <c r="W56" t="s">
        <v>921</v>
      </c>
      <c r="X56" t="str">
        <f>'3.ESS_RÉGÉ'!M19</f>
        <v/>
      </c>
      <c r="AF56" s="284"/>
    </row>
    <row r="57" spans="1:32" x14ac:dyDescent="0.2">
      <c r="A57" s="332" t="s">
        <v>94</v>
      </c>
      <c r="B57" s="333" t="s">
        <v>18</v>
      </c>
      <c r="C57" s="333" t="s">
        <v>899</v>
      </c>
      <c r="D57" s="334" t="s">
        <v>905</v>
      </c>
      <c r="F57" s="332" t="s">
        <v>94</v>
      </c>
      <c r="G57" s="333" t="s">
        <v>18</v>
      </c>
      <c r="H57" s="333" t="s">
        <v>899</v>
      </c>
      <c r="I57" s="334" t="s">
        <v>905</v>
      </c>
      <c r="K57" s="332" t="s">
        <v>94</v>
      </c>
      <c r="L57" s="333" t="s">
        <v>18</v>
      </c>
      <c r="M57" s="333" t="s">
        <v>899</v>
      </c>
      <c r="N57" s="334" t="s">
        <v>905</v>
      </c>
      <c r="P57" s="332" t="s">
        <v>94</v>
      </c>
      <c r="Q57" s="333" t="s">
        <v>18</v>
      </c>
      <c r="R57" s="333" t="s">
        <v>899</v>
      </c>
      <c r="S57" s="334" t="s">
        <v>905</v>
      </c>
      <c r="U57" s="284"/>
      <c r="AF57" s="284"/>
    </row>
    <row r="58" spans="1:32" x14ac:dyDescent="0.2">
      <c r="A58" s="335">
        <v>1</v>
      </c>
      <c r="B58" s="310">
        <f>StrateB!D61</f>
        <v>0</v>
      </c>
      <c r="C58" s="336">
        <f>IF(B58=0,0,INT(B58/D$54))</f>
        <v>0</v>
      </c>
      <c r="D58" s="337">
        <f>IF(C58=0,0,C58*B$55)</f>
        <v>0</v>
      </c>
      <c r="F58" s="335">
        <v>1</v>
      </c>
      <c r="G58" s="310">
        <f>StrateB!M61</f>
        <v>0</v>
      </c>
      <c r="H58" s="336">
        <f>IF(G58=0,0,INT(G58/I$54))</f>
        <v>0</v>
      </c>
      <c r="I58" s="337">
        <f>IF(H58=0,0,H58*G$55)</f>
        <v>0</v>
      </c>
      <c r="K58" s="335">
        <v>1</v>
      </c>
      <c r="L58" s="310">
        <f>StrateB!V61</f>
        <v>0</v>
      </c>
      <c r="M58" s="336">
        <f>IF(L58=0,0,INT(L58/N$54))</f>
        <v>0</v>
      </c>
      <c r="N58" s="337">
        <f>IF(M58=0,0,M58*L$55)</f>
        <v>0</v>
      </c>
      <c r="P58" s="335">
        <v>1</v>
      </c>
      <c r="Q58" s="310">
        <f>StrateB!AE61</f>
        <v>0</v>
      </c>
      <c r="R58" s="336">
        <f>IF(Q58=0,0,INT(Q58/S$54))</f>
        <v>0</v>
      </c>
      <c r="S58" s="337">
        <f>IF(R58=0,0,R58*Q$55)</f>
        <v>0</v>
      </c>
      <c r="U58" s="284"/>
      <c r="W58" s="279" t="s">
        <v>900</v>
      </c>
      <c r="X58" s="279"/>
      <c r="Y58" s="279"/>
      <c r="AA58" s="280" t="s">
        <v>907</v>
      </c>
      <c r="AB58" s="280"/>
      <c r="AC58" s="280"/>
      <c r="AF58" s="284"/>
    </row>
    <row r="59" spans="1:32" x14ac:dyDescent="0.2">
      <c r="A59" s="338">
        <v>2</v>
      </c>
      <c r="B59" s="339">
        <f>StrateB!D62</f>
        <v>0</v>
      </c>
      <c r="C59" s="340">
        <f t="shared" ref="C59:C77" si="26">IF(B59=0,0,INT(B59/D$54))</f>
        <v>0</v>
      </c>
      <c r="D59" s="341">
        <f t="shared" ref="D59:D77" si="27">IF(C59=0,0,C59*B$55)</f>
        <v>0</v>
      </c>
      <c r="F59" s="338">
        <v>2</v>
      </c>
      <c r="G59" s="339">
        <f>StrateB!M62</f>
        <v>0</v>
      </c>
      <c r="H59" s="340">
        <f t="shared" ref="H59:H77" si="28">IF(G59=0,0,INT(G59/I$54))</f>
        <v>0</v>
      </c>
      <c r="I59" s="341">
        <f t="shared" ref="I59:I77" si="29">IF(H59=0,0,H59*G$55)</f>
        <v>0</v>
      </c>
      <c r="K59" s="338">
        <v>2</v>
      </c>
      <c r="L59" s="339">
        <f>StrateB!V62</f>
        <v>0</v>
      </c>
      <c r="M59" s="340">
        <f t="shared" ref="M59:M77" si="30">IF(L59=0,0,INT(L59/N$54))</f>
        <v>0</v>
      </c>
      <c r="N59" s="341">
        <f t="shared" ref="N59:N77" si="31">IF(M59=0,0,M59*L$55)</f>
        <v>0</v>
      </c>
      <c r="P59" s="338">
        <v>2</v>
      </c>
      <c r="Q59" s="339">
        <f>StrateB!AE62</f>
        <v>0</v>
      </c>
      <c r="R59" s="340">
        <f t="shared" ref="R59:R77" si="32">IF(Q59=0,0,INT(Q59/S$54))</f>
        <v>0</v>
      </c>
      <c r="S59" s="341">
        <f t="shared" ref="S59:S77" si="33">IF(R59=0,0,R59*Q$55)</f>
        <v>0</v>
      </c>
      <c r="U59" s="284"/>
      <c r="W59" s="332" t="s">
        <v>94</v>
      </c>
      <c r="X59" s="333" t="s">
        <v>920</v>
      </c>
      <c r="Y59" s="334" t="s">
        <v>922</v>
      </c>
      <c r="AA59" s="332" t="s">
        <v>94</v>
      </c>
      <c r="AB59" s="333" t="s">
        <v>920</v>
      </c>
      <c r="AC59" s="334" t="s">
        <v>922</v>
      </c>
      <c r="AF59" s="284"/>
    </row>
    <row r="60" spans="1:32" x14ac:dyDescent="0.2">
      <c r="A60" s="335">
        <v>3</v>
      </c>
      <c r="B60" s="310">
        <f>StrateB!D63</f>
        <v>0</v>
      </c>
      <c r="C60" s="336">
        <f t="shared" si="26"/>
        <v>0</v>
      </c>
      <c r="D60" s="337">
        <f t="shared" si="27"/>
        <v>0</v>
      </c>
      <c r="F60" s="335">
        <v>3</v>
      </c>
      <c r="G60" s="310">
        <f>StrateB!M63</f>
        <v>0</v>
      </c>
      <c r="H60" s="336">
        <f t="shared" si="28"/>
        <v>0</v>
      </c>
      <c r="I60" s="337">
        <f t="shared" si="29"/>
        <v>0</v>
      </c>
      <c r="K60" s="335">
        <v>3</v>
      </c>
      <c r="L60" s="310">
        <f>StrateB!V63</f>
        <v>0</v>
      </c>
      <c r="M60" s="336">
        <f t="shared" si="30"/>
        <v>0</v>
      </c>
      <c r="N60" s="337">
        <f t="shared" si="31"/>
        <v>0</v>
      </c>
      <c r="P60" s="335">
        <v>3</v>
      </c>
      <c r="Q60" s="310">
        <f>StrateB!AE63</f>
        <v>0</v>
      </c>
      <c r="R60" s="336">
        <f t="shared" si="32"/>
        <v>0</v>
      </c>
      <c r="S60" s="337">
        <f t="shared" si="33"/>
        <v>0</v>
      </c>
      <c r="U60" s="284"/>
      <c r="W60" s="335">
        <v>1</v>
      </c>
      <c r="X60" s="342" cm="1">
        <f t="array" ref="X60">IF(X56="",0,TRANSPOSE(StrateC!C86:V86))</f>
        <v>0</v>
      </c>
      <c r="Y60" s="337">
        <f>X60*2000</f>
        <v>0</v>
      </c>
      <c r="AA60" s="335">
        <v>1</v>
      </c>
      <c r="AB60" s="342" cm="1">
        <f t="array" ref="AB60">IF(X56="",0,TRANSPOSE(StrateC!C202:V202))</f>
        <v>0</v>
      </c>
      <c r="AC60" s="337">
        <f>AB60*2000</f>
        <v>0</v>
      </c>
      <c r="AF60" s="284"/>
    </row>
    <row r="61" spans="1:32" x14ac:dyDescent="0.2">
      <c r="A61" s="338">
        <v>4</v>
      </c>
      <c r="B61" s="339">
        <f>StrateB!D64</f>
        <v>0</v>
      </c>
      <c r="C61" s="340">
        <f t="shared" si="26"/>
        <v>0</v>
      </c>
      <c r="D61" s="341">
        <f t="shared" si="27"/>
        <v>0</v>
      </c>
      <c r="F61" s="338">
        <v>4</v>
      </c>
      <c r="G61" s="339">
        <f>StrateB!M64</f>
        <v>0</v>
      </c>
      <c r="H61" s="340">
        <f t="shared" si="28"/>
        <v>0</v>
      </c>
      <c r="I61" s="341">
        <f t="shared" si="29"/>
        <v>0</v>
      </c>
      <c r="K61" s="338">
        <v>4</v>
      </c>
      <c r="L61" s="339">
        <f>StrateB!V64</f>
        <v>0</v>
      </c>
      <c r="M61" s="340">
        <f t="shared" si="30"/>
        <v>0</v>
      </c>
      <c r="N61" s="341">
        <f t="shared" si="31"/>
        <v>0</v>
      </c>
      <c r="P61" s="338">
        <v>4</v>
      </c>
      <c r="Q61" s="339">
        <f>StrateB!AE64</f>
        <v>0</v>
      </c>
      <c r="R61" s="340">
        <f t="shared" si="32"/>
        <v>0</v>
      </c>
      <c r="S61" s="341">
        <f t="shared" si="33"/>
        <v>0</v>
      </c>
      <c r="U61" s="284"/>
      <c r="W61" s="338">
        <v>2</v>
      </c>
      <c r="X61" s="343"/>
      <c r="Y61" s="341">
        <f t="shared" ref="Y61:Y79" si="34">X61*2000</f>
        <v>0</v>
      </c>
      <c r="AA61" s="338">
        <v>2</v>
      </c>
      <c r="AB61" s="343"/>
      <c r="AC61" s="341">
        <f t="shared" ref="AC61:AC79" si="35">AB61*2000</f>
        <v>0</v>
      </c>
      <c r="AF61" s="284"/>
    </row>
    <row r="62" spans="1:32" x14ac:dyDescent="0.2">
      <c r="A62" s="335">
        <v>5</v>
      </c>
      <c r="B62" s="310">
        <f>StrateB!D65</f>
        <v>0</v>
      </c>
      <c r="C62" s="336">
        <f t="shared" si="26"/>
        <v>0</v>
      </c>
      <c r="D62" s="337">
        <f t="shared" si="27"/>
        <v>0</v>
      </c>
      <c r="F62" s="335">
        <v>5</v>
      </c>
      <c r="G62" s="310">
        <f>StrateB!M65</f>
        <v>0</v>
      </c>
      <c r="H62" s="336">
        <f t="shared" si="28"/>
        <v>0</v>
      </c>
      <c r="I62" s="337">
        <f t="shared" si="29"/>
        <v>0</v>
      </c>
      <c r="K62" s="335">
        <v>5</v>
      </c>
      <c r="L62" s="310">
        <f>StrateB!V65</f>
        <v>0</v>
      </c>
      <c r="M62" s="336">
        <f t="shared" si="30"/>
        <v>0</v>
      </c>
      <c r="N62" s="337">
        <f t="shared" si="31"/>
        <v>0</v>
      </c>
      <c r="P62" s="335">
        <v>5</v>
      </c>
      <c r="Q62" s="310">
        <f>StrateB!AE65</f>
        <v>0</v>
      </c>
      <c r="R62" s="336">
        <f t="shared" si="32"/>
        <v>0</v>
      </c>
      <c r="S62" s="337">
        <f t="shared" si="33"/>
        <v>0</v>
      </c>
      <c r="U62" s="284"/>
      <c r="W62" s="335">
        <v>3</v>
      </c>
      <c r="X62" s="342"/>
      <c r="Y62" s="337">
        <f t="shared" si="34"/>
        <v>0</v>
      </c>
      <c r="AA62" s="335">
        <v>3</v>
      </c>
      <c r="AB62" s="342"/>
      <c r="AC62" s="337">
        <f t="shared" si="35"/>
        <v>0</v>
      </c>
      <c r="AF62" s="284"/>
    </row>
    <row r="63" spans="1:32" x14ac:dyDescent="0.2">
      <c r="A63" s="338">
        <v>6</v>
      </c>
      <c r="B63" s="339">
        <f>StrateB!D66</f>
        <v>0</v>
      </c>
      <c r="C63" s="340">
        <f t="shared" si="26"/>
        <v>0</v>
      </c>
      <c r="D63" s="341">
        <f t="shared" si="27"/>
        <v>0</v>
      </c>
      <c r="F63" s="338">
        <v>6</v>
      </c>
      <c r="G63" s="339">
        <f>StrateB!M66</f>
        <v>0</v>
      </c>
      <c r="H63" s="340">
        <f t="shared" si="28"/>
        <v>0</v>
      </c>
      <c r="I63" s="341">
        <f t="shared" si="29"/>
        <v>0</v>
      </c>
      <c r="K63" s="338">
        <v>6</v>
      </c>
      <c r="L63" s="339">
        <f>StrateB!V66</f>
        <v>0</v>
      </c>
      <c r="M63" s="340">
        <f t="shared" si="30"/>
        <v>0</v>
      </c>
      <c r="N63" s="341">
        <f t="shared" si="31"/>
        <v>0</v>
      </c>
      <c r="P63" s="338">
        <v>6</v>
      </c>
      <c r="Q63" s="339">
        <f>StrateB!AE66</f>
        <v>0</v>
      </c>
      <c r="R63" s="340">
        <f t="shared" si="32"/>
        <v>0</v>
      </c>
      <c r="S63" s="341">
        <f t="shared" si="33"/>
        <v>0</v>
      </c>
      <c r="U63" s="284"/>
      <c r="W63" s="338">
        <v>4</v>
      </c>
      <c r="X63" s="343"/>
      <c r="Y63" s="341">
        <f t="shared" si="34"/>
        <v>0</v>
      </c>
      <c r="AA63" s="338">
        <v>4</v>
      </c>
      <c r="AB63" s="343"/>
      <c r="AC63" s="341">
        <f t="shared" si="35"/>
        <v>0</v>
      </c>
      <c r="AF63" s="284"/>
    </row>
    <row r="64" spans="1:32" x14ac:dyDescent="0.2">
      <c r="A64" s="335">
        <v>7</v>
      </c>
      <c r="B64" s="310">
        <f>StrateB!D67</f>
        <v>0</v>
      </c>
      <c r="C64" s="336">
        <f t="shared" si="26"/>
        <v>0</v>
      </c>
      <c r="D64" s="337">
        <f t="shared" si="27"/>
        <v>0</v>
      </c>
      <c r="F64" s="335">
        <v>7</v>
      </c>
      <c r="G64" s="310">
        <f>StrateB!M67</f>
        <v>0</v>
      </c>
      <c r="H64" s="336">
        <f t="shared" si="28"/>
        <v>0</v>
      </c>
      <c r="I64" s="337">
        <f t="shared" si="29"/>
        <v>0</v>
      </c>
      <c r="K64" s="335">
        <v>7</v>
      </c>
      <c r="L64" s="310">
        <f>StrateB!V67</f>
        <v>0</v>
      </c>
      <c r="M64" s="336">
        <f t="shared" si="30"/>
        <v>0</v>
      </c>
      <c r="N64" s="337">
        <f t="shared" si="31"/>
        <v>0</v>
      </c>
      <c r="P64" s="335">
        <v>7</v>
      </c>
      <c r="Q64" s="310">
        <f>StrateB!AE67</f>
        <v>0</v>
      </c>
      <c r="R64" s="336">
        <f t="shared" si="32"/>
        <v>0</v>
      </c>
      <c r="S64" s="337">
        <f t="shared" si="33"/>
        <v>0</v>
      </c>
      <c r="U64" s="284"/>
      <c r="W64" s="335">
        <v>5</v>
      </c>
      <c r="X64" s="342"/>
      <c r="Y64" s="337">
        <f t="shared" si="34"/>
        <v>0</v>
      </c>
      <c r="AA64" s="335">
        <v>5</v>
      </c>
      <c r="AB64" s="342"/>
      <c r="AC64" s="337">
        <f t="shared" si="35"/>
        <v>0</v>
      </c>
      <c r="AF64" s="284"/>
    </row>
    <row r="65" spans="1:32" x14ac:dyDescent="0.2">
      <c r="A65" s="338">
        <v>8</v>
      </c>
      <c r="B65" s="339">
        <f>StrateB!D68</f>
        <v>0</v>
      </c>
      <c r="C65" s="340">
        <f t="shared" si="26"/>
        <v>0</v>
      </c>
      <c r="D65" s="341">
        <f t="shared" si="27"/>
        <v>0</v>
      </c>
      <c r="F65" s="338">
        <v>8</v>
      </c>
      <c r="G65" s="339">
        <f>StrateB!M68</f>
        <v>0</v>
      </c>
      <c r="H65" s="340">
        <f t="shared" si="28"/>
        <v>0</v>
      </c>
      <c r="I65" s="341">
        <f t="shared" si="29"/>
        <v>0</v>
      </c>
      <c r="K65" s="338">
        <v>8</v>
      </c>
      <c r="L65" s="339">
        <f>StrateB!V68</f>
        <v>0</v>
      </c>
      <c r="M65" s="340">
        <f t="shared" si="30"/>
        <v>0</v>
      </c>
      <c r="N65" s="341">
        <f t="shared" si="31"/>
        <v>0</v>
      </c>
      <c r="P65" s="338">
        <v>8</v>
      </c>
      <c r="Q65" s="339">
        <f>StrateB!AE68</f>
        <v>0</v>
      </c>
      <c r="R65" s="340">
        <f t="shared" si="32"/>
        <v>0</v>
      </c>
      <c r="S65" s="341">
        <f t="shared" si="33"/>
        <v>0</v>
      </c>
      <c r="U65" s="284"/>
      <c r="W65" s="338">
        <v>6</v>
      </c>
      <c r="X65" s="343"/>
      <c r="Y65" s="341">
        <f t="shared" si="34"/>
        <v>0</v>
      </c>
      <c r="AA65" s="338">
        <v>6</v>
      </c>
      <c r="AB65" s="343"/>
      <c r="AC65" s="341">
        <f t="shared" si="35"/>
        <v>0</v>
      </c>
      <c r="AF65" s="284"/>
    </row>
    <row r="66" spans="1:32" x14ac:dyDescent="0.2">
      <c r="A66" s="335">
        <v>9</v>
      </c>
      <c r="B66" s="310">
        <f>StrateB!D69</f>
        <v>0</v>
      </c>
      <c r="C66" s="336">
        <f t="shared" si="26"/>
        <v>0</v>
      </c>
      <c r="D66" s="337">
        <f t="shared" si="27"/>
        <v>0</v>
      </c>
      <c r="F66" s="335">
        <v>9</v>
      </c>
      <c r="G66" s="310">
        <f>StrateB!M69</f>
        <v>0</v>
      </c>
      <c r="H66" s="336">
        <f t="shared" si="28"/>
        <v>0</v>
      </c>
      <c r="I66" s="337">
        <f t="shared" si="29"/>
        <v>0</v>
      </c>
      <c r="K66" s="335">
        <v>9</v>
      </c>
      <c r="L66" s="310">
        <f>StrateB!V69</f>
        <v>0</v>
      </c>
      <c r="M66" s="336">
        <f t="shared" si="30"/>
        <v>0</v>
      </c>
      <c r="N66" s="337">
        <f t="shared" si="31"/>
        <v>0</v>
      </c>
      <c r="P66" s="335">
        <v>9</v>
      </c>
      <c r="Q66" s="310">
        <f>StrateB!AE69</f>
        <v>0</v>
      </c>
      <c r="R66" s="336">
        <f t="shared" si="32"/>
        <v>0</v>
      </c>
      <c r="S66" s="337">
        <f t="shared" si="33"/>
        <v>0</v>
      </c>
      <c r="U66" s="284"/>
      <c r="W66" s="335">
        <v>7</v>
      </c>
      <c r="X66" s="342"/>
      <c r="Y66" s="337">
        <f t="shared" si="34"/>
        <v>0</v>
      </c>
      <c r="AA66" s="335">
        <v>7</v>
      </c>
      <c r="AB66" s="342"/>
      <c r="AC66" s="337">
        <f t="shared" si="35"/>
        <v>0</v>
      </c>
      <c r="AF66" s="284"/>
    </row>
    <row r="67" spans="1:32" x14ac:dyDescent="0.2">
      <c r="A67" s="338">
        <v>10</v>
      </c>
      <c r="B67" s="339">
        <f>StrateB!D70</f>
        <v>0</v>
      </c>
      <c r="C67" s="340">
        <f t="shared" si="26"/>
        <v>0</v>
      </c>
      <c r="D67" s="341">
        <f t="shared" si="27"/>
        <v>0</v>
      </c>
      <c r="F67" s="338">
        <v>10</v>
      </c>
      <c r="G67" s="339">
        <f>StrateB!M70</f>
        <v>0</v>
      </c>
      <c r="H67" s="340">
        <f t="shared" si="28"/>
        <v>0</v>
      </c>
      <c r="I67" s="341">
        <f t="shared" si="29"/>
        <v>0</v>
      </c>
      <c r="K67" s="338">
        <v>10</v>
      </c>
      <c r="L67" s="339">
        <f>StrateB!V70</f>
        <v>0</v>
      </c>
      <c r="M67" s="340">
        <f t="shared" si="30"/>
        <v>0</v>
      </c>
      <c r="N67" s="341">
        <f t="shared" si="31"/>
        <v>0</v>
      </c>
      <c r="P67" s="338">
        <v>10</v>
      </c>
      <c r="Q67" s="339">
        <f>StrateB!AE70</f>
        <v>0</v>
      </c>
      <c r="R67" s="340">
        <f t="shared" si="32"/>
        <v>0</v>
      </c>
      <c r="S67" s="341">
        <f t="shared" si="33"/>
        <v>0</v>
      </c>
      <c r="U67" s="284"/>
      <c r="W67" s="338">
        <v>8</v>
      </c>
      <c r="X67" s="343"/>
      <c r="Y67" s="341">
        <f t="shared" si="34"/>
        <v>0</v>
      </c>
      <c r="AA67" s="338">
        <v>8</v>
      </c>
      <c r="AB67" s="343"/>
      <c r="AC67" s="341">
        <f t="shared" si="35"/>
        <v>0</v>
      </c>
      <c r="AF67" s="284"/>
    </row>
    <row r="68" spans="1:32" x14ac:dyDescent="0.2">
      <c r="A68" s="335">
        <v>11</v>
      </c>
      <c r="B68" s="310">
        <f>StrateB!D71</f>
        <v>0</v>
      </c>
      <c r="C68" s="336">
        <f t="shared" si="26"/>
        <v>0</v>
      </c>
      <c r="D68" s="337">
        <f t="shared" si="27"/>
        <v>0</v>
      </c>
      <c r="F68" s="335">
        <v>11</v>
      </c>
      <c r="G68" s="310">
        <f>StrateB!M71</f>
        <v>0</v>
      </c>
      <c r="H68" s="336">
        <f t="shared" si="28"/>
        <v>0</v>
      </c>
      <c r="I68" s="337">
        <f t="shared" si="29"/>
        <v>0</v>
      </c>
      <c r="K68" s="335">
        <v>11</v>
      </c>
      <c r="L68" s="310">
        <f>StrateB!V71</f>
        <v>0</v>
      </c>
      <c r="M68" s="336">
        <f t="shared" si="30"/>
        <v>0</v>
      </c>
      <c r="N68" s="337">
        <f t="shared" si="31"/>
        <v>0</v>
      </c>
      <c r="P68" s="335">
        <v>11</v>
      </c>
      <c r="Q68" s="310">
        <f>StrateB!AE71</f>
        <v>0</v>
      </c>
      <c r="R68" s="336">
        <f t="shared" si="32"/>
        <v>0</v>
      </c>
      <c r="S68" s="337">
        <f t="shared" si="33"/>
        <v>0</v>
      </c>
      <c r="U68" s="284"/>
      <c r="W68" s="335">
        <v>9</v>
      </c>
      <c r="X68" s="342"/>
      <c r="Y68" s="337">
        <f t="shared" si="34"/>
        <v>0</v>
      </c>
      <c r="AA68" s="335">
        <v>9</v>
      </c>
      <c r="AB68" s="342"/>
      <c r="AC68" s="337">
        <f t="shared" si="35"/>
        <v>0</v>
      </c>
      <c r="AF68" s="284"/>
    </row>
    <row r="69" spans="1:32" x14ac:dyDescent="0.2">
      <c r="A69" s="338">
        <v>12</v>
      </c>
      <c r="B69" s="339">
        <f>StrateB!D72</f>
        <v>0</v>
      </c>
      <c r="C69" s="340">
        <f t="shared" si="26"/>
        <v>0</v>
      </c>
      <c r="D69" s="341">
        <f t="shared" si="27"/>
        <v>0</v>
      </c>
      <c r="F69" s="338">
        <v>12</v>
      </c>
      <c r="G69" s="339">
        <f>StrateB!M72</f>
        <v>0</v>
      </c>
      <c r="H69" s="340">
        <f t="shared" si="28"/>
        <v>0</v>
      </c>
      <c r="I69" s="341">
        <f t="shared" si="29"/>
        <v>0</v>
      </c>
      <c r="K69" s="338">
        <v>12</v>
      </c>
      <c r="L69" s="339">
        <f>StrateB!V72</f>
        <v>0</v>
      </c>
      <c r="M69" s="340">
        <f t="shared" si="30"/>
        <v>0</v>
      </c>
      <c r="N69" s="341">
        <f t="shared" si="31"/>
        <v>0</v>
      </c>
      <c r="P69" s="338">
        <v>12</v>
      </c>
      <c r="Q69" s="339">
        <f>StrateB!AE72</f>
        <v>0</v>
      </c>
      <c r="R69" s="340">
        <f t="shared" si="32"/>
        <v>0</v>
      </c>
      <c r="S69" s="341">
        <f t="shared" si="33"/>
        <v>0</v>
      </c>
      <c r="U69" s="284"/>
      <c r="W69" s="338">
        <v>10</v>
      </c>
      <c r="X69" s="343"/>
      <c r="Y69" s="341">
        <f t="shared" si="34"/>
        <v>0</v>
      </c>
      <c r="AA69" s="338">
        <v>10</v>
      </c>
      <c r="AB69" s="343"/>
      <c r="AC69" s="341">
        <f t="shared" si="35"/>
        <v>0</v>
      </c>
      <c r="AF69" s="284"/>
    </row>
    <row r="70" spans="1:32" x14ac:dyDescent="0.2">
      <c r="A70" s="335">
        <v>13</v>
      </c>
      <c r="B70" s="310">
        <f>StrateB!D73</f>
        <v>0</v>
      </c>
      <c r="C70" s="336">
        <f t="shared" si="26"/>
        <v>0</v>
      </c>
      <c r="D70" s="337">
        <f t="shared" si="27"/>
        <v>0</v>
      </c>
      <c r="F70" s="335">
        <v>13</v>
      </c>
      <c r="G70" s="310">
        <f>StrateB!M73</f>
        <v>0</v>
      </c>
      <c r="H70" s="336">
        <f t="shared" si="28"/>
        <v>0</v>
      </c>
      <c r="I70" s="337">
        <f t="shared" si="29"/>
        <v>0</v>
      </c>
      <c r="K70" s="335">
        <v>13</v>
      </c>
      <c r="L70" s="310">
        <f>StrateB!V73</f>
        <v>0</v>
      </c>
      <c r="M70" s="336">
        <f t="shared" si="30"/>
        <v>0</v>
      </c>
      <c r="N70" s="337">
        <f t="shared" si="31"/>
        <v>0</v>
      </c>
      <c r="P70" s="335">
        <v>13</v>
      </c>
      <c r="Q70" s="310">
        <f>StrateB!AE73</f>
        <v>0</v>
      </c>
      <c r="R70" s="336">
        <f t="shared" si="32"/>
        <v>0</v>
      </c>
      <c r="S70" s="337">
        <f t="shared" si="33"/>
        <v>0</v>
      </c>
      <c r="U70" s="284"/>
      <c r="W70" s="335">
        <v>11</v>
      </c>
      <c r="X70" s="342"/>
      <c r="Y70" s="337">
        <f t="shared" si="34"/>
        <v>0</v>
      </c>
      <c r="AA70" s="335">
        <v>11</v>
      </c>
      <c r="AB70" s="342"/>
      <c r="AC70" s="337">
        <f t="shared" si="35"/>
        <v>0</v>
      </c>
      <c r="AF70" s="284"/>
    </row>
    <row r="71" spans="1:32" x14ac:dyDescent="0.2">
      <c r="A71" s="338">
        <v>14</v>
      </c>
      <c r="B71" s="339">
        <f>StrateB!D74</f>
        <v>0</v>
      </c>
      <c r="C71" s="340">
        <f t="shared" si="26"/>
        <v>0</v>
      </c>
      <c r="D71" s="341">
        <f t="shared" si="27"/>
        <v>0</v>
      </c>
      <c r="F71" s="338">
        <v>14</v>
      </c>
      <c r="G71" s="339">
        <f>StrateB!M74</f>
        <v>0</v>
      </c>
      <c r="H71" s="340">
        <f t="shared" si="28"/>
        <v>0</v>
      </c>
      <c r="I71" s="341">
        <f t="shared" si="29"/>
        <v>0</v>
      </c>
      <c r="K71" s="338">
        <v>14</v>
      </c>
      <c r="L71" s="339">
        <f>StrateB!V74</f>
        <v>0</v>
      </c>
      <c r="M71" s="340">
        <f t="shared" si="30"/>
        <v>0</v>
      </c>
      <c r="N71" s="341">
        <f t="shared" si="31"/>
        <v>0</v>
      </c>
      <c r="P71" s="338">
        <v>14</v>
      </c>
      <c r="Q71" s="339">
        <f>StrateB!AE74</f>
        <v>0</v>
      </c>
      <c r="R71" s="340">
        <f t="shared" si="32"/>
        <v>0</v>
      </c>
      <c r="S71" s="341">
        <f t="shared" si="33"/>
        <v>0</v>
      </c>
      <c r="U71" s="284"/>
      <c r="W71" s="338">
        <v>12</v>
      </c>
      <c r="X71" s="343"/>
      <c r="Y71" s="341">
        <f t="shared" si="34"/>
        <v>0</v>
      </c>
      <c r="AA71" s="338">
        <v>12</v>
      </c>
      <c r="AB71" s="343"/>
      <c r="AC71" s="341">
        <f t="shared" si="35"/>
        <v>0</v>
      </c>
      <c r="AF71" s="284"/>
    </row>
    <row r="72" spans="1:32" x14ac:dyDescent="0.2">
      <c r="A72" s="335">
        <v>15</v>
      </c>
      <c r="B72" s="310">
        <f>StrateB!D75</f>
        <v>0</v>
      </c>
      <c r="C72" s="336">
        <f t="shared" si="26"/>
        <v>0</v>
      </c>
      <c r="D72" s="337">
        <f t="shared" si="27"/>
        <v>0</v>
      </c>
      <c r="F72" s="335">
        <v>15</v>
      </c>
      <c r="G72" s="310">
        <f>StrateB!M75</f>
        <v>0</v>
      </c>
      <c r="H72" s="336">
        <f t="shared" si="28"/>
        <v>0</v>
      </c>
      <c r="I72" s="337">
        <f t="shared" si="29"/>
        <v>0</v>
      </c>
      <c r="K72" s="335">
        <v>15</v>
      </c>
      <c r="L72" s="310">
        <f>StrateB!V75</f>
        <v>0</v>
      </c>
      <c r="M72" s="336">
        <f t="shared" si="30"/>
        <v>0</v>
      </c>
      <c r="N72" s="337">
        <f t="shared" si="31"/>
        <v>0</v>
      </c>
      <c r="P72" s="335">
        <v>15</v>
      </c>
      <c r="Q72" s="310">
        <f>StrateB!AE75</f>
        <v>0</v>
      </c>
      <c r="R72" s="336">
        <f t="shared" si="32"/>
        <v>0</v>
      </c>
      <c r="S72" s="337">
        <f t="shared" si="33"/>
        <v>0</v>
      </c>
      <c r="U72" s="284"/>
      <c r="W72" s="335">
        <v>13</v>
      </c>
      <c r="X72" s="342"/>
      <c r="Y72" s="337">
        <f t="shared" si="34"/>
        <v>0</v>
      </c>
      <c r="AA72" s="335">
        <v>13</v>
      </c>
      <c r="AB72" s="342"/>
      <c r="AC72" s="337">
        <f t="shared" si="35"/>
        <v>0</v>
      </c>
      <c r="AF72" s="284"/>
    </row>
    <row r="73" spans="1:32" x14ac:dyDescent="0.2">
      <c r="A73" s="338">
        <v>16</v>
      </c>
      <c r="B73" s="339">
        <f>StrateB!D76</f>
        <v>0</v>
      </c>
      <c r="C73" s="340">
        <f t="shared" si="26"/>
        <v>0</v>
      </c>
      <c r="D73" s="341">
        <f t="shared" si="27"/>
        <v>0</v>
      </c>
      <c r="F73" s="338">
        <v>16</v>
      </c>
      <c r="G73" s="339">
        <f>StrateB!M76</f>
        <v>0</v>
      </c>
      <c r="H73" s="340">
        <f t="shared" si="28"/>
        <v>0</v>
      </c>
      <c r="I73" s="341">
        <f t="shared" si="29"/>
        <v>0</v>
      </c>
      <c r="K73" s="338">
        <v>16</v>
      </c>
      <c r="L73" s="339">
        <f>StrateB!V76</f>
        <v>0</v>
      </c>
      <c r="M73" s="340">
        <f t="shared" si="30"/>
        <v>0</v>
      </c>
      <c r="N73" s="341">
        <f t="shared" si="31"/>
        <v>0</v>
      </c>
      <c r="P73" s="338">
        <v>16</v>
      </c>
      <c r="Q73" s="339">
        <f>StrateB!AE76</f>
        <v>0</v>
      </c>
      <c r="R73" s="340">
        <f t="shared" si="32"/>
        <v>0</v>
      </c>
      <c r="S73" s="341">
        <f t="shared" si="33"/>
        <v>0</v>
      </c>
      <c r="U73" s="284"/>
      <c r="W73" s="338">
        <v>14</v>
      </c>
      <c r="X73" s="343"/>
      <c r="Y73" s="341">
        <f t="shared" si="34"/>
        <v>0</v>
      </c>
      <c r="AA73" s="338">
        <v>14</v>
      </c>
      <c r="AB73" s="343"/>
      <c r="AC73" s="341">
        <f t="shared" si="35"/>
        <v>0</v>
      </c>
      <c r="AF73" s="284"/>
    </row>
    <row r="74" spans="1:32" x14ac:dyDescent="0.2">
      <c r="A74" s="335">
        <v>17</v>
      </c>
      <c r="B74" s="310">
        <f>StrateB!D77</f>
        <v>0</v>
      </c>
      <c r="C74" s="336">
        <f t="shared" si="26"/>
        <v>0</v>
      </c>
      <c r="D74" s="337">
        <f t="shared" si="27"/>
        <v>0</v>
      </c>
      <c r="F74" s="335">
        <v>17</v>
      </c>
      <c r="G74" s="310">
        <f>StrateB!M77</f>
        <v>0</v>
      </c>
      <c r="H74" s="336">
        <f t="shared" si="28"/>
        <v>0</v>
      </c>
      <c r="I74" s="337">
        <f t="shared" si="29"/>
        <v>0</v>
      </c>
      <c r="K74" s="335">
        <v>17</v>
      </c>
      <c r="L74" s="310">
        <f>StrateB!V77</f>
        <v>0</v>
      </c>
      <c r="M74" s="336">
        <f t="shared" si="30"/>
        <v>0</v>
      </c>
      <c r="N74" s="337">
        <f t="shared" si="31"/>
        <v>0</v>
      </c>
      <c r="P74" s="335">
        <v>17</v>
      </c>
      <c r="Q74" s="310">
        <f>StrateB!AE77</f>
        <v>0</v>
      </c>
      <c r="R74" s="336">
        <f t="shared" si="32"/>
        <v>0</v>
      </c>
      <c r="S74" s="337">
        <f t="shared" si="33"/>
        <v>0</v>
      </c>
      <c r="U74" s="284"/>
      <c r="W74" s="335">
        <v>15</v>
      </c>
      <c r="X74" s="342"/>
      <c r="Y74" s="337">
        <f t="shared" si="34"/>
        <v>0</v>
      </c>
      <c r="AA74" s="335">
        <v>15</v>
      </c>
      <c r="AB74" s="342"/>
      <c r="AC74" s="337">
        <f t="shared" si="35"/>
        <v>0</v>
      </c>
      <c r="AF74" s="284"/>
    </row>
    <row r="75" spans="1:32" x14ac:dyDescent="0.2">
      <c r="A75" s="338">
        <v>18</v>
      </c>
      <c r="B75" s="339">
        <f>StrateB!D78</f>
        <v>0</v>
      </c>
      <c r="C75" s="340">
        <f t="shared" si="26"/>
        <v>0</v>
      </c>
      <c r="D75" s="341">
        <f t="shared" si="27"/>
        <v>0</v>
      </c>
      <c r="F75" s="338">
        <v>18</v>
      </c>
      <c r="G75" s="339">
        <f>StrateB!M78</f>
        <v>0</v>
      </c>
      <c r="H75" s="340">
        <f t="shared" si="28"/>
        <v>0</v>
      </c>
      <c r="I75" s="341">
        <f t="shared" si="29"/>
        <v>0</v>
      </c>
      <c r="K75" s="338">
        <v>18</v>
      </c>
      <c r="L75" s="339">
        <f>StrateB!V78</f>
        <v>0</v>
      </c>
      <c r="M75" s="340">
        <f t="shared" si="30"/>
        <v>0</v>
      </c>
      <c r="N75" s="341">
        <f t="shared" si="31"/>
        <v>0</v>
      </c>
      <c r="P75" s="338">
        <v>18</v>
      </c>
      <c r="Q75" s="339">
        <f>StrateB!AE78</f>
        <v>0</v>
      </c>
      <c r="R75" s="340">
        <f t="shared" si="32"/>
        <v>0</v>
      </c>
      <c r="S75" s="341">
        <f t="shared" si="33"/>
        <v>0</v>
      </c>
      <c r="U75" s="284"/>
      <c r="W75" s="338">
        <v>16</v>
      </c>
      <c r="X75" s="343"/>
      <c r="Y75" s="341">
        <f t="shared" si="34"/>
        <v>0</v>
      </c>
      <c r="AA75" s="338">
        <v>16</v>
      </c>
      <c r="AB75" s="343"/>
      <c r="AC75" s="341">
        <f t="shared" si="35"/>
        <v>0</v>
      </c>
      <c r="AF75" s="284"/>
    </row>
    <row r="76" spans="1:32" x14ac:dyDescent="0.2">
      <c r="A76" s="335">
        <v>19</v>
      </c>
      <c r="B76" s="310">
        <f>StrateB!D79</f>
        <v>0</v>
      </c>
      <c r="C76" s="336">
        <f t="shared" si="26"/>
        <v>0</v>
      </c>
      <c r="D76" s="337">
        <f t="shared" si="27"/>
        <v>0</v>
      </c>
      <c r="F76" s="335">
        <v>19</v>
      </c>
      <c r="G76" s="310">
        <f>StrateB!M79</f>
        <v>0</v>
      </c>
      <c r="H76" s="336">
        <f t="shared" si="28"/>
        <v>0</v>
      </c>
      <c r="I76" s="337">
        <f t="shared" si="29"/>
        <v>0</v>
      </c>
      <c r="K76" s="335">
        <v>19</v>
      </c>
      <c r="L76" s="310">
        <f>StrateB!V79</f>
        <v>0</v>
      </c>
      <c r="M76" s="336">
        <f t="shared" si="30"/>
        <v>0</v>
      </c>
      <c r="N76" s="337">
        <f t="shared" si="31"/>
        <v>0</v>
      </c>
      <c r="P76" s="335">
        <v>19</v>
      </c>
      <c r="Q76" s="310">
        <f>StrateB!AE79</f>
        <v>0</v>
      </c>
      <c r="R76" s="336">
        <f t="shared" si="32"/>
        <v>0</v>
      </c>
      <c r="S76" s="337">
        <f t="shared" si="33"/>
        <v>0</v>
      </c>
      <c r="U76" s="284"/>
      <c r="W76" s="335">
        <v>17</v>
      </c>
      <c r="X76" s="342"/>
      <c r="Y76" s="337">
        <f t="shared" si="34"/>
        <v>0</v>
      </c>
      <c r="AA76" s="335">
        <v>17</v>
      </c>
      <c r="AB76" s="342"/>
      <c r="AC76" s="337">
        <f t="shared" si="35"/>
        <v>0</v>
      </c>
      <c r="AF76" s="284"/>
    </row>
    <row r="77" spans="1:32" x14ac:dyDescent="0.2">
      <c r="A77" s="338">
        <v>20</v>
      </c>
      <c r="B77" s="339">
        <f>StrateB!D80</f>
        <v>0</v>
      </c>
      <c r="C77" s="340">
        <f t="shared" si="26"/>
        <v>0</v>
      </c>
      <c r="D77" s="341">
        <f t="shared" si="27"/>
        <v>0</v>
      </c>
      <c r="F77" s="338">
        <v>20</v>
      </c>
      <c r="G77" s="339">
        <f>StrateB!M80</f>
        <v>0</v>
      </c>
      <c r="H77" s="340">
        <f t="shared" si="28"/>
        <v>0</v>
      </c>
      <c r="I77" s="341">
        <f t="shared" si="29"/>
        <v>0</v>
      </c>
      <c r="K77" s="338">
        <v>20</v>
      </c>
      <c r="L77" s="339">
        <f>StrateB!V80</f>
        <v>0</v>
      </c>
      <c r="M77" s="340">
        <f t="shared" si="30"/>
        <v>0</v>
      </c>
      <c r="N77" s="341">
        <f t="shared" si="31"/>
        <v>0</v>
      </c>
      <c r="P77" s="338">
        <v>20</v>
      </c>
      <c r="Q77" s="339">
        <f>StrateB!AE80</f>
        <v>0</v>
      </c>
      <c r="R77" s="340">
        <f t="shared" si="32"/>
        <v>0</v>
      </c>
      <c r="S77" s="341">
        <f t="shared" si="33"/>
        <v>0</v>
      </c>
      <c r="U77" s="284"/>
      <c r="W77" s="338">
        <v>18</v>
      </c>
      <c r="X77" s="343"/>
      <c r="Y77" s="341">
        <f t="shared" si="34"/>
        <v>0</v>
      </c>
      <c r="AA77" s="338">
        <v>18</v>
      </c>
      <c r="AB77" s="343"/>
      <c r="AC77" s="341">
        <f t="shared" si="35"/>
        <v>0</v>
      </c>
      <c r="AF77" s="284"/>
    </row>
    <row r="78" spans="1:32" x14ac:dyDescent="0.2">
      <c r="U78" s="284"/>
      <c r="W78" s="335">
        <v>19</v>
      </c>
      <c r="X78" s="342"/>
      <c r="Y78" s="337">
        <f t="shared" si="34"/>
        <v>0</v>
      </c>
      <c r="AA78" s="335">
        <v>19</v>
      </c>
      <c r="AB78" s="342"/>
      <c r="AC78" s="337">
        <f t="shared" si="35"/>
        <v>0</v>
      </c>
      <c r="AF78" s="284"/>
    </row>
    <row r="79" spans="1:32" x14ac:dyDescent="0.2">
      <c r="A79" s="344" t="s">
        <v>907</v>
      </c>
      <c r="B79" s="344"/>
      <c r="C79" s="344"/>
      <c r="D79" s="344"/>
      <c r="E79" s="344"/>
      <c r="F79" s="344"/>
      <c r="G79" s="344"/>
      <c r="H79" s="344"/>
      <c r="I79" s="344"/>
      <c r="J79" s="344"/>
      <c r="K79" s="344"/>
      <c r="L79" s="344"/>
      <c r="M79" s="344"/>
      <c r="N79" s="344"/>
      <c r="O79" s="344"/>
      <c r="P79" s="344"/>
      <c r="Q79" s="344"/>
      <c r="R79" s="344"/>
      <c r="S79" s="344"/>
      <c r="U79" s="284"/>
      <c r="W79" s="338">
        <v>20</v>
      </c>
      <c r="X79" s="343"/>
      <c r="Y79" s="341">
        <f t="shared" si="34"/>
        <v>0</v>
      </c>
      <c r="AA79" s="338">
        <v>20</v>
      </c>
      <c r="AB79" s="343"/>
      <c r="AC79" s="341">
        <f t="shared" si="35"/>
        <v>0</v>
      </c>
      <c r="AF79" s="284"/>
    </row>
    <row r="80" spans="1:32" x14ac:dyDescent="0.2">
      <c r="A80" s="332" t="s">
        <v>94</v>
      </c>
      <c r="B80" s="333" t="s">
        <v>18</v>
      </c>
      <c r="C80" s="333" t="s">
        <v>899</v>
      </c>
      <c r="D80" s="334" t="s">
        <v>905</v>
      </c>
      <c r="F80" s="332" t="s">
        <v>94</v>
      </c>
      <c r="G80" s="333" t="s">
        <v>18</v>
      </c>
      <c r="H80" s="333" t="s">
        <v>899</v>
      </c>
      <c r="I80" s="334" t="s">
        <v>905</v>
      </c>
      <c r="K80" s="332" t="s">
        <v>94</v>
      </c>
      <c r="L80" s="333" t="s">
        <v>18</v>
      </c>
      <c r="M80" s="333" t="s">
        <v>899</v>
      </c>
      <c r="N80" s="334" t="s">
        <v>905</v>
      </c>
      <c r="P80" s="332" t="s">
        <v>94</v>
      </c>
      <c r="Q80" s="333" t="s">
        <v>18</v>
      </c>
      <c r="R80" s="333" t="s">
        <v>899</v>
      </c>
      <c r="S80" s="334" t="s">
        <v>905</v>
      </c>
      <c r="U80" s="284"/>
      <c r="AF80" s="284"/>
    </row>
    <row r="81" spans="1:32" x14ac:dyDescent="0.2">
      <c r="A81" s="335">
        <v>1</v>
      </c>
      <c r="B81" s="310">
        <f>StrateB!D177</f>
        <v>0</v>
      </c>
      <c r="C81" s="336">
        <f>IF(B81=0,0,INT(B81/D$54))</f>
        <v>0</v>
      </c>
      <c r="D81" s="337">
        <f>IF(C81=0,0,C81*B$55)</f>
        <v>0</v>
      </c>
      <c r="F81" s="335">
        <v>1</v>
      </c>
      <c r="G81" s="310">
        <f>StrateB!M177</f>
        <v>0</v>
      </c>
      <c r="H81" s="336">
        <f>IF(G81=0,0,INT(G81/I$54))</f>
        <v>0</v>
      </c>
      <c r="I81" s="337">
        <f>IF(H81=0,0,H81*G$55)</f>
        <v>0</v>
      </c>
      <c r="K81" s="335">
        <v>1</v>
      </c>
      <c r="L81" s="310">
        <f>StrateB!V177</f>
        <v>0</v>
      </c>
      <c r="M81" s="336">
        <f>IF(L81=0,0,INT(L81/N$54))</f>
        <v>0</v>
      </c>
      <c r="N81" s="337">
        <f>IF(M81=0,0,M81*L$55)</f>
        <v>0</v>
      </c>
      <c r="P81" s="335">
        <v>1</v>
      </c>
      <c r="Q81" s="310">
        <f>StrateB!AE177</f>
        <v>0</v>
      </c>
      <c r="R81" s="336">
        <f>IF(Q81=0,0,INT(Q81/S$54))</f>
        <v>0</v>
      </c>
      <c r="S81" s="337">
        <f>IF(R81=0,0,R81*Q$55)</f>
        <v>0</v>
      </c>
      <c r="U81" s="284"/>
      <c r="W81" s="281" t="s">
        <v>0</v>
      </c>
      <c r="X81" s="281" t="s">
        <v>192</v>
      </c>
      <c r="Y81" s="281"/>
      <c r="Z81" s="281"/>
      <c r="AA81" s="281"/>
      <c r="AB81" s="281"/>
      <c r="AC81" s="281"/>
      <c r="AF81" s="284"/>
    </row>
    <row r="82" spans="1:32" x14ac:dyDescent="0.2">
      <c r="A82" s="338">
        <v>2</v>
      </c>
      <c r="B82" s="339">
        <f>StrateB!D178</f>
        <v>0</v>
      </c>
      <c r="C82" s="340">
        <f t="shared" ref="C82:C100" si="36">IF(B82=0,0,INT(B82/D$54))</f>
        <v>0</v>
      </c>
      <c r="D82" s="341">
        <f t="shared" ref="D82:D100" si="37">IF(C82=0,0,C82*B$55)</f>
        <v>0</v>
      </c>
      <c r="F82" s="338">
        <v>2</v>
      </c>
      <c r="G82" s="339">
        <f>StrateB!M178</f>
        <v>0</v>
      </c>
      <c r="H82" s="340">
        <f t="shared" ref="H82:H100" si="38">IF(G82=0,0,INT(G82/I$54))</f>
        <v>0</v>
      </c>
      <c r="I82" s="341">
        <f t="shared" ref="I82:I86" si="39">IF(H82=0,0,H82*G$55)</f>
        <v>0</v>
      </c>
      <c r="K82" s="338">
        <v>2</v>
      </c>
      <c r="L82" s="339">
        <f>StrateB!V178</f>
        <v>0</v>
      </c>
      <c r="M82" s="340">
        <f t="shared" ref="M82:M100" si="40">IF(L82=0,0,INT(L82/N$54))</f>
        <v>0</v>
      </c>
      <c r="N82" s="341">
        <f t="shared" ref="N82:N86" si="41">IF(M82=0,0,M82*L$55)</f>
        <v>0</v>
      </c>
      <c r="P82" s="338">
        <v>2</v>
      </c>
      <c r="Q82" s="339">
        <f>StrateB!AE178</f>
        <v>0</v>
      </c>
      <c r="R82" s="340">
        <f t="shared" ref="R82:R100" si="42">IF(Q82=0,0,INT(Q82/S$54))</f>
        <v>0</v>
      </c>
      <c r="S82" s="341">
        <f t="shared" ref="S82:S86" si="43">IF(R82=0,0,R82*Q$55)</f>
        <v>0</v>
      </c>
      <c r="U82" s="284"/>
      <c r="W82" t="s">
        <v>921</v>
      </c>
      <c r="X82" t="str">
        <f>'3.ESS_RÉGÉ'!S19</f>
        <v/>
      </c>
      <c r="AF82" s="284"/>
    </row>
    <row r="83" spans="1:32" x14ac:dyDescent="0.2">
      <c r="A83" s="335">
        <v>3</v>
      </c>
      <c r="B83" s="310">
        <f>StrateB!D179</f>
        <v>0</v>
      </c>
      <c r="C83" s="336">
        <f t="shared" si="36"/>
        <v>0</v>
      </c>
      <c r="D83" s="337">
        <f t="shared" si="37"/>
        <v>0</v>
      </c>
      <c r="F83" s="335">
        <v>3</v>
      </c>
      <c r="G83" s="310">
        <f>StrateB!M179</f>
        <v>0</v>
      </c>
      <c r="H83" s="336">
        <f t="shared" si="38"/>
        <v>0</v>
      </c>
      <c r="I83" s="337">
        <f t="shared" si="39"/>
        <v>0</v>
      </c>
      <c r="K83" s="335">
        <v>3</v>
      </c>
      <c r="L83" s="310">
        <f>StrateB!V179</f>
        <v>0</v>
      </c>
      <c r="M83" s="336">
        <f t="shared" si="40"/>
        <v>0</v>
      </c>
      <c r="N83" s="337">
        <f t="shared" si="41"/>
        <v>0</v>
      </c>
      <c r="P83" s="335">
        <v>3</v>
      </c>
      <c r="Q83" s="310">
        <f>StrateB!AE179</f>
        <v>0</v>
      </c>
      <c r="R83" s="336">
        <f t="shared" si="42"/>
        <v>0</v>
      </c>
      <c r="S83" s="337">
        <f t="shared" si="43"/>
        <v>0</v>
      </c>
      <c r="U83" s="284"/>
      <c r="AF83" s="284"/>
    </row>
    <row r="84" spans="1:32" x14ac:dyDescent="0.2">
      <c r="A84" s="338">
        <v>4</v>
      </c>
      <c r="B84" s="339">
        <f>StrateB!D180</f>
        <v>0</v>
      </c>
      <c r="C84" s="340">
        <f t="shared" si="36"/>
        <v>0</v>
      </c>
      <c r="D84" s="341">
        <f t="shared" si="37"/>
        <v>0</v>
      </c>
      <c r="F84" s="338">
        <v>4</v>
      </c>
      <c r="G84" s="339">
        <f>StrateB!M180</f>
        <v>0</v>
      </c>
      <c r="H84" s="340">
        <f t="shared" si="38"/>
        <v>0</v>
      </c>
      <c r="I84" s="341">
        <f t="shared" si="39"/>
        <v>0</v>
      </c>
      <c r="K84" s="338">
        <v>4</v>
      </c>
      <c r="L84" s="339">
        <f>StrateB!V180</f>
        <v>0</v>
      </c>
      <c r="M84" s="340">
        <f t="shared" si="40"/>
        <v>0</v>
      </c>
      <c r="N84" s="341">
        <f t="shared" si="41"/>
        <v>0</v>
      </c>
      <c r="P84" s="338">
        <v>4</v>
      </c>
      <c r="Q84" s="339">
        <f>StrateB!AE180</f>
        <v>0</v>
      </c>
      <c r="R84" s="340">
        <f t="shared" si="42"/>
        <v>0</v>
      </c>
      <c r="S84" s="341">
        <f t="shared" si="43"/>
        <v>0</v>
      </c>
      <c r="U84" s="284"/>
      <c r="W84" s="279" t="s">
        <v>900</v>
      </c>
      <c r="X84" s="279"/>
      <c r="Y84" s="279"/>
      <c r="AA84" s="280" t="s">
        <v>907</v>
      </c>
      <c r="AB84" s="280"/>
      <c r="AC84" s="280"/>
      <c r="AF84" s="284"/>
    </row>
    <row r="85" spans="1:32" x14ac:dyDescent="0.2">
      <c r="A85" s="335">
        <v>5</v>
      </c>
      <c r="B85" s="310">
        <f>StrateB!D181</f>
        <v>0</v>
      </c>
      <c r="C85" s="336">
        <f t="shared" si="36"/>
        <v>0</v>
      </c>
      <c r="D85" s="337">
        <f t="shared" si="37"/>
        <v>0</v>
      </c>
      <c r="F85" s="335">
        <v>5</v>
      </c>
      <c r="G85" s="310">
        <f>StrateB!M181</f>
        <v>0</v>
      </c>
      <c r="H85" s="336">
        <f t="shared" si="38"/>
        <v>0</v>
      </c>
      <c r="I85" s="337">
        <f t="shared" si="39"/>
        <v>0</v>
      </c>
      <c r="K85" s="335">
        <v>5</v>
      </c>
      <c r="L85" s="310">
        <f>StrateB!V181</f>
        <v>0</v>
      </c>
      <c r="M85" s="336">
        <f t="shared" si="40"/>
        <v>0</v>
      </c>
      <c r="N85" s="337">
        <f t="shared" si="41"/>
        <v>0</v>
      </c>
      <c r="P85" s="335">
        <v>5</v>
      </c>
      <c r="Q85" s="310">
        <f>StrateB!AE181</f>
        <v>0</v>
      </c>
      <c r="R85" s="336">
        <f t="shared" si="42"/>
        <v>0</v>
      </c>
      <c r="S85" s="337">
        <f t="shared" si="43"/>
        <v>0</v>
      </c>
      <c r="U85" s="284"/>
      <c r="W85" s="332" t="s">
        <v>94</v>
      </c>
      <c r="X85" s="333" t="s">
        <v>920</v>
      </c>
      <c r="Y85" s="334" t="s">
        <v>922</v>
      </c>
      <c r="AA85" s="332" t="s">
        <v>94</v>
      </c>
      <c r="AB85" s="333" t="s">
        <v>920</v>
      </c>
      <c r="AC85" s="334" t="s">
        <v>922</v>
      </c>
      <c r="AF85" s="284"/>
    </row>
    <row r="86" spans="1:32" x14ac:dyDescent="0.2">
      <c r="A86" s="338">
        <v>6</v>
      </c>
      <c r="B86" s="339">
        <f>StrateB!D182</f>
        <v>0</v>
      </c>
      <c r="C86" s="340">
        <f t="shared" si="36"/>
        <v>0</v>
      </c>
      <c r="D86" s="341">
        <f t="shared" si="37"/>
        <v>0</v>
      </c>
      <c r="F86" s="338">
        <v>6</v>
      </c>
      <c r="G86" s="339">
        <f>StrateB!M182</f>
        <v>0</v>
      </c>
      <c r="H86" s="340">
        <f t="shared" si="38"/>
        <v>0</v>
      </c>
      <c r="I86" s="341">
        <f t="shared" si="39"/>
        <v>0</v>
      </c>
      <c r="K86" s="338">
        <v>6</v>
      </c>
      <c r="L86" s="339">
        <f>StrateB!V182</f>
        <v>0</v>
      </c>
      <c r="M86" s="340">
        <f>IF(L86=0,0,INT(L86/N$54))</f>
        <v>0</v>
      </c>
      <c r="N86" s="341">
        <f t="shared" si="41"/>
        <v>0</v>
      </c>
      <c r="P86" s="338">
        <v>6</v>
      </c>
      <c r="Q86" s="339">
        <f>StrateB!AE182</f>
        <v>0</v>
      </c>
      <c r="R86" s="340">
        <f t="shared" si="42"/>
        <v>0</v>
      </c>
      <c r="S86" s="341">
        <f t="shared" si="43"/>
        <v>0</v>
      </c>
      <c r="U86" s="284"/>
      <c r="W86" s="335">
        <v>1</v>
      </c>
      <c r="X86" s="342" cm="1">
        <f t="array" ref="X86">IF(X82="",0,TRANSPOSE(StrateD!C86:V86))</f>
        <v>0</v>
      </c>
      <c r="Y86" s="337">
        <f>X86*2000</f>
        <v>0</v>
      </c>
      <c r="AA86" s="335">
        <v>1</v>
      </c>
      <c r="AB86" s="342" cm="1">
        <f t="array" ref="AB86">IF(X82="",0,TRANSPOSE(StrateD!C202:V202))</f>
        <v>0</v>
      </c>
      <c r="AC86" s="337">
        <f>AB86*2000</f>
        <v>0</v>
      </c>
      <c r="AF86" s="284"/>
    </row>
    <row r="87" spans="1:32" x14ac:dyDescent="0.2">
      <c r="A87" s="335">
        <v>7</v>
      </c>
      <c r="B87" s="310">
        <f>StrateB!D183</f>
        <v>0</v>
      </c>
      <c r="C87" s="336">
        <f t="shared" si="36"/>
        <v>0</v>
      </c>
      <c r="D87" s="337">
        <f>IF(C87=0,0,C87*B$55)</f>
        <v>0</v>
      </c>
      <c r="F87" s="335">
        <v>7</v>
      </c>
      <c r="G87" s="310">
        <f>StrateB!M183</f>
        <v>0</v>
      </c>
      <c r="H87" s="336">
        <f t="shared" si="38"/>
        <v>0</v>
      </c>
      <c r="I87" s="337">
        <f>IF(H87=0,0,H87*G$55)</f>
        <v>0</v>
      </c>
      <c r="K87" s="335">
        <v>7</v>
      </c>
      <c r="L87" s="310">
        <f>StrateB!V183</f>
        <v>0</v>
      </c>
      <c r="M87" s="336">
        <f t="shared" si="40"/>
        <v>0</v>
      </c>
      <c r="N87" s="337">
        <f>IF(M87=0,0,M87*L$55)</f>
        <v>0</v>
      </c>
      <c r="P87" s="335">
        <v>7</v>
      </c>
      <c r="Q87" s="310">
        <f>StrateB!AE183</f>
        <v>0</v>
      </c>
      <c r="R87" s="336">
        <f t="shared" si="42"/>
        <v>0</v>
      </c>
      <c r="S87" s="337">
        <f>IF(R87=0,0,R87*Q$55)</f>
        <v>0</v>
      </c>
      <c r="U87" s="284"/>
      <c r="W87" s="338">
        <v>2</v>
      </c>
      <c r="X87" s="343"/>
      <c r="Y87" s="341">
        <f t="shared" ref="Y87:Y105" si="44">X87*2000</f>
        <v>0</v>
      </c>
      <c r="AA87" s="338">
        <v>2</v>
      </c>
      <c r="AB87" s="343"/>
      <c r="AC87" s="341">
        <f t="shared" ref="AC87:AC105" si="45">AB87*2000</f>
        <v>0</v>
      </c>
      <c r="AF87" s="284"/>
    </row>
    <row r="88" spans="1:32" x14ac:dyDescent="0.2">
      <c r="A88" s="338">
        <v>8</v>
      </c>
      <c r="B88" s="339">
        <f>StrateB!D184</f>
        <v>0</v>
      </c>
      <c r="C88" s="340">
        <f t="shared" si="36"/>
        <v>0</v>
      </c>
      <c r="D88" s="341">
        <f t="shared" si="37"/>
        <v>0</v>
      </c>
      <c r="F88" s="338">
        <v>8</v>
      </c>
      <c r="G88" s="339">
        <f>StrateB!M184</f>
        <v>0</v>
      </c>
      <c r="H88" s="340">
        <f t="shared" si="38"/>
        <v>0</v>
      </c>
      <c r="I88" s="341">
        <f t="shared" ref="I88:I100" si="46">IF(H88=0,0,H88*G$55)</f>
        <v>0</v>
      </c>
      <c r="K88" s="338">
        <v>8</v>
      </c>
      <c r="L88" s="339">
        <f>StrateB!V184</f>
        <v>0</v>
      </c>
      <c r="M88" s="340">
        <f t="shared" si="40"/>
        <v>0</v>
      </c>
      <c r="N88" s="341">
        <f t="shared" ref="N88:N100" si="47">IF(M88=0,0,M88*L$55)</f>
        <v>0</v>
      </c>
      <c r="P88" s="338">
        <v>8</v>
      </c>
      <c r="Q88" s="339">
        <f>StrateB!AE184</f>
        <v>0</v>
      </c>
      <c r="R88" s="340">
        <f t="shared" si="42"/>
        <v>0</v>
      </c>
      <c r="S88" s="341">
        <f t="shared" ref="S88:S100" si="48">IF(R88=0,0,R88*Q$55)</f>
        <v>0</v>
      </c>
      <c r="U88" s="284"/>
      <c r="W88" s="335">
        <v>3</v>
      </c>
      <c r="X88" s="342"/>
      <c r="Y88" s="337">
        <f t="shared" si="44"/>
        <v>0</v>
      </c>
      <c r="AA88" s="335">
        <v>3</v>
      </c>
      <c r="AB88" s="342"/>
      <c r="AC88" s="337">
        <f t="shared" si="45"/>
        <v>0</v>
      </c>
      <c r="AF88" s="284"/>
    </row>
    <row r="89" spans="1:32" x14ac:dyDescent="0.2">
      <c r="A89" s="335">
        <v>9</v>
      </c>
      <c r="B89" s="310">
        <f>StrateB!D185</f>
        <v>0</v>
      </c>
      <c r="C89" s="336">
        <f t="shared" si="36"/>
        <v>0</v>
      </c>
      <c r="D89" s="337">
        <f t="shared" si="37"/>
        <v>0</v>
      </c>
      <c r="F89" s="335">
        <v>9</v>
      </c>
      <c r="G89" s="310">
        <f>StrateB!M185</f>
        <v>0</v>
      </c>
      <c r="H89" s="336">
        <f t="shared" si="38"/>
        <v>0</v>
      </c>
      <c r="I89" s="337">
        <f t="shared" si="46"/>
        <v>0</v>
      </c>
      <c r="K89" s="335">
        <v>9</v>
      </c>
      <c r="L89" s="310">
        <f>StrateB!V185</f>
        <v>0</v>
      </c>
      <c r="M89" s="336">
        <f t="shared" si="40"/>
        <v>0</v>
      </c>
      <c r="N89" s="337">
        <f t="shared" si="47"/>
        <v>0</v>
      </c>
      <c r="P89" s="335">
        <v>9</v>
      </c>
      <c r="Q89" s="310">
        <f>StrateB!AE185</f>
        <v>0</v>
      </c>
      <c r="R89" s="336">
        <f t="shared" si="42"/>
        <v>0</v>
      </c>
      <c r="S89" s="337">
        <f t="shared" si="48"/>
        <v>0</v>
      </c>
      <c r="U89" s="284"/>
      <c r="W89" s="338">
        <v>4</v>
      </c>
      <c r="X89" s="343"/>
      <c r="Y89" s="341">
        <f t="shared" si="44"/>
        <v>0</v>
      </c>
      <c r="AA89" s="338">
        <v>4</v>
      </c>
      <c r="AB89" s="343"/>
      <c r="AC89" s="341">
        <f t="shared" si="45"/>
        <v>0</v>
      </c>
      <c r="AF89" s="284"/>
    </row>
    <row r="90" spans="1:32" x14ac:dyDescent="0.2">
      <c r="A90" s="338">
        <v>10</v>
      </c>
      <c r="B90" s="339">
        <f>StrateB!D186</f>
        <v>0</v>
      </c>
      <c r="C90" s="340">
        <f t="shared" si="36"/>
        <v>0</v>
      </c>
      <c r="D90" s="341">
        <f t="shared" si="37"/>
        <v>0</v>
      </c>
      <c r="F90" s="338">
        <v>10</v>
      </c>
      <c r="G90" s="339">
        <f>StrateB!M186</f>
        <v>0</v>
      </c>
      <c r="H90" s="340">
        <f t="shared" si="38"/>
        <v>0</v>
      </c>
      <c r="I90" s="341">
        <f t="shared" si="46"/>
        <v>0</v>
      </c>
      <c r="K90" s="338">
        <v>10</v>
      </c>
      <c r="L90" s="339">
        <f>StrateB!V186</f>
        <v>0</v>
      </c>
      <c r="M90" s="340">
        <f t="shared" si="40"/>
        <v>0</v>
      </c>
      <c r="N90" s="341">
        <f t="shared" si="47"/>
        <v>0</v>
      </c>
      <c r="P90" s="338">
        <v>10</v>
      </c>
      <c r="Q90" s="339">
        <f>StrateB!AE186</f>
        <v>0</v>
      </c>
      <c r="R90" s="340">
        <f t="shared" si="42"/>
        <v>0</v>
      </c>
      <c r="S90" s="341">
        <f t="shared" si="48"/>
        <v>0</v>
      </c>
      <c r="U90" s="284"/>
      <c r="W90" s="335">
        <v>5</v>
      </c>
      <c r="X90" s="342"/>
      <c r="Y90" s="337">
        <f t="shared" si="44"/>
        <v>0</v>
      </c>
      <c r="AA90" s="335">
        <v>5</v>
      </c>
      <c r="AB90" s="342"/>
      <c r="AC90" s="337">
        <f t="shared" si="45"/>
        <v>0</v>
      </c>
      <c r="AF90" s="284"/>
    </row>
    <row r="91" spans="1:32" x14ac:dyDescent="0.2">
      <c r="A91" s="335">
        <v>11</v>
      </c>
      <c r="B91" s="310">
        <f>StrateB!D187</f>
        <v>0</v>
      </c>
      <c r="C91" s="336">
        <f t="shared" si="36"/>
        <v>0</v>
      </c>
      <c r="D91" s="337">
        <f t="shared" si="37"/>
        <v>0</v>
      </c>
      <c r="F91" s="335">
        <v>11</v>
      </c>
      <c r="G91" s="310">
        <f>StrateB!M187</f>
        <v>0</v>
      </c>
      <c r="H91" s="336">
        <f t="shared" si="38"/>
        <v>0</v>
      </c>
      <c r="I91" s="337">
        <f t="shared" si="46"/>
        <v>0</v>
      </c>
      <c r="K91" s="335">
        <v>11</v>
      </c>
      <c r="L91" s="310">
        <f>StrateB!V187</f>
        <v>0</v>
      </c>
      <c r="M91" s="336">
        <f t="shared" si="40"/>
        <v>0</v>
      </c>
      <c r="N91" s="337">
        <f t="shared" si="47"/>
        <v>0</v>
      </c>
      <c r="P91" s="335">
        <v>11</v>
      </c>
      <c r="Q91" s="310">
        <f>StrateB!AE187</f>
        <v>0</v>
      </c>
      <c r="R91" s="336">
        <f t="shared" si="42"/>
        <v>0</v>
      </c>
      <c r="S91" s="337">
        <f t="shared" si="48"/>
        <v>0</v>
      </c>
      <c r="U91" s="284"/>
      <c r="W91" s="338">
        <v>6</v>
      </c>
      <c r="X91" s="343"/>
      <c r="Y91" s="341">
        <f t="shared" si="44"/>
        <v>0</v>
      </c>
      <c r="AA91" s="338">
        <v>6</v>
      </c>
      <c r="AB91" s="343"/>
      <c r="AC91" s="341">
        <f t="shared" si="45"/>
        <v>0</v>
      </c>
      <c r="AF91" s="284"/>
    </row>
    <row r="92" spans="1:32" x14ac:dyDescent="0.2">
      <c r="A92" s="338">
        <v>12</v>
      </c>
      <c r="B92" s="339">
        <f>StrateB!D188</f>
        <v>0</v>
      </c>
      <c r="C92" s="340">
        <f t="shared" si="36"/>
        <v>0</v>
      </c>
      <c r="D92" s="341">
        <f t="shared" si="37"/>
        <v>0</v>
      </c>
      <c r="F92" s="338">
        <v>12</v>
      </c>
      <c r="G92" s="339">
        <f>StrateB!M188</f>
        <v>0</v>
      </c>
      <c r="H92" s="340">
        <f t="shared" si="38"/>
        <v>0</v>
      </c>
      <c r="I92" s="341">
        <f t="shared" si="46"/>
        <v>0</v>
      </c>
      <c r="K92" s="338">
        <v>12</v>
      </c>
      <c r="L92" s="339">
        <f>StrateB!V188</f>
        <v>0</v>
      </c>
      <c r="M92" s="340">
        <f t="shared" si="40"/>
        <v>0</v>
      </c>
      <c r="N92" s="341">
        <f t="shared" si="47"/>
        <v>0</v>
      </c>
      <c r="P92" s="338">
        <v>12</v>
      </c>
      <c r="Q92" s="339">
        <f>StrateB!AE188</f>
        <v>0</v>
      </c>
      <c r="R92" s="340">
        <f t="shared" si="42"/>
        <v>0</v>
      </c>
      <c r="S92" s="341">
        <f t="shared" si="48"/>
        <v>0</v>
      </c>
      <c r="U92" s="284"/>
      <c r="W92" s="335">
        <v>7</v>
      </c>
      <c r="X92" s="342"/>
      <c r="Y92" s="337">
        <f t="shared" si="44"/>
        <v>0</v>
      </c>
      <c r="AA92" s="335">
        <v>7</v>
      </c>
      <c r="AB92" s="342"/>
      <c r="AC92" s="337">
        <f t="shared" si="45"/>
        <v>0</v>
      </c>
      <c r="AF92" s="284"/>
    </row>
    <row r="93" spans="1:32" x14ac:dyDescent="0.2">
      <c r="A93" s="335">
        <v>13</v>
      </c>
      <c r="B93" s="310">
        <f>StrateB!D189</f>
        <v>0</v>
      </c>
      <c r="C93" s="336">
        <f t="shared" si="36"/>
        <v>0</v>
      </c>
      <c r="D93" s="337">
        <f t="shared" si="37"/>
        <v>0</v>
      </c>
      <c r="F93" s="335">
        <v>13</v>
      </c>
      <c r="G93" s="310">
        <f>StrateB!M189</f>
        <v>0</v>
      </c>
      <c r="H93" s="336">
        <f t="shared" si="38"/>
        <v>0</v>
      </c>
      <c r="I93" s="337">
        <f t="shared" si="46"/>
        <v>0</v>
      </c>
      <c r="K93" s="335">
        <v>13</v>
      </c>
      <c r="L93" s="310">
        <f>StrateB!V189</f>
        <v>0</v>
      </c>
      <c r="M93" s="336">
        <f t="shared" si="40"/>
        <v>0</v>
      </c>
      <c r="N93" s="337">
        <f t="shared" si="47"/>
        <v>0</v>
      </c>
      <c r="P93" s="335">
        <v>13</v>
      </c>
      <c r="Q93" s="310">
        <f>StrateB!AE189</f>
        <v>0</v>
      </c>
      <c r="R93" s="336">
        <f t="shared" si="42"/>
        <v>0</v>
      </c>
      <c r="S93" s="337">
        <f t="shared" si="48"/>
        <v>0</v>
      </c>
      <c r="U93" s="284"/>
      <c r="W93" s="338">
        <v>8</v>
      </c>
      <c r="X93" s="343"/>
      <c r="Y93" s="341">
        <f t="shared" si="44"/>
        <v>0</v>
      </c>
      <c r="AA93" s="338">
        <v>8</v>
      </c>
      <c r="AB93" s="343"/>
      <c r="AC93" s="341">
        <f t="shared" si="45"/>
        <v>0</v>
      </c>
      <c r="AF93" s="284"/>
    </row>
    <row r="94" spans="1:32" x14ac:dyDescent="0.2">
      <c r="A94" s="338">
        <v>14</v>
      </c>
      <c r="B94" s="339">
        <f>StrateB!D190</f>
        <v>0</v>
      </c>
      <c r="C94" s="340">
        <f t="shared" si="36"/>
        <v>0</v>
      </c>
      <c r="D94" s="341">
        <f t="shared" si="37"/>
        <v>0</v>
      </c>
      <c r="F94" s="338">
        <v>14</v>
      </c>
      <c r="G94" s="339">
        <f>StrateB!M190</f>
        <v>0</v>
      </c>
      <c r="H94" s="340">
        <f t="shared" si="38"/>
        <v>0</v>
      </c>
      <c r="I94" s="341">
        <f t="shared" si="46"/>
        <v>0</v>
      </c>
      <c r="K94" s="338">
        <v>14</v>
      </c>
      <c r="L94" s="339">
        <f>StrateB!V190</f>
        <v>0</v>
      </c>
      <c r="M94" s="340">
        <f t="shared" si="40"/>
        <v>0</v>
      </c>
      <c r="N94" s="341">
        <f t="shared" si="47"/>
        <v>0</v>
      </c>
      <c r="P94" s="338">
        <v>14</v>
      </c>
      <c r="Q94" s="339">
        <f>StrateB!AE190</f>
        <v>0</v>
      </c>
      <c r="R94" s="340">
        <f t="shared" si="42"/>
        <v>0</v>
      </c>
      <c r="S94" s="341">
        <f t="shared" si="48"/>
        <v>0</v>
      </c>
      <c r="U94" s="284"/>
      <c r="W94" s="335">
        <v>9</v>
      </c>
      <c r="X94" s="342"/>
      <c r="Y94" s="337">
        <f t="shared" si="44"/>
        <v>0</v>
      </c>
      <c r="AA94" s="335">
        <v>9</v>
      </c>
      <c r="AB94" s="342"/>
      <c r="AC94" s="337">
        <f t="shared" si="45"/>
        <v>0</v>
      </c>
      <c r="AF94" s="284"/>
    </row>
    <row r="95" spans="1:32" x14ac:dyDescent="0.2">
      <c r="A95" s="335">
        <v>15</v>
      </c>
      <c r="B95" s="310">
        <f>StrateB!D191</f>
        <v>0</v>
      </c>
      <c r="C95" s="336">
        <f t="shared" si="36"/>
        <v>0</v>
      </c>
      <c r="D95" s="337">
        <f t="shared" si="37"/>
        <v>0</v>
      </c>
      <c r="F95" s="335">
        <v>15</v>
      </c>
      <c r="G95" s="310">
        <f>StrateB!M191</f>
        <v>0</v>
      </c>
      <c r="H95" s="336">
        <f t="shared" si="38"/>
        <v>0</v>
      </c>
      <c r="I95" s="337">
        <f t="shared" si="46"/>
        <v>0</v>
      </c>
      <c r="K95" s="335">
        <v>15</v>
      </c>
      <c r="L95" s="310">
        <f>StrateB!V191</f>
        <v>0</v>
      </c>
      <c r="M95" s="336">
        <f t="shared" si="40"/>
        <v>0</v>
      </c>
      <c r="N95" s="337">
        <f t="shared" si="47"/>
        <v>0</v>
      </c>
      <c r="P95" s="335">
        <v>15</v>
      </c>
      <c r="Q95" s="310">
        <f>StrateB!AE191</f>
        <v>0</v>
      </c>
      <c r="R95" s="336">
        <f t="shared" si="42"/>
        <v>0</v>
      </c>
      <c r="S95" s="337">
        <f t="shared" si="48"/>
        <v>0</v>
      </c>
      <c r="U95" s="284"/>
      <c r="W95" s="338">
        <v>10</v>
      </c>
      <c r="X95" s="343"/>
      <c r="Y95" s="341">
        <f t="shared" si="44"/>
        <v>0</v>
      </c>
      <c r="AA95" s="338">
        <v>10</v>
      </c>
      <c r="AB95" s="343"/>
      <c r="AC95" s="341">
        <f t="shared" si="45"/>
        <v>0</v>
      </c>
      <c r="AF95" s="284"/>
    </row>
    <row r="96" spans="1:32" x14ac:dyDescent="0.2">
      <c r="A96" s="338">
        <v>16</v>
      </c>
      <c r="B96" s="339">
        <f>StrateB!D192</f>
        <v>0</v>
      </c>
      <c r="C96" s="340">
        <f>IF(B96=0,0,INT(B96/D$54))</f>
        <v>0</v>
      </c>
      <c r="D96" s="341">
        <f t="shared" si="37"/>
        <v>0</v>
      </c>
      <c r="F96" s="338">
        <v>16</v>
      </c>
      <c r="G96" s="339">
        <f>StrateB!M192</f>
        <v>0</v>
      </c>
      <c r="H96" s="340">
        <f>IF(G96=0,0,INT(G96/I$54))</f>
        <v>0</v>
      </c>
      <c r="I96" s="341">
        <f t="shared" si="46"/>
        <v>0</v>
      </c>
      <c r="K96" s="338">
        <v>16</v>
      </c>
      <c r="L96" s="339">
        <f>StrateB!V192</f>
        <v>0</v>
      </c>
      <c r="M96" s="340">
        <f>IF(L96=0,0,INT(L96/N$54))</f>
        <v>0</v>
      </c>
      <c r="N96" s="341">
        <f t="shared" si="47"/>
        <v>0</v>
      </c>
      <c r="P96" s="338">
        <v>16</v>
      </c>
      <c r="Q96" s="339">
        <f>StrateB!AE192</f>
        <v>0</v>
      </c>
      <c r="R96" s="340">
        <f>IF(Q96=0,0,INT(Q96/S$54))</f>
        <v>0</v>
      </c>
      <c r="S96" s="341">
        <f t="shared" si="48"/>
        <v>0</v>
      </c>
      <c r="U96" s="284"/>
      <c r="W96" s="335">
        <v>11</v>
      </c>
      <c r="X96" s="342"/>
      <c r="Y96" s="337">
        <f t="shared" si="44"/>
        <v>0</v>
      </c>
      <c r="AA96" s="335">
        <v>11</v>
      </c>
      <c r="AB96" s="342"/>
      <c r="AC96" s="337">
        <f t="shared" si="45"/>
        <v>0</v>
      </c>
      <c r="AF96" s="284"/>
    </row>
    <row r="97" spans="1:32" x14ac:dyDescent="0.2">
      <c r="A97" s="335">
        <v>17</v>
      </c>
      <c r="B97" s="310">
        <f>StrateB!D193</f>
        <v>0</v>
      </c>
      <c r="C97" s="336">
        <f t="shared" si="36"/>
        <v>0</v>
      </c>
      <c r="D97" s="337">
        <f t="shared" si="37"/>
        <v>0</v>
      </c>
      <c r="F97" s="335">
        <v>17</v>
      </c>
      <c r="G97" s="310">
        <f>StrateB!M193</f>
        <v>0</v>
      </c>
      <c r="H97" s="336">
        <f t="shared" si="38"/>
        <v>0</v>
      </c>
      <c r="I97" s="337">
        <f t="shared" si="46"/>
        <v>0</v>
      </c>
      <c r="K97" s="335">
        <v>17</v>
      </c>
      <c r="L97" s="310">
        <f>StrateB!V193</f>
        <v>0</v>
      </c>
      <c r="M97" s="336">
        <f t="shared" si="40"/>
        <v>0</v>
      </c>
      <c r="N97" s="337">
        <f t="shared" si="47"/>
        <v>0</v>
      </c>
      <c r="P97" s="335">
        <v>17</v>
      </c>
      <c r="Q97" s="310">
        <f>StrateB!AE193</f>
        <v>0</v>
      </c>
      <c r="R97" s="336">
        <f t="shared" si="42"/>
        <v>0</v>
      </c>
      <c r="S97" s="337">
        <f t="shared" si="48"/>
        <v>0</v>
      </c>
      <c r="U97" s="284"/>
      <c r="W97" s="338">
        <v>12</v>
      </c>
      <c r="X97" s="343"/>
      <c r="Y97" s="341">
        <f t="shared" si="44"/>
        <v>0</v>
      </c>
      <c r="AA97" s="338">
        <v>12</v>
      </c>
      <c r="AB97" s="343"/>
      <c r="AC97" s="341">
        <f t="shared" si="45"/>
        <v>0</v>
      </c>
      <c r="AF97" s="284"/>
    </row>
    <row r="98" spans="1:32" x14ac:dyDescent="0.2">
      <c r="A98" s="338">
        <v>18</v>
      </c>
      <c r="B98" s="339">
        <f>StrateB!D194</f>
        <v>0</v>
      </c>
      <c r="C98" s="340">
        <f t="shared" si="36"/>
        <v>0</v>
      </c>
      <c r="D98" s="341">
        <f t="shared" si="37"/>
        <v>0</v>
      </c>
      <c r="F98" s="338">
        <v>18</v>
      </c>
      <c r="G98" s="339">
        <f>StrateB!M194</f>
        <v>0</v>
      </c>
      <c r="H98" s="340">
        <f t="shared" si="38"/>
        <v>0</v>
      </c>
      <c r="I98" s="341">
        <f t="shared" si="46"/>
        <v>0</v>
      </c>
      <c r="K98" s="338">
        <v>18</v>
      </c>
      <c r="L98" s="339">
        <f>StrateB!V194</f>
        <v>0</v>
      </c>
      <c r="M98" s="340">
        <f t="shared" si="40"/>
        <v>0</v>
      </c>
      <c r="N98" s="341">
        <f t="shared" si="47"/>
        <v>0</v>
      </c>
      <c r="P98" s="338">
        <v>18</v>
      </c>
      <c r="Q98" s="339">
        <f>StrateB!AE194</f>
        <v>0</v>
      </c>
      <c r="R98" s="340">
        <f t="shared" si="42"/>
        <v>0</v>
      </c>
      <c r="S98" s="341">
        <f t="shared" si="48"/>
        <v>0</v>
      </c>
      <c r="U98" s="284"/>
      <c r="W98" s="335">
        <v>13</v>
      </c>
      <c r="X98" s="342"/>
      <c r="Y98" s="337">
        <f t="shared" si="44"/>
        <v>0</v>
      </c>
      <c r="AA98" s="335">
        <v>13</v>
      </c>
      <c r="AB98" s="342"/>
      <c r="AC98" s="337">
        <f t="shared" si="45"/>
        <v>0</v>
      </c>
      <c r="AF98" s="284"/>
    </row>
    <row r="99" spans="1:32" x14ac:dyDescent="0.2">
      <c r="A99" s="335">
        <v>19</v>
      </c>
      <c r="B99" s="310">
        <f>StrateB!D195</f>
        <v>0</v>
      </c>
      <c r="C99" s="336">
        <f t="shared" si="36"/>
        <v>0</v>
      </c>
      <c r="D99" s="337">
        <f t="shared" si="37"/>
        <v>0</v>
      </c>
      <c r="F99" s="335">
        <v>19</v>
      </c>
      <c r="G99" s="310">
        <f>StrateB!M195</f>
        <v>0</v>
      </c>
      <c r="H99" s="336">
        <f t="shared" si="38"/>
        <v>0</v>
      </c>
      <c r="I99" s="337">
        <f t="shared" si="46"/>
        <v>0</v>
      </c>
      <c r="K99" s="335">
        <v>19</v>
      </c>
      <c r="L99" s="310">
        <f>StrateB!V195</f>
        <v>0</v>
      </c>
      <c r="M99" s="336">
        <f t="shared" si="40"/>
        <v>0</v>
      </c>
      <c r="N99" s="337">
        <f t="shared" si="47"/>
        <v>0</v>
      </c>
      <c r="P99" s="335">
        <v>19</v>
      </c>
      <c r="Q99" s="310">
        <f>StrateB!AE195</f>
        <v>0</v>
      </c>
      <c r="R99" s="336">
        <f t="shared" si="42"/>
        <v>0</v>
      </c>
      <c r="S99" s="337">
        <f t="shared" si="48"/>
        <v>0</v>
      </c>
      <c r="U99" s="284"/>
      <c r="W99" s="338">
        <v>14</v>
      </c>
      <c r="X99" s="343"/>
      <c r="Y99" s="341">
        <f t="shared" si="44"/>
        <v>0</v>
      </c>
      <c r="AA99" s="338">
        <v>14</v>
      </c>
      <c r="AB99" s="343"/>
      <c r="AC99" s="341">
        <f t="shared" si="45"/>
        <v>0</v>
      </c>
      <c r="AF99" s="284"/>
    </row>
    <row r="100" spans="1:32" x14ac:dyDescent="0.2">
      <c r="A100" s="338">
        <v>20</v>
      </c>
      <c r="B100" s="339">
        <f>StrateB!D196</f>
        <v>0</v>
      </c>
      <c r="C100" s="340">
        <f t="shared" si="36"/>
        <v>0</v>
      </c>
      <c r="D100" s="341">
        <f t="shared" si="37"/>
        <v>0</v>
      </c>
      <c r="F100" s="338">
        <v>20</v>
      </c>
      <c r="G100" s="339">
        <f>StrateB!M196</f>
        <v>0</v>
      </c>
      <c r="H100" s="340">
        <f t="shared" si="38"/>
        <v>0</v>
      </c>
      <c r="I100" s="341">
        <f t="shared" si="46"/>
        <v>0</v>
      </c>
      <c r="K100" s="338">
        <v>20</v>
      </c>
      <c r="L100" s="339">
        <f>StrateB!V196</f>
        <v>0</v>
      </c>
      <c r="M100" s="340">
        <f t="shared" si="40"/>
        <v>0</v>
      </c>
      <c r="N100" s="341">
        <f t="shared" si="47"/>
        <v>0</v>
      </c>
      <c r="P100" s="338">
        <v>20</v>
      </c>
      <c r="Q100" s="339">
        <f>StrateB!AE196</f>
        <v>0</v>
      </c>
      <c r="R100" s="340">
        <f t="shared" si="42"/>
        <v>0</v>
      </c>
      <c r="S100" s="341">
        <f t="shared" si="48"/>
        <v>0</v>
      </c>
      <c r="U100" s="284"/>
      <c r="W100" s="335">
        <v>15</v>
      </c>
      <c r="X100" s="342"/>
      <c r="Y100" s="337">
        <f t="shared" si="44"/>
        <v>0</v>
      </c>
      <c r="AA100" s="335">
        <v>15</v>
      </c>
      <c r="AB100" s="342"/>
      <c r="AC100" s="337">
        <f t="shared" si="45"/>
        <v>0</v>
      </c>
      <c r="AF100" s="284"/>
    </row>
    <row r="101" spans="1:32" x14ac:dyDescent="0.2">
      <c r="U101" s="284"/>
      <c r="W101" s="338">
        <v>16</v>
      </c>
      <c r="X101" s="343"/>
      <c r="Y101" s="341">
        <f t="shared" si="44"/>
        <v>0</v>
      </c>
      <c r="AA101" s="338">
        <v>16</v>
      </c>
      <c r="AB101" s="343"/>
      <c r="AC101" s="341">
        <f t="shared" si="45"/>
        <v>0</v>
      </c>
      <c r="AF101" s="284"/>
    </row>
    <row r="102" spans="1:32" x14ac:dyDescent="0.2">
      <c r="U102" s="284"/>
      <c r="W102" s="335">
        <v>17</v>
      </c>
      <c r="X102" s="342"/>
      <c r="Y102" s="337">
        <f t="shared" si="44"/>
        <v>0</v>
      </c>
      <c r="AA102" s="335">
        <v>17</v>
      </c>
      <c r="AB102" s="342"/>
      <c r="AC102" s="337">
        <f t="shared" si="45"/>
        <v>0</v>
      </c>
      <c r="AF102" s="284"/>
    </row>
    <row r="103" spans="1:32" x14ac:dyDescent="0.2">
      <c r="A103" s="281" t="s">
        <v>0</v>
      </c>
      <c r="B103" s="281" t="s">
        <v>190</v>
      </c>
      <c r="C103" s="281"/>
      <c r="D103" s="281"/>
      <c r="E103" s="281"/>
      <c r="F103" s="281"/>
      <c r="G103" s="281"/>
      <c r="H103" s="281"/>
      <c r="I103" s="281"/>
      <c r="J103" s="281"/>
      <c r="K103" s="281"/>
      <c r="L103" s="281"/>
      <c r="M103" s="281"/>
      <c r="N103" s="281"/>
      <c r="O103" s="281"/>
      <c r="P103" s="281"/>
      <c r="Q103" s="281"/>
      <c r="R103" s="281"/>
      <c r="S103" s="281"/>
      <c r="U103" s="284"/>
      <c r="W103" s="338">
        <v>18</v>
      </c>
      <c r="X103" s="343"/>
      <c r="Y103" s="341">
        <f t="shared" si="44"/>
        <v>0</v>
      </c>
      <c r="AA103" s="338">
        <v>18</v>
      </c>
      <c r="AB103" s="343"/>
      <c r="AC103" s="341">
        <f t="shared" si="45"/>
        <v>0</v>
      </c>
      <c r="AF103" s="284"/>
    </row>
    <row r="104" spans="1:32" x14ac:dyDescent="0.2">
      <c r="A104" t="s">
        <v>901</v>
      </c>
      <c r="B104" t="str">
        <f>IF(StrateC!B58="","",StrateC!B58)</f>
        <v/>
      </c>
      <c r="C104" s="222" t="s">
        <v>908</v>
      </c>
      <c r="D104" t="str">
        <f>IF(B4="","",StrateC!D58)</f>
        <v/>
      </c>
      <c r="F104" t="s">
        <v>902</v>
      </c>
      <c r="G104" t="str">
        <f>IF(StrateC!K58="","",StrateC!K58)</f>
        <v/>
      </c>
      <c r="H104" s="222" t="s">
        <v>908</v>
      </c>
      <c r="I104" t="str">
        <f>IF(G4="","",StrateC!M58)</f>
        <v/>
      </c>
      <c r="K104" t="s">
        <v>903</v>
      </c>
      <c r="L104" t="str">
        <f>IF(StrateC!T58="","",StrateC!T58)</f>
        <v/>
      </c>
      <c r="M104" s="222" t="s">
        <v>908</v>
      </c>
      <c r="N104" t="str">
        <f>IF(L4="","",StrateC!V58)</f>
        <v/>
      </c>
      <c r="P104" t="s">
        <v>904</v>
      </c>
      <c r="Q104" t="str">
        <f>IF(StrateC!AC58="","",StrateC!AC58)</f>
        <v/>
      </c>
      <c r="R104" s="222" t="s">
        <v>908</v>
      </c>
      <c r="S104" t="str">
        <f>IF(Q4="","",StrateC!AE58)</f>
        <v/>
      </c>
      <c r="U104" s="284"/>
      <c r="W104" s="335">
        <v>19</v>
      </c>
      <c r="X104" s="342"/>
      <c r="Y104" s="337">
        <f t="shared" si="44"/>
        <v>0</v>
      </c>
      <c r="AA104" s="335">
        <v>19</v>
      </c>
      <c r="AB104" s="342"/>
      <c r="AC104" s="337">
        <f t="shared" si="45"/>
        <v>0</v>
      </c>
      <c r="AF104" s="284"/>
    </row>
    <row r="105" spans="1:32" x14ac:dyDescent="0.2">
      <c r="A105" t="s">
        <v>906</v>
      </c>
      <c r="B105" s="282" t="str">
        <f>IF(B104="","",VLOOKUP(B104,'1.GLOBAL'!$B$36:$E$47,4,FALSE))</f>
        <v/>
      </c>
      <c r="F105" t="s">
        <v>906</v>
      </c>
      <c r="G105" s="282" t="str">
        <f>IF(G104="","",VLOOKUP(G104,'1.GLOBAL'!$B$36:$E$47,4,FALSE))</f>
        <v/>
      </c>
      <c r="K105" t="s">
        <v>906</v>
      </c>
      <c r="L105" s="282" t="str">
        <f>IF(L104="","",VLOOKUP(L104,'1.GLOBAL'!$B$36:$E$47,4,FALSE))</f>
        <v/>
      </c>
      <c r="P105" t="s">
        <v>906</v>
      </c>
      <c r="Q105" s="282" t="str">
        <f>IF(Q104="","",VLOOKUP(Q104,'1.GLOBAL'!$B$36:$E$47,4,FALSE))</f>
        <v/>
      </c>
      <c r="U105" s="284"/>
      <c r="W105" s="338">
        <v>20</v>
      </c>
      <c r="X105" s="343"/>
      <c r="Y105" s="341">
        <f t="shared" si="44"/>
        <v>0</v>
      </c>
      <c r="AA105" s="338">
        <v>20</v>
      </c>
      <c r="AB105" s="343"/>
      <c r="AC105" s="341">
        <f t="shared" si="45"/>
        <v>0</v>
      </c>
      <c r="AF105" s="284"/>
    </row>
    <row r="106" spans="1:32" x14ac:dyDescent="0.2">
      <c r="A106" s="279" t="s">
        <v>900</v>
      </c>
      <c r="B106" s="279"/>
      <c r="C106" s="279"/>
      <c r="D106" s="279"/>
      <c r="E106" s="279"/>
      <c r="F106" s="279"/>
      <c r="G106" s="279"/>
      <c r="H106" s="279"/>
      <c r="I106" s="279"/>
      <c r="J106" s="279"/>
      <c r="K106" s="279"/>
      <c r="L106" s="279"/>
      <c r="M106" s="279"/>
      <c r="N106" s="279"/>
      <c r="O106" s="279"/>
      <c r="P106" s="279"/>
      <c r="Q106" s="279"/>
      <c r="R106" s="279"/>
      <c r="S106" s="279"/>
      <c r="U106" s="284"/>
      <c r="AF106" s="284"/>
    </row>
    <row r="107" spans="1:32" x14ac:dyDescent="0.2">
      <c r="A107" s="332" t="s">
        <v>94</v>
      </c>
      <c r="B107" s="333" t="s">
        <v>18</v>
      </c>
      <c r="C107" s="333" t="s">
        <v>899</v>
      </c>
      <c r="D107" s="334" t="s">
        <v>905</v>
      </c>
      <c r="F107" s="332" t="s">
        <v>94</v>
      </c>
      <c r="G107" s="333" t="s">
        <v>18</v>
      </c>
      <c r="H107" s="333" t="s">
        <v>899</v>
      </c>
      <c r="I107" s="334" t="s">
        <v>905</v>
      </c>
      <c r="K107" s="332" t="s">
        <v>94</v>
      </c>
      <c r="L107" s="333" t="s">
        <v>18</v>
      </c>
      <c r="M107" s="333" t="s">
        <v>899</v>
      </c>
      <c r="N107" s="334" t="s">
        <v>905</v>
      </c>
      <c r="P107" s="332" t="s">
        <v>94</v>
      </c>
      <c r="Q107" s="333" t="s">
        <v>18</v>
      </c>
      <c r="R107" s="333" t="s">
        <v>899</v>
      </c>
      <c r="S107" s="334" t="s">
        <v>905</v>
      </c>
      <c r="U107" s="284"/>
      <c r="AF107" s="284"/>
    </row>
    <row r="108" spans="1:32" x14ac:dyDescent="0.2">
      <c r="A108" s="335">
        <v>1</v>
      </c>
      <c r="B108" s="310">
        <f>StrateC!D61</f>
        <v>0</v>
      </c>
      <c r="C108" s="336">
        <f>IF(B108=0,0,INT(B108/D$104))</f>
        <v>0</v>
      </c>
      <c r="D108" s="337">
        <f>IF(C108=0,0,C108*B$105)</f>
        <v>0</v>
      </c>
      <c r="F108" s="335">
        <v>1</v>
      </c>
      <c r="G108" s="310">
        <f>StrateC!M61</f>
        <v>0</v>
      </c>
      <c r="H108" s="336">
        <f>IF(G108=0,0,INT(G108/I$104))</f>
        <v>0</v>
      </c>
      <c r="I108" s="337">
        <f>IF(H108=0,0,H108*G$105)</f>
        <v>0</v>
      </c>
      <c r="K108" s="335">
        <v>1</v>
      </c>
      <c r="L108" s="310">
        <f>StrateC!V61</f>
        <v>0</v>
      </c>
      <c r="M108" s="336">
        <f>IF(L108=0,0,INT(L108/N$104))</f>
        <v>0</v>
      </c>
      <c r="N108" s="337">
        <f>IF(M108=0,0,M108*L$105)</f>
        <v>0</v>
      </c>
      <c r="P108" s="335">
        <v>1</v>
      </c>
      <c r="Q108" s="310">
        <f>StrateC!AE61</f>
        <v>0</v>
      </c>
      <c r="R108" s="336">
        <f>IF(Q108=0,0,INT(Q108/S$104))</f>
        <v>0</v>
      </c>
      <c r="S108" s="337">
        <f>IF(R108=0,0,R108*Q$105)</f>
        <v>0</v>
      </c>
      <c r="U108" s="284"/>
      <c r="AF108" s="284"/>
    </row>
    <row r="109" spans="1:32" x14ac:dyDescent="0.2">
      <c r="A109" s="338">
        <v>2</v>
      </c>
      <c r="B109" s="339">
        <f>StrateC!D62</f>
        <v>0</v>
      </c>
      <c r="C109" s="340">
        <f t="shared" ref="C109:C127" si="49">IF(B109=0,0,INT(B109/D$104))</f>
        <v>0</v>
      </c>
      <c r="D109" s="341">
        <f t="shared" ref="D109:D127" si="50">IF(C109=0,0,C109*B$105)</f>
        <v>0</v>
      </c>
      <c r="F109" s="338">
        <v>2</v>
      </c>
      <c r="G109" s="339">
        <f>StrateC!M62</f>
        <v>0</v>
      </c>
      <c r="H109" s="340">
        <f t="shared" ref="H109:H127" si="51">IF(G109=0,0,INT(G109/I$104))</f>
        <v>0</v>
      </c>
      <c r="I109" s="341">
        <f t="shared" ref="I109:I127" si="52">IF(H109=0,0,H109*G$105)</f>
        <v>0</v>
      </c>
      <c r="K109" s="338">
        <v>2</v>
      </c>
      <c r="L109" s="339">
        <f>StrateC!V62</f>
        <v>0</v>
      </c>
      <c r="M109" s="340">
        <f t="shared" ref="M109:M127" si="53">IF(L109=0,0,INT(L109/N$104))</f>
        <v>0</v>
      </c>
      <c r="N109" s="341">
        <f t="shared" ref="N109:N127" si="54">IF(M109=0,0,M109*L$105)</f>
        <v>0</v>
      </c>
      <c r="P109" s="338">
        <v>2</v>
      </c>
      <c r="Q109" s="339">
        <f>StrateC!AE62</f>
        <v>0</v>
      </c>
      <c r="R109" s="340">
        <f t="shared" ref="R109:R127" si="55">IF(Q109=0,0,INT(Q109/S$104))</f>
        <v>0</v>
      </c>
      <c r="S109" s="341">
        <f t="shared" ref="S109:S127" si="56">IF(R109=0,0,R109*Q$105)</f>
        <v>0</v>
      </c>
      <c r="U109" s="284"/>
      <c r="AF109" s="284"/>
    </row>
    <row r="110" spans="1:32" x14ac:dyDescent="0.2">
      <c r="A110" s="335">
        <v>3</v>
      </c>
      <c r="B110" s="310">
        <f>StrateC!D63</f>
        <v>0</v>
      </c>
      <c r="C110" s="336">
        <f t="shared" si="49"/>
        <v>0</v>
      </c>
      <c r="D110" s="337">
        <f t="shared" si="50"/>
        <v>0</v>
      </c>
      <c r="F110" s="335">
        <v>3</v>
      </c>
      <c r="G110" s="310">
        <f>StrateC!M63</f>
        <v>0</v>
      </c>
      <c r="H110" s="336">
        <f t="shared" si="51"/>
        <v>0</v>
      </c>
      <c r="I110" s="337">
        <f t="shared" si="52"/>
        <v>0</v>
      </c>
      <c r="K110" s="335">
        <v>3</v>
      </c>
      <c r="L110" s="310">
        <f>StrateC!V63</f>
        <v>0</v>
      </c>
      <c r="M110" s="336">
        <f t="shared" si="53"/>
        <v>0</v>
      </c>
      <c r="N110" s="337">
        <f t="shared" si="54"/>
        <v>0</v>
      </c>
      <c r="P110" s="335">
        <v>3</v>
      </c>
      <c r="Q110" s="310">
        <f>StrateC!AE63</f>
        <v>0</v>
      </c>
      <c r="R110" s="336">
        <f t="shared" si="55"/>
        <v>0</v>
      </c>
      <c r="S110" s="337">
        <f t="shared" si="56"/>
        <v>0</v>
      </c>
      <c r="U110" s="284"/>
      <c r="AF110" s="284"/>
    </row>
    <row r="111" spans="1:32" x14ac:dyDescent="0.2">
      <c r="A111" s="338">
        <v>4</v>
      </c>
      <c r="B111" s="339">
        <f>StrateC!D64</f>
        <v>0</v>
      </c>
      <c r="C111" s="340">
        <f t="shared" si="49"/>
        <v>0</v>
      </c>
      <c r="D111" s="341">
        <f t="shared" si="50"/>
        <v>0</v>
      </c>
      <c r="F111" s="338">
        <v>4</v>
      </c>
      <c r="G111" s="339">
        <f>StrateC!M64</f>
        <v>0</v>
      </c>
      <c r="H111" s="340">
        <f t="shared" si="51"/>
        <v>0</v>
      </c>
      <c r="I111" s="341">
        <f t="shared" si="52"/>
        <v>0</v>
      </c>
      <c r="K111" s="338">
        <v>4</v>
      </c>
      <c r="L111" s="339">
        <f>StrateC!V64</f>
        <v>0</v>
      </c>
      <c r="M111" s="340">
        <f t="shared" si="53"/>
        <v>0</v>
      </c>
      <c r="N111" s="341">
        <f t="shared" si="54"/>
        <v>0</v>
      </c>
      <c r="P111" s="338">
        <v>4</v>
      </c>
      <c r="Q111" s="339">
        <f>StrateC!AE64</f>
        <v>0</v>
      </c>
      <c r="R111" s="340">
        <f t="shared" si="55"/>
        <v>0</v>
      </c>
      <c r="S111" s="341">
        <f t="shared" si="56"/>
        <v>0</v>
      </c>
      <c r="U111" s="284"/>
      <c r="AF111" s="284"/>
    </row>
    <row r="112" spans="1:32" x14ac:dyDescent="0.2">
      <c r="A112" s="335">
        <v>5</v>
      </c>
      <c r="B112" s="310">
        <f>StrateC!D65</f>
        <v>0</v>
      </c>
      <c r="C112" s="336">
        <f t="shared" si="49"/>
        <v>0</v>
      </c>
      <c r="D112" s="337">
        <f t="shared" si="50"/>
        <v>0</v>
      </c>
      <c r="F112" s="335">
        <v>5</v>
      </c>
      <c r="G112" s="310">
        <f>StrateC!M65</f>
        <v>0</v>
      </c>
      <c r="H112" s="336">
        <f t="shared" si="51"/>
        <v>0</v>
      </c>
      <c r="I112" s="337">
        <f t="shared" si="52"/>
        <v>0</v>
      </c>
      <c r="K112" s="335">
        <v>5</v>
      </c>
      <c r="L112" s="310">
        <f>StrateC!V65</f>
        <v>0</v>
      </c>
      <c r="M112" s="336">
        <f t="shared" si="53"/>
        <v>0</v>
      </c>
      <c r="N112" s="337">
        <f t="shared" si="54"/>
        <v>0</v>
      </c>
      <c r="P112" s="335">
        <v>5</v>
      </c>
      <c r="Q112" s="310">
        <f>StrateC!AE65</f>
        <v>0</v>
      </c>
      <c r="R112" s="336">
        <f t="shared" si="55"/>
        <v>0</v>
      </c>
      <c r="S112" s="337">
        <f t="shared" si="56"/>
        <v>0</v>
      </c>
      <c r="U112" s="284"/>
      <c r="AF112" s="284"/>
    </row>
    <row r="113" spans="1:32" x14ac:dyDescent="0.2">
      <c r="A113" s="338">
        <v>6</v>
      </c>
      <c r="B113" s="339">
        <f>StrateC!D66</f>
        <v>0</v>
      </c>
      <c r="C113" s="340">
        <f t="shared" si="49"/>
        <v>0</v>
      </c>
      <c r="D113" s="341">
        <f t="shared" si="50"/>
        <v>0</v>
      </c>
      <c r="F113" s="338">
        <v>6</v>
      </c>
      <c r="G113" s="339">
        <f>StrateC!M66</f>
        <v>0</v>
      </c>
      <c r="H113" s="340">
        <f t="shared" si="51"/>
        <v>0</v>
      </c>
      <c r="I113" s="341">
        <f t="shared" si="52"/>
        <v>0</v>
      </c>
      <c r="K113" s="338">
        <v>6</v>
      </c>
      <c r="L113" s="339">
        <f>StrateC!V66</f>
        <v>0</v>
      </c>
      <c r="M113" s="340">
        <f t="shared" si="53"/>
        <v>0</v>
      </c>
      <c r="N113" s="341">
        <f t="shared" si="54"/>
        <v>0</v>
      </c>
      <c r="P113" s="338">
        <v>6</v>
      </c>
      <c r="Q113" s="339">
        <f>StrateC!AE66</f>
        <v>0</v>
      </c>
      <c r="R113" s="340">
        <f t="shared" si="55"/>
        <v>0</v>
      </c>
      <c r="S113" s="341">
        <f t="shared" si="56"/>
        <v>0</v>
      </c>
      <c r="U113" s="284"/>
      <c r="AF113" s="284"/>
    </row>
    <row r="114" spans="1:32" x14ac:dyDescent="0.2">
      <c r="A114" s="335">
        <v>7</v>
      </c>
      <c r="B114" s="310">
        <f>StrateC!D67</f>
        <v>0</v>
      </c>
      <c r="C114" s="336">
        <f t="shared" si="49"/>
        <v>0</v>
      </c>
      <c r="D114" s="337">
        <f t="shared" si="50"/>
        <v>0</v>
      </c>
      <c r="F114" s="335">
        <v>7</v>
      </c>
      <c r="G114" s="310">
        <f>StrateC!M67</f>
        <v>0</v>
      </c>
      <c r="H114" s="336">
        <f t="shared" si="51"/>
        <v>0</v>
      </c>
      <c r="I114" s="337">
        <f t="shared" si="52"/>
        <v>0</v>
      </c>
      <c r="K114" s="335">
        <v>7</v>
      </c>
      <c r="L114" s="310">
        <f>StrateC!V67</f>
        <v>0</v>
      </c>
      <c r="M114" s="336">
        <f t="shared" si="53"/>
        <v>0</v>
      </c>
      <c r="N114" s="337">
        <f t="shared" si="54"/>
        <v>0</v>
      </c>
      <c r="P114" s="335">
        <v>7</v>
      </c>
      <c r="Q114" s="310">
        <f>StrateC!AE67</f>
        <v>0</v>
      </c>
      <c r="R114" s="336">
        <f t="shared" si="55"/>
        <v>0</v>
      </c>
      <c r="S114" s="337">
        <f t="shared" si="56"/>
        <v>0</v>
      </c>
      <c r="U114" s="284"/>
      <c r="AF114" s="284"/>
    </row>
    <row r="115" spans="1:32" x14ac:dyDescent="0.2">
      <c r="A115" s="338">
        <v>8</v>
      </c>
      <c r="B115" s="339">
        <f>StrateC!D68</f>
        <v>0</v>
      </c>
      <c r="C115" s="340">
        <f t="shared" si="49"/>
        <v>0</v>
      </c>
      <c r="D115" s="341">
        <f t="shared" si="50"/>
        <v>0</v>
      </c>
      <c r="F115" s="338">
        <v>8</v>
      </c>
      <c r="G115" s="339">
        <f>StrateC!M68</f>
        <v>0</v>
      </c>
      <c r="H115" s="340">
        <f t="shared" si="51"/>
        <v>0</v>
      </c>
      <c r="I115" s="341">
        <f t="shared" si="52"/>
        <v>0</v>
      </c>
      <c r="K115" s="338">
        <v>8</v>
      </c>
      <c r="L115" s="339">
        <f>StrateC!V68</f>
        <v>0</v>
      </c>
      <c r="M115" s="340">
        <f t="shared" si="53"/>
        <v>0</v>
      </c>
      <c r="N115" s="341">
        <f t="shared" si="54"/>
        <v>0</v>
      </c>
      <c r="P115" s="338">
        <v>8</v>
      </c>
      <c r="Q115" s="339">
        <f>StrateC!AE68</f>
        <v>0</v>
      </c>
      <c r="R115" s="340">
        <f t="shared" si="55"/>
        <v>0</v>
      </c>
      <c r="S115" s="341">
        <f t="shared" si="56"/>
        <v>0</v>
      </c>
      <c r="U115" s="284"/>
      <c r="AF115" s="284"/>
    </row>
    <row r="116" spans="1:32" x14ac:dyDescent="0.2">
      <c r="A116" s="335">
        <v>9</v>
      </c>
      <c r="B116" s="310">
        <f>StrateC!D69</f>
        <v>0</v>
      </c>
      <c r="C116" s="336">
        <f t="shared" si="49"/>
        <v>0</v>
      </c>
      <c r="D116" s="337">
        <f t="shared" si="50"/>
        <v>0</v>
      </c>
      <c r="F116" s="335">
        <v>9</v>
      </c>
      <c r="G116" s="310">
        <f>StrateC!M69</f>
        <v>0</v>
      </c>
      <c r="H116" s="336">
        <f t="shared" si="51"/>
        <v>0</v>
      </c>
      <c r="I116" s="337">
        <f t="shared" si="52"/>
        <v>0</v>
      </c>
      <c r="K116" s="335">
        <v>9</v>
      </c>
      <c r="L116" s="310">
        <f>StrateC!V69</f>
        <v>0</v>
      </c>
      <c r="M116" s="336">
        <f t="shared" si="53"/>
        <v>0</v>
      </c>
      <c r="N116" s="337">
        <f t="shared" si="54"/>
        <v>0</v>
      </c>
      <c r="P116" s="335">
        <v>9</v>
      </c>
      <c r="Q116" s="310">
        <f>StrateC!AE69</f>
        <v>0</v>
      </c>
      <c r="R116" s="336">
        <f t="shared" si="55"/>
        <v>0</v>
      </c>
      <c r="S116" s="337">
        <f t="shared" si="56"/>
        <v>0</v>
      </c>
      <c r="U116" s="284"/>
      <c r="AF116" s="284"/>
    </row>
    <row r="117" spans="1:32" x14ac:dyDescent="0.2">
      <c r="A117" s="338">
        <v>10</v>
      </c>
      <c r="B117" s="339">
        <f>StrateC!D70</f>
        <v>0</v>
      </c>
      <c r="C117" s="340">
        <f t="shared" si="49"/>
        <v>0</v>
      </c>
      <c r="D117" s="341">
        <f t="shared" si="50"/>
        <v>0</v>
      </c>
      <c r="F117" s="338">
        <v>10</v>
      </c>
      <c r="G117" s="339">
        <f>StrateC!M70</f>
        <v>0</v>
      </c>
      <c r="H117" s="340">
        <f t="shared" si="51"/>
        <v>0</v>
      </c>
      <c r="I117" s="341">
        <f t="shared" si="52"/>
        <v>0</v>
      </c>
      <c r="K117" s="338">
        <v>10</v>
      </c>
      <c r="L117" s="339">
        <f>StrateC!V70</f>
        <v>0</v>
      </c>
      <c r="M117" s="340">
        <f t="shared" si="53"/>
        <v>0</v>
      </c>
      <c r="N117" s="341">
        <f t="shared" si="54"/>
        <v>0</v>
      </c>
      <c r="P117" s="338">
        <v>10</v>
      </c>
      <c r="Q117" s="339">
        <f>StrateC!AE70</f>
        <v>0</v>
      </c>
      <c r="R117" s="340">
        <f t="shared" si="55"/>
        <v>0</v>
      </c>
      <c r="S117" s="341">
        <f t="shared" si="56"/>
        <v>0</v>
      </c>
      <c r="U117" s="284"/>
      <c r="AF117" s="284"/>
    </row>
    <row r="118" spans="1:32" x14ac:dyDescent="0.2">
      <c r="A118" s="335">
        <v>11</v>
      </c>
      <c r="B118" s="310">
        <f>StrateC!D71</f>
        <v>0</v>
      </c>
      <c r="C118" s="336">
        <f t="shared" si="49"/>
        <v>0</v>
      </c>
      <c r="D118" s="337">
        <f t="shared" si="50"/>
        <v>0</v>
      </c>
      <c r="F118" s="335">
        <v>11</v>
      </c>
      <c r="G118" s="310">
        <f>StrateC!M71</f>
        <v>0</v>
      </c>
      <c r="H118" s="336">
        <f t="shared" si="51"/>
        <v>0</v>
      </c>
      <c r="I118" s="337">
        <f t="shared" si="52"/>
        <v>0</v>
      </c>
      <c r="K118" s="335">
        <v>11</v>
      </c>
      <c r="L118" s="310">
        <f>StrateC!V71</f>
        <v>0</v>
      </c>
      <c r="M118" s="336">
        <f t="shared" si="53"/>
        <v>0</v>
      </c>
      <c r="N118" s="337">
        <f t="shared" si="54"/>
        <v>0</v>
      </c>
      <c r="P118" s="335">
        <v>11</v>
      </c>
      <c r="Q118" s="310">
        <f>StrateC!AE71</f>
        <v>0</v>
      </c>
      <c r="R118" s="336">
        <f t="shared" si="55"/>
        <v>0</v>
      </c>
      <c r="S118" s="337">
        <f t="shared" si="56"/>
        <v>0</v>
      </c>
      <c r="U118" s="284"/>
      <c r="AF118" s="284"/>
    </row>
    <row r="119" spans="1:32" x14ac:dyDescent="0.2">
      <c r="A119" s="338">
        <v>12</v>
      </c>
      <c r="B119" s="339">
        <f>StrateC!D72</f>
        <v>0</v>
      </c>
      <c r="C119" s="340">
        <f t="shared" si="49"/>
        <v>0</v>
      </c>
      <c r="D119" s="341">
        <f t="shared" si="50"/>
        <v>0</v>
      </c>
      <c r="F119" s="338">
        <v>12</v>
      </c>
      <c r="G119" s="339">
        <f>StrateC!M72</f>
        <v>0</v>
      </c>
      <c r="H119" s="340">
        <f t="shared" si="51"/>
        <v>0</v>
      </c>
      <c r="I119" s="341">
        <f t="shared" si="52"/>
        <v>0</v>
      </c>
      <c r="K119" s="338">
        <v>12</v>
      </c>
      <c r="L119" s="339">
        <f>StrateC!V72</f>
        <v>0</v>
      </c>
      <c r="M119" s="340">
        <f t="shared" si="53"/>
        <v>0</v>
      </c>
      <c r="N119" s="341">
        <f t="shared" si="54"/>
        <v>0</v>
      </c>
      <c r="P119" s="338">
        <v>12</v>
      </c>
      <c r="Q119" s="339">
        <f>StrateC!AE72</f>
        <v>0</v>
      </c>
      <c r="R119" s="340">
        <f t="shared" si="55"/>
        <v>0</v>
      </c>
      <c r="S119" s="341">
        <f t="shared" si="56"/>
        <v>0</v>
      </c>
      <c r="U119" s="284"/>
      <c r="AF119" s="284"/>
    </row>
    <row r="120" spans="1:32" x14ac:dyDescent="0.2">
      <c r="A120" s="335">
        <v>13</v>
      </c>
      <c r="B120" s="310">
        <f>StrateC!D73</f>
        <v>0</v>
      </c>
      <c r="C120" s="336">
        <f t="shared" si="49"/>
        <v>0</v>
      </c>
      <c r="D120" s="337">
        <f t="shared" si="50"/>
        <v>0</v>
      </c>
      <c r="F120" s="335">
        <v>13</v>
      </c>
      <c r="G120" s="310">
        <f>StrateC!M73</f>
        <v>0</v>
      </c>
      <c r="H120" s="336">
        <f t="shared" si="51"/>
        <v>0</v>
      </c>
      <c r="I120" s="337">
        <f t="shared" si="52"/>
        <v>0</v>
      </c>
      <c r="K120" s="335">
        <v>13</v>
      </c>
      <c r="L120" s="310">
        <f>StrateC!V73</f>
        <v>0</v>
      </c>
      <c r="M120" s="336">
        <f t="shared" si="53"/>
        <v>0</v>
      </c>
      <c r="N120" s="337">
        <f t="shared" si="54"/>
        <v>0</v>
      </c>
      <c r="P120" s="335">
        <v>13</v>
      </c>
      <c r="Q120" s="310">
        <f>StrateC!AE73</f>
        <v>0</v>
      </c>
      <c r="R120" s="336">
        <f t="shared" si="55"/>
        <v>0</v>
      </c>
      <c r="S120" s="337">
        <f t="shared" si="56"/>
        <v>0</v>
      </c>
      <c r="U120" s="284"/>
      <c r="AF120" s="284"/>
    </row>
    <row r="121" spans="1:32" x14ac:dyDescent="0.2">
      <c r="A121" s="338">
        <v>14</v>
      </c>
      <c r="B121" s="339">
        <f>StrateC!D74</f>
        <v>0</v>
      </c>
      <c r="C121" s="340">
        <f t="shared" si="49"/>
        <v>0</v>
      </c>
      <c r="D121" s="341">
        <f t="shared" si="50"/>
        <v>0</v>
      </c>
      <c r="F121" s="338">
        <v>14</v>
      </c>
      <c r="G121" s="339">
        <f>StrateC!M74</f>
        <v>0</v>
      </c>
      <c r="H121" s="340">
        <f t="shared" si="51"/>
        <v>0</v>
      </c>
      <c r="I121" s="341">
        <f t="shared" si="52"/>
        <v>0</v>
      </c>
      <c r="K121" s="338">
        <v>14</v>
      </c>
      <c r="L121" s="339">
        <f>StrateC!V74</f>
        <v>0</v>
      </c>
      <c r="M121" s="340">
        <f t="shared" si="53"/>
        <v>0</v>
      </c>
      <c r="N121" s="341">
        <f t="shared" si="54"/>
        <v>0</v>
      </c>
      <c r="P121" s="338">
        <v>14</v>
      </c>
      <c r="Q121" s="339">
        <f>StrateC!AE74</f>
        <v>0</v>
      </c>
      <c r="R121" s="340">
        <f t="shared" si="55"/>
        <v>0</v>
      </c>
      <c r="S121" s="341">
        <f t="shared" si="56"/>
        <v>0</v>
      </c>
      <c r="U121" s="284"/>
      <c r="AF121" s="284"/>
    </row>
    <row r="122" spans="1:32" x14ac:dyDescent="0.2">
      <c r="A122" s="335">
        <v>15</v>
      </c>
      <c r="B122" s="310">
        <f>StrateC!D75</f>
        <v>0</v>
      </c>
      <c r="C122" s="336">
        <f t="shared" si="49"/>
        <v>0</v>
      </c>
      <c r="D122" s="337">
        <f t="shared" si="50"/>
        <v>0</v>
      </c>
      <c r="F122" s="335">
        <v>15</v>
      </c>
      <c r="G122" s="310">
        <f>StrateC!M75</f>
        <v>0</v>
      </c>
      <c r="H122" s="336">
        <f t="shared" si="51"/>
        <v>0</v>
      </c>
      <c r="I122" s="337">
        <f t="shared" si="52"/>
        <v>0</v>
      </c>
      <c r="K122" s="335">
        <v>15</v>
      </c>
      <c r="L122" s="310">
        <f>StrateC!V75</f>
        <v>0</v>
      </c>
      <c r="M122" s="336">
        <f t="shared" si="53"/>
        <v>0</v>
      </c>
      <c r="N122" s="337">
        <f t="shared" si="54"/>
        <v>0</v>
      </c>
      <c r="P122" s="335">
        <v>15</v>
      </c>
      <c r="Q122" s="310">
        <f>StrateC!AE75</f>
        <v>0</v>
      </c>
      <c r="R122" s="336">
        <f t="shared" si="55"/>
        <v>0</v>
      </c>
      <c r="S122" s="337">
        <f t="shared" si="56"/>
        <v>0</v>
      </c>
      <c r="U122" s="284"/>
      <c r="AF122" s="284"/>
    </row>
    <row r="123" spans="1:32" x14ac:dyDescent="0.2">
      <c r="A123" s="338">
        <v>16</v>
      </c>
      <c r="B123" s="339">
        <f>StrateC!D76</f>
        <v>0</v>
      </c>
      <c r="C123" s="340">
        <f t="shared" si="49"/>
        <v>0</v>
      </c>
      <c r="D123" s="341">
        <f t="shared" si="50"/>
        <v>0</v>
      </c>
      <c r="F123" s="338">
        <v>16</v>
      </c>
      <c r="G123" s="339">
        <f>StrateC!M76</f>
        <v>0</v>
      </c>
      <c r="H123" s="340">
        <f t="shared" si="51"/>
        <v>0</v>
      </c>
      <c r="I123" s="341">
        <f t="shared" si="52"/>
        <v>0</v>
      </c>
      <c r="K123" s="338">
        <v>16</v>
      </c>
      <c r="L123" s="339">
        <f>StrateC!V76</f>
        <v>0</v>
      </c>
      <c r="M123" s="340">
        <f t="shared" si="53"/>
        <v>0</v>
      </c>
      <c r="N123" s="341">
        <f t="shared" si="54"/>
        <v>0</v>
      </c>
      <c r="P123" s="338">
        <v>16</v>
      </c>
      <c r="Q123" s="339">
        <f>StrateC!AE76</f>
        <v>0</v>
      </c>
      <c r="R123" s="340">
        <f t="shared" si="55"/>
        <v>0</v>
      </c>
      <c r="S123" s="341">
        <f t="shared" si="56"/>
        <v>0</v>
      </c>
      <c r="U123" s="284"/>
      <c r="AF123" s="284"/>
    </row>
    <row r="124" spans="1:32" x14ac:dyDescent="0.2">
      <c r="A124" s="335">
        <v>17</v>
      </c>
      <c r="B124" s="310">
        <f>StrateC!D77</f>
        <v>0</v>
      </c>
      <c r="C124" s="336">
        <f t="shared" si="49"/>
        <v>0</v>
      </c>
      <c r="D124" s="337">
        <f t="shared" si="50"/>
        <v>0</v>
      </c>
      <c r="F124" s="335">
        <v>17</v>
      </c>
      <c r="G124" s="310">
        <f>StrateC!M77</f>
        <v>0</v>
      </c>
      <c r="H124" s="336">
        <f t="shared" si="51"/>
        <v>0</v>
      </c>
      <c r="I124" s="337">
        <f t="shared" si="52"/>
        <v>0</v>
      </c>
      <c r="K124" s="335">
        <v>17</v>
      </c>
      <c r="L124" s="310">
        <f>StrateC!V77</f>
        <v>0</v>
      </c>
      <c r="M124" s="336">
        <f t="shared" si="53"/>
        <v>0</v>
      </c>
      <c r="N124" s="337">
        <f t="shared" si="54"/>
        <v>0</v>
      </c>
      <c r="P124" s="335">
        <v>17</v>
      </c>
      <c r="Q124" s="310">
        <f>StrateC!AE77</f>
        <v>0</v>
      </c>
      <c r="R124" s="336">
        <f t="shared" si="55"/>
        <v>0</v>
      </c>
      <c r="S124" s="337">
        <f t="shared" si="56"/>
        <v>0</v>
      </c>
      <c r="U124" s="284"/>
      <c r="AF124" s="284"/>
    </row>
    <row r="125" spans="1:32" x14ac:dyDescent="0.2">
      <c r="A125" s="338">
        <v>18</v>
      </c>
      <c r="B125" s="339">
        <f>StrateC!D78</f>
        <v>0</v>
      </c>
      <c r="C125" s="340">
        <f t="shared" si="49"/>
        <v>0</v>
      </c>
      <c r="D125" s="341">
        <f t="shared" si="50"/>
        <v>0</v>
      </c>
      <c r="F125" s="338">
        <v>18</v>
      </c>
      <c r="G125" s="339">
        <f>StrateC!M78</f>
        <v>0</v>
      </c>
      <c r="H125" s="340">
        <f t="shared" si="51"/>
        <v>0</v>
      </c>
      <c r="I125" s="341">
        <f t="shared" si="52"/>
        <v>0</v>
      </c>
      <c r="K125" s="338">
        <v>18</v>
      </c>
      <c r="L125" s="339">
        <f>StrateC!V78</f>
        <v>0</v>
      </c>
      <c r="M125" s="340">
        <f t="shared" si="53"/>
        <v>0</v>
      </c>
      <c r="N125" s="341">
        <f t="shared" si="54"/>
        <v>0</v>
      </c>
      <c r="P125" s="338">
        <v>18</v>
      </c>
      <c r="Q125" s="339">
        <f>StrateC!AE78</f>
        <v>0</v>
      </c>
      <c r="R125" s="340">
        <f t="shared" si="55"/>
        <v>0</v>
      </c>
      <c r="S125" s="341">
        <f t="shared" si="56"/>
        <v>0</v>
      </c>
      <c r="U125" s="284"/>
      <c r="AF125" s="284"/>
    </row>
    <row r="126" spans="1:32" x14ac:dyDescent="0.2">
      <c r="A126" s="335">
        <v>19</v>
      </c>
      <c r="B126" s="310">
        <f>StrateC!D79</f>
        <v>0</v>
      </c>
      <c r="C126" s="336">
        <f t="shared" si="49"/>
        <v>0</v>
      </c>
      <c r="D126" s="337">
        <f t="shared" si="50"/>
        <v>0</v>
      </c>
      <c r="F126" s="335">
        <v>19</v>
      </c>
      <c r="G126" s="310">
        <f>StrateC!M79</f>
        <v>0</v>
      </c>
      <c r="H126" s="336">
        <f t="shared" si="51"/>
        <v>0</v>
      </c>
      <c r="I126" s="337">
        <f t="shared" si="52"/>
        <v>0</v>
      </c>
      <c r="K126" s="335">
        <v>19</v>
      </c>
      <c r="L126" s="310">
        <f>StrateC!V79</f>
        <v>0</v>
      </c>
      <c r="M126" s="336">
        <f t="shared" si="53"/>
        <v>0</v>
      </c>
      <c r="N126" s="337">
        <f t="shared" si="54"/>
        <v>0</v>
      </c>
      <c r="P126" s="335">
        <v>19</v>
      </c>
      <c r="Q126" s="310">
        <f>StrateC!AE79</f>
        <v>0</v>
      </c>
      <c r="R126" s="336">
        <f t="shared" si="55"/>
        <v>0</v>
      </c>
      <c r="S126" s="337">
        <f t="shared" si="56"/>
        <v>0</v>
      </c>
      <c r="U126" s="284"/>
      <c r="AF126" s="284"/>
    </row>
    <row r="127" spans="1:32" x14ac:dyDescent="0.2">
      <c r="A127" s="338">
        <v>20</v>
      </c>
      <c r="B127" s="339">
        <f>StrateC!D80</f>
        <v>0</v>
      </c>
      <c r="C127" s="340">
        <f t="shared" si="49"/>
        <v>0</v>
      </c>
      <c r="D127" s="341">
        <f t="shared" si="50"/>
        <v>0</v>
      </c>
      <c r="F127" s="338">
        <v>20</v>
      </c>
      <c r="G127" s="339">
        <f>StrateC!M80</f>
        <v>0</v>
      </c>
      <c r="H127" s="340">
        <f t="shared" si="51"/>
        <v>0</v>
      </c>
      <c r="I127" s="341">
        <f t="shared" si="52"/>
        <v>0</v>
      </c>
      <c r="K127" s="338">
        <v>20</v>
      </c>
      <c r="L127" s="339">
        <f>StrateC!V80</f>
        <v>0</v>
      </c>
      <c r="M127" s="340">
        <f t="shared" si="53"/>
        <v>0</v>
      </c>
      <c r="N127" s="341">
        <f t="shared" si="54"/>
        <v>0</v>
      </c>
      <c r="P127" s="338">
        <v>20</v>
      </c>
      <c r="Q127" s="339">
        <f>StrateC!AE80</f>
        <v>0</v>
      </c>
      <c r="R127" s="340">
        <f t="shared" si="55"/>
        <v>0</v>
      </c>
      <c r="S127" s="341">
        <f t="shared" si="56"/>
        <v>0</v>
      </c>
      <c r="U127" s="284"/>
      <c r="AF127" s="284"/>
    </row>
    <row r="128" spans="1:32" x14ac:dyDescent="0.2">
      <c r="U128" s="284"/>
      <c r="AF128" s="284"/>
    </row>
    <row r="129" spans="1:32" x14ac:dyDescent="0.2">
      <c r="A129" s="344" t="s">
        <v>907</v>
      </c>
      <c r="B129" s="344"/>
      <c r="C129" s="344"/>
      <c r="D129" s="344"/>
      <c r="E129" s="344"/>
      <c r="F129" s="344"/>
      <c r="G129" s="344"/>
      <c r="H129" s="344"/>
      <c r="I129" s="344"/>
      <c r="J129" s="344"/>
      <c r="K129" s="344"/>
      <c r="L129" s="344"/>
      <c r="M129" s="344"/>
      <c r="N129" s="344"/>
      <c r="O129" s="344"/>
      <c r="P129" s="344"/>
      <c r="Q129" s="344"/>
      <c r="R129" s="344"/>
      <c r="S129" s="344"/>
      <c r="U129" s="284"/>
      <c r="AF129" s="284"/>
    </row>
    <row r="130" spans="1:32" x14ac:dyDescent="0.2">
      <c r="A130" s="332" t="s">
        <v>94</v>
      </c>
      <c r="B130" s="333" t="s">
        <v>18</v>
      </c>
      <c r="C130" s="333" t="s">
        <v>899</v>
      </c>
      <c r="D130" s="334" t="s">
        <v>905</v>
      </c>
      <c r="F130" s="332" t="s">
        <v>94</v>
      </c>
      <c r="G130" s="333" t="s">
        <v>18</v>
      </c>
      <c r="H130" s="333" t="s">
        <v>899</v>
      </c>
      <c r="I130" s="334" t="s">
        <v>905</v>
      </c>
      <c r="K130" s="332" t="s">
        <v>94</v>
      </c>
      <c r="L130" s="333" t="s">
        <v>18</v>
      </c>
      <c r="M130" s="333" t="s">
        <v>899</v>
      </c>
      <c r="N130" s="334" t="s">
        <v>905</v>
      </c>
      <c r="P130" s="332" t="s">
        <v>94</v>
      </c>
      <c r="Q130" s="333" t="s">
        <v>18</v>
      </c>
      <c r="R130" s="333" t="s">
        <v>899</v>
      </c>
      <c r="S130" s="334" t="s">
        <v>905</v>
      </c>
      <c r="U130" s="284"/>
      <c r="AF130" s="284"/>
    </row>
    <row r="131" spans="1:32" x14ac:dyDescent="0.2">
      <c r="A131" s="335">
        <v>1</v>
      </c>
      <c r="B131" s="310">
        <f>StrateC!D177</f>
        <v>0</v>
      </c>
      <c r="C131" s="336">
        <f>IF(B131=0,0,INT(B131/D$104))</f>
        <v>0</v>
      </c>
      <c r="D131" s="337">
        <f>IF(C131=0,0,C131*B$105)</f>
        <v>0</v>
      </c>
      <c r="F131" s="335">
        <v>1</v>
      </c>
      <c r="G131" s="310">
        <f>StrateC!M177</f>
        <v>0</v>
      </c>
      <c r="H131" s="336">
        <f>IF(G131=0,0,INT(G131/I$104))</f>
        <v>0</v>
      </c>
      <c r="I131" s="337">
        <f>IF(H131=0,0,H131*G$105)</f>
        <v>0</v>
      </c>
      <c r="K131" s="335">
        <v>1</v>
      </c>
      <c r="L131" s="310">
        <f>StrateC!V177</f>
        <v>0</v>
      </c>
      <c r="M131" s="336">
        <f>IF(L131=0,0,INT(L131/N$104))</f>
        <v>0</v>
      </c>
      <c r="N131" s="337">
        <f>IF(M131=0,0,M131*L$105)</f>
        <v>0</v>
      </c>
      <c r="P131" s="335">
        <v>1</v>
      </c>
      <c r="Q131" s="310">
        <f>StrateC!AE177</f>
        <v>0</v>
      </c>
      <c r="R131" s="336">
        <f>IF(Q131=0,0,INT(Q131/S$104))</f>
        <v>0</v>
      </c>
      <c r="S131" s="337">
        <f>IF(R131=0,0,R131*Q$105)</f>
        <v>0</v>
      </c>
      <c r="U131" s="284"/>
      <c r="AF131" s="284"/>
    </row>
    <row r="132" spans="1:32" x14ac:dyDescent="0.2">
      <c r="A132" s="338">
        <v>2</v>
      </c>
      <c r="B132" s="339">
        <f>StrateC!D178</f>
        <v>0</v>
      </c>
      <c r="C132" s="340">
        <f t="shared" ref="C132:C150" si="57">IF(B132=0,0,INT(B132/D$104))</f>
        <v>0</v>
      </c>
      <c r="D132" s="341">
        <f t="shared" ref="D132:D150" si="58">IF(C132=0,0,C132*B$105)</f>
        <v>0</v>
      </c>
      <c r="F132" s="338">
        <v>2</v>
      </c>
      <c r="G132" s="339">
        <f>StrateC!M178</f>
        <v>0</v>
      </c>
      <c r="H132" s="340">
        <f t="shared" ref="H132:H150" si="59">IF(G132=0,0,INT(G132/I$104))</f>
        <v>0</v>
      </c>
      <c r="I132" s="341">
        <f t="shared" ref="I132:I150" si="60">IF(H132=0,0,H132*G$105)</f>
        <v>0</v>
      </c>
      <c r="K132" s="338">
        <v>2</v>
      </c>
      <c r="L132" s="339">
        <f>StrateC!V178</f>
        <v>0</v>
      </c>
      <c r="M132" s="340">
        <f t="shared" ref="M132:M150" si="61">IF(L132=0,0,INT(L132/N$104))</f>
        <v>0</v>
      </c>
      <c r="N132" s="341">
        <f t="shared" ref="N132:N150" si="62">IF(M132=0,0,M132*L$105)</f>
        <v>0</v>
      </c>
      <c r="P132" s="338">
        <v>2</v>
      </c>
      <c r="Q132" s="339">
        <f>StrateC!AE178</f>
        <v>0</v>
      </c>
      <c r="R132" s="340">
        <f t="shared" ref="R132:R150" si="63">IF(Q132=0,0,INT(Q132/S$104))</f>
        <v>0</v>
      </c>
      <c r="S132" s="341">
        <f t="shared" ref="S132:S150" si="64">IF(R132=0,0,R132*Q$105)</f>
        <v>0</v>
      </c>
      <c r="U132" s="284"/>
      <c r="AF132" s="284"/>
    </row>
    <row r="133" spans="1:32" x14ac:dyDescent="0.2">
      <c r="A133" s="335">
        <v>3</v>
      </c>
      <c r="B133" s="310">
        <f>StrateC!D179</f>
        <v>0</v>
      </c>
      <c r="C133" s="336">
        <f t="shared" si="57"/>
        <v>0</v>
      </c>
      <c r="D133" s="337">
        <f t="shared" si="58"/>
        <v>0</v>
      </c>
      <c r="F133" s="335">
        <v>3</v>
      </c>
      <c r="G133" s="310">
        <f>StrateC!M179</f>
        <v>0</v>
      </c>
      <c r="H133" s="336">
        <f t="shared" si="59"/>
        <v>0</v>
      </c>
      <c r="I133" s="337">
        <f t="shared" si="60"/>
        <v>0</v>
      </c>
      <c r="K133" s="335">
        <v>3</v>
      </c>
      <c r="L133" s="310">
        <f>StrateC!V179</f>
        <v>0</v>
      </c>
      <c r="M133" s="336">
        <f t="shared" si="61"/>
        <v>0</v>
      </c>
      <c r="N133" s="337">
        <f t="shared" si="62"/>
        <v>0</v>
      </c>
      <c r="P133" s="335">
        <v>3</v>
      </c>
      <c r="Q133" s="310">
        <f>StrateC!AE179</f>
        <v>0</v>
      </c>
      <c r="R133" s="336">
        <f t="shared" si="63"/>
        <v>0</v>
      </c>
      <c r="S133" s="337">
        <f t="shared" si="64"/>
        <v>0</v>
      </c>
      <c r="U133" s="284"/>
      <c r="AF133" s="284"/>
    </row>
    <row r="134" spans="1:32" x14ac:dyDescent="0.2">
      <c r="A134" s="338">
        <v>4</v>
      </c>
      <c r="B134" s="339">
        <f>StrateC!D180</f>
        <v>0</v>
      </c>
      <c r="C134" s="340">
        <f t="shared" si="57"/>
        <v>0</v>
      </c>
      <c r="D134" s="341">
        <f t="shared" si="58"/>
        <v>0</v>
      </c>
      <c r="F134" s="338">
        <v>4</v>
      </c>
      <c r="G134" s="339">
        <f>StrateC!M180</f>
        <v>0</v>
      </c>
      <c r="H134" s="340">
        <f t="shared" si="59"/>
        <v>0</v>
      </c>
      <c r="I134" s="341">
        <f t="shared" si="60"/>
        <v>0</v>
      </c>
      <c r="K134" s="338">
        <v>4</v>
      </c>
      <c r="L134" s="339">
        <f>StrateC!V180</f>
        <v>0</v>
      </c>
      <c r="M134" s="340">
        <f t="shared" si="61"/>
        <v>0</v>
      </c>
      <c r="N134" s="341">
        <f t="shared" si="62"/>
        <v>0</v>
      </c>
      <c r="P134" s="338">
        <v>4</v>
      </c>
      <c r="Q134" s="339">
        <f>StrateC!AE180</f>
        <v>0</v>
      </c>
      <c r="R134" s="340">
        <f t="shared" si="63"/>
        <v>0</v>
      </c>
      <c r="S134" s="341">
        <f t="shared" si="64"/>
        <v>0</v>
      </c>
      <c r="U134" s="284"/>
      <c r="AF134" s="284"/>
    </row>
    <row r="135" spans="1:32" x14ac:dyDescent="0.2">
      <c r="A135" s="335">
        <v>5</v>
      </c>
      <c r="B135" s="310">
        <f>StrateC!D181</f>
        <v>0</v>
      </c>
      <c r="C135" s="336">
        <f t="shared" si="57"/>
        <v>0</v>
      </c>
      <c r="D135" s="337">
        <f t="shared" si="58"/>
        <v>0</v>
      </c>
      <c r="F135" s="335">
        <v>5</v>
      </c>
      <c r="G135" s="310">
        <f>StrateC!M181</f>
        <v>0</v>
      </c>
      <c r="H135" s="336">
        <f t="shared" si="59"/>
        <v>0</v>
      </c>
      <c r="I135" s="337">
        <f t="shared" si="60"/>
        <v>0</v>
      </c>
      <c r="K135" s="335">
        <v>5</v>
      </c>
      <c r="L135" s="310">
        <f>StrateC!V181</f>
        <v>0</v>
      </c>
      <c r="M135" s="336">
        <f t="shared" si="61"/>
        <v>0</v>
      </c>
      <c r="N135" s="337">
        <f t="shared" si="62"/>
        <v>0</v>
      </c>
      <c r="P135" s="335">
        <v>5</v>
      </c>
      <c r="Q135" s="310">
        <f>StrateC!AE181</f>
        <v>0</v>
      </c>
      <c r="R135" s="336">
        <f t="shared" si="63"/>
        <v>0</v>
      </c>
      <c r="S135" s="337">
        <f t="shared" si="64"/>
        <v>0</v>
      </c>
      <c r="U135" s="284"/>
      <c r="AF135" s="284"/>
    </row>
    <row r="136" spans="1:32" x14ac:dyDescent="0.2">
      <c r="A136" s="338">
        <v>6</v>
      </c>
      <c r="B136" s="339">
        <f>StrateC!D182</f>
        <v>0</v>
      </c>
      <c r="C136" s="340">
        <f t="shared" si="57"/>
        <v>0</v>
      </c>
      <c r="D136" s="341">
        <f t="shared" si="58"/>
        <v>0</v>
      </c>
      <c r="F136" s="338">
        <v>6</v>
      </c>
      <c r="G136" s="339">
        <f>StrateC!M182</f>
        <v>0</v>
      </c>
      <c r="H136" s="340">
        <f t="shared" si="59"/>
        <v>0</v>
      </c>
      <c r="I136" s="341">
        <f t="shared" si="60"/>
        <v>0</v>
      </c>
      <c r="K136" s="338">
        <v>6</v>
      </c>
      <c r="L136" s="339">
        <f>StrateC!V182</f>
        <v>0</v>
      </c>
      <c r="M136" s="340">
        <f t="shared" si="61"/>
        <v>0</v>
      </c>
      <c r="N136" s="341">
        <f t="shared" si="62"/>
        <v>0</v>
      </c>
      <c r="P136" s="338">
        <v>6</v>
      </c>
      <c r="Q136" s="339">
        <f>StrateC!AE182</f>
        <v>0</v>
      </c>
      <c r="R136" s="340">
        <f t="shared" si="63"/>
        <v>0</v>
      </c>
      <c r="S136" s="341">
        <f t="shared" si="64"/>
        <v>0</v>
      </c>
      <c r="U136" s="284"/>
      <c r="AF136" s="284"/>
    </row>
    <row r="137" spans="1:32" x14ac:dyDescent="0.2">
      <c r="A137" s="335">
        <v>7</v>
      </c>
      <c r="B137" s="310">
        <f>StrateC!D183</f>
        <v>0</v>
      </c>
      <c r="C137" s="336">
        <f t="shared" si="57"/>
        <v>0</v>
      </c>
      <c r="D137" s="337">
        <f t="shared" si="58"/>
        <v>0</v>
      </c>
      <c r="F137" s="335">
        <v>7</v>
      </c>
      <c r="G137" s="310">
        <f>StrateC!M183</f>
        <v>0</v>
      </c>
      <c r="H137" s="336">
        <f t="shared" si="59"/>
        <v>0</v>
      </c>
      <c r="I137" s="337">
        <f t="shared" si="60"/>
        <v>0</v>
      </c>
      <c r="K137" s="335">
        <v>7</v>
      </c>
      <c r="L137" s="310">
        <f>StrateC!V183</f>
        <v>0</v>
      </c>
      <c r="M137" s="336">
        <f t="shared" si="61"/>
        <v>0</v>
      </c>
      <c r="N137" s="337">
        <f t="shared" si="62"/>
        <v>0</v>
      </c>
      <c r="P137" s="335">
        <v>7</v>
      </c>
      <c r="Q137" s="310">
        <f>StrateC!AE183</f>
        <v>0</v>
      </c>
      <c r="R137" s="336">
        <f t="shared" si="63"/>
        <v>0</v>
      </c>
      <c r="S137" s="337">
        <f t="shared" si="64"/>
        <v>0</v>
      </c>
      <c r="U137" s="284"/>
      <c r="AF137" s="284"/>
    </row>
    <row r="138" spans="1:32" x14ac:dyDescent="0.2">
      <c r="A138" s="338">
        <v>8</v>
      </c>
      <c r="B138" s="339">
        <f>StrateC!D184</f>
        <v>0</v>
      </c>
      <c r="C138" s="340">
        <f t="shared" si="57"/>
        <v>0</v>
      </c>
      <c r="D138" s="341">
        <f t="shared" si="58"/>
        <v>0</v>
      </c>
      <c r="F138" s="338">
        <v>8</v>
      </c>
      <c r="G138" s="339">
        <f>StrateC!M184</f>
        <v>0</v>
      </c>
      <c r="H138" s="340">
        <f t="shared" si="59"/>
        <v>0</v>
      </c>
      <c r="I138" s="341">
        <f t="shared" si="60"/>
        <v>0</v>
      </c>
      <c r="K138" s="338">
        <v>8</v>
      </c>
      <c r="L138" s="339">
        <f>StrateC!V184</f>
        <v>0</v>
      </c>
      <c r="M138" s="340">
        <f t="shared" si="61"/>
        <v>0</v>
      </c>
      <c r="N138" s="341">
        <f t="shared" si="62"/>
        <v>0</v>
      </c>
      <c r="P138" s="338">
        <v>8</v>
      </c>
      <c r="Q138" s="339">
        <f>StrateC!AE184</f>
        <v>0</v>
      </c>
      <c r="R138" s="340">
        <f t="shared" si="63"/>
        <v>0</v>
      </c>
      <c r="S138" s="341">
        <f t="shared" si="64"/>
        <v>0</v>
      </c>
      <c r="U138" s="284"/>
      <c r="AF138" s="284"/>
    </row>
    <row r="139" spans="1:32" x14ac:dyDescent="0.2">
      <c r="A139" s="335">
        <v>9</v>
      </c>
      <c r="B139" s="310">
        <f>StrateC!D185</f>
        <v>0</v>
      </c>
      <c r="C139" s="336">
        <f t="shared" si="57"/>
        <v>0</v>
      </c>
      <c r="D139" s="337">
        <f t="shared" si="58"/>
        <v>0</v>
      </c>
      <c r="F139" s="335">
        <v>9</v>
      </c>
      <c r="G139" s="310">
        <f>StrateC!M185</f>
        <v>0</v>
      </c>
      <c r="H139" s="336">
        <f t="shared" si="59"/>
        <v>0</v>
      </c>
      <c r="I139" s="337">
        <f t="shared" si="60"/>
        <v>0</v>
      </c>
      <c r="K139" s="335">
        <v>9</v>
      </c>
      <c r="L139" s="310">
        <f>StrateC!V185</f>
        <v>0</v>
      </c>
      <c r="M139" s="336">
        <f t="shared" si="61"/>
        <v>0</v>
      </c>
      <c r="N139" s="337">
        <f t="shared" si="62"/>
        <v>0</v>
      </c>
      <c r="P139" s="335">
        <v>9</v>
      </c>
      <c r="Q139" s="310">
        <f>StrateC!AE185</f>
        <v>0</v>
      </c>
      <c r="R139" s="336">
        <f t="shared" si="63"/>
        <v>0</v>
      </c>
      <c r="S139" s="337">
        <f t="shared" si="64"/>
        <v>0</v>
      </c>
      <c r="U139" s="284"/>
      <c r="AF139" s="284"/>
    </row>
    <row r="140" spans="1:32" x14ac:dyDescent="0.2">
      <c r="A140" s="338">
        <v>10</v>
      </c>
      <c r="B140" s="339">
        <f>StrateC!D186</f>
        <v>0</v>
      </c>
      <c r="C140" s="340">
        <f t="shared" si="57"/>
        <v>0</v>
      </c>
      <c r="D140" s="341">
        <f t="shared" si="58"/>
        <v>0</v>
      </c>
      <c r="F140" s="338">
        <v>10</v>
      </c>
      <c r="G140" s="339">
        <f>StrateC!M186</f>
        <v>0</v>
      </c>
      <c r="H140" s="340">
        <f t="shared" si="59"/>
        <v>0</v>
      </c>
      <c r="I140" s="341">
        <f t="shared" si="60"/>
        <v>0</v>
      </c>
      <c r="K140" s="338">
        <v>10</v>
      </c>
      <c r="L140" s="339">
        <f>StrateC!V186</f>
        <v>0</v>
      </c>
      <c r="M140" s="340">
        <f t="shared" si="61"/>
        <v>0</v>
      </c>
      <c r="N140" s="341">
        <f t="shared" si="62"/>
        <v>0</v>
      </c>
      <c r="P140" s="338">
        <v>10</v>
      </c>
      <c r="Q140" s="339">
        <f>StrateC!AE186</f>
        <v>0</v>
      </c>
      <c r="R140" s="340">
        <f t="shared" si="63"/>
        <v>0</v>
      </c>
      <c r="S140" s="341">
        <f t="shared" si="64"/>
        <v>0</v>
      </c>
      <c r="U140" s="284"/>
      <c r="AF140" s="284"/>
    </row>
    <row r="141" spans="1:32" x14ac:dyDescent="0.2">
      <c r="A141" s="335">
        <v>11</v>
      </c>
      <c r="B141" s="310">
        <f>StrateC!D187</f>
        <v>0</v>
      </c>
      <c r="C141" s="336">
        <f t="shared" si="57"/>
        <v>0</v>
      </c>
      <c r="D141" s="337">
        <f t="shared" si="58"/>
        <v>0</v>
      </c>
      <c r="F141" s="335">
        <v>11</v>
      </c>
      <c r="G141" s="310">
        <f>StrateC!M187</f>
        <v>0</v>
      </c>
      <c r="H141" s="336">
        <f t="shared" si="59"/>
        <v>0</v>
      </c>
      <c r="I141" s="337">
        <f t="shared" si="60"/>
        <v>0</v>
      </c>
      <c r="K141" s="335">
        <v>11</v>
      </c>
      <c r="L141" s="310">
        <f>StrateC!V187</f>
        <v>0</v>
      </c>
      <c r="M141" s="336">
        <f t="shared" si="61"/>
        <v>0</v>
      </c>
      <c r="N141" s="337">
        <f t="shared" si="62"/>
        <v>0</v>
      </c>
      <c r="P141" s="335">
        <v>11</v>
      </c>
      <c r="Q141" s="310">
        <f>StrateC!AE187</f>
        <v>0</v>
      </c>
      <c r="R141" s="336">
        <f t="shared" si="63"/>
        <v>0</v>
      </c>
      <c r="S141" s="337">
        <f t="shared" si="64"/>
        <v>0</v>
      </c>
      <c r="U141" s="284"/>
      <c r="AF141" s="284"/>
    </row>
    <row r="142" spans="1:32" x14ac:dyDescent="0.2">
      <c r="A142" s="338">
        <v>12</v>
      </c>
      <c r="B142" s="339">
        <f>StrateC!D188</f>
        <v>0</v>
      </c>
      <c r="C142" s="340">
        <f t="shared" si="57"/>
        <v>0</v>
      </c>
      <c r="D142" s="341">
        <f t="shared" si="58"/>
        <v>0</v>
      </c>
      <c r="F142" s="338">
        <v>12</v>
      </c>
      <c r="G142" s="339">
        <f>StrateC!M188</f>
        <v>0</v>
      </c>
      <c r="H142" s="340">
        <f t="shared" si="59"/>
        <v>0</v>
      </c>
      <c r="I142" s="341">
        <f t="shared" si="60"/>
        <v>0</v>
      </c>
      <c r="K142" s="338">
        <v>12</v>
      </c>
      <c r="L142" s="339">
        <f>StrateC!V188</f>
        <v>0</v>
      </c>
      <c r="M142" s="340">
        <f t="shared" si="61"/>
        <v>0</v>
      </c>
      <c r="N142" s="341">
        <f t="shared" si="62"/>
        <v>0</v>
      </c>
      <c r="P142" s="338">
        <v>12</v>
      </c>
      <c r="Q142" s="339">
        <f>StrateC!AE188</f>
        <v>0</v>
      </c>
      <c r="R142" s="340">
        <f t="shared" si="63"/>
        <v>0</v>
      </c>
      <c r="S142" s="341">
        <f t="shared" si="64"/>
        <v>0</v>
      </c>
      <c r="U142" s="284"/>
      <c r="AF142" s="284"/>
    </row>
    <row r="143" spans="1:32" x14ac:dyDescent="0.2">
      <c r="A143" s="335">
        <v>13</v>
      </c>
      <c r="B143" s="310">
        <f>StrateC!D189</f>
        <v>0</v>
      </c>
      <c r="C143" s="336">
        <f t="shared" si="57"/>
        <v>0</v>
      </c>
      <c r="D143" s="337">
        <f t="shared" si="58"/>
        <v>0</v>
      </c>
      <c r="F143" s="335">
        <v>13</v>
      </c>
      <c r="G143" s="310">
        <f>StrateC!M189</f>
        <v>0</v>
      </c>
      <c r="H143" s="336">
        <f t="shared" si="59"/>
        <v>0</v>
      </c>
      <c r="I143" s="337">
        <f t="shared" si="60"/>
        <v>0</v>
      </c>
      <c r="K143" s="335">
        <v>13</v>
      </c>
      <c r="L143" s="310">
        <f>StrateC!V189</f>
        <v>0</v>
      </c>
      <c r="M143" s="336">
        <f t="shared" si="61"/>
        <v>0</v>
      </c>
      <c r="N143" s="337">
        <f t="shared" si="62"/>
        <v>0</v>
      </c>
      <c r="P143" s="335">
        <v>13</v>
      </c>
      <c r="Q143" s="310">
        <f>StrateC!AE189</f>
        <v>0</v>
      </c>
      <c r="R143" s="336">
        <f t="shared" si="63"/>
        <v>0</v>
      </c>
      <c r="S143" s="337">
        <f t="shared" si="64"/>
        <v>0</v>
      </c>
      <c r="U143" s="284"/>
      <c r="AF143" s="284"/>
    </row>
    <row r="144" spans="1:32" x14ac:dyDescent="0.2">
      <c r="A144" s="338">
        <v>14</v>
      </c>
      <c r="B144" s="339">
        <f>StrateC!D190</f>
        <v>0</v>
      </c>
      <c r="C144" s="340">
        <f t="shared" si="57"/>
        <v>0</v>
      </c>
      <c r="D144" s="341">
        <f t="shared" si="58"/>
        <v>0</v>
      </c>
      <c r="F144" s="338">
        <v>14</v>
      </c>
      <c r="G144" s="339">
        <f>StrateC!M190</f>
        <v>0</v>
      </c>
      <c r="H144" s="340">
        <f t="shared" si="59"/>
        <v>0</v>
      </c>
      <c r="I144" s="341">
        <f t="shared" si="60"/>
        <v>0</v>
      </c>
      <c r="K144" s="338">
        <v>14</v>
      </c>
      <c r="L144" s="339">
        <f>StrateC!V190</f>
        <v>0</v>
      </c>
      <c r="M144" s="340">
        <f t="shared" si="61"/>
        <v>0</v>
      </c>
      <c r="N144" s="341">
        <f t="shared" si="62"/>
        <v>0</v>
      </c>
      <c r="P144" s="338">
        <v>14</v>
      </c>
      <c r="Q144" s="339">
        <f>StrateC!AE190</f>
        <v>0</v>
      </c>
      <c r="R144" s="340">
        <f t="shared" si="63"/>
        <v>0</v>
      </c>
      <c r="S144" s="341">
        <f t="shared" si="64"/>
        <v>0</v>
      </c>
      <c r="U144" s="284"/>
      <c r="AF144" s="284"/>
    </row>
    <row r="145" spans="1:32" x14ac:dyDescent="0.2">
      <c r="A145" s="335">
        <v>15</v>
      </c>
      <c r="B145" s="310">
        <f>StrateC!D191</f>
        <v>0</v>
      </c>
      <c r="C145" s="336">
        <f t="shared" si="57"/>
        <v>0</v>
      </c>
      <c r="D145" s="337">
        <f t="shared" si="58"/>
        <v>0</v>
      </c>
      <c r="F145" s="335">
        <v>15</v>
      </c>
      <c r="G145" s="310">
        <f>StrateC!M191</f>
        <v>0</v>
      </c>
      <c r="H145" s="336">
        <f t="shared" si="59"/>
        <v>0</v>
      </c>
      <c r="I145" s="337">
        <f t="shared" si="60"/>
        <v>0</v>
      </c>
      <c r="K145" s="335">
        <v>15</v>
      </c>
      <c r="L145" s="310">
        <f>StrateC!V191</f>
        <v>0</v>
      </c>
      <c r="M145" s="336">
        <f t="shared" si="61"/>
        <v>0</v>
      </c>
      <c r="N145" s="337">
        <f t="shared" si="62"/>
        <v>0</v>
      </c>
      <c r="P145" s="335">
        <v>15</v>
      </c>
      <c r="Q145" s="310">
        <f>StrateC!AE191</f>
        <v>0</v>
      </c>
      <c r="R145" s="336">
        <f t="shared" si="63"/>
        <v>0</v>
      </c>
      <c r="S145" s="337">
        <f t="shared" si="64"/>
        <v>0</v>
      </c>
      <c r="U145" s="284"/>
      <c r="AF145" s="284"/>
    </row>
    <row r="146" spans="1:32" x14ac:dyDescent="0.2">
      <c r="A146" s="338">
        <v>16</v>
      </c>
      <c r="B146" s="339">
        <f>StrateC!D192</f>
        <v>0</v>
      </c>
      <c r="C146" s="340">
        <f t="shared" si="57"/>
        <v>0</v>
      </c>
      <c r="D146" s="341">
        <f t="shared" si="58"/>
        <v>0</v>
      </c>
      <c r="F146" s="338">
        <v>16</v>
      </c>
      <c r="G146" s="339">
        <f>StrateC!M192</f>
        <v>0</v>
      </c>
      <c r="H146" s="340">
        <f t="shared" si="59"/>
        <v>0</v>
      </c>
      <c r="I146" s="341">
        <f t="shared" si="60"/>
        <v>0</v>
      </c>
      <c r="K146" s="338">
        <v>16</v>
      </c>
      <c r="L146" s="339">
        <f>StrateC!V192</f>
        <v>0</v>
      </c>
      <c r="M146" s="340">
        <f t="shared" si="61"/>
        <v>0</v>
      </c>
      <c r="N146" s="341">
        <f t="shared" si="62"/>
        <v>0</v>
      </c>
      <c r="P146" s="338">
        <v>16</v>
      </c>
      <c r="Q146" s="339">
        <f>StrateC!AE192</f>
        <v>0</v>
      </c>
      <c r="R146" s="340">
        <f t="shared" si="63"/>
        <v>0</v>
      </c>
      <c r="S146" s="341">
        <f t="shared" si="64"/>
        <v>0</v>
      </c>
      <c r="U146" s="284"/>
      <c r="AF146" s="284"/>
    </row>
    <row r="147" spans="1:32" x14ac:dyDescent="0.2">
      <c r="A147" s="335">
        <v>17</v>
      </c>
      <c r="B147" s="310">
        <f>StrateC!D193</f>
        <v>0</v>
      </c>
      <c r="C147" s="336">
        <f t="shared" si="57"/>
        <v>0</v>
      </c>
      <c r="D147" s="337">
        <f t="shared" si="58"/>
        <v>0</v>
      </c>
      <c r="F147" s="335">
        <v>17</v>
      </c>
      <c r="G147" s="310">
        <f>StrateC!M193</f>
        <v>0</v>
      </c>
      <c r="H147" s="336">
        <f t="shared" si="59"/>
        <v>0</v>
      </c>
      <c r="I147" s="337">
        <f t="shared" si="60"/>
        <v>0</v>
      </c>
      <c r="K147" s="335">
        <v>17</v>
      </c>
      <c r="L147" s="310">
        <f>StrateC!V193</f>
        <v>0</v>
      </c>
      <c r="M147" s="336">
        <f t="shared" si="61"/>
        <v>0</v>
      </c>
      <c r="N147" s="337">
        <f t="shared" si="62"/>
        <v>0</v>
      </c>
      <c r="P147" s="335">
        <v>17</v>
      </c>
      <c r="Q147" s="310">
        <f>StrateC!AE193</f>
        <v>0</v>
      </c>
      <c r="R147" s="336">
        <f t="shared" si="63"/>
        <v>0</v>
      </c>
      <c r="S147" s="337">
        <f t="shared" si="64"/>
        <v>0</v>
      </c>
      <c r="U147" s="284"/>
      <c r="AF147" s="284"/>
    </row>
    <row r="148" spans="1:32" x14ac:dyDescent="0.2">
      <c r="A148" s="338">
        <v>18</v>
      </c>
      <c r="B148" s="339">
        <f>StrateC!D194</f>
        <v>0</v>
      </c>
      <c r="C148" s="340">
        <f t="shared" si="57"/>
        <v>0</v>
      </c>
      <c r="D148" s="341">
        <f t="shared" si="58"/>
        <v>0</v>
      </c>
      <c r="F148" s="338">
        <v>18</v>
      </c>
      <c r="G148" s="339">
        <f>StrateC!M194</f>
        <v>0</v>
      </c>
      <c r="H148" s="340">
        <f t="shared" si="59"/>
        <v>0</v>
      </c>
      <c r="I148" s="341">
        <f t="shared" si="60"/>
        <v>0</v>
      </c>
      <c r="K148" s="338">
        <v>18</v>
      </c>
      <c r="L148" s="339">
        <f>StrateC!V194</f>
        <v>0</v>
      </c>
      <c r="M148" s="340">
        <f t="shared" si="61"/>
        <v>0</v>
      </c>
      <c r="N148" s="341">
        <f t="shared" si="62"/>
        <v>0</v>
      </c>
      <c r="P148" s="338">
        <v>18</v>
      </c>
      <c r="Q148" s="339">
        <f>StrateC!AE194</f>
        <v>0</v>
      </c>
      <c r="R148" s="340">
        <f t="shared" si="63"/>
        <v>0</v>
      </c>
      <c r="S148" s="341">
        <f t="shared" si="64"/>
        <v>0</v>
      </c>
      <c r="U148" s="284"/>
      <c r="AF148" s="284"/>
    </row>
    <row r="149" spans="1:32" x14ac:dyDescent="0.2">
      <c r="A149" s="335">
        <v>19</v>
      </c>
      <c r="B149" s="310">
        <f>StrateC!D195</f>
        <v>0</v>
      </c>
      <c r="C149" s="336">
        <f t="shared" si="57"/>
        <v>0</v>
      </c>
      <c r="D149" s="337">
        <f t="shared" si="58"/>
        <v>0</v>
      </c>
      <c r="F149" s="335">
        <v>19</v>
      </c>
      <c r="G149" s="310">
        <f>StrateC!M195</f>
        <v>0</v>
      </c>
      <c r="H149" s="336">
        <f t="shared" si="59"/>
        <v>0</v>
      </c>
      <c r="I149" s="337">
        <f t="shared" si="60"/>
        <v>0</v>
      </c>
      <c r="K149" s="335">
        <v>19</v>
      </c>
      <c r="L149" s="310">
        <f>StrateC!V195</f>
        <v>0</v>
      </c>
      <c r="M149" s="336">
        <f t="shared" si="61"/>
        <v>0</v>
      </c>
      <c r="N149" s="337">
        <f t="shared" si="62"/>
        <v>0</v>
      </c>
      <c r="P149" s="335">
        <v>19</v>
      </c>
      <c r="Q149" s="310">
        <f>StrateC!AE195</f>
        <v>0</v>
      </c>
      <c r="R149" s="336">
        <f t="shared" si="63"/>
        <v>0</v>
      </c>
      <c r="S149" s="337">
        <f t="shared" si="64"/>
        <v>0</v>
      </c>
      <c r="U149" s="284"/>
      <c r="AF149" s="284"/>
    </row>
    <row r="150" spans="1:32" x14ac:dyDescent="0.2">
      <c r="A150" s="338">
        <v>20</v>
      </c>
      <c r="B150" s="339">
        <f>StrateC!D196</f>
        <v>0</v>
      </c>
      <c r="C150" s="340">
        <f t="shared" si="57"/>
        <v>0</v>
      </c>
      <c r="D150" s="341">
        <f t="shared" si="58"/>
        <v>0</v>
      </c>
      <c r="F150" s="338">
        <v>20</v>
      </c>
      <c r="G150" s="339">
        <f>StrateC!M196</f>
        <v>0</v>
      </c>
      <c r="H150" s="340">
        <f t="shared" si="59"/>
        <v>0</v>
      </c>
      <c r="I150" s="341">
        <f t="shared" si="60"/>
        <v>0</v>
      </c>
      <c r="K150" s="338">
        <v>20</v>
      </c>
      <c r="L150" s="339">
        <f>StrateC!V196</f>
        <v>0</v>
      </c>
      <c r="M150" s="340">
        <f t="shared" si="61"/>
        <v>0</v>
      </c>
      <c r="N150" s="341">
        <f t="shared" si="62"/>
        <v>0</v>
      </c>
      <c r="P150" s="338">
        <v>20</v>
      </c>
      <c r="Q150" s="339">
        <f>StrateC!AE196</f>
        <v>0</v>
      </c>
      <c r="R150" s="340">
        <f t="shared" si="63"/>
        <v>0</v>
      </c>
      <c r="S150" s="341">
        <f t="shared" si="64"/>
        <v>0</v>
      </c>
      <c r="U150" s="284"/>
      <c r="AF150" s="284"/>
    </row>
    <row r="151" spans="1:32" x14ac:dyDescent="0.2">
      <c r="U151" s="284"/>
      <c r="AF151" s="284"/>
    </row>
    <row r="152" spans="1:32" x14ac:dyDescent="0.2">
      <c r="U152" s="284"/>
      <c r="AF152" s="284"/>
    </row>
    <row r="153" spans="1:32" x14ac:dyDescent="0.2">
      <c r="A153" s="281" t="s">
        <v>0</v>
      </c>
      <c r="B153" s="281" t="s">
        <v>192</v>
      </c>
      <c r="C153" s="281"/>
      <c r="D153" s="281"/>
      <c r="E153" s="281"/>
      <c r="F153" s="281"/>
      <c r="G153" s="281"/>
      <c r="H153" s="281"/>
      <c r="I153" s="281"/>
      <c r="J153" s="281"/>
      <c r="K153" s="281"/>
      <c r="L153" s="281"/>
      <c r="M153" s="281"/>
      <c r="N153" s="281"/>
      <c r="O153" s="281"/>
      <c r="P153" s="281"/>
      <c r="Q153" s="281"/>
      <c r="R153" s="281"/>
      <c r="S153" s="281"/>
      <c r="U153" s="284"/>
      <c r="AF153" s="284"/>
    </row>
    <row r="154" spans="1:32" x14ac:dyDescent="0.2">
      <c r="A154" t="s">
        <v>901</v>
      </c>
      <c r="B154" t="str">
        <f>IF(StrateD!B58="","",StrateD!B58)</f>
        <v/>
      </c>
      <c r="C154" s="222" t="s">
        <v>908</v>
      </c>
      <c r="D154" t="str">
        <f>IF(B4="","",StrateD!D58)</f>
        <v/>
      </c>
      <c r="F154" t="s">
        <v>902</v>
      </c>
      <c r="G154" t="str">
        <f>IF(StrateD!K58="","",StrateD!K58)</f>
        <v/>
      </c>
      <c r="H154" s="222" t="s">
        <v>908</v>
      </c>
      <c r="I154" t="str">
        <f>IF(G4="","",StrateD!M58)</f>
        <v/>
      </c>
      <c r="K154" t="s">
        <v>903</v>
      </c>
      <c r="L154" t="str">
        <f>IF(StrateD!T58="","",StrateD!T58)</f>
        <v/>
      </c>
      <c r="M154" s="222" t="s">
        <v>908</v>
      </c>
      <c r="N154" t="str">
        <f>IF(L4="","",StrateD!V58)</f>
        <v/>
      </c>
      <c r="P154" t="s">
        <v>904</v>
      </c>
      <c r="Q154" t="str">
        <f>IF(StrateD!AC58="","",StrateD!AC58)</f>
        <v/>
      </c>
      <c r="R154" s="222" t="s">
        <v>908</v>
      </c>
      <c r="S154" t="str">
        <f>IF(Q4="","",StrateD!AE58)</f>
        <v/>
      </c>
      <c r="U154" s="284"/>
      <c r="AF154" s="284"/>
    </row>
    <row r="155" spans="1:32" x14ac:dyDescent="0.2">
      <c r="A155" t="s">
        <v>906</v>
      </c>
      <c r="B155" s="282" t="str">
        <f>IF(B154="","",VLOOKUP(B154,'1.GLOBAL'!$B$36:$E$47,4,FALSE))</f>
        <v/>
      </c>
      <c r="F155" t="s">
        <v>906</v>
      </c>
      <c r="G155" s="282" t="str">
        <f>IF(G154="","",VLOOKUP(G154,'1.GLOBAL'!$B$36:$E$47,4,FALSE))</f>
        <v/>
      </c>
      <c r="K155" t="s">
        <v>906</v>
      </c>
      <c r="L155" s="282" t="str">
        <f>IF(L154="","",VLOOKUP(L154,'1.GLOBAL'!$B$36:$E$47,4,FALSE))</f>
        <v/>
      </c>
      <c r="P155" t="s">
        <v>906</v>
      </c>
      <c r="Q155" s="282" t="str">
        <f>IF(Q154="","",VLOOKUP(Q154,'1.GLOBAL'!$B$36:$E$47,4,FALSE))</f>
        <v/>
      </c>
      <c r="U155" s="284"/>
      <c r="AF155" s="284"/>
    </row>
    <row r="156" spans="1:32" x14ac:dyDescent="0.2">
      <c r="A156" s="279" t="s">
        <v>900</v>
      </c>
      <c r="B156" s="279"/>
      <c r="C156" s="279"/>
      <c r="D156" s="279"/>
      <c r="E156" s="279"/>
      <c r="F156" s="279"/>
      <c r="G156" s="279"/>
      <c r="H156" s="279"/>
      <c r="I156" s="279"/>
      <c r="J156" s="279"/>
      <c r="K156" s="279"/>
      <c r="L156" s="279"/>
      <c r="M156" s="279"/>
      <c r="N156" s="279"/>
      <c r="O156" s="279"/>
      <c r="P156" s="279"/>
      <c r="Q156" s="279"/>
      <c r="R156" s="279"/>
      <c r="S156" s="279"/>
      <c r="U156" s="284"/>
      <c r="AF156" s="284"/>
    </row>
    <row r="157" spans="1:32" x14ac:dyDescent="0.2">
      <c r="A157" s="332" t="s">
        <v>94</v>
      </c>
      <c r="B157" s="333" t="s">
        <v>18</v>
      </c>
      <c r="C157" s="333" t="s">
        <v>899</v>
      </c>
      <c r="D157" s="334" t="s">
        <v>905</v>
      </c>
      <c r="F157" s="332" t="s">
        <v>94</v>
      </c>
      <c r="G157" s="333" t="s">
        <v>18</v>
      </c>
      <c r="H157" s="333" t="s">
        <v>899</v>
      </c>
      <c r="I157" s="334" t="s">
        <v>905</v>
      </c>
      <c r="K157" s="332" t="s">
        <v>94</v>
      </c>
      <c r="L157" s="333" t="s">
        <v>18</v>
      </c>
      <c r="M157" s="333" t="s">
        <v>899</v>
      </c>
      <c r="N157" s="334" t="s">
        <v>905</v>
      </c>
      <c r="P157" s="332" t="s">
        <v>94</v>
      </c>
      <c r="Q157" s="333" t="s">
        <v>18</v>
      </c>
      <c r="R157" s="333" t="s">
        <v>899</v>
      </c>
      <c r="S157" s="334" t="s">
        <v>905</v>
      </c>
      <c r="U157" s="284"/>
      <c r="AF157" s="284"/>
    </row>
    <row r="158" spans="1:32" x14ac:dyDescent="0.2">
      <c r="A158" s="335">
        <v>1</v>
      </c>
      <c r="B158" s="310">
        <f>StrateD!D61</f>
        <v>0</v>
      </c>
      <c r="C158" s="336">
        <f>IF(B158=0,0,INT(B158/D$154))</f>
        <v>0</v>
      </c>
      <c r="D158" s="337">
        <f>IF(C158=0,0,C158*B$155)</f>
        <v>0</v>
      </c>
      <c r="F158" s="335">
        <v>1</v>
      </c>
      <c r="G158" s="310">
        <f>StrateD!M61</f>
        <v>0</v>
      </c>
      <c r="H158" s="336">
        <f>IF(G158=0,0,INT(G158/I$154))</f>
        <v>0</v>
      </c>
      <c r="I158" s="337">
        <f>IF(H158=0,0,H158*G$155)</f>
        <v>0</v>
      </c>
      <c r="K158" s="335">
        <v>1</v>
      </c>
      <c r="L158" s="310">
        <f>StrateD!V61</f>
        <v>0</v>
      </c>
      <c r="M158" s="336">
        <f>IF(L158=0,0,INT(L158/N$154))</f>
        <v>0</v>
      </c>
      <c r="N158" s="337">
        <f>IF(M158=0,0,M158*L$155)</f>
        <v>0</v>
      </c>
      <c r="P158" s="335">
        <v>1</v>
      </c>
      <c r="Q158" s="310">
        <f>StrateD!AE61</f>
        <v>0</v>
      </c>
      <c r="R158" s="336">
        <f>IF(Q158=0,0,INT(Q158/S$154))</f>
        <v>0</v>
      </c>
      <c r="S158" s="337">
        <f>IF(R158=0,0,R158*Q$155)</f>
        <v>0</v>
      </c>
      <c r="U158" s="284"/>
      <c r="AF158" s="284"/>
    </row>
    <row r="159" spans="1:32" x14ac:dyDescent="0.2">
      <c r="A159" s="338">
        <v>2</v>
      </c>
      <c r="B159" s="339">
        <f>StrateD!D62</f>
        <v>0</v>
      </c>
      <c r="C159" s="340">
        <f t="shared" ref="C159:C177" si="65">IF(B159=0,0,INT(B159/D$154))</f>
        <v>0</v>
      </c>
      <c r="D159" s="341">
        <f t="shared" ref="D159:D177" si="66">IF(C159=0,0,C159*B$155)</f>
        <v>0</v>
      </c>
      <c r="F159" s="338">
        <v>2</v>
      </c>
      <c r="G159" s="339">
        <f>StrateD!M62</f>
        <v>0</v>
      </c>
      <c r="H159" s="340">
        <f t="shared" ref="H159:H177" si="67">IF(G159=0,0,INT(G159/I$154))</f>
        <v>0</v>
      </c>
      <c r="I159" s="341">
        <f t="shared" ref="I159:I177" si="68">IF(H159=0,0,H159*G$155)</f>
        <v>0</v>
      </c>
      <c r="K159" s="338">
        <v>2</v>
      </c>
      <c r="L159" s="339">
        <f>StrateD!V62</f>
        <v>0</v>
      </c>
      <c r="M159" s="340">
        <f t="shared" ref="M159:M177" si="69">IF(L159=0,0,INT(L159/N$154))</f>
        <v>0</v>
      </c>
      <c r="N159" s="341">
        <f t="shared" ref="N159:N177" si="70">IF(M159=0,0,M159*L$155)</f>
        <v>0</v>
      </c>
      <c r="P159" s="338">
        <v>2</v>
      </c>
      <c r="Q159" s="339">
        <f>StrateD!AE62</f>
        <v>0</v>
      </c>
      <c r="R159" s="340">
        <f t="shared" ref="R159:R177" si="71">IF(Q159=0,0,INT(Q159/S$154))</f>
        <v>0</v>
      </c>
      <c r="S159" s="341">
        <f t="shared" ref="S159:S177" si="72">IF(R159=0,0,R159*Q$155)</f>
        <v>0</v>
      </c>
      <c r="U159" s="284"/>
      <c r="AF159" s="284"/>
    </row>
    <row r="160" spans="1:32" x14ac:dyDescent="0.2">
      <c r="A160" s="335">
        <v>3</v>
      </c>
      <c r="B160" s="310">
        <f>StrateD!D63</f>
        <v>0</v>
      </c>
      <c r="C160" s="336">
        <f t="shared" si="65"/>
        <v>0</v>
      </c>
      <c r="D160" s="337">
        <f t="shared" si="66"/>
        <v>0</v>
      </c>
      <c r="F160" s="335">
        <v>3</v>
      </c>
      <c r="G160" s="310">
        <f>StrateD!M63</f>
        <v>0</v>
      </c>
      <c r="H160" s="336">
        <f t="shared" si="67"/>
        <v>0</v>
      </c>
      <c r="I160" s="337">
        <f t="shared" si="68"/>
        <v>0</v>
      </c>
      <c r="K160" s="335">
        <v>3</v>
      </c>
      <c r="L160" s="310">
        <f>StrateD!V63</f>
        <v>0</v>
      </c>
      <c r="M160" s="336">
        <f t="shared" si="69"/>
        <v>0</v>
      </c>
      <c r="N160" s="337">
        <f t="shared" si="70"/>
        <v>0</v>
      </c>
      <c r="P160" s="335">
        <v>3</v>
      </c>
      <c r="Q160" s="310">
        <f>StrateD!AE63</f>
        <v>0</v>
      </c>
      <c r="R160" s="336">
        <f t="shared" si="71"/>
        <v>0</v>
      </c>
      <c r="S160" s="337">
        <f t="shared" si="72"/>
        <v>0</v>
      </c>
      <c r="U160" s="284"/>
      <c r="AF160" s="284"/>
    </row>
    <row r="161" spans="1:32" x14ac:dyDescent="0.2">
      <c r="A161" s="338">
        <v>4</v>
      </c>
      <c r="B161" s="339">
        <f>StrateD!D64</f>
        <v>0</v>
      </c>
      <c r="C161" s="340">
        <f t="shared" si="65"/>
        <v>0</v>
      </c>
      <c r="D161" s="341">
        <f t="shared" si="66"/>
        <v>0</v>
      </c>
      <c r="F161" s="338">
        <v>4</v>
      </c>
      <c r="G161" s="339">
        <f>StrateD!M64</f>
        <v>0</v>
      </c>
      <c r="H161" s="340">
        <f t="shared" si="67"/>
        <v>0</v>
      </c>
      <c r="I161" s="341">
        <f t="shared" si="68"/>
        <v>0</v>
      </c>
      <c r="K161" s="338">
        <v>4</v>
      </c>
      <c r="L161" s="339">
        <f>StrateD!V64</f>
        <v>0</v>
      </c>
      <c r="M161" s="340">
        <f t="shared" si="69"/>
        <v>0</v>
      </c>
      <c r="N161" s="341">
        <f t="shared" si="70"/>
        <v>0</v>
      </c>
      <c r="P161" s="338">
        <v>4</v>
      </c>
      <c r="Q161" s="339">
        <f>StrateD!AE64</f>
        <v>0</v>
      </c>
      <c r="R161" s="340">
        <f t="shared" si="71"/>
        <v>0</v>
      </c>
      <c r="S161" s="341">
        <f t="shared" si="72"/>
        <v>0</v>
      </c>
      <c r="U161" s="284"/>
      <c r="AF161" s="284"/>
    </row>
    <row r="162" spans="1:32" x14ac:dyDescent="0.2">
      <c r="A162" s="335">
        <v>5</v>
      </c>
      <c r="B162" s="310">
        <f>StrateD!D65</f>
        <v>0</v>
      </c>
      <c r="C162" s="336">
        <f t="shared" si="65"/>
        <v>0</v>
      </c>
      <c r="D162" s="337">
        <f t="shared" si="66"/>
        <v>0</v>
      </c>
      <c r="F162" s="335">
        <v>5</v>
      </c>
      <c r="G162" s="310">
        <f>StrateD!M65</f>
        <v>0</v>
      </c>
      <c r="H162" s="336">
        <f t="shared" si="67"/>
        <v>0</v>
      </c>
      <c r="I162" s="337">
        <f t="shared" si="68"/>
        <v>0</v>
      </c>
      <c r="K162" s="335">
        <v>5</v>
      </c>
      <c r="L162" s="310">
        <f>StrateD!V65</f>
        <v>0</v>
      </c>
      <c r="M162" s="336">
        <f t="shared" si="69"/>
        <v>0</v>
      </c>
      <c r="N162" s="337">
        <f t="shared" si="70"/>
        <v>0</v>
      </c>
      <c r="P162" s="335">
        <v>5</v>
      </c>
      <c r="Q162" s="310">
        <f>StrateD!AE65</f>
        <v>0</v>
      </c>
      <c r="R162" s="336">
        <f t="shared" si="71"/>
        <v>0</v>
      </c>
      <c r="S162" s="337">
        <f t="shared" si="72"/>
        <v>0</v>
      </c>
      <c r="U162" s="284"/>
      <c r="AF162" s="284"/>
    </row>
    <row r="163" spans="1:32" x14ac:dyDescent="0.2">
      <c r="A163" s="338">
        <v>6</v>
      </c>
      <c r="B163" s="339">
        <f>StrateD!D66</f>
        <v>0</v>
      </c>
      <c r="C163" s="340">
        <f t="shared" si="65"/>
        <v>0</v>
      </c>
      <c r="D163" s="341">
        <f t="shared" si="66"/>
        <v>0</v>
      </c>
      <c r="F163" s="338">
        <v>6</v>
      </c>
      <c r="G163" s="339">
        <f>StrateD!M66</f>
        <v>0</v>
      </c>
      <c r="H163" s="340">
        <f t="shared" si="67"/>
        <v>0</v>
      </c>
      <c r="I163" s="341">
        <f t="shared" si="68"/>
        <v>0</v>
      </c>
      <c r="K163" s="338">
        <v>6</v>
      </c>
      <c r="L163" s="339">
        <f>StrateD!V66</f>
        <v>0</v>
      </c>
      <c r="M163" s="340">
        <f t="shared" si="69"/>
        <v>0</v>
      </c>
      <c r="N163" s="341">
        <f t="shared" si="70"/>
        <v>0</v>
      </c>
      <c r="P163" s="338">
        <v>6</v>
      </c>
      <c r="Q163" s="339">
        <f>StrateD!AE66</f>
        <v>0</v>
      </c>
      <c r="R163" s="340">
        <f t="shared" si="71"/>
        <v>0</v>
      </c>
      <c r="S163" s="341">
        <f t="shared" si="72"/>
        <v>0</v>
      </c>
      <c r="U163" s="284"/>
      <c r="AF163" s="284"/>
    </row>
    <row r="164" spans="1:32" x14ac:dyDescent="0.2">
      <c r="A164" s="335">
        <v>7</v>
      </c>
      <c r="B164" s="310">
        <f>StrateD!D67</f>
        <v>0</v>
      </c>
      <c r="C164" s="336">
        <f t="shared" si="65"/>
        <v>0</v>
      </c>
      <c r="D164" s="337">
        <f t="shared" si="66"/>
        <v>0</v>
      </c>
      <c r="F164" s="335">
        <v>7</v>
      </c>
      <c r="G164" s="310">
        <f>StrateD!M67</f>
        <v>0</v>
      </c>
      <c r="H164" s="336">
        <f t="shared" si="67"/>
        <v>0</v>
      </c>
      <c r="I164" s="337">
        <f t="shared" si="68"/>
        <v>0</v>
      </c>
      <c r="K164" s="335">
        <v>7</v>
      </c>
      <c r="L164" s="310">
        <f>StrateD!V67</f>
        <v>0</v>
      </c>
      <c r="M164" s="336">
        <f t="shared" si="69"/>
        <v>0</v>
      </c>
      <c r="N164" s="337">
        <f t="shared" si="70"/>
        <v>0</v>
      </c>
      <c r="P164" s="335">
        <v>7</v>
      </c>
      <c r="Q164" s="310">
        <f>StrateD!AE67</f>
        <v>0</v>
      </c>
      <c r="R164" s="336">
        <f t="shared" si="71"/>
        <v>0</v>
      </c>
      <c r="S164" s="337">
        <f t="shared" si="72"/>
        <v>0</v>
      </c>
      <c r="U164" s="284"/>
      <c r="AF164" s="284"/>
    </row>
    <row r="165" spans="1:32" x14ac:dyDescent="0.2">
      <c r="A165" s="338">
        <v>8</v>
      </c>
      <c r="B165" s="339">
        <f>StrateD!D68</f>
        <v>0</v>
      </c>
      <c r="C165" s="340">
        <f t="shared" si="65"/>
        <v>0</v>
      </c>
      <c r="D165" s="341">
        <f t="shared" si="66"/>
        <v>0</v>
      </c>
      <c r="F165" s="338">
        <v>8</v>
      </c>
      <c r="G165" s="339">
        <f>StrateD!M68</f>
        <v>0</v>
      </c>
      <c r="H165" s="340">
        <f t="shared" si="67"/>
        <v>0</v>
      </c>
      <c r="I165" s="341">
        <f t="shared" si="68"/>
        <v>0</v>
      </c>
      <c r="K165" s="338">
        <v>8</v>
      </c>
      <c r="L165" s="339">
        <f>StrateD!V68</f>
        <v>0</v>
      </c>
      <c r="M165" s="340">
        <f t="shared" si="69"/>
        <v>0</v>
      </c>
      <c r="N165" s="341">
        <f t="shared" si="70"/>
        <v>0</v>
      </c>
      <c r="P165" s="338">
        <v>8</v>
      </c>
      <c r="Q165" s="339">
        <f>StrateD!AE68</f>
        <v>0</v>
      </c>
      <c r="R165" s="340">
        <f t="shared" si="71"/>
        <v>0</v>
      </c>
      <c r="S165" s="341">
        <f t="shared" si="72"/>
        <v>0</v>
      </c>
      <c r="U165" s="284"/>
      <c r="AF165" s="284"/>
    </row>
    <row r="166" spans="1:32" x14ac:dyDescent="0.2">
      <c r="A166" s="335">
        <v>9</v>
      </c>
      <c r="B166" s="310">
        <f>StrateD!D69</f>
        <v>0</v>
      </c>
      <c r="C166" s="336">
        <f t="shared" si="65"/>
        <v>0</v>
      </c>
      <c r="D166" s="337">
        <f t="shared" si="66"/>
        <v>0</v>
      </c>
      <c r="F166" s="335">
        <v>9</v>
      </c>
      <c r="G166" s="310">
        <f>StrateD!M69</f>
        <v>0</v>
      </c>
      <c r="H166" s="336">
        <f t="shared" si="67"/>
        <v>0</v>
      </c>
      <c r="I166" s="337">
        <f t="shared" si="68"/>
        <v>0</v>
      </c>
      <c r="K166" s="335">
        <v>9</v>
      </c>
      <c r="L166" s="310">
        <f>StrateD!V69</f>
        <v>0</v>
      </c>
      <c r="M166" s="336">
        <f t="shared" si="69"/>
        <v>0</v>
      </c>
      <c r="N166" s="337">
        <f t="shared" si="70"/>
        <v>0</v>
      </c>
      <c r="P166" s="335">
        <v>9</v>
      </c>
      <c r="Q166" s="310">
        <f>StrateD!AE69</f>
        <v>0</v>
      </c>
      <c r="R166" s="336">
        <f t="shared" si="71"/>
        <v>0</v>
      </c>
      <c r="S166" s="337">
        <f t="shared" si="72"/>
        <v>0</v>
      </c>
      <c r="U166" s="284"/>
      <c r="AF166" s="284"/>
    </row>
    <row r="167" spans="1:32" x14ac:dyDescent="0.2">
      <c r="A167" s="338">
        <v>10</v>
      </c>
      <c r="B167" s="339">
        <f>StrateD!D70</f>
        <v>0</v>
      </c>
      <c r="C167" s="340">
        <f t="shared" si="65"/>
        <v>0</v>
      </c>
      <c r="D167" s="341">
        <f t="shared" si="66"/>
        <v>0</v>
      </c>
      <c r="F167" s="338">
        <v>10</v>
      </c>
      <c r="G167" s="339">
        <f>StrateD!M70</f>
        <v>0</v>
      </c>
      <c r="H167" s="340">
        <f t="shared" si="67"/>
        <v>0</v>
      </c>
      <c r="I167" s="341">
        <f t="shared" si="68"/>
        <v>0</v>
      </c>
      <c r="K167" s="338">
        <v>10</v>
      </c>
      <c r="L167" s="339">
        <f>StrateD!V70</f>
        <v>0</v>
      </c>
      <c r="M167" s="340">
        <f t="shared" si="69"/>
        <v>0</v>
      </c>
      <c r="N167" s="341">
        <f t="shared" si="70"/>
        <v>0</v>
      </c>
      <c r="P167" s="338">
        <v>10</v>
      </c>
      <c r="Q167" s="339">
        <f>StrateD!AE70</f>
        <v>0</v>
      </c>
      <c r="R167" s="340">
        <f t="shared" si="71"/>
        <v>0</v>
      </c>
      <c r="S167" s="341">
        <f t="shared" si="72"/>
        <v>0</v>
      </c>
      <c r="U167" s="284"/>
      <c r="AF167" s="284"/>
    </row>
    <row r="168" spans="1:32" x14ac:dyDescent="0.2">
      <c r="A168" s="335">
        <v>11</v>
      </c>
      <c r="B168" s="310">
        <f>StrateD!D71</f>
        <v>0</v>
      </c>
      <c r="C168" s="336">
        <f t="shared" si="65"/>
        <v>0</v>
      </c>
      <c r="D168" s="337">
        <f t="shared" si="66"/>
        <v>0</v>
      </c>
      <c r="F168" s="335">
        <v>11</v>
      </c>
      <c r="G168" s="310">
        <f>StrateD!M71</f>
        <v>0</v>
      </c>
      <c r="H168" s="336">
        <f t="shared" si="67"/>
        <v>0</v>
      </c>
      <c r="I168" s="337">
        <f t="shared" si="68"/>
        <v>0</v>
      </c>
      <c r="K168" s="335">
        <v>11</v>
      </c>
      <c r="L168" s="310">
        <f>StrateD!V71</f>
        <v>0</v>
      </c>
      <c r="M168" s="336">
        <f t="shared" si="69"/>
        <v>0</v>
      </c>
      <c r="N168" s="337">
        <f t="shared" si="70"/>
        <v>0</v>
      </c>
      <c r="P168" s="335">
        <v>11</v>
      </c>
      <c r="Q168" s="310">
        <f>StrateD!AE71</f>
        <v>0</v>
      </c>
      <c r="R168" s="336">
        <f t="shared" si="71"/>
        <v>0</v>
      </c>
      <c r="S168" s="337">
        <f t="shared" si="72"/>
        <v>0</v>
      </c>
      <c r="U168" s="284"/>
      <c r="AF168" s="284"/>
    </row>
    <row r="169" spans="1:32" x14ac:dyDescent="0.2">
      <c r="A169" s="338">
        <v>12</v>
      </c>
      <c r="B169" s="339">
        <f>StrateD!D72</f>
        <v>0</v>
      </c>
      <c r="C169" s="340">
        <f t="shared" si="65"/>
        <v>0</v>
      </c>
      <c r="D169" s="341">
        <f t="shared" si="66"/>
        <v>0</v>
      </c>
      <c r="F169" s="338">
        <v>12</v>
      </c>
      <c r="G169" s="339">
        <f>StrateD!M72</f>
        <v>0</v>
      </c>
      <c r="H169" s="340">
        <f t="shared" si="67"/>
        <v>0</v>
      </c>
      <c r="I169" s="341">
        <f t="shared" si="68"/>
        <v>0</v>
      </c>
      <c r="K169" s="338">
        <v>12</v>
      </c>
      <c r="L169" s="339">
        <f>StrateD!V72</f>
        <v>0</v>
      </c>
      <c r="M169" s="340">
        <f t="shared" si="69"/>
        <v>0</v>
      </c>
      <c r="N169" s="341">
        <f t="shared" si="70"/>
        <v>0</v>
      </c>
      <c r="P169" s="338">
        <v>12</v>
      </c>
      <c r="Q169" s="339">
        <f>StrateD!AE72</f>
        <v>0</v>
      </c>
      <c r="R169" s="340">
        <f t="shared" si="71"/>
        <v>0</v>
      </c>
      <c r="S169" s="341">
        <f t="shared" si="72"/>
        <v>0</v>
      </c>
      <c r="U169" s="284"/>
      <c r="AF169" s="284"/>
    </row>
    <row r="170" spans="1:32" x14ac:dyDescent="0.2">
      <c r="A170" s="335">
        <v>13</v>
      </c>
      <c r="B170" s="310">
        <f>StrateD!D73</f>
        <v>0</v>
      </c>
      <c r="C170" s="336">
        <f t="shared" si="65"/>
        <v>0</v>
      </c>
      <c r="D170" s="337">
        <f t="shared" si="66"/>
        <v>0</v>
      </c>
      <c r="F170" s="335">
        <v>13</v>
      </c>
      <c r="G170" s="310">
        <f>StrateD!M73</f>
        <v>0</v>
      </c>
      <c r="H170" s="336">
        <f t="shared" si="67"/>
        <v>0</v>
      </c>
      <c r="I170" s="337">
        <f t="shared" si="68"/>
        <v>0</v>
      </c>
      <c r="K170" s="335">
        <v>13</v>
      </c>
      <c r="L170" s="310">
        <f>StrateD!V73</f>
        <v>0</v>
      </c>
      <c r="M170" s="336">
        <f t="shared" si="69"/>
        <v>0</v>
      </c>
      <c r="N170" s="337">
        <f t="shared" si="70"/>
        <v>0</v>
      </c>
      <c r="P170" s="335">
        <v>13</v>
      </c>
      <c r="Q170" s="310">
        <f>StrateD!AE73</f>
        <v>0</v>
      </c>
      <c r="R170" s="336">
        <f t="shared" si="71"/>
        <v>0</v>
      </c>
      <c r="S170" s="337">
        <f t="shared" si="72"/>
        <v>0</v>
      </c>
      <c r="U170" s="284"/>
      <c r="AF170" s="284"/>
    </row>
    <row r="171" spans="1:32" x14ac:dyDescent="0.2">
      <c r="A171" s="338">
        <v>14</v>
      </c>
      <c r="B171" s="339">
        <f>StrateD!D74</f>
        <v>0</v>
      </c>
      <c r="C171" s="340">
        <f t="shared" si="65"/>
        <v>0</v>
      </c>
      <c r="D171" s="341">
        <f t="shared" si="66"/>
        <v>0</v>
      </c>
      <c r="F171" s="338">
        <v>14</v>
      </c>
      <c r="G171" s="339">
        <f>StrateD!M74</f>
        <v>0</v>
      </c>
      <c r="H171" s="340">
        <f t="shared" si="67"/>
        <v>0</v>
      </c>
      <c r="I171" s="341">
        <f t="shared" si="68"/>
        <v>0</v>
      </c>
      <c r="K171" s="338">
        <v>14</v>
      </c>
      <c r="L171" s="339">
        <f>StrateD!V74</f>
        <v>0</v>
      </c>
      <c r="M171" s="340">
        <f t="shared" si="69"/>
        <v>0</v>
      </c>
      <c r="N171" s="341">
        <f t="shared" si="70"/>
        <v>0</v>
      </c>
      <c r="P171" s="338">
        <v>14</v>
      </c>
      <c r="Q171" s="339">
        <f>StrateD!AE74</f>
        <v>0</v>
      </c>
      <c r="R171" s="340">
        <f t="shared" si="71"/>
        <v>0</v>
      </c>
      <c r="S171" s="341">
        <f t="shared" si="72"/>
        <v>0</v>
      </c>
      <c r="U171" s="284"/>
      <c r="AF171" s="284"/>
    </row>
    <row r="172" spans="1:32" x14ac:dyDescent="0.2">
      <c r="A172" s="335">
        <v>15</v>
      </c>
      <c r="B172" s="310">
        <f>StrateD!D75</f>
        <v>0</v>
      </c>
      <c r="C172" s="336">
        <f t="shared" si="65"/>
        <v>0</v>
      </c>
      <c r="D172" s="337">
        <f t="shared" si="66"/>
        <v>0</v>
      </c>
      <c r="F172" s="335">
        <v>15</v>
      </c>
      <c r="G172" s="310">
        <f>StrateD!M75</f>
        <v>0</v>
      </c>
      <c r="H172" s="336">
        <f t="shared" si="67"/>
        <v>0</v>
      </c>
      <c r="I172" s="337">
        <f t="shared" si="68"/>
        <v>0</v>
      </c>
      <c r="K172" s="335">
        <v>15</v>
      </c>
      <c r="L172" s="310">
        <f>StrateD!V75</f>
        <v>0</v>
      </c>
      <c r="M172" s="336">
        <f t="shared" si="69"/>
        <v>0</v>
      </c>
      <c r="N172" s="337">
        <f t="shared" si="70"/>
        <v>0</v>
      </c>
      <c r="P172" s="335">
        <v>15</v>
      </c>
      <c r="Q172" s="310">
        <f>StrateD!AE75</f>
        <v>0</v>
      </c>
      <c r="R172" s="336">
        <f t="shared" si="71"/>
        <v>0</v>
      </c>
      <c r="S172" s="337">
        <f t="shared" si="72"/>
        <v>0</v>
      </c>
      <c r="U172" s="284"/>
      <c r="AF172" s="284"/>
    </row>
    <row r="173" spans="1:32" x14ac:dyDescent="0.2">
      <c r="A173" s="338">
        <v>16</v>
      </c>
      <c r="B173" s="339">
        <f>StrateD!D76</f>
        <v>0</v>
      </c>
      <c r="C173" s="340">
        <f t="shared" si="65"/>
        <v>0</v>
      </c>
      <c r="D173" s="341">
        <f t="shared" si="66"/>
        <v>0</v>
      </c>
      <c r="F173" s="338">
        <v>16</v>
      </c>
      <c r="G173" s="339">
        <f>StrateD!M76</f>
        <v>0</v>
      </c>
      <c r="H173" s="340">
        <f t="shared" si="67"/>
        <v>0</v>
      </c>
      <c r="I173" s="341">
        <f t="shared" si="68"/>
        <v>0</v>
      </c>
      <c r="K173" s="338">
        <v>16</v>
      </c>
      <c r="L173" s="339">
        <f>StrateD!V76</f>
        <v>0</v>
      </c>
      <c r="M173" s="340">
        <f t="shared" si="69"/>
        <v>0</v>
      </c>
      <c r="N173" s="341">
        <f t="shared" si="70"/>
        <v>0</v>
      </c>
      <c r="P173" s="338">
        <v>16</v>
      </c>
      <c r="Q173" s="339">
        <f>StrateD!AE76</f>
        <v>0</v>
      </c>
      <c r="R173" s="340">
        <f t="shared" si="71"/>
        <v>0</v>
      </c>
      <c r="S173" s="341">
        <f t="shared" si="72"/>
        <v>0</v>
      </c>
      <c r="U173" s="284"/>
      <c r="AF173" s="284"/>
    </row>
    <row r="174" spans="1:32" x14ac:dyDescent="0.2">
      <c r="A174" s="335">
        <v>17</v>
      </c>
      <c r="B174" s="310">
        <f>StrateD!D77</f>
        <v>0</v>
      </c>
      <c r="C174" s="336">
        <f t="shared" si="65"/>
        <v>0</v>
      </c>
      <c r="D174" s="337">
        <f t="shared" si="66"/>
        <v>0</v>
      </c>
      <c r="F174" s="335">
        <v>17</v>
      </c>
      <c r="G174" s="310">
        <f>StrateD!M77</f>
        <v>0</v>
      </c>
      <c r="H174" s="336">
        <f t="shared" si="67"/>
        <v>0</v>
      </c>
      <c r="I174" s="337">
        <f t="shared" si="68"/>
        <v>0</v>
      </c>
      <c r="K174" s="335">
        <v>17</v>
      </c>
      <c r="L174" s="310">
        <f>StrateD!V77</f>
        <v>0</v>
      </c>
      <c r="M174" s="336">
        <f t="shared" si="69"/>
        <v>0</v>
      </c>
      <c r="N174" s="337">
        <f t="shared" si="70"/>
        <v>0</v>
      </c>
      <c r="P174" s="335">
        <v>17</v>
      </c>
      <c r="Q174" s="310">
        <f>StrateD!AE77</f>
        <v>0</v>
      </c>
      <c r="R174" s="336">
        <f t="shared" si="71"/>
        <v>0</v>
      </c>
      <c r="S174" s="337">
        <f t="shared" si="72"/>
        <v>0</v>
      </c>
      <c r="U174" s="284"/>
      <c r="AF174" s="284"/>
    </row>
    <row r="175" spans="1:32" x14ac:dyDescent="0.2">
      <c r="A175" s="338">
        <v>18</v>
      </c>
      <c r="B175" s="339">
        <f>StrateD!D78</f>
        <v>0</v>
      </c>
      <c r="C175" s="340">
        <f t="shared" si="65"/>
        <v>0</v>
      </c>
      <c r="D175" s="341">
        <f t="shared" si="66"/>
        <v>0</v>
      </c>
      <c r="F175" s="338">
        <v>18</v>
      </c>
      <c r="G175" s="339">
        <f>StrateD!M78</f>
        <v>0</v>
      </c>
      <c r="H175" s="340">
        <f t="shared" si="67"/>
        <v>0</v>
      </c>
      <c r="I175" s="341">
        <f t="shared" si="68"/>
        <v>0</v>
      </c>
      <c r="K175" s="338">
        <v>18</v>
      </c>
      <c r="L175" s="339">
        <f>StrateD!V78</f>
        <v>0</v>
      </c>
      <c r="M175" s="340">
        <f t="shared" si="69"/>
        <v>0</v>
      </c>
      <c r="N175" s="341">
        <f t="shared" si="70"/>
        <v>0</v>
      </c>
      <c r="P175" s="338">
        <v>18</v>
      </c>
      <c r="Q175" s="339">
        <f>StrateD!AE78</f>
        <v>0</v>
      </c>
      <c r="R175" s="340">
        <f t="shared" si="71"/>
        <v>0</v>
      </c>
      <c r="S175" s="341">
        <f t="shared" si="72"/>
        <v>0</v>
      </c>
      <c r="U175" s="284"/>
      <c r="AF175" s="284"/>
    </row>
    <row r="176" spans="1:32" x14ac:dyDescent="0.2">
      <c r="A176" s="335">
        <v>19</v>
      </c>
      <c r="B176" s="310">
        <f>StrateD!D79</f>
        <v>0</v>
      </c>
      <c r="C176" s="336">
        <f t="shared" si="65"/>
        <v>0</v>
      </c>
      <c r="D176" s="337">
        <f t="shared" si="66"/>
        <v>0</v>
      </c>
      <c r="F176" s="335">
        <v>19</v>
      </c>
      <c r="G176" s="310">
        <f>StrateD!M79</f>
        <v>0</v>
      </c>
      <c r="H176" s="336">
        <f t="shared" si="67"/>
        <v>0</v>
      </c>
      <c r="I176" s="337">
        <f t="shared" si="68"/>
        <v>0</v>
      </c>
      <c r="K176" s="335">
        <v>19</v>
      </c>
      <c r="L176" s="310">
        <f>StrateD!V79</f>
        <v>0</v>
      </c>
      <c r="M176" s="336">
        <f t="shared" si="69"/>
        <v>0</v>
      </c>
      <c r="N176" s="337">
        <f t="shared" si="70"/>
        <v>0</v>
      </c>
      <c r="P176" s="335">
        <v>19</v>
      </c>
      <c r="Q176" s="310">
        <f>StrateD!AE79</f>
        <v>0</v>
      </c>
      <c r="R176" s="336">
        <f t="shared" si="71"/>
        <v>0</v>
      </c>
      <c r="S176" s="337">
        <f t="shared" si="72"/>
        <v>0</v>
      </c>
      <c r="U176" s="284"/>
      <c r="AF176" s="284"/>
    </row>
    <row r="177" spans="1:32" x14ac:dyDescent="0.2">
      <c r="A177" s="338">
        <v>20</v>
      </c>
      <c r="B177" s="339">
        <f>StrateD!D80</f>
        <v>0</v>
      </c>
      <c r="C177" s="340">
        <f t="shared" si="65"/>
        <v>0</v>
      </c>
      <c r="D177" s="341">
        <f t="shared" si="66"/>
        <v>0</v>
      </c>
      <c r="F177" s="338">
        <v>20</v>
      </c>
      <c r="G177" s="339">
        <f>StrateD!M80</f>
        <v>0</v>
      </c>
      <c r="H177" s="340">
        <f t="shared" si="67"/>
        <v>0</v>
      </c>
      <c r="I177" s="341">
        <f t="shared" si="68"/>
        <v>0</v>
      </c>
      <c r="K177" s="338">
        <v>20</v>
      </c>
      <c r="L177" s="339">
        <f>StrateD!V80</f>
        <v>0</v>
      </c>
      <c r="M177" s="340">
        <f t="shared" si="69"/>
        <v>0</v>
      </c>
      <c r="N177" s="341">
        <f t="shared" si="70"/>
        <v>0</v>
      </c>
      <c r="P177" s="338">
        <v>20</v>
      </c>
      <c r="Q177" s="339">
        <f>StrateD!AE80</f>
        <v>0</v>
      </c>
      <c r="R177" s="340">
        <f t="shared" si="71"/>
        <v>0</v>
      </c>
      <c r="S177" s="341">
        <f t="shared" si="72"/>
        <v>0</v>
      </c>
      <c r="U177" s="284"/>
      <c r="AF177" s="284"/>
    </row>
    <row r="178" spans="1:32" x14ac:dyDescent="0.2">
      <c r="U178" s="284"/>
      <c r="AF178" s="284"/>
    </row>
    <row r="179" spans="1:32" x14ac:dyDescent="0.2">
      <c r="A179" s="344" t="s">
        <v>907</v>
      </c>
      <c r="B179" s="344"/>
      <c r="C179" s="344"/>
      <c r="D179" s="344"/>
      <c r="E179" s="344"/>
      <c r="F179" s="344"/>
      <c r="G179" s="344"/>
      <c r="H179" s="344"/>
      <c r="I179" s="344"/>
      <c r="J179" s="344"/>
      <c r="K179" s="344"/>
      <c r="L179" s="344"/>
      <c r="M179" s="344"/>
      <c r="N179" s="344"/>
      <c r="O179" s="344"/>
      <c r="P179" s="344"/>
      <c r="Q179" s="344"/>
      <c r="R179" s="344"/>
      <c r="S179" s="344"/>
      <c r="U179" s="284"/>
      <c r="AF179" s="284"/>
    </row>
    <row r="180" spans="1:32" x14ac:dyDescent="0.2">
      <c r="A180" s="332" t="s">
        <v>94</v>
      </c>
      <c r="B180" s="333" t="s">
        <v>18</v>
      </c>
      <c r="C180" s="333" t="s">
        <v>899</v>
      </c>
      <c r="D180" s="334" t="s">
        <v>905</v>
      </c>
      <c r="F180" s="332" t="s">
        <v>94</v>
      </c>
      <c r="G180" s="333" t="s">
        <v>18</v>
      </c>
      <c r="H180" s="333" t="s">
        <v>899</v>
      </c>
      <c r="I180" s="334" t="s">
        <v>905</v>
      </c>
      <c r="K180" s="332" t="s">
        <v>94</v>
      </c>
      <c r="L180" s="333" t="s">
        <v>18</v>
      </c>
      <c r="M180" s="333" t="s">
        <v>899</v>
      </c>
      <c r="N180" s="334" t="s">
        <v>905</v>
      </c>
      <c r="P180" s="332" t="s">
        <v>94</v>
      </c>
      <c r="Q180" s="333" t="s">
        <v>18</v>
      </c>
      <c r="R180" s="333" t="s">
        <v>899</v>
      </c>
      <c r="S180" s="334" t="s">
        <v>905</v>
      </c>
      <c r="U180" s="284"/>
      <c r="AF180" s="284"/>
    </row>
    <row r="181" spans="1:32" x14ac:dyDescent="0.2">
      <c r="A181" s="335">
        <v>1</v>
      </c>
      <c r="B181" s="310">
        <f>StrateD!D177</f>
        <v>0</v>
      </c>
      <c r="C181" s="336">
        <f>IF(B181=0,0,INT(B181/D$154))</f>
        <v>0</v>
      </c>
      <c r="D181" s="337">
        <f>IF(C181=0,0,C181*B$155)</f>
        <v>0</v>
      </c>
      <c r="F181" s="335">
        <v>1</v>
      </c>
      <c r="G181" s="310">
        <f>StrateD!M177</f>
        <v>0</v>
      </c>
      <c r="H181" s="336">
        <f>IF(G181=0,0,INT(G181/I$154))</f>
        <v>0</v>
      </c>
      <c r="I181" s="337">
        <f>IF(H181=0,0,H181*G$155)</f>
        <v>0</v>
      </c>
      <c r="K181" s="335">
        <v>1</v>
      </c>
      <c r="L181" s="310">
        <f>StrateD!V177</f>
        <v>0</v>
      </c>
      <c r="M181" s="336">
        <f>IF(L181=0,0,INT(L181/N$154))</f>
        <v>0</v>
      </c>
      <c r="N181" s="337">
        <f>IF(M181=0,0,M181*L$155)</f>
        <v>0</v>
      </c>
      <c r="P181" s="335">
        <v>1</v>
      </c>
      <c r="Q181" s="310">
        <f>StrateD!AE177</f>
        <v>0</v>
      </c>
      <c r="R181" s="336">
        <f>IF(Q181=0,0,INT(Q181/S$154))</f>
        <v>0</v>
      </c>
      <c r="S181" s="337">
        <f>IF(R181=0,0,R181*Q$155)</f>
        <v>0</v>
      </c>
      <c r="U181" s="284"/>
      <c r="AF181" s="284"/>
    </row>
    <row r="182" spans="1:32" x14ac:dyDescent="0.2">
      <c r="A182" s="338">
        <v>2</v>
      </c>
      <c r="B182" s="339">
        <f>StrateD!D178</f>
        <v>0</v>
      </c>
      <c r="C182" s="340">
        <f t="shared" ref="C182:C200" si="73">IF(B182=0,0,INT(B182/D$154))</f>
        <v>0</v>
      </c>
      <c r="D182" s="341">
        <f t="shared" ref="D182:D200" si="74">IF(C182=0,0,C182*B$155)</f>
        <v>0</v>
      </c>
      <c r="F182" s="338">
        <v>2</v>
      </c>
      <c r="G182" s="339">
        <f>StrateD!M178</f>
        <v>0</v>
      </c>
      <c r="H182" s="340">
        <f t="shared" ref="H182:H200" si="75">IF(G182=0,0,INT(G182/I$154))</f>
        <v>0</v>
      </c>
      <c r="I182" s="341">
        <f t="shared" ref="I182:I200" si="76">IF(H182=0,0,H182*G$155)</f>
        <v>0</v>
      </c>
      <c r="K182" s="338">
        <v>2</v>
      </c>
      <c r="L182" s="339">
        <f>StrateD!V178</f>
        <v>0</v>
      </c>
      <c r="M182" s="340">
        <f t="shared" ref="M182:M200" si="77">IF(L182=0,0,INT(L182/N$154))</f>
        <v>0</v>
      </c>
      <c r="N182" s="341">
        <f t="shared" ref="N182:N200" si="78">IF(M182=0,0,M182*L$155)</f>
        <v>0</v>
      </c>
      <c r="P182" s="338">
        <v>2</v>
      </c>
      <c r="Q182" s="339">
        <f>StrateD!AE178</f>
        <v>0</v>
      </c>
      <c r="R182" s="340">
        <f t="shared" ref="R182:R200" si="79">IF(Q182=0,0,INT(Q182/S$154))</f>
        <v>0</v>
      </c>
      <c r="S182" s="341">
        <f t="shared" ref="S182:S200" si="80">IF(R182=0,0,R182*Q$155)</f>
        <v>0</v>
      </c>
      <c r="U182" s="284"/>
      <c r="AF182" s="284"/>
    </row>
    <row r="183" spans="1:32" x14ac:dyDescent="0.2">
      <c r="A183" s="335">
        <v>3</v>
      </c>
      <c r="B183" s="310">
        <f>StrateD!D179</f>
        <v>0</v>
      </c>
      <c r="C183" s="336">
        <f t="shared" si="73"/>
        <v>0</v>
      </c>
      <c r="D183" s="337">
        <f t="shared" si="74"/>
        <v>0</v>
      </c>
      <c r="F183" s="335">
        <v>3</v>
      </c>
      <c r="G183" s="310">
        <f>StrateD!M179</f>
        <v>0</v>
      </c>
      <c r="H183" s="336">
        <f t="shared" si="75"/>
        <v>0</v>
      </c>
      <c r="I183" s="337">
        <f t="shared" si="76"/>
        <v>0</v>
      </c>
      <c r="K183" s="335">
        <v>3</v>
      </c>
      <c r="L183" s="310">
        <f>StrateD!V179</f>
        <v>0</v>
      </c>
      <c r="M183" s="336">
        <f t="shared" si="77"/>
        <v>0</v>
      </c>
      <c r="N183" s="337">
        <f t="shared" si="78"/>
        <v>0</v>
      </c>
      <c r="P183" s="335">
        <v>3</v>
      </c>
      <c r="Q183" s="310">
        <f>StrateD!AE179</f>
        <v>0</v>
      </c>
      <c r="R183" s="336">
        <f t="shared" si="79"/>
        <v>0</v>
      </c>
      <c r="S183" s="337">
        <f t="shared" si="80"/>
        <v>0</v>
      </c>
      <c r="U183" s="284"/>
      <c r="AF183" s="284"/>
    </row>
    <row r="184" spans="1:32" x14ac:dyDescent="0.2">
      <c r="A184" s="338">
        <v>4</v>
      </c>
      <c r="B184" s="339">
        <f>StrateD!D180</f>
        <v>0</v>
      </c>
      <c r="C184" s="340">
        <f t="shared" si="73"/>
        <v>0</v>
      </c>
      <c r="D184" s="341">
        <f t="shared" si="74"/>
        <v>0</v>
      </c>
      <c r="F184" s="338">
        <v>4</v>
      </c>
      <c r="G184" s="339">
        <f>StrateD!M180</f>
        <v>0</v>
      </c>
      <c r="H184" s="340">
        <f t="shared" si="75"/>
        <v>0</v>
      </c>
      <c r="I184" s="341">
        <f t="shared" si="76"/>
        <v>0</v>
      </c>
      <c r="K184" s="338">
        <v>4</v>
      </c>
      <c r="L184" s="339">
        <f>StrateD!V180</f>
        <v>0</v>
      </c>
      <c r="M184" s="340">
        <f t="shared" si="77"/>
        <v>0</v>
      </c>
      <c r="N184" s="341">
        <f t="shared" si="78"/>
        <v>0</v>
      </c>
      <c r="P184" s="338">
        <v>4</v>
      </c>
      <c r="Q184" s="339">
        <f>StrateD!AE180</f>
        <v>0</v>
      </c>
      <c r="R184" s="340">
        <f t="shared" si="79"/>
        <v>0</v>
      </c>
      <c r="S184" s="341">
        <f t="shared" si="80"/>
        <v>0</v>
      </c>
      <c r="U184" s="284"/>
      <c r="AF184" s="284"/>
    </row>
    <row r="185" spans="1:32" x14ac:dyDescent="0.2">
      <c r="A185" s="335">
        <v>5</v>
      </c>
      <c r="B185" s="310">
        <f>StrateD!D181</f>
        <v>0</v>
      </c>
      <c r="C185" s="336">
        <f t="shared" si="73"/>
        <v>0</v>
      </c>
      <c r="D185" s="337">
        <f t="shared" si="74"/>
        <v>0</v>
      </c>
      <c r="F185" s="335">
        <v>5</v>
      </c>
      <c r="G185" s="310">
        <f>StrateD!M181</f>
        <v>0</v>
      </c>
      <c r="H185" s="336">
        <f t="shared" si="75"/>
        <v>0</v>
      </c>
      <c r="I185" s="337">
        <f t="shared" si="76"/>
        <v>0</v>
      </c>
      <c r="K185" s="335">
        <v>5</v>
      </c>
      <c r="L185" s="310">
        <f>StrateD!V181</f>
        <v>0</v>
      </c>
      <c r="M185" s="336">
        <f t="shared" si="77"/>
        <v>0</v>
      </c>
      <c r="N185" s="337">
        <f t="shared" si="78"/>
        <v>0</v>
      </c>
      <c r="P185" s="335">
        <v>5</v>
      </c>
      <c r="Q185" s="310">
        <f>StrateD!AE181</f>
        <v>0</v>
      </c>
      <c r="R185" s="336">
        <f t="shared" si="79"/>
        <v>0</v>
      </c>
      <c r="S185" s="337">
        <f t="shared" si="80"/>
        <v>0</v>
      </c>
      <c r="U185" s="284"/>
      <c r="AF185" s="284"/>
    </row>
    <row r="186" spans="1:32" x14ac:dyDescent="0.2">
      <c r="A186" s="338">
        <v>6</v>
      </c>
      <c r="B186" s="339">
        <f>StrateD!D182</f>
        <v>0</v>
      </c>
      <c r="C186" s="340">
        <f t="shared" si="73"/>
        <v>0</v>
      </c>
      <c r="D186" s="341">
        <f t="shared" si="74"/>
        <v>0</v>
      </c>
      <c r="F186" s="338">
        <v>6</v>
      </c>
      <c r="G186" s="339">
        <f>StrateD!M182</f>
        <v>0</v>
      </c>
      <c r="H186" s="340">
        <f t="shared" si="75"/>
        <v>0</v>
      </c>
      <c r="I186" s="341">
        <f t="shared" si="76"/>
        <v>0</v>
      </c>
      <c r="K186" s="338">
        <v>6</v>
      </c>
      <c r="L186" s="339">
        <f>StrateD!V182</f>
        <v>0</v>
      </c>
      <c r="M186" s="340">
        <f t="shared" si="77"/>
        <v>0</v>
      </c>
      <c r="N186" s="341">
        <f t="shared" si="78"/>
        <v>0</v>
      </c>
      <c r="P186" s="338">
        <v>6</v>
      </c>
      <c r="Q186" s="339">
        <f>StrateD!AE182</f>
        <v>0</v>
      </c>
      <c r="R186" s="340">
        <f t="shared" si="79"/>
        <v>0</v>
      </c>
      <c r="S186" s="341">
        <f t="shared" si="80"/>
        <v>0</v>
      </c>
      <c r="U186" s="284"/>
      <c r="AF186" s="284"/>
    </row>
    <row r="187" spans="1:32" x14ac:dyDescent="0.2">
      <c r="A187" s="335">
        <v>7</v>
      </c>
      <c r="B187" s="310">
        <f>StrateD!D183</f>
        <v>0</v>
      </c>
      <c r="C187" s="336">
        <f t="shared" si="73"/>
        <v>0</v>
      </c>
      <c r="D187" s="337">
        <f t="shared" si="74"/>
        <v>0</v>
      </c>
      <c r="F187" s="335">
        <v>7</v>
      </c>
      <c r="G187" s="310">
        <f>StrateD!M183</f>
        <v>0</v>
      </c>
      <c r="H187" s="336">
        <f t="shared" si="75"/>
        <v>0</v>
      </c>
      <c r="I187" s="337">
        <f t="shared" si="76"/>
        <v>0</v>
      </c>
      <c r="K187" s="335">
        <v>7</v>
      </c>
      <c r="L187" s="310">
        <f>StrateD!V183</f>
        <v>0</v>
      </c>
      <c r="M187" s="336">
        <f t="shared" si="77"/>
        <v>0</v>
      </c>
      <c r="N187" s="337">
        <f t="shared" si="78"/>
        <v>0</v>
      </c>
      <c r="P187" s="335">
        <v>7</v>
      </c>
      <c r="Q187" s="310">
        <f>StrateD!AE183</f>
        <v>0</v>
      </c>
      <c r="R187" s="336">
        <f t="shared" si="79"/>
        <v>0</v>
      </c>
      <c r="S187" s="337">
        <f t="shared" si="80"/>
        <v>0</v>
      </c>
      <c r="U187" s="284"/>
      <c r="AF187" s="284"/>
    </row>
    <row r="188" spans="1:32" x14ac:dyDescent="0.2">
      <c r="A188" s="338">
        <v>8</v>
      </c>
      <c r="B188" s="339">
        <f>StrateD!D184</f>
        <v>0</v>
      </c>
      <c r="C188" s="340">
        <f t="shared" si="73"/>
        <v>0</v>
      </c>
      <c r="D188" s="341">
        <f t="shared" si="74"/>
        <v>0</v>
      </c>
      <c r="F188" s="338">
        <v>8</v>
      </c>
      <c r="G188" s="339">
        <f>StrateD!M184</f>
        <v>0</v>
      </c>
      <c r="H188" s="340">
        <f t="shared" si="75"/>
        <v>0</v>
      </c>
      <c r="I188" s="341">
        <f t="shared" si="76"/>
        <v>0</v>
      </c>
      <c r="K188" s="338">
        <v>8</v>
      </c>
      <c r="L188" s="339">
        <f>StrateD!V184</f>
        <v>0</v>
      </c>
      <c r="M188" s="340">
        <f t="shared" si="77"/>
        <v>0</v>
      </c>
      <c r="N188" s="341">
        <f t="shared" si="78"/>
        <v>0</v>
      </c>
      <c r="P188" s="338">
        <v>8</v>
      </c>
      <c r="Q188" s="339">
        <f>StrateD!AE184</f>
        <v>0</v>
      </c>
      <c r="R188" s="340">
        <f t="shared" si="79"/>
        <v>0</v>
      </c>
      <c r="S188" s="341">
        <f t="shared" si="80"/>
        <v>0</v>
      </c>
      <c r="U188" s="284"/>
      <c r="AF188" s="284"/>
    </row>
    <row r="189" spans="1:32" x14ac:dyDescent="0.2">
      <c r="A189" s="335">
        <v>9</v>
      </c>
      <c r="B189" s="310">
        <f>StrateD!D185</f>
        <v>0</v>
      </c>
      <c r="C189" s="336">
        <f t="shared" si="73"/>
        <v>0</v>
      </c>
      <c r="D189" s="337">
        <f t="shared" si="74"/>
        <v>0</v>
      </c>
      <c r="F189" s="335">
        <v>9</v>
      </c>
      <c r="G189" s="310">
        <f>StrateD!M185</f>
        <v>0</v>
      </c>
      <c r="H189" s="336">
        <f t="shared" si="75"/>
        <v>0</v>
      </c>
      <c r="I189" s="337">
        <f t="shared" si="76"/>
        <v>0</v>
      </c>
      <c r="K189" s="335">
        <v>9</v>
      </c>
      <c r="L189" s="310">
        <f>StrateD!V185</f>
        <v>0</v>
      </c>
      <c r="M189" s="336">
        <f t="shared" si="77"/>
        <v>0</v>
      </c>
      <c r="N189" s="337">
        <f t="shared" si="78"/>
        <v>0</v>
      </c>
      <c r="P189" s="335">
        <v>9</v>
      </c>
      <c r="Q189" s="310">
        <f>StrateD!AE185</f>
        <v>0</v>
      </c>
      <c r="R189" s="336">
        <f t="shared" si="79"/>
        <v>0</v>
      </c>
      <c r="S189" s="337">
        <f t="shared" si="80"/>
        <v>0</v>
      </c>
      <c r="U189" s="284"/>
      <c r="AF189" s="284"/>
    </row>
    <row r="190" spans="1:32" x14ac:dyDescent="0.2">
      <c r="A190" s="338">
        <v>10</v>
      </c>
      <c r="B190" s="339">
        <f>StrateD!D186</f>
        <v>0</v>
      </c>
      <c r="C190" s="340">
        <f t="shared" si="73"/>
        <v>0</v>
      </c>
      <c r="D190" s="341">
        <f t="shared" si="74"/>
        <v>0</v>
      </c>
      <c r="F190" s="338">
        <v>10</v>
      </c>
      <c r="G190" s="339">
        <f>StrateD!M186</f>
        <v>0</v>
      </c>
      <c r="H190" s="340">
        <f t="shared" si="75"/>
        <v>0</v>
      </c>
      <c r="I190" s="341">
        <f t="shared" si="76"/>
        <v>0</v>
      </c>
      <c r="K190" s="338">
        <v>10</v>
      </c>
      <c r="L190" s="339">
        <f>StrateD!V186</f>
        <v>0</v>
      </c>
      <c r="M190" s="340">
        <f t="shared" si="77"/>
        <v>0</v>
      </c>
      <c r="N190" s="341">
        <f t="shared" si="78"/>
        <v>0</v>
      </c>
      <c r="P190" s="338">
        <v>10</v>
      </c>
      <c r="Q190" s="339">
        <f>StrateD!AE186</f>
        <v>0</v>
      </c>
      <c r="R190" s="340">
        <f t="shared" si="79"/>
        <v>0</v>
      </c>
      <c r="S190" s="341">
        <f t="shared" si="80"/>
        <v>0</v>
      </c>
      <c r="U190" s="284"/>
      <c r="AF190" s="284"/>
    </row>
    <row r="191" spans="1:32" x14ac:dyDescent="0.2">
      <c r="A191" s="335">
        <v>11</v>
      </c>
      <c r="B191" s="310">
        <f>StrateD!D187</f>
        <v>0</v>
      </c>
      <c r="C191" s="336">
        <f t="shared" si="73"/>
        <v>0</v>
      </c>
      <c r="D191" s="337">
        <f t="shared" si="74"/>
        <v>0</v>
      </c>
      <c r="F191" s="335">
        <v>11</v>
      </c>
      <c r="G191" s="310">
        <f>StrateD!M187</f>
        <v>0</v>
      </c>
      <c r="H191" s="336">
        <f t="shared" si="75"/>
        <v>0</v>
      </c>
      <c r="I191" s="337">
        <f t="shared" si="76"/>
        <v>0</v>
      </c>
      <c r="K191" s="335">
        <v>11</v>
      </c>
      <c r="L191" s="310">
        <f>StrateD!V187</f>
        <v>0</v>
      </c>
      <c r="M191" s="336">
        <f t="shared" si="77"/>
        <v>0</v>
      </c>
      <c r="N191" s="337">
        <f t="shared" si="78"/>
        <v>0</v>
      </c>
      <c r="P191" s="335">
        <v>11</v>
      </c>
      <c r="Q191" s="310">
        <f>StrateD!AE187</f>
        <v>0</v>
      </c>
      <c r="R191" s="336">
        <f t="shared" si="79"/>
        <v>0</v>
      </c>
      <c r="S191" s="337">
        <f t="shared" si="80"/>
        <v>0</v>
      </c>
      <c r="U191" s="284"/>
      <c r="AF191" s="284"/>
    </row>
    <row r="192" spans="1:32" x14ac:dyDescent="0.2">
      <c r="A192" s="338">
        <v>12</v>
      </c>
      <c r="B192" s="339">
        <f>StrateD!D188</f>
        <v>0</v>
      </c>
      <c r="C192" s="340">
        <f t="shared" si="73"/>
        <v>0</v>
      </c>
      <c r="D192" s="341">
        <f t="shared" si="74"/>
        <v>0</v>
      </c>
      <c r="F192" s="338">
        <v>12</v>
      </c>
      <c r="G192" s="339">
        <f>StrateD!M188</f>
        <v>0</v>
      </c>
      <c r="H192" s="340">
        <f t="shared" si="75"/>
        <v>0</v>
      </c>
      <c r="I192" s="341">
        <f t="shared" si="76"/>
        <v>0</v>
      </c>
      <c r="K192" s="338">
        <v>12</v>
      </c>
      <c r="L192" s="339">
        <f>StrateD!V188</f>
        <v>0</v>
      </c>
      <c r="M192" s="340">
        <f t="shared" si="77"/>
        <v>0</v>
      </c>
      <c r="N192" s="341">
        <f t="shared" si="78"/>
        <v>0</v>
      </c>
      <c r="P192" s="338">
        <v>12</v>
      </c>
      <c r="Q192" s="339">
        <f>StrateD!AE188</f>
        <v>0</v>
      </c>
      <c r="R192" s="340">
        <f t="shared" si="79"/>
        <v>0</v>
      </c>
      <c r="S192" s="341">
        <f t="shared" si="80"/>
        <v>0</v>
      </c>
      <c r="U192" s="284"/>
      <c r="AF192" s="284"/>
    </row>
    <row r="193" spans="1:32" x14ac:dyDescent="0.2">
      <c r="A193" s="335">
        <v>13</v>
      </c>
      <c r="B193" s="310">
        <f>StrateD!D189</f>
        <v>0</v>
      </c>
      <c r="C193" s="336">
        <f t="shared" si="73"/>
        <v>0</v>
      </c>
      <c r="D193" s="337">
        <f t="shared" si="74"/>
        <v>0</v>
      </c>
      <c r="F193" s="335">
        <v>13</v>
      </c>
      <c r="G193" s="310">
        <f>StrateD!M189</f>
        <v>0</v>
      </c>
      <c r="H193" s="336">
        <f t="shared" si="75"/>
        <v>0</v>
      </c>
      <c r="I193" s="337">
        <f t="shared" si="76"/>
        <v>0</v>
      </c>
      <c r="K193" s="335">
        <v>13</v>
      </c>
      <c r="L193" s="310">
        <f>StrateD!V189</f>
        <v>0</v>
      </c>
      <c r="M193" s="336">
        <f t="shared" si="77"/>
        <v>0</v>
      </c>
      <c r="N193" s="337">
        <f t="shared" si="78"/>
        <v>0</v>
      </c>
      <c r="P193" s="335">
        <v>13</v>
      </c>
      <c r="Q193" s="310">
        <f>StrateD!AE189</f>
        <v>0</v>
      </c>
      <c r="R193" s="336">
        <f t="shared" si="79"/>
        <v>0</v>
      </c>
      <c r="S193" s="337">
        <f t="shared" si="80"/>
        <v>0</v>
      </c>
      <c r="U193" s="284"/>
      <c r="AF193" s="284"/>
    </row>
    <row r="194" spans="1:32" x14ac:dyDescent="0.2">
      <c r="A194" s="338">
        <v>14</v>
      </c>
      <c r="B194" s="339">
        <f>StrateD!D190</f>
        <v>0</v>
      </c>
      <c r="C194" s="340">
        <f t="shared" si="73"/>
        <v>0</v>
      </c>
      <c r="D194" s="341">
        <f t="shared" si="74"/>
        <v>0</v>
      </c>
      <c r="F194" s="338">
        <v>14</v>
      </c>
      <c r="G194" s="339">
        <f>StrateD!M190</f>
        <v>0</v>
      </c>
      <c r="H194" s="340">
        <f t="shared" si="75"/>
        <v>0</v>
      </c>
      <c r="I194" s="341">
        <f t="shared" si="76"/>
        <v>0</v>
      </c>
      <c r="K194" s="338">
        <v>14</v>
      </c>
      <c r="L194" s="339">
        <f>StrateD!V190</f>
        <v>0</v>
      </c>
      <c r="M194" s="340">
        <f t="shared" si="77"/>
        <v>0</v>
      </c>
      <c r="N194" s="341">
        <f t="shared" si="78"/>
        <v>0</v>
      </c>
      <c r="P194" s="338">
        <v>14</v>
      </c>
      <c r="Q194" s="339">
        <f>StrateD!AE190</f>
        <v>0</v>
      </c>
      <c r="R194" s="340">
        <f t="shared" si="79"/>
        <v>0</v>
      </c>
      <c r="S194" s="341">
        <f t="shared" si="80"/>
        <v>0</v>
      </c>
      <c r="U194" s="284"/>
      <c r="AF194" s="284"/>
    </row>
    <row r="195" spans="1:32" x14ac:dyDescent="0.2">
      <c r="A195" s="335">
        <v>15</v>
      </c>
      <c r="B195" s="310">
        <f>StrateD!D191</f>
        <v>0</v>
      </c>
      <c r="C195" s="336">
        <f t="shared" si="73"/>
        <v>0</v>
      </c>
      <c r="D195" s="337">
        <f t="shared" si="74"/>
        <v>0</v>
      </c>
      <c r="F195" s="335">
        <v>15</v>
      </c>
      <c r="G195" s="310">
        <f>StrateD!M191</f>
        <v>0</v>
      </c>
      <c r="H195" s="336">
        <f t="shared" si="75"/>
        <v>0</v>
      </c>
      <c r="I195" s="337">
        <f t="shared" si="76"/>
        <v>0</v>
      </c>
      <c r="K195" s="335">
        <v>15</v>
      </c>
      <c r="L195" s="310">
        <f>StrateD!V191</f>
        <v>0</v>
      </c>
      <c r="M195" s="336">
        <f t="shared" si="77"/>
        <v>0</v>
      </c>
      <c r="N195" s="337">
        <f t="shared" si="78"/>
        <v>0</v>
      </c>
      <c r="P195" s="335">
        <v>15</v>
      </c>
      <c r="Q195" s="310">
        <f>StrateD!AE191</f>
        <v>0</v>
      </c>
      <c r="R195" s="336">
        <f t="shared" si="79"/>
        <v>0</v>
      </c>
      <c r="S195" s="337">
        <f t="shared" si="80"/>
        <v>0</v>
      </c>
      <c r="U195" s="284"/>
      <c r="AF195" s="284"/>
    </row>
    <row r="196" spans="1:32" x14ac:dyDescent="0.2">
      <c r="A196" s="338">
        <v>16</v>
      </c>
      <c r="B196" s="339">
        <f>StrateD!D192</f>
        <v>0</v>
      </c>
      <c r="C196" s="340">
        <f t="shared" si="73"/>
        <v>0</v>
      </c>
      <c r="D196" s="341">
        <f t="shared" si="74"/>
        <v>0</v>
      </c>
      <c r="F196" s="338">
        <v>16</v>
      </c>
      <c r="G196" s="339">
        <f>StrateD!M192</f>
        <v>0</v>
      </c>
      <c r="H196" s="340">
        <f t="shared" si="75"/>
        <v>0</v>
      </c>
      <c r="I196" s="341">
        <f t="shared" si="76"/>
        <v>0</v>
      </c>
      <c r="K196" s="338">
        <v>16</v>
      </c>
      <c r="L196" s="339">
        <f>StrateD!V192</f>
        <v>0</v>
      </c>
      <c r="M196" s="340">
        <f t="shared" si="77"/>
        <v>0</v>
      </c>
      <c r="N196" s="341">
        <f t="shared" si="78"/>
        <v>0</v>
      </c>
      <c r="P196" s="338">
        <v>16</v>
      </c>
      <c r="Q196" s="339">
        <f>StrateD!AE192</f>
        <v>0</v>
      </c>
      <c r="R196" s="340">
        <f t="shared" si="79"/>
        <v>0</v>
      </c>
      <c r="S196" s="341">
        <f t="shared" si="80"/>
        <v>0</v>
      </c>
      <c r="U196" s="284"/>
      <c r="AF196" s="284"/>
    </row>
    <row r="197" spans="1:32" x14ac:dyDescent="0.2">
      <c r="A197" s="335">
        <v>17</v>
      </c>
      <c r="B197" s="310">
        <f>StrateD!D193</f>
        <v>0</v>
      </c>
      <c r="C197" s="336">
        <f t="shared" si="73"/>
        <v>0</v>
      </c>
      <c r="D197" s="337">
        <f t="shared" si="74"/>
        <v>0</v>
      </c>
      <c r="F197" s="335">
        <v>17</v>
      </c>
      <c r="G197" s="310">
        <f>StrateD!M193</f>
        <v>0</v>
      </c>
      <c r="H197" s="336">
        <f t="shared" si="75"/>
        <v>0</v>
      </c>
      <c r="I197" s="337">
        <f t="shared" si="76"/>
        <v>0</v>
      </c>
      <c r="K197" s="335">
        <v>17</v>
      </c>
      <c r="L197" s="310">
        <f>StrateD!V193</f>
        <v>0</v>
      </c>
      <c r="M197" s="336">
        <f t="shared" si="77"/>
        <v>0</v>
      </c>
      <c r="N197" s="337">
        <f t="shared" si="78"/>
        <v>0</v>
      </c>
      <c r="P197" s="335">
        <v>17</v>
      </c>
      <c r="Q197" s="310">
        <f>StrateD!AE193</f>
        <v>0</v>
      </c>
      <c r="R197" s="336">
        <f t="shared" si="79"/>
        <v>0</v>
      </c>
      <c r="S197" s="337">
        <f t="shared" si="80"/>
        <v>0</v>
      </c>
      <c r="U197" s="284"/>
      <c r="AF197" s="284"/>
    </row>
    <row r="198" spans="1:32" x14ac:dyDescent="0.2">
      <c r="A198" s="338">
        <v>18</v>
      </c>
      <c r="B198" s="339">
        <f>StrateD!D194</f>
        <v>0</v>
      </c>
      <c r="C198" s="340">
        <f t="shared" si="73"/>
        <v>0</v>
      </c>
      <c r="D198" s="341">
        <f t="shared" si="74"/>
        <v>0</v>
      </c>
      <c r="F198" s="338">
        <v>18</v>
      </c>
      <c r="G198" s="339">
        <f>StrateD!M194</f>
        <v>0</v>
      </c>
      <c r="H198" s="340">
        <f t="shared" si="75"/>
        <v>0</v>
      </c>
      <c r="I198" s="341">
        <f t="shared" si="76"/>
        <v>0</v>
      </c>
      <c r="K198" s="338">
        <v>18</v>
      </c>
      <c r="L198" s="339">
        <f>StrateD!V194</f>
        <v>0</v>
      </c>
      <c r="M198" s="340">
        <f t="shared" si="77"/>
        <v>0</v>
      </c>
      <c r="N198" s="341">
        <f t="shared" si="78"/>
        <v>0</v>
      </c>
      <c r="P198" s="338">
        <v>18</v>
      </c>
      <c r="Q198" s="339">
        <f>StrateD!AE194</f>
        <v>0</v>
      </c>
      <c r="R198" s="340">
        <f t="shared" si="79"/>
        <v>0</v>
      </c>
      <c r="S198" s="341">
        <f t="shared" si="80"/>
        <v>0</v>
      </c>
      <c r="U198" s="284"/>
      <c r="AF198" s="284"/>
    </row>
    <row r="199" spans="1:32" x14ac:dyDescent="0.2">
      <c r="A199" s="335">
        <v>19</v>
      </c>
      <c r="B199" s="310">
        <f>StrateD!D195</f>
        <v>0</v>
      </c>
      <c r="C199" s="336">
        <f t="shared" si="73"/>
        <v>0</v>
      </c>
      <c r="D199" s="337">
        <f t="shared" si="74"/>
        <v>0</v>
      </c>
      <c r="F199" s="335">
        <v>19</v>
      </c>
      <c r="G199" s="310">
        <f>StrateD!M195</f>
        <v>0</v>
      </c>
      <c r="H199" s="336">
        <f t="shared" si="75"/>
        <v>0</v>
      </c>
      <c r="I199" s="337">
        <f t="shared" si="76"/>
        <v>0</v>
      </c>
      <c r="K199" s="335">
        <v>19</v>
      </c>
      <c r="L199" s="310">
        <f>StrateD!V195</f>
        <v>0</v>
      </c>
      <c r="M199" s="336">
        <f t="shared" si="77"/>
        <v>0</v>
      </c>
      <c r="N199" s="337">
        <f t="shared" si="78"/>
        <v>0</v>
      </c>
      <c r="P199" s="335">
        <v>19</v>
      </c>
      <c r="Q199" s="310">
        <f>StrateD!AE195</f>
        <v>0</v>
      </c>
      <c r="R199" s="336">
        <f t="shared" si="79"/>
        <v>0</v>
      </c>
      <c r="S199" s="337">
        <f t="shared" si="80"/>
        <v>0</v>
      </c>
      <c r="U199" s="284"/>
      <c r="AF199" s="284"/>
    </row>
    <row r="200" spans="1:32" x14ac:dyDescent="0.2">
      <c r="A200" s="338">
        <v>20</v>
      </c>
      <c r="B200" s="339">
        <f>StrateD!D196</f>
        <v>0</v>
      </c>
      <c r="C200" s="340">
        <f t="shared" si="73"/>
        <v>0</v>
      </c>
      <c r="D200" s="341">
        <f t="shared" si="74"/>
        <v>0</v>
      </c>
      <c r="F200" s="338">
        <v>20</v>
      </c>
      <c r="G200" s="339">
        <f>StrateD!M196</f>
        <v>0</v>
      </c>
      <c r="H200" s="340">
        <f t="shared" si="75"/>
        <v>0</v>
      </c>
      <c r="I200" s="341">
        <f t="shared" si="76"/>
        <v>0</v>
      </c>
      <c r="K200" s="338">
        <v>20</v>
      </c>
      <c r="L200" s="339">
        <f>StrateD!V196</f>
        <v>0</v>
      </c>
      <c r="M200" s="340">
        <f t="shared" si="77"/>
        <v>0</v>
      </c>
      <c r="N200" s="341">
        <f t="shared" si="78"/>
        <v>0</v>
      </c>
      <c r="P200" s="338">
        <v>20</v>
      </c>
      <c r="Q200" s="339">
        <f>StrateD!AE196</f>
        <v>0</v>
      </c>
      <c r="R200" s="340">
        <f t="shared" si="79"/>
        <v>0</v>
      </c>
      <c r="S200" s="341">
        <f t="shared" si="80"/>
        <v>0</v>
      </c>
      <c r="U200" s="284"/>
      <c r="AF200" s="284"/>
    </row>
  </sheetData>
  <sheetProtection algorithmName="SHA-512" hashValue="wsICNTPsIULNWEhRA5sQZmVsJ+CZfL6WwQzVM5Xxzm2aP5cgDNF9+8o+Ms+aURNhgTnN6yZxvUYaggkoFD6HJw==" saltValue="T1YuOaURF+cYoTVw4Pd4WQ==" spinCount="100000" sheet="1" objects="1" scenarios="1"/>
  <mergeCells count="11">
    <mergeCell ref="AI1:AP1"/>
    <mergeCell ref="W1:AD1"/>
    <mergeCell ref="A1:S1"/>
    <mergeCell ref="AI35:AJ35"/>
    <mergeCell ref="AI34:AJ34"/>
    <mergeCell ref="AI33:AJ33"/>
    <mergeCell ref="AI32:AJ32"/>
    <mergeCell ref="AK35:AL35"/>
    <mergeCell ref="AK34:AL34"/>
    <mergeCell ref="AK33:AL33"/>
    <mergeCell ref="AK32:AL32"/>
  </mergeCells>
  <phoneticPr fontId="5" type="noConversion"/>
  <pageMargins left="0.7" right="0.7" top="0.75" bottom="0.75" header="0.3" footer="0.3"/>
  <tableParts count="1">
    <tablePart r:id="rId1"/>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5"/>
  </sheetPr>
  <dimension ref="A1:AK1009"/>
  <sheetViews>
    <sheetView zoomScale="90" zoomScaleNormal="90" workbookViewId="0">
      <selection activeCell="C859" sqref="C859"/>
    </sheetView>
  </sheetViews>
  <sheetFormatPr baseColWidth="10" defaultColWidth="13.5" defaultRowHeight="15" x14ac:dyDescent="0.2"/>
  <cols>
    <col min="1" max="1" width="13.5" style="6"/>
    <col min="2" max="2" width="6" style="6" customWidth="1"/>
    <col min="3" max="3" width="12.1640625" style="6" customWidth="1"/>
    <col min="4" max="6" width="13.5" style="6"/>
    <col min="7" max="7" width="0" style="183" hidden="1" customWidth="1"/>
    <col min="8" max="12" width="13.5" style="6"/>
    <col min="13" max="13" width="0" style="183" hidden="1" customWidth="1"/>
    <col min="14" max="18" width="13.5" style="6"/>
    <col min="19" max="19" width="0" style="183" hidden="1" customWidth="1"/>
    <col min="20" max="24" width="13.5" style="6"/>
    <col min="25" max="25" width="0" style="183" hidden="1" customWidth="1"/>
    <col min="26" max="30" width="13.5" style="6"/>
    <col min="31" max="31" width="0" style="183" hidden="1" customWidth="1"/>
    <col min="32" max="16384" width="13.5" style="6"/>
  </cols>
  <sheetData>
    <row r="1" spans="1:33" s="15" customFormat="1" ht="29" x14ac:dyDescent="0.35">
      <c r="A1" s="182" t="s">
        <v>120</v>
      </c>
      <c r="B1" s="182"/>
      <c r="C1" s="182"/>
      <c r="D1" s="182"/>
      <c r="E1" s="182"/>
      <c r="F1" s="182"/>
      <c r="G1" s="185"/>
      <c r="H1" s="182"/>
      <c r="I1" s="182"/>
      <c r="J1" s="182"/>
      <c r="K1" s="182"/>
      <c r="L1" s="182"/>
      <c r="M1" s="185"/>
      <c r="N1" s="182"/>
      <c r="O1" s="182"/>
      <c r="P1" s="182"/>
      <c r="Q1" s="182"/>
      <c r="R1" s="182"/>
      <c r="S1" s="185"/>
      <c r="T1" s="182"/>
      <c r="U1" s="182"/>
      <c r="V1" s="182"/>
      <c r="W1" s="182"/>
      <c r="X1" s="182"/>
      <c r="Y1" s="185"/>
      <c r="Z1" s="182"/>
      <c r="AA1" s="182"/>
      <c r="AB1" s="182"/>
      <c r="AC1" s="182"/>
      <c r="AD1" s="182"/>
      <c r="AE1" s="185"/>
      <c r="AF1" s="182"/>
      <c r="AG1" s="182"/>
    </row>
    <row r="3" spans="1:33" ht="15" customHeight="1" x14ac:dyDescent="0.2">
      <c r="A3" s="494" t="s">
        <v>701</v>
      </c>
      <c r="C3" s="7" t="s">
        <v>936</v>
      </c>
      <c r="I3" s="7" t="s">
        <v>938</v>
      </c>
      <c r="O3" s="7" t="s">
        <v>937</v>
      </c>
    </row>
    <row r="4" spans="1:33" x14ac:dyDescent="0.2">
      <c r="A4" s="494"/>
      <c r="C4" s="6" t="s">
        <v>125</v>
      </c>
      <c r="D4" s="6" t="s">
        <v>126</v>
      </c>
      <c r="E4" s="6" t="s">
        <v>127</v>
      </c>
      <c r="F4" s="6" t="s">
        <v>128</v>
      </c>
      <c r="G4" s="186" t="s">
        <v>699</v>
      </c>
      <c r="I4" s="6" t="s">
        <v>125</v>
      </c>
      <c r="J4" s="6" t="s">
        <v>126</v>
      </c>
      <c r="K4" s="6" t="s">
        <v>127</v>
      </c>
      <c r="L4" s="6" t="s">
        <v>128</v>
      </c>
      <c r="M4" s="197" t="s">
        <v>699</v>
      </c>
      <c r="O4" s="6" t="s">
        <v>125</v>
      </c>
      <c r="P4" s="6" t="s">
        <v>126</v>
      </c>
      <c r="Q4" s="6" t="s">
        <v>127</v>
      </c>
      <c r="R4" s="6" t="s">
        <v>128</v>
      </c>
      <c r="S4" s="186" t="s">
        <v>699</v>
      </c>
    </row>
    <row r="5" spans="1:33" x14ac:dyDescent="0.2">
      <c r="A5" s="494"/>
      <c r="C5" s="6">
        <v>1</v>
      </c>
      <c r="D5" s="8">
        <f>D13/C13</f>
        <v>2.1111111111111112</v>
      </c>
      <c r="E5" s="6">
        <v>0</v>
      </c>
      <c r="F5" s="8">
        <f>Do_1123[[#This Row],[V_av]]-Do_1123[[#This Row],[V_prel]]</f>
        <v>2.1111111111111112</v>
      </c>
      <c r="G5" s="187">
        <v>0</v>
      </c>
      <c r="I5" s="6">
        <v>1</v>
      </c>
      <c r="J5" s="8">
        <f>J15/I15</f>
        <v>2.2727272727272729</v>
      </c>
      <c r="K5" s="6">
        <v>0</v>
      </c>
      <c r="L5" s="8">
        <f>Do_1123187[[#This Row],[V_av]]-Do_1123187[[#This Row],[V_prel]]</f>
        <v>2.2727272727272729</v>
      </c>
      <c r="M5" s="203">
        <v>0</v>
      </c>
      <c r="O5" s="6">
        <v>1</v>
      </c>
      <c r="P5" s="8">
        <f>P18/O18</f>
        <v>2.1214285714285714</v>
      </c>
      <c r="Q5" s="6">
        <v>0</v>
      </c>
      <c r="R5" s="8">
        <f>Do_1123187188[[#This Row],[V_av]]-Do_1123187188[[#This Row],[V_prel]]</f>
        <v>2.1214285714285714</v>
      </c>
      <c r="S5" s="187">
        <v>0</v>
      </c>
    </row>
    <row r="6" spans="1:33" x14ac:dyDescent="0.2">
      <c r="A6" s="494"/>
      <c r="C6" s="6">
        <v>2</v>
      </c>
      <c r="D6" s="8">
        <f>$D$13/$C$13+F5</f>
        <v>4.2222222222222223</v>
      </c>
      <c r="E6" s="6">
        <v>0</v>
      </c>
      <c r="F6" s="8">
        <f>Do_1123[[#This Row],[V_av]]-Do_1123[[#This Row],[V_prel]]</f>
        <v>4.2222222222222223</v>
      </c>
      <c r="G6" s="188">
        <f>((D6-F5)/D6)/(C6-C5)</f>
        <v>0.5</v>
      </c>
      <c r="I6" s="6">
        <v>2</v>
      </c>
      <c r="J6" s="8">
        <f>$J$15/$I$15+L5</f>
        <v>4.5454545454545459</v>
      </c>
      <c r="K6" s="6">
        <v>0</v>
      </c>
      <c r="L6" s="8">
        <f>Do_1123187[[#This Row],[V_av]]-Do_1123187[[#This Row],[V_prel]]</f>
        <v>4.5454545454545459</v>
      </c>
      <c r="M6" s="197">
        <f>((J6-L5)/J6)/(I6-I5)</f>
        <v>0.5</v>
      </c>
      <c r="O6" s="6">
        <v>2</v>
      </c>
      <c r="P6" s="8">
        <f>$P$18/$O$18+R5</f>
        <v>4.2428571428571429</v>
      </c>
      <c r="Q6" s="6">
        <v>0</v>
      </c>
      <c r="R6" s="8">
        <f>Do_1123187188[[#This Row],[V_av]]-Do_1123187188[[#This Row],[V_prel]]</f>
        <v>4.2428571428571429</v>
      </c>
      <c r="S6" s="188">
        <f>((P6-R5)/P6)/(O6-O5)</f>
        <v>0.5</v>
      </c>
    </row>
    <row r="7" spans="1:33" x14ac:dyDescent="0.2">
      <c r="A7" s="494"/>
      <c r="C7" s="6">
        <v>3</v>
      </c>
      <c r="D7" s="8">
        <f t="shared" ref="D7:D12" si="0">$D$13/$C$13+F6</f>
        <v>6.3333333333333339</v>
      </c>
      <c r="E7" s="6">
        <v>0</v>
      </c>
      <c r="F7" s="8">
        <f>Do_1123[[#This Row],[V_av]]-Do_1123[[#This Row],[V_prel]]</f>
        <v>6.3333333333333339</v>
      </c>
      <c r="G7" s="188">
        <f>((D7-F6)/D7)/(C7-C6)</f>
        <v>0.33333333333333337</v>
      </c>
      <c r="I7" s="6">
        <v>3</v>
      </c>
      <c r="J7" s="8">
        <f t="shared" ref="J7:J14" si="1">$J$15/$I$15+L6</f>
        <v>6.8181818181818183</v>
      </c>
      <c r="K7" s="6">
        <v>0</v>
      </c>
      <c r="L7" s="8">
        <f>Do_1123187[[#This Row],[V_av]]-Do_1123187[[#This Row],[V_prel]]</f>
        <v>6.8181818181818183</v>
      </c>
      <c r="M7" s="197">
        <f t="shared" ref="M7:M42" si="2">((J7-L6)/J7)/(I7-I6)</f>
        <v>0.33333333333333331</v>
      </c>
      <c r="O7" s="6">
        <v>3</v>
      </c>
      <c r="P7" s="8">
        <f t="shared" ref="P7:P17" si="3">$P$18/$O$18+R6</f>
        <v>6.3642857142857139</v>
      </c>
      <c r="Q7" s="6">
        <v>0</v>
      </c>
      <c r="R7" s="8">
        <f>Do_1123187188[[#This Row],[V_av]]-Do_1123187188[[#This Row],[V_prel]]</f>
        <v>6.3642857142857139</v>
      </c>
      <c r="S7" s="188">
        <f t="shared" ref="S7:S41" si="4">((P7-R6)/P7)/(O7-O6)</f>
        <v>0.33333333333333326</v>
      </c>
    </row>
    <row r="8" spans="1:33" x14ac:dyDescent="0.2">
      <c r="A8" s="494"/>
      <c r="C8" s="6">
        <v>4</v>
      </c>
      <c r="D8" s="8">
        <f t="shared" si="0"/>
        <v>8.4444444444444446</v>
      </c>
      <c r="E8" s="6">
        <v>0</v>
      </c>
      <c r="F8" s="8">
        <f>Do_1123[[#This Row],[V_av]]-Do_1123[[#This Row],[V_prel]]</f>
        <v>8.4444444444444446</v>
      </c>
      <c r="G8" s="188">
        <f t="shared" ref="G8:G39" si="5">((D8-F7)/D8)/(C8-C7)</f>
        <v>0.24999999999999994</v>
      </c>
      <c r="I8" s="6">
        <v>4</v>
      </c>
      <c r="J8" s="8">
        <f t="shared" si="1"/>
        <v>9.0909090909090917</v>
      </c>
      <c r="K8" s="6">
        <v>0</v>
      </c>
      <c r="L8" s="8">
        <f>Do_1123187[[#This Row],[V_av]]-Do_1123187[[#This Row],[V_prel]]</f>
        <v>9.0909090909090917</v>
      </c>
      <c r="M8" s="197">
        <f t="shared" si="2"/>
        <v>0.25000000000000006</v>
      </c>
      <c r="O8" s="6">
        <v>4</v>
      </c>
      <c r="P8" s="8">
        <f t="shared" si="3"/>
        <v>8.4857142857142858</v>
      </c>
      <c r="Q8" s="6">
        <v>0</v>
      </c>
      <c r="R8" s="8">
        <f>Do_1123187188[[#This Row],[V_av]]-Do_1123187188[[#This Row],[V_prel]]</f>
        <v>8.4857142857142858</v>
      </c>
      <c r="S8" s="188">
        <f t="shared" si="4"/>
        <v>0.25000000000000006</v>
      </c>
    </row>
    <row r="9" spans="1:33" x14ac:dyDescent="0.2">
      <c r="A9" s="494"/>
      <c r="C9" s="6">
        <v>5</v>
      </c>
      <c r="D9" s="8">
        <f t="shared" si="0"/>
        <v>10.555555555555555</v>
      </c>
      <c r="E9" s="6">
        <v>0</v>
      </c>
      <c r="F9" s="8">
        <f>Do_1123[[#This Row],[V_av]]-Do_1123[[#This Row],[V_prel]]</f>
        <v>10.555555555555555</v>
      </c>
      <c r="G9" s="188">
        <f t="shared" si="5"/>
        <v>0.19999999999999996</v>
      </c>
      <c r="I9" s="6">
        <v>5</v>
      </c>
      <c r="J9" s="8">
        <f t="shared" si="1"/>
        <v>11.363636363636365</v>
      </c>
      <c r="K9" s="6">
        <v>0</v>
      </c>
      <c r="L9" s="8">
        <f>Do_1123187[[#This Row],[V_av]]-Do_1123187[[#This Row],[V_prel]]</f>
        <v>11.363636363636365</v>
      </c>
      <c r="M9" s="197">
        <f t="shared" si="2"/>
        <v>0.20000000000000004</v>
      </c>
      <c r="O9" s="6">
        <v>5</v>
      </c>
      <c r="P9" s="8">
        <f t="shared" si="3"/>
        <v>10.607142857142858</v>
      </c>
      <c r="Q9" s="6">
        <v>0</v>
      </c>
      <c r="R9" s="8">
        <f>Do_1123187188[[#This Row],[V_av]]-Do_1123187188[[#This Row],[V_prel]]</f>
        <v>10.607142857142858</v>
      </c>
      <c r="S9" s="188">
        <f t="shared" si="4"/>
        <v>0.20000000000000004</v>
      </c>
    </row>
    <row r="10" spans="1:33" x14ac:dyDescent="0.2">
      <c r="A10" s="494"/>
      <c r="C10" s="6">
        <v>6</v>
      </c>
      <c r="D10" s="8">
        <f t="shared" si="0"/>
        <v>12.666666666666666</v>
      </c>
      <c r="E10" s="6">
        <v>0</v>
      </c>
      <c r="F10" s="8">
        <f>Do_1123[[#This Row],[V_av]]-Do_1123[[#This Row],[V_prel]]</f>
        <v>12.666666666666666</v>
      </c>
      <c r="G10" s="188">
        <f t="shared" si="5"/>
        <v>0.16666666666666663</v>
      </c>
      <c r="I10" s="6">
        <v>6</v>
      </c>
      <c r="J10" s="8">
        <f t="shared" si="1"/>
        <v>13.636363636363638</v>
      </c>
      <c r="K10" s="6">
        <v>0</v>
      </c>
      <c r="L10" s="8">
        <f>Do_1123187[[#This Row],[V_av]]-Do_1123187[[#This Row],[V_prel]]</f>
        <v>13.636363636363638</v>
      </c>
      <c r="M10" s="197">
        <f t="shared" si="2"/>
        <v>0.16666666666666669</v>
      </c>
      <c r="O10" s="6">
        <v>6</v>
      </c>
      <c r="P10" s="8">
        <f t="shared" si="3"/>
        <v>12.72857142857143</v>
      </c>
      <c r="Q10" s="6">
        <v>0</v>
      </c>
      <c r="R10" s="8">
        <f>Do_1123187188[[#This Row],[V_av]]-Do_1123187188[[#This Row],[V_prel]]</f>
        <v>12.72857142857143</v>
      </c>
      <c r="S10" s="188">
        <f t="shared" si="4"/>
        <v>0.16666666666666669</v>
      </c>
    </row>
    <row r="11" spans="1:33" x14ac:dyDescent="0.2">
      <c r="A11" s="494"/>
      <c r="C11" s="6">
        <v>7</v>
      </c>
      <c r="D11" s="8">
        <f t="shared" si="0"/>
        <v>14.777777777777777</v>
      </c>
      <c r="E11" s="6">
        <v>0</v>
      </c>
      <c r="F11" s="8">
        <f>Do_1123[[#This Row],[V_av]]-Do_1123[[#This Row],[V_prel]]</f>
        <v>14.777777777777777</v>
      </c>
      <c r="G11" s="188">
        <f t="shared" si="5"/>
        <v>0.14285714285714285</v>
      </c>
      <c r="I11" s="6">
        <v>7</v>
      </c>
      <c r="J11" s="8">
        <f t="shared" si="1"/>
        <v>15.909090909090912</v>
      </c>
      <c r="K11" s="6">
        <v>0</v>
      </c>
      <c r="L11" s="8">
        <f>Do_1123187[[#This Row],[V_av]]-Do_1123187[[#This Row],[V_prel]]</f>
        <v>15.909090909090912</v>
      </c>
      <c r="M11" s="197">
        <f t="shared" si="2"/>
        <v>0.14285714285714288</v>
      </c>
      <c r="O11" s="6">
        <v>7</v>
      </c>
      <c r="P11" s="8">
        <f t="shared" si="3"/>
        <v>14.850000000000001</v>
      </c>
      <c r="Q11" s="6">
        <v>0</v>
      </c>
      <c r="R11" s="8">
        <f>Do_1123187188[[#This Row],[V_av]]-Do_1123187188[[#This Row],[V_prel]]</f>
        <v>14.850000000000001</v>
      </c>
      <c r="S11" s="188">
        <f t="shared" si="4"/>
        <v>0.14285714285714288</v>
      </c>
    </row>
    <row r="12" spans="1:33" x14ac:dyDescent="0.2">
      <c r="A12" s="494"/>
      <c r="C12" s="6">
        <v>8</v>
      </c>
      <c r="D12" s="8">
        <f t="shared" si="0"/>
        <v>16.888888888888889</v>
      </c>
      <c r="E12" s="6">
        <v>0</v>
      </c>
      <c r="F12" s="8">
        <f>Do_1123[[#This Row],[V_av]]-Do_1123[[#This Row],[V_prel]]</f>
        <v>16.888888888888889</v>
      </c>
      <c r="G12" s="188">
        <f t="shared" si="5"/>
        <v>0.12500000000000008</v>
      </c>
      <c r="I12" s="6">
        <v>8</v>
      </c>
      <c r="J12" s="8">
        <f t="shared" si="1"/>
        <v>18.181818181818183</v>
      </c>
      <c r="K12" s="6">
        <v>0</v>
      </c>
      <c r="L12" s="8">
        <f>Do_1123187[[#This Row],[V_av]]-Do_1123187[[#This Row],[V_prel]]</f>
        <v>18.181818181818183</v>
      </c>
      <c r="M12" s="197">
        <f t="shared" si="2"/>
        <v>0.12499999999999993</v>
      </c>
      <c r="O12" s="6">
        <v>8</v>
      </c>
      <c r="P12" s="8">
        <f t="shared" si="3"/>
        <v>16.971428571428572</v>
      </c>
      <c r="Q12" s="6">
        <v>0</v>
      </c>
      <c r="R12" s="8">
        <f>Do_1123187188[[#This Row],[V_av]]-Do_1123187188[[#This Row],[V_prel]]</f>
        <v>16.971428571428572</v>
      </c>
      <c r="S12" s="188">
        <f t="shared" si="4"/>
        <v>0.12499999999999992</v>
      </c>
    </row>
    <row r="13" spans="1:33" x14ac:dyDescent="0.2">
      <c r="A13" s="494"/>
      <c r="C13" s="7">
        <v>9</v>
      </c>
      <c r="D13" s="7">
        <v>19</v>
      </c>
      <c r="E13" s="7">
        <v>5</v>
      </c>
      <c r="F13" s="7">
        <v>13</v>
      </c>
      <c r="G13" s="188">
        <f t="shared" si="5"/>
        <v>0.11111111111111109</v>
      </c>
      <c r="I13" s="6">
        <v>9</v>
      </c>
      <c r="J13" s="8">
        <f t="shared" si="1"/>
        <v>20.454545454545457</v>
      </c>
      <c r="K13" s="6">
        <v>0</v>
      </c>
      <c r="L13" s="8">
        <f>Do_1123187[[#This Row],[V_av]]-Do_1123187[[#This Row],[V_prel]]</f>
        <v>20.454545454545457</v>
      </c>
      <c r="M13" s="197">
        <f t="shared" si="2"/>
        <v>0.11111111111111113</v>
      </c>
      <c r="O13" s="6">
        <v>9</v>
      </c>
      <c r="P13" s="8">
        <f t="shared" si="3"/>
        <v>19.092857142857142</v>
      </c>
      <c r="Q13" s="6">
        <v>0</v>
      </c>
      <c r="R13" s="8">
        <f>Do_1123187188[[#This Row],[V_av]]-Do_1123187188[[#This Row],[V_prel]]</f>
        <v>19.092857142857142</v>
      </c>
      <c r="S13" s="188">
        <f t="shared" si="4"/>
        <v>0.11111111111111105</v>
      </c>
    </row>
    <row r="14" spans="1:33" x14ac:dyDescent="0.2">
      <c r="A14" s="494"/>
      <c r="C14" s="6">
        <v>10</v>
      </c>
      <c r="D14" s="8">
        <f>($D$19-$F$13)/($C$19-$C$13)+F13</f>
        <v>33.833333333333329</v>
      </c>
      <c r="E14" s="6">
        <v>0</v>
      </c>
      <c r="F14" s="8">
        <f>Do_1123[[#This Row],[V_av]]-Do_1123[[#This Row],[V_prel]]</f>
        <v>33.833333333333329</v>
      </c>
      <c r="G14" s="188">
        <f t="shared" si="5"/>
        <v>0.61576354679802947</v>
      </c>
      <c r="I14" s="6">
        <v>10</v>
      </c>
      <c r="J14" s="8">
        <f t="shared" si="1"/>
        <v>22.72727272727273</v>
      </c>
      <c r="K14" s="6">
        <v>0</v>
      </c>
      <c r="L14" s="8">
        <f>Do_1123187[[#This Row],[V_av]]-Do_1123187[[#This Row],[V_prel]]</f>
        <v>22.72727272727273</v>
      </c>
      <c r="M14" s="197">
        <f t="shared" si="2"/>
        <v>0.10000000000000002</v>
      </c>
      <c r="O14" s="6">
        <v>10</v>
      </c>
      <c r="P14" s="8">
        <f t="shared" si="3"/>
        <v>21.214285714285712</v>
      </c>
      <c r="Q14" s="6">
        <v>0</v>
      </c>
      <c r="R14" s="8">
        <f>Do_1123187188[[#This Row],[V_av]]-Do_1123187188[[#This Row],[V_prel]]</f>
        <v>21.214285714285712</v>
      </c>
      <c r="S14" s="188">
        <f t="shared" si="4"/>
        <v>9.999999999999995E-2</v>
      </c>
    </row>
    <row r="15" spans="1:33" x14ac:dyDescent="0.2">
      <c r="A15" s="494"/>
      <c r="C15" s="6">
        <v>11</v>
      </c>
      <c r="D15" s="8">
        <f>($D$19-$F$13)/($C$19-$C$13)+D14</f>
        <v>54.666666666666657</v>
      </c>
      <c r="E15" s="6">
        <v>0</v>
      </c>
      <c r="F15" s="8">
        <f>Do_1123[[#This Row],[V_av]]-Do_1123[[#This Row],[V_prel]]</f>
        <v>54.666666666666657</v>
      </c>
      <c r="G15" s="188">
        <f t="shared" si="5"/>
        <v>0.38109756097560976</v>
      </c>
      <c r="I15" s="7">
        <v>11</v>
      </c>
      <c r="J15" s="7">
        <v>25</v>
      </c>
      <c r="K15" s="7">
        <v>7</v>
      </c>
      <c r="L15" s="7">
        <v>18</v>
      </c>
      <c r="M15" s="197">
        <f t="shared" si="2"/>
        <v>9.0909090909090787E-2</v>
      </c>
      <c r="O15" s="6">
        <v>11</v>
      </c>
      <c r="P15" s="8">
        <f t="shared" si="3"/>
        <v>23.335714285714282</v>
      </c>
      <c r="Q15" s="6">
        <v>0</v>
      </c>
      <c r="R15" s="8">
        <f>Do_1123187188[[#This Row],[V_av]]-Do_1123187188[[#This Row],[V_prel]]</f>
        <v>23.335714285714282</v>
      </c>
      <c r="S15" s="188">
        <f t="shared" si="4"/>
        <v>9.090909090909087E-2</v>
      </c>
    </row>
    <row r="16" spans="1:33" x14ac:dyDescent="0.2">
      <c r="A16" s="494"/>
      <c r="C16" s="6">
        <v>12</v>
      </c>
      <c r="D16" s="8">
        <f t="shared" ref="D16:D17" si="6">($D$19-$F$13)/($C$19-$C$13)+D15</f>
        <v>75.499999999999986</v>
      </c>
      <c r="E16" s="6">
        <v>0</v>
      </c>
      <c r="F16" s="8">
        <f>Do_1123[[#This Row],[V_av]]-Do_1123[[#This Row],[V_prel]]</f>
        <v>75.499999999999986</v>
      </c>
      <c r="G16" s="188">
        <f t="shared" si="5"/>
        <v>0.27593818984547458</v>
      </c>
      <c r="I16" s="6">
        <v>12</v>
      </c>
      <c r="J16" s="8">
        <f>($J$22-$L$15)/($I$22-$I$15)+L15</f>
        <v>34.714285714285715</v>
      </c>
      <c r="K16" s="6">
        <v>0</v>
      </c>
      <c r="L16" s="8">
        <f>Do_1123187[[#This Row],[V_av]]-Do_1123187[[#This Row],[V_prel]]</f>
        <v>34.714285714285715</v>
      </c>
      <c r="M16" s="197">
        <f t="shared" si="2"/>
        <v>0.48148148148148151</v>
      </c>
      <c r="O16" s="6">
        <v>12</v>
      </c>
      <c r="P16" s="8">
        <f t="shared" si="3"/>
        <v>25.457142857142852</v>
      </c>
      <c r="Q16" s="6">
        <v>0</v>
      </c>
      <c r="R16" s="8">
        <f>Do_1123187188[[#This Row],[V_av]]-Do_1123187188[[#This Row],[V_prel]]</f>
        <v>25.457142857142852</v>
      </c>
      <c r="S16" s="188">
        <f t="shared" si="4"/>
        <v>8.3333333333333301E-2</v>
      </c>
    </row>
    <row r="17" spans="1:19" x14ac:dyDescent="0.2">
      <c r="A17" s="494"/>
      <c r="C17" s="6">
        <v>13</v>
      </c>
      <c r="D17" s="8">
        <f t="shared" si="6"/>
        <v>96.333333333333314</v>
      </c>
      <c r="E17" s="6">
        <v>0</v>
      </c>
      <c r="F17" s="8">
        <f>Do_1123[[#This Row],[V_av]]-Do_1123[[#This Row],[V_prel]]</f>
        <v>96.333333333333314</v>
      </c>
      <c r="G17" s="188">
        <f t="shared" si="5"/>
        <v>0.2162629757785467</v>
      </c>
      <c r="I17" s="6">
        <v>13</v>
      </c>
      <c r="J17" s="8">
        <f>($J$22-$L$15)/($I$22-$I$15)+J16</f>
        <v>51.428571428571431</v>
      </c>
      <c r="K17" s="6">
        <v>0</v>
      </c>
      <c r="L17" s="8">
        <f>Do_1123187[[#This Row],[V_av]]-Do_1123187[[#This Row],[V_prel]]</f>
        <v>51.428571428571431</v>
      </c>
      <c r="M17" s="197">
        <f t="shared" si="2"/>
        <v>0.32500000000000001</v>
      </c>
      <c r="O17" s="6">
        <v>13</v>
      </c>
      <c r="P17" s="8">
        <f t="shared" si="3"/>
        <v>27.578571428571422</v>
      </c>
      <c r="Q17" s="6">
        <v>0</v>
      </c>
      <c r="R17" s="8">
        <f>Do_1123187188[[#This Row],[V_av]]-Do_1123187188[[#This Row],[V_prel]]</f>
        <v>27.578571428571422</v>
      </c>
      <c r="S17" s="188">
        <f t="shared" si="4"/>
        <v>7.69230769230769E-2</v>
      </c>
    </row>
    <row r="18" spans="1:19" x14ac:dyDescent="0.2">
      <c r="A18" s="494"/>
      <c r="C18" s="6">
        <v>14</v>
      </c>
      <c r="D18" s="8">
        <f>($D$19-$F$13)/($C$19-$C$13)+D17</f>
        <v>117.16666666666664</v>
      </c>
      <c r="E18" s="6">
        <v>0</v>
      </c>
      <c r="F18" s="8">
        <f>Do_1123[[#This Row],[V_av]]-Do_1123[[#This Row],[V_prel]]</f>
        <v>117.16666666666664</v>
      </c>
      <c r="G18" s="188">
        <f t="shared" si="5"/>
        <v>0.17780938833570412</v>
      </c>
      <c r="I18" s="6">
        <v>14</v>
      </c>
      <c r="J18" s="8">
        <f t="shared" ref="J18:J21" si="7">($J$22-$L$15)/($I$22-$I$15)+J17</f>
        <v>68.142857142857139</v>
      </c>
      <c r="K18" s="6">
        <v>0</v>
      </c>
      <c r="L18" s="8">
        <f>Do_1123187[[#This Row],[V_av]]-Do_1123187[[#This Row],[V_prel]]</f>
        <v>68.142857142857139</v>
      </c>
      <c r="M18" s="197">
        <f t="shared" si="2"/>
        <v>0.24528301886792445</v>
      </c>
      <c r="O18" s="7">
        <v>14</v>
      </c>
      <c r="P18" s="13">
        <v>29.7</v>
      </c>
      <c r="Q18" s="13">
        <v>8.8999999999999986</v>
      </c>
      <c r="R18" s="13">
        <v>20.8</v>
      </c>
      <c r="S18" s="188">
        <f t="shared" si="4"/>
        <v>7.1428571428571619E-2</v>
      </c>
    </row>
    <row r="19" spans="1:19" x14ac:dyDescent="0.2">
      <c r="A19" s="494"/>
      <c r="C19" s="7">
        <v>15</v>
      </c>
      <c r="D19" s="7">
        <v>138</v>
      </c>
      <c r="E19" s="7">
        <v>43</v>
      </c>
      <c r="F19" s="13">
        <f>Do_1123[[#This Row],[V_av]]-Do_1123[[#This Row],[V_prel]]</f>
        <v>95</v>
      </c>
      <c r="G19" s="188">
        <f t="shared" si="5"/>
        <v>0.1509661835748794</v>
      </c>
      <c r="I19" s="6">
        <v>15</v>
      </c>
      <c r="J19" s="8">
        <f t="shared" si="7"/>
        <v>84.857142857142861</v>
      </c>
      <c r="K19" s="6">
        <v>0</v>
      </c>
      <c r="L19" s="8">
        <f>Do_1123187[[#This Row],[V_av]]-Do_1123187[[#This Row],[V_prel]]</f>
        <v>84.857142857142861</v>
      </c>
      <c r="M19" s="197">
        <f t="shared" si="2"/>
        <v>0.19696969696969704</v>
      </c>
      <c r="O19" s="6">
        <v>15</v>
      </c>
      <c r="P19" s="8">
        <f>($P$28-$R$18)/($O$28-$O$18)+R18</f>
        <v>33.340000000000003</v>
      </c>
      <c r="Q19" s="6">
        <v>0</v>
      </c>
      <c r="R19" s="8">
        <f>Do_1123187188[[#This Row],[V_av]]-Do_1123187188[[#This Row],[V_prel]]</f>
        <v>33.340000000000003</v>
      </c>
      <c r="S19" s="188">
        <f t="shared" si="4"/>
        <v>0.37612477504499103</v>
      </c>
    </row>
    <row r="20" spans="1:19" x14ac:dyDescent="0.2">
      <c r="A20" s="494"/>
      <c r="C20" s="6">
        <v>16</v>
      </c>
      <c r="D20" s="8">
        <f>($D$26-$F$19)/($C$26-$C$19)+F19</f>
        <v>127.42857142857143</v>
      </c>
      <c r="E20" s="6">
        <v>0</v>
      </c>
      <c r="F20" s="8">
        <f>Do_1123[[#This Row],[V_av]]-Do_1123[[#This Row],[V_prel]]</f>
        <v>127.42857142857143</v>
      </c>
      <c r="G20" s="188">
        <f t="shared" si="5"/>
        <v>0.25448430493273544</v>
      </c>
      <c r="I20" s="6">
        <v>16</v>
      </c>
      <c r="J20" s="8">
        <f t="shared" si="7"/>
        <v>101.57142857142858</v>
      </c>
      <c r="K20" s="6">
        <v>0</v>
      </c>
      <c r="L20" s="8">
        <f>Do_1123187[[#This Row],[V_av]]-Do_1123187[[#This Row],[V_prel]]</f>
        <v>101.57142857142858</v>
      </c>
      <c r="M20" s="197">
        <f t="shared" si="2"/>
        <v>0.16455696202531653</v>
      </c>
      <c r="O20" s="6">
        <v>16</v>
      </c>
      <c r="P20" s="8">
        <f>($P$28-$R$18)/($O$28-$O$18)+P19</f>
        <v>45.88</v>
      </c>
      <c r="Q20" s="6">
        <v>0</v>
      </c>
      <c r="R20" s="8">
        <f>Do_1123187188[[#This Row],[V_av]]-Do_1123187188[[#This Row],[V_prel]]</f>
        <v>45.88</v>
      </c>
      <c r="S20" s="188">
        <f t="shared" si="4"/>
        <v>0.27332170880557977</v>
      </c>
    </row>
    <row r="21" spans="1:19" x14ac:dyDescent="0.2">
      <c r="A21" s="494"/>
      <c r="C21" s="6">
        <v>17</v>
      </c>
      <c r="D21" s="8">
        <f>($D$26-$F$19)/($C$26-$C$19)+D20</f>
        <v>159.85714285714286</v>
      </c>
      <c r="E21" s="6">
        <v>0</v>
      </c>
      <c r="F21" s="8">
        <f>Do_1123[[#This Row],[V_av]]-Do_1123[[#This Row],[V_prel]]</f>
        <v>159.85714285714286</v>
      </c>
      <c r="G21" s="188">
        <f t="shared" si="5"/>
        <v>0.2028596961572833</v>
      </c>
      <c r="I21" s="6">
        <v>17</v>
      </c>
      <c r="J21" s="8">
        <f t="shared" si="7"/>
        <v>118.28571428571431</v>
      </c>
      <c r="K21" s="6">
        <v>0</v>
      </c>
      <c r="L21" s="8">
        <f>Do_1123187[[#This Row],[V_av]]-Do_1123187[[#This Row],[V_prel]]</f>
        <v>118.28571428571431</v>
      </c>
      <c r="M21" s="197">
        <f t="shared" si="2"/>
        <v>0.141304347826087</v>
      </c>
      <c r="O21" s="6">
        <v>17</v>
      </c>
      <c r="P21" s="8">
        <f t="shared" ref="P21:P27" si="8">($P$28-$R$18)/($O$28-$O$18)+P20</f>
        <v>58.42</v>
      </c>
      <c r="Q21" s="6">
        <v>0</v>
      </c>
      <c r="R21" s="8">
        <f>Do_1123187188[[#This Row],[V_av]]-Do_1123187188[[#This Row],[V_prel]]</f>
        <v>58.42</v>
      </c>
      <c r="S21" s="188">
        <f t="shared" si="4"/>
        <v>0.21465251626155424</v>
      </c>
    </row>
    <row r="22" spans="1:19" x14ac:dyDescent="0.2">
      <c r="A22" s="494"/>
      <c r="C22" s="6">
        <v>18</v>
      </c>
      <c r="D22" s="8">
        <f t="shared" ref="D22:D25" si="9">($D$26-$F$19)/($C$26-$C$19)+D21</f>
        <v>192.28571428571428</v>
      </c>
      <c r="E22" s="6">
        <v>0</v>
      </c>
      <c r="F22" s="8">
        <f>Do_1123[[#This Row],[V_av]]-Do_1123[[#This Row],[V_prel]]</f>
        <v>192.28571428571428</v>
      </c>
      <c r="G22" s="188">
        <f t="shared" si="5"/>
        <v>0.16864784546805345</v>
      </c>
      <c r="I22" s="7">
        <v>18</v>
      </c>
      <c r="J22" s="7">
        <v>135</v>
      </c>
      <c r="K22" s="7">
        <v>48</v>
      </c>
      <c r="L22" s="7">
        <v>86</v>
      </c>
      <c r="M22" s="197">
        <f t="shared" si="2"/>
        <v>0.12380952380952366</v>
      </c>
      <c r="O22" s="6">
        <v>18</v>
      </c>
      <c r="P22" s="8">
        <f t="shared" si="8"/>
        <v>70.960000000000008</v>
      </c>
      <c r="Q22" s="6">
        <v>0</v>
      </c>
      <c r="R22" s="8">
        <f>Do_1123187188[[#This Row],[V_av]]-Do_1123187188[[#This Row],[V_prel]]</f>
        <v>70.960000000000008</v>
      </c>
      <c r="S22" s="188">
        <f t="shared" si="4"/>
        <v>0.1767192784667419</v>
      </c>
    </row>
    <row r="23" spans="1:19" x14ac:dyDescent="0.2">
      <c r="A23" s="494"/>
      <c r="C23" s="6">
        <v>19</v>
      </c>
      <c r="D23" s="8">
        <f t="shared" si="9"/>
        <v>224.71428571428572</v>
      </c>
      <c r="E23" s="6">
        <v>0</v>
      </c>
      <c r="F23" s="8">
        <f>Do_1123[[#This Row],[V_av]]-Do_1123[[#This Row],[V_prel]]</f>
        <v>224.71428571428572</v>
      </c>
      <c r="G23" s="188">
        <f t="shared" si="5"/>
        <v>0.14431023521932621</v>
      </c>
      <c r="I23" s="6">
        <v>19</v>
      </c>
      <c r="J23" s="8">
        <f>($J$31-$L$22)/($I$31-$I$22)+L22</f>
        <v>109</v>
      </c>
      <c r="K23" s="6">
        <v>0</v>
      </c>
      <c r="L23" s="8">
        <f>Do_1123187[[#This Row],[V_av]]-Do_1123187[[#This Row],[V_prel]]</f>
        <v>109</v>
      </c>
      <c r="M23" s="197">
        <f t="shared" si="2"/>
        <v>0.21100917431192662</v>
      </c>
      <c r="O23" s="6">
        <v>19</v>
      </c>
      <c r="P23" s="8">
        <f t="shared" si="8"/>
        <v>83.5</v>
      </c>
      <c r="Q23" s="6">
        <v>0</v>
      </c>
      <c r="R23" s="8">
        <f>Do_1123187188[[#This Row],[V_av]]-Do_1123187188[[#This Row],[V_prel]]</f>
        <v>83.5</v>
      </c>
      <c r="S23" s="188">
        <f t="shared" si="4"/>
        <v>0.15017964071856277</v>
      </c>
    </row>
    <row r="24" spans="1:19" x14ac:dyDescent="0.2">
      <c r="A24" s="494"/>
      <c r="C24" s="6">
        <v>20</v>
      </c>
      <c r="D24" s="8">
        <f t="shared" si="9"/>
        <v>257.14285714285717</v>
      </c>
      <c r="E24" s="6">
        <v>0</v>
      </c>
      <c r="F24" s="8">
        <f>Do_1123[[#This Row],[V_av]]-Do_1123[[#This Row],[V_prel]]</f>
        <v>257.14285714285717</v>
      </c>
      <c r="G24" s="188">
        <f t="shared" si="5"/>
        <v>0.12611111111111117</v>
      </c>
      <c r="I24" s="6">
        <v>20</v>
      </c>
      <c r="J24" s="8">
        <f>($J$31-$L$22)/($I$31-$I$22)+J23</f>
        <v>132</v>
      </c>
      <c r="K24" s="6">
        <v>0</v>
      </c>
      <c r="L24" s="8">
        <f>Do_1123187[[#This Row],[V_av]]-Do_1123187[[#This Row],[V_prel]]</f>
        <v>132</v>
      </c>
      <c r="M24" s="197">
        <f t="shared" si="2"/>
        <v>0.17424242424242425</v>
      </c>
      <c r="O24" s="6">
        <v>20</v>
      </c>
      <c r="P24" s="8">
        <f t="shared" si="8"/>
        <v>96.039999999999992</v>
      </c>
      <c r="Q24" s="6">
        <v>0</v>
      </c>
      <c r="R24" s="8">
        <f>Do_1123187188[[#This Row],[V_av]]-Do_1123187188[[#This Row],[V_prel]]</f>
        <v>96.039999999999992</v>
      </c>
      <c r="S24" s="188">
        <f t="shared" si="4"/>
        <v>0.13057059558517278</v>
      </c>
    </row>
    <row r="25" spans="1:19" x14ac:dyDescent="0.2">
      <c r="A25" s="494"/>
      <c r="C25" s="6">
        <v>21</v>
      </c>
      <c r="D25" s="8">
        <f t="shared" si="9"/>
        <v>289.57142857142861</v>
      </c>
      <c r="E25" s="6">
        <v>0</v>
      </c>
      <c r="F25" s="8">
        <f>Do_1123[[#This Row],[V_av]]-Do_1123[[#This Row],[V_prel]]</f>
        <v>289.57142857142861</v>
      </c>
      <c r="G25" s="188">
        <f t="shared" si="5"/>
        <v>0.11198815984213127</v>
      </c>
      <c r="I25" s="6">
        <v>21</v>
      </c>
      <c r="J25" s="8">
        <f t="shared" ref="J25:J30" si="10">($J$31-$L$22)/($I$31-$I$22)+J24</f>
        <v>155</v>
      </c>
      <c r="K25" s="6">
        <v>0</v>
      </c>
      <c r="L25" s="8">
        <f>Do_1123187[[#This Row],[V_av]]-Do_1123187[[#This Row],[V_prel]]</f>
        <v>155</v>
      </c>
      <c r="M25" s="197">
        <f t="shared" si="2"/>
        <v>0.14838709677419354</v>
      </c>
      <c r="O25" s="6">
        <v>21</v>
      </c>
      <c r="P25" s="8">
        <f t="shared" si="8"/>
        <v>108.57999999999998</v>
      </c>
      <c r="Q25" s="6">
        <v>0</v>
      </c>
      <c r="R25" s="8">
        <f>Do_1123187188[[#This Row],[V_av]]-Do_1123187188[[#This Row],[V_prel]]</f>
        <v>108.57999999999998</v>
      </c>
      <c r="S25" s="188">
        <f t="shared" si="4"/>
        <v>0.11549088229876583</v>
      </c>
    </row>
    <row r="26" spans="1:19" x14ac:dyDescent="0.2">
      <c r="A26" s="494"/>
      <c r="C26" s="7">
        <v>22</v>
      </c>
      <c r="D26" s="7">
        <v>322</v>
      </c>
      <c r="E26" s="7">
        <v>76</v>
      </c>
      <c r="F26" s="13">
        <f>Do_1123[[#This Row],[V_av]]-Do_1123[[#This Row],[V_prel]]</f>
        <v>246</v>
      </c>
      <c r="G26" s="188">
        <f t="shared" si="5"/>
        <v>0.100709849157054</v>
      </c>
      <c r="I26" s="6">
        <v>22</v>
      </c>
      <c r="J26" s="8">
        <f t="shared" si="10"/>
        <v>178</v>
      </c>
      <c r="K26" s="6">
        <v>0</v>
      </c>
      <c r="L26" s="8">
        <f>Do_1123187[[#This Row],[V_av]]-Do_1123187[[#This Row],[V_prel]]</f>
        <v>178</v>
      </c>
      <c r="M26" s="197">
        <f t="shared" si="2"/>
        <v>0.12921348314606743</v>
      </c>
      <c r="O26" s="6">
        <v>22</v>
      </c>
      <c r="P26" s="8">
        <f t="shared" si="8"/>
        <v>121.11999999999998</v>
      </c>
      <c r="Q26" s="6">
        <v>0</v>
      </c>
      <c r="R26" s="8">
        <f>Do_1123187188[[#This Row],[V_av]]-Do_1123187188[[#This Row],[V_prel]]</f>
        <v>121.11999999999998</v>
      </c>
      <c r="S26" s="188">
        <f t="shared" si="4"/>
        <v>0.10353368560105676</v>
      </c>
    </row>
    <row r="27" spans="1:19" x14ac:dyDescent="0.2">
      <c r="A27" s="494"/>
      <c r="C27" s="6">
        <v>23</v>
      </c>
      <c r="D27" s="8">
        <f>($D$34-$F$26)/($C$34-$C$26)+F26</f>
        <v>280.625</v>
      </c>
      <c r="E27" s="6">
        <v>0</v>
      </c>
      <c r="F27" s="8">
        <f>Do_1123[[#This Row],[V_av]]-Do_1123[[#This Row],[V_prel]]</f>
        <v>280.625</v>
      </c>
      <c r="G27" s="188">
        <f t="shared" si="5"/>
        <v>0.12338530066815145</v>
      </c>
      <c r="I27" s="6">
        <v>23</v>
      </c>
      <c r="J27" s="8">
        <f t="shared" si="10"/>
        <v>201</v>
      </c>
      <c r="K27" s="6">
        <v>0</v>
      </c>
      <c r="L27" s="8">
        <f>Do_1123187[[#This Row],[V_av]]-Do_1123187[[#This Row],[V_prel]]</f>
        <v>201</v>
      </c>
      <c r="M27" s="197">
        <f t="shared" si="2"/>
        <v>0.11442786069651742</v>
      </c>
      <c r="O27" s="6">
        <v>23</v>
      </c>
      <c r="P27" s="8">
        <f t="shared" si="8"/>
        <v>133.65999999999997</v>
      </c>
      <c r="Q27" s="6">
        <v>0</v>
      </c>
      <c r="R27" s="8">
        <f>Do_1123187188[[#This Row],[V_av]]-Do_1123187188[[#This Row],[V_prel]]</f>
        <v>133.65999999999997</v>
      </c>
      <c r="S27" s="188">
        <f t="shared" si="4"/>
        <v>9.3820140655394249E-2</v>
      </c>
    </row>
    <row r="28" spans="1:19" x14ac:dyDescent="0.2">
      <c r="A28" s="205"/>
      <c r="C28" s="6">
        <v>24</v>
      </c>
      <c r="D28" s="8">
        <f>($D$34-$F$26)/($C$34-$C$26)+D27</f>
        <v>315.25</v>
      </c>
      <c r="E28" s="6">
        <v>0</v>
      </c>
      <c r="F28" s="8">
        <f>Do_1123[[#This Row],[V_av]]-Do_1123[[#This Row],[V_prel]]</f>
        <v>315.25</v>
      </c>
      <c r="G28" s="188">
        <f t="shared" si="5"/>
        <v>0.10983346550356859</v>
      </c>
      <c r="I28" s="6">
        <v>24</v>
      </c>
      <c r="J28" s="8">
        <f t="shared" si="10"/>
        <v>224</v>
      </c>
      <c r="K28" s="6">
        <v>0</v>
      </c>
      <c r="L28" s="8">
        <f>Do_1123187[[#This Row],[V_av]]-Do_1123187[[#This Row],[V_prel]]</f>
        <v>224</v>
      </c>
      <c r="M28" s="197">
        <f t="shared" si="2"/>
        <v>0.10267857142857142</v>
      </c>
      <c r="O28" s="7">
        <v>24</v>
      </c>
      <c r="P28" s="13">
        <v>146.19999999999999</v>
      </c>
      <c r="Q28" s="13">
        <v>58.799999999999983</v>
      </c>
      <c r="R28" s="13">
        <v>87.4</v>
      </c>
      <c r="S28" s="188">
        <f t="shared" si="4"/>
        <v>8.5772913816689611E-2</v>
      </c>
    </row>
    <row r="29" spans="1:19" x14ac:dyDescent="0.2">
      <c r="A29" s="205"/>
      <c r="C29" s="6">
        <v>25</v>
      </c>
      <c r="D29" s="8">
        <f t="shared" ref="D29:D33" si="11">($D$34-$F$26)/($C$34-$C$26)+D28</f>
        <v>349.875</v>
      </c>
      <c r="E29" s="6">
        <v>0</v>
      </c>
      <c r="F29" s="8">
        <f>Do_1123[[#This Row],[V_av]]-Do_1123[[#This Row],[V_prel]]</f>
        <v>349.875</v>
      </c>
      <c r="G29" s="188">
        <f t="shared" si="5"/>
        <v>9.8963915684172912E-2</v>
      </c>
      <c r="I29" s="6">
        <v>25</v>
      </c>
      <c r="J29" s="8">
        <f t="shared" si="10"/>
        <v>247</v>
      </c>
      <c r="K29" s="6">
        <v>0</v>
      </c>
      <c r="L29" s="8">
        <f>Do_1123187[[#This Row],[V_av]]-Do_1123187[[#This Row],[V_prel]]</f>
        <v>247</v>
      </c>
      <c r="M29" s="197">
        <f t="shared" si="2"/>
        <v>9.3117408906882596E-2</v>
      </c>
      <c r="O29" s="6">
        <v>25</v>
      </c>
      <c r="P29" s="14">
        <f>($P$41-$R$28)/($O$41-$O$28)+R28</f>
        <v>102.33076923076923</v>
      </c>
      <c r="Q29" s="6">
        <v>0</v>
      </c>
      <c r="R29" s="8">
        <f>Do_1123187188[[#This Row],[V_av]]-Do_1123187188[[#This Row],[V_prel]]</f>
        <v>102.33076923076923</v>
      </c>
      <c r="S29" s="188">
        <f t="shared" si="4"/>
        <v>0.14590693828459744</v>
      </c>
    </row>
    <row r="30" spans="1:19" x14ac:dyDescent="0.2">
      <c r="A30" s="205"/>
      <c r="C30" s="6">
        <v>26</v>
      </c>
      <c r="D30" s="8">
        <f t="shared" si="11"/>
        <v>384.5</v>
      </c>
      <c r="E30" s="6">
        <v>0</v>
      </c>
      <c r="F30" s="8">
        <f>Do_1123[[#This Row],[V_av]]-Do_1123[[#This Row],[V_prel]]</f>
        <v>384.5</v>
      </c>
      <c r="G30" s="188">
        <f t="shared" si="5"/>
        <v>9.0052015604681401E-2</v>
      </c>
      <c r="I30" s="6">
        <v>26</v>
      </c>
      <c r="J30" s="8">
        <f t="shared" si="10"/>
        <v>270</v>
      </c>
      <c r="K30" s="6">
        <v>0</v>
      </c>
      <c r="L30" s="8">
        <f>Do_1123187[[#This Row],[V_av]]-Do_1123187[[#This Row],[V_prel]]</f>
        <v>270</v>
      </c>
      <c r="M30" s="197">
        <f t="shared" si="2"/>
        <v>8.5185185185185183E-2</v>
      </c>
      <c r="O30" s="6">
        <v>26</v>
      </c>
      <c r="P30" s="14">
        <f>($P$41-$R$28)/($O$41-$O$28)+P29</f>
        <v>117.26153846153846</v>
      </c>
      <c r="Q30" s="6">
        <v>0</v>
      </c>
      <c r="R30" s="8">
        <f>Do_1123187188[[#This Row],[V_av]]-Do_1123187188[[#This Row],[V_prel]]</f>
        <v>117.26153846153846</v>
      </c>
      <c r="S30" s="188">
        <f t="shared" si="4"/>
        <v>0.12732878509577536</v>
      </c>
    </row>
    <row r="31" spans="1:19" x14ac:dyDescent="0.2">
      <c r="A31" s="205"/>
      <c r="C31" s="6">
        <v>27</v>
      </c>
      <c r="D31" s="8">
        <f t="shared" si="11"/>
        <v>419.125</v>
      </c>
      <c r="E31" s="6">
        <v>0</v>
      </c>
      <c r="F31" s="8">
        <f>Do_1123[[#This Row],[V_av]]-Do_1123[[#This Row],[V_prel]]</f>
        <v>419.125</v>
      </c>
      <c r="G31" s="188">
        <f t="shared" si="5"/>
        <v>8.2612585744109748E-2</v>
      </c>
      <c r="I31" s="7">
        <v>27</v>
      </c>
      <c r="J31" s="7">
        <v>293</v>
      </c>
      <c r="K31" s="7">
        <v>72</v>
      </c>
      <c r="L31" s="7">
        <v>221</v>
      </c>
      <c r="M31" s="197">
        <f t="shared" si="2"/>
        <v>7.8498293515358364E-2</v>
      </c>
      <c r="O31" s="6">
        <v>27</v>
      </c>
      <c r="P31" s="14">
        <f t="shared" ref="P31:P40" si="12">($P$41-$R$28)/($O$41-$O$28)+P30</f>
        <v>132.19230769230771</v>
      </c>
      <c r="Q31" s="6">
        <v>0</v>
      </c>
      <c r="R31" s="8">
        <f>Do_1123187188[[#This Row],[V_av]]-Do_1123187188[[#This Row],[V_prel]]</f>
        <v>132.19230769230771</v>
      </c>
      <c r="S31" s="188">
        <f t="shared" si="4"/>
        <v>0.11294733779458839</v>
      </c>
    </row>
    <row r="32" spans="1:19" x14ac:dyDescent="0.2">
      <c r="A32" s="205"/>
      <c r="C32" s="6">
        <v>28</v>
      </c>
      <c r="D32" s="8">
        <f t="shared" si="11"/>
        <v>453.75</v>
      </c>
      <c r="E32" s="6">
        <v>0</v>
      </c>
      <c r="F32" s="8">
        <f>Do_1123[[#This Row],[V_av]]-Do_1123[[#This Row],[V_prel]]</f>
        <v>453.75</v>
      </c>
      <c r="G32" s="188">
        <f t="shared" si="5"/>
        <v>7.6308539944903581E-2</v>
      </c>
      <c r="I32" s="6">
        <v>28</v>
      </c>
      <c r="J32" s="8">
        <f>($J$42-$L$31)/($I$42-$I$31)+L31</f>
        <v>244.54545454545456</v>
      </c>
      <c r="K32" s="6">
        <v>0</v>
      </c>
      <c r="L32" s="8">
        <f>Do_1123187[[#This Row],[V_av]]-Do_1123187[[#This Row],[V_prel]]</f>
        <v>244.54545454545456</v>
      </c>
      <c r="M32" s="197">
        <f t="shared" si="2"/>
        <v>9.6282527881040955E-2</v>
      </c>
      <c r="O32" s="6">
        <v>28</v>
      </c>
      <c r="P32" s="14">
        <f t="shared" si="12"/>
        <v>147.12307692307695</v>
      </c>
      <c r="Q32" s="6">
        <v>0</v>
      </c>
      <c r="R32" s="8">
        <f>Do_1123187188[[#This Row],[V_av]]-Do_1123187188[[#This Row],[V_prel]]</f>
        <v>147.12307692307695</v>
      </c>
      <c r="S32" s="188">
        <f t="shared" si="4"/>
        <v>0.1014848896789711</v>
      </c>
    </row>
    <row r="33" spans="1:19" x14ac:dyDescent="0.2">
      <c r="A33" s="205"/>
      <c r="C33" s="6">
        <v>29</v>
      </c>
      <c r="D33" s="8">
        <f t="shared" si="11"/>
        <v>488.375</v>
      </c>
      <c r="E33" s="6">
        <v>0</v>
      </c>
      <c r="F33" s="8">
        <f>Do_1123[[#This Row],[V_av]]-Do_1123[[#This Row],[V_prel]]</f>
        <v>488.375</v>
      </c>
      <c r="G33" s="188">
        <f t="shared" si="5"/>
        <v>7.0898387509598162E-2</v>
      </c>
      <c r="I33" s="6">
        <v>29</v>
      </c>
      <c r="J33" s="8">
        <f>($J$42-$L$31)/($I$42-$I$31)+J32</f>
        <v>268.09090909090912</v>
      </c>
      <c r="K33" s="6">
        <v>0</v>
      </c>
      <c r="L33" s="8">
        <f>Do_1123187[[#This Row],[V_av]]-Do_1123187[[#This Row],[V_prel]]</f>
        <v>268.09090909090912</v>
      </c>
      <c r="M33" s="197">
        <f t="shared" si="2"/>
        <v>8.782638182434728E-2</v>
      </c>
      <c r="O33" s="6">
        <v>29</v>
      </c>
      <c r="P33" s="14">
        <f t="shared" si="12"/>
        <v>162.05384615384619</v>
      </c>
      <c r="Q33" s="6">
        <v>0</v>
      </c>
      <c r="R33" s="8">
        <f>Do_1123187188[[#This Row],[V_av]]-Do_1123187188[[#This Row],[V_prel]]</f>
        <v>162.05384615384619</v>
      </c>
      <c r="S33" s="188">
        <f t="shared" si="4"/>
        <v>9.2134618123131021E-2</v>
      </c>
    </row>
    <row r="34" spans="1:19" x14ac:dyDescent="0.2">
      <c r="A34" s="205"/>
      <c r="C34" s="7">
        <v>30</v>
      </c>
      <c r="D34" s="7">
        <v>523</v>
      </c>
      <c r="E34" s="7">
        <v>97</v>
      </c>
      <c r="F34" s="13">
        <f>Do_1123[[#This Row],[V_av]]-Do_1123[[#This Row],[V_prel]]</f>
        <v>426</v>
      </c>
      <c r="G34" s="188">
        <f t="shared" si="5"/>
        <v>6.6204588910133838E-2</v>
      </c>
      <c r="I34" s="6">
        <v>30</v>
      </c>
      <c r="J34" s="8">
        <f t="shared" ref="J34:J41" si="13">($J$42-$L$31)/($I$42-$I$31)+J33</f>
        <v>291.63636363636368</v>
      </c>
      <c r="K34" s="6">
        <v>0</v>
      </c>
      <c r="L34" s="8">
        <f>Do_1123187[[#This Row],[V_av]]-Do_1123187[[#This Row],[V_prel]]</f>
        <v>291.63636363636368</v>
      </c>
      <c r="M34" s="197">
        <f t="shared" si="2"/>
        <v>8.0735660847880336E-2</v>
      </c>
      <c r="O34" s="6">
        <v>30</v>
      </c>
      <c r="P34" s="14">
        <f t="shared" si="12"/>
        <v>176.98461538461544</v>
      </c>
      <c r="Q34" s="6">
        <v>0</v>
      </c>
      <c r="R34" s="8">
        <f>Do_1123187188[[#This Row],[V_av]]-Do_1123187188[[#This Row],[V_prel]]</f>
        <v>176.98461538461544</v>
      </c>
      <c r="S34" s="188">
        <f t="shared" si="4"/>
        <v>8.4361961057023691E-2</v>
      </c>
    </row>
    <row r="35" spans="1:19" x14ac:dyDescent="0.2">
      <c r="A35" s="205"/>
      <c r="C35" s="7">
        <v>39</v>
      </c>
      <c r="D35" s="7">
        <v>703</v>
      </c>
      <c r="E35" s="7">
        <v>101</v>
      </c>
      <c r="F35" s="7">
        <v>603</v>
      </c>
      <c r="G35" s="188">
        <f>((D35-F34)/D35)/(C35-C34)</f>
        <v>4.3780622727991145E-2</v>
      </c>
      <c r="I35" s="6">
        <v>31</v>
      </c>
      <c r="J35" s="8">
        <f t="shared" si="13"/>
        <v>315.18181818181824</v>
      </c>
      <c r="K35" s="6">
        <v>0</v>
      </c>
      <c r="L35" s="8">
        <f>Do_1123187[[#This Row],[V_av]]-Do_1123187[[#This Row],[V_prel]]</f>
        <v>315.18181818181824</v>
      </c>
      <c r="M35" s="197">
        <f t="shared" si="2"/>
        <v>7.4704355350447102E-2</v>
      </c>
      <c r="O35" s="6">
        <v>31</v>
      </c>
      <c r="P35" s="14">
        <f t="shared" si="12"/>
        <v>191.91538461538468</v>
      </c>
      <c r="Q35" s="6">
        <v>0</v>
      </c>
      <c r="R35" s="8">
        <f>Do_1123187188[[#This Row],[V_av]]-Do_1123187188[[#This Row],[V_prel]]</f>
        <v>191.91538461538468</v>
      </c>
      <c r="S35" s="188">
        <f t="shared" si="4"/>
        <v>7.7798709367108948E-2</v>
      </c>
    </row>
    <row r="36" spans="1:19" x14ac:dyDescent="0.2">
      <c r="A36" s="205"/>
      <c r="C36" s="7">
        <v>49</v>
      </c>
      <c r="D36" s="7">
        <v>902</v>
      </c>
      <c r="E36" s="7">
        <v>96</v>
      </c>
      <c r="F36" s="7">
        <v>807</v>
      </c>
      <c r="G36" s="188">
        <f t="shared" si="5"/>
        <v>3.3148558758314857E-2</v>
      </c>
      <c r="I36" s="6">
        <v>32</v>
      </c>
      <c r="J36" s="8">
        <f t="shared" si="13"/>
        <v>338.7272727272728</v>
      </c>
      <c r="K36" s="6">
        <v>0</v>
      </c>
      <c r="L36" s="8">
        <f>Do_1123187[[#This Row],[V_av]]-Do_1123187[[#This Row],[V_prel]]</f>
        <v>338.7272727272728</v>
      </c>
      <c r="M36" s="197">
        <f t="shared" si="2"/>
        <v>6.9511540526033311E-2</v>
      </c>
      <c r="O36" s="6">
        <v>32</v>
      </c>
      <c r="P36" s="14">
        <f t="shared" si="12"/>
        <v>206.84615384615392</v>
      </c>
      <c r="Q36" s="6">
        <v>0</v>
      </c>
      <c r="R36" s="8">
        <f>Do_1123187188[[#This Row],[V_av]]-Do_1123187188[[#This Row],[V_prel]]</f>
        <v>206.84615384615392</v>
      </c>
      <c r="S36" s="188">
        <f t="shared" si="4"/>
        <v>7.2182967645965074E-2</v>
      </c>
    </row>
    <row r="37" spans="1:19" x14ac:dyDescent="0.2">
      <c r="A37" s="205"/>
      <c r="C37" s="7">
        <v>60</v>
      </c>
      <c r="D37" s="7">
        <v>1103</v>
      </c>
      <c r="E37" s="7">
        <v>454</v>
      </c>
      <c r="F37" s="7">
        <v>649</v>
      </c>
      <c r="G37" s="188">
        <f t="shared" si="5"/>
        <v>2.4396274622929204E-2</v>
      </c>
      <c r="I37" s="6">
        <v>33</v>
      </c>
      <c r="J37" s="8">
        <f t="shared" si="13"/>
        <v>362.27272727272737</v>
      </c>
      <c r="K37" s="6">
        <v>0</v>
      </c>
      <c r="L37" s="8">
        <f>Do_1123187[[#This Row],[V_av]]-Do_1123187[[#This Row],[V_prel]]</f>
        <v>362.27272727272737</v>
      </c>
      <c r="M37" s="197">
        <f t="shared" si="2"/>
        <v>6.4993726474278576E-2</v>
      </c>
      <c r="O37" s="6">
        <v>33</v>
      </c>
      <c r="P37" s="14">
        <f t="shared" si="12"/>
        <v>221.77692307692317</v>
      </c>
      <c r="Q37" s="6">
        <v>0</v>
      </c>
      <c r="R37" s="8">
        <f>Do_1123187188[[#This Row],[V_av]]-Do_1123187188[[#This Row],[V_prel]]</f>
        <v>221.77692307692317</v>
      </c>
      <c r="S37" s="188">
        <f t="shared" si="4"/>
        <v>6.7323367208907109E-2</v>
      </c>
    </row>
    <row r="38" spans="1:19" x14ac:dyDescent="0.2">
      <c r="A38" s="205"/>
      <c r="C38" s="7">
        <v>63</v>
      </c>
      <c r="D38" s="7">
        <v>732</v>
      </c>
      <c r="E38" s="7">
        <v>380</v>
      </c>
      <c r="F38" s="7">
        <v>351</v>
      </c>
      <c r="G38" s="188">
        <f t="shared" si="5"/>
        <v>3.7795992714025499E-2</v>
      </c>
      <c r="I38" s="6">
        <v>34</v>
      </c>
      <c r="J38" s="8">
        <f t="shared" si="13"/>
        <v>385.81818181818193</v>
      </c>
      <c r="K38" s="6">
        <v>0</v>
      </c>
      <c r="L38" s="8">
        <f>Do_1123187[[#This Row],[V_av]]-Do_1123187[[#This Row],[V_prel]]</f>
        <v>385.81818181818193</v>
      </c>
      <c r="M38" s="197">
        <f t="shared" si="2"/>
        <v>6.1027332704995309E-2</v>
      </c>
      <c r="O38" s="6">
        <v>34</v>
      </c>
      <c r="P38" s="14">
        <f t="shared" si="12"/>
        <v>236.70769230769241</v>
      </c>
      <c r="Q38" s="6">
        <v>0</v>
      </c>
      <c r="R38" s="8">
        <f>Do_1123187188[[#This Row],[V_av]]-Do_1123187188[[#This Row],[V_prel]]</f>
        <v>236.70769230769241</v>
      </c>
      <c r="S38" s="188">
        <f t="shared" si="4"/>
        <v>6.3076823085922287E-2</v>
      </c>
    </row>
    <row r="39" spans="1:19" x14ac:dyDescent="0.2">
      <c r="A39" s="205"/>
      <c r="C39" s="7">
        <v>66</v>
      </c>
      <c r="D39" s="7">
        <v>398</v>
      </c>
      <c r="E39" s="7">
        <v>398</v>
      </c>
      <c r="F39" s="7">
        <f>Do_1123[[#This Row],[V_av]]-Do_1123[[#This Row],[V_prel]]</f>
        <v>0</v>
      </c>
      <c r="G39" s="188">
        <f t="shared" si="5"/>
        <v>3.9363484087102177E-2</v>
      </c>
      <c r="I39" s="6">
        <v>35</v>
      </c>
      <c r="J39" s="8">
        <f t="shared" si="13"/>
        <v>409.36363636363649</v>
      </c>
      <c r="K39" s="6">
        <v>0</v>
      </c>
      <c r="L39" s="8">
        <f>Do_1123187[[#This Row],[V_av]]-Do_1123187[[#This Row],[V_prel]]</f>
        <v>409.36363636363649</v>
      </c>
      <c r="M39" s="197">
        <f t="shared" si="2"/>
        <v>5.7517210748389981E-2</v>
      </c>
      <c r="O39" s="6">
        <v>35</v>
      </c>
      <c r="P39" s="14">
        <f t="shared" si="12"/>
        <v>251.63846153846166</v>
      </c>
      <c r="Q39" s="6">
        <v>0</v>
      </c>
      <c r="R39" s="8">
        <f>Do_1123187188[[#This Row],[V_av]]-Do_1123187188[[#This Row],[V_prel]]</f>
        <v>251.63846153846166</v>
      </c>
      <c r="S39" s="188">
        <f t="shared" si="4"/>
        <v>5.933420964142698E-2</v>
      </c>
    </row>
    <row r="40" spans="1:19" x14ac:dyDescent="0.2">
      <c r="A40" s="205"/>
      <c r="G40" s="189"/>
      <c r="I40" s="6">
        <v>36</v>
      </c>
      <c r="J40" s="8">
        <f t="shared" si="13"/>
        <v>432.90909090909105</v>
      </c>
      <c r="K40" s="6">
        <v>0</v>
      </c>
      <c r="L40" s="8">
        <f>Do_1123187[[#This Row],[V_av]]-Do_1123187[[#This Row],[V_prel]]</f>
        <v>432.90909090909105</v>
      </c>
      <c r="M40" s="197">
        <f t="shared" si="2"/>
        <v>5.4388912221755584E-2</v>
      </c>
      <c r="O40" s="6">
        <v>36</v>
      </c>
      <c r="P40" s="14">
        <f t="shared" si="12"/>
        <v>266.5692307692309</v>
      </c>
      <c r="Q40" s="6">
        <v>0</v>
      </c>
      <c r="R40" s="8">
        <f>Do_1123187188[[#This Row],[V_av]]-Do_1123187188[[#This Row],[V_prel]]</f>
        <v>266.5692307692309</v>
      </c>
      <c r="S40" s="188">
        <f t="shared" si="4"/>
        <v>5.6010850118312479E-2</v>
      </c>
    </row>
    <row r="41" spans="1:19" x14ac:dyDescent="0.2">
      <c r="A41" s="205"/>
      <c r="G41" s="189"/>
      <c r="I41" s="6">
        <v>37</v>
      </c>
      <c r="J41" s="8">
        <f t="shared" si="13"/>
        <v>456.45454545454561</v>
      </c>
      <c r="K41" s="6">
        <v>0</v>
      </c>
      <c r="L41" s="8">
        <f>Do_1123187[[#This Row],[V_av]]-Do_1123187[[#This Row],[V_prel]]</f>
        <v>456.45454545454561</v>
      </c>
      <c r="M41" s="197">
        <f t="shared" si="2"/>
        <v>5.1583349930292788E-2</v>
      </c>
      <c r="O41" s="7">
        <v>37</v>
      </c>
      <c r="P41" s="13">
        <v>281.5</v>
      </c>
      <c r="Q41" s="13">
        <v>86.9</v>
      </c>
      <c r="R41" s="13">
        <v>194.6</v>
      </c>
      <c r="S41" s="188">
        <f t="shared" si="4"/>
        <v>5.3040032791364482E-2</v>
      </c>
    </row>
    <row r="42" spans="1:19" x14ac:dyDescent="0.2">
      <c r="A42" s="205"/>
      <c r="G42" s="189"/>
      <c r="I42" s="7">
        <v>38</v>
      </c>
      <c r="J42" s="7">
        <v>480</v>
      </c>
      <c r="K42" s="7">
        <v>90</v>
      </c>
      <c r="L42" s="7">
        <v>390</v>
      </c>
      <c r="M42" s="197">
        <f t="shared" si="2"/>
        <v>4.9053030303029981E-2</v>
      </c>
      <c r="S42" s="197"/>
    </row>
    <row r="43" spans="1:19" x14ac:dyDescent="0.2">
      <c r="A43" s="205"/>
      <c r="C43" s="7"/>
      <c r="D43" s="7"/>
      <c r="I43" s="7"/>
      <c r="J43" s="7"/>
      <c r="K43" s="7"/>
      <c r="L43" s="7"/>
    </row>
    <row r="44" spans="1:19" x14ac:dyDescent="0.2">
      <c r="A44" s="205"/>
    </row>
    <row r="45" spans="1:19" x14ac:dyDescent="0.2">
      <c r="A45" s="205"/>
      <c r="C45" s="7" t="s">
        <v>939</v>
      </c>
      <c r="D45" s="9" t="s">
        <v>132</v>
      </c>
      <c r="I45" s="7" t="s">
        <v>940</v>
      </c>
      <c r="O45" s="7" t="s">
        <v>941</v>
      </c>
    </row>
    <row r="46" spans="1:19" x14ac:dyDescent="0.2">
      <c r="A46" s="205"/>
      <c r="C46" s="6" t="s">
        <v>125</v>
      </c>
      <c r="D46" s="6" t="s">
        <v>126</v>
      </c>
      <c r="E46" s="6" t="s">
        <v>127</v>
      </c>
      <c r="F46" s="6" t="s">
        <v>128</v>
      </c>
      <c r="G46" s="194" t="s">
        <v>699</v>
      </c>
      <c r="I46" s="176" t="s">
        <v>125</v>
      </c>
      <c r="J46" s="176" t="s">
        <v>126</v>
      </c>
      <c r="K46" s="176" t="s">
        <v>127</v>
      </c>
      <c r="L46" s="176" t="s">
        <v>128</v>
      </c>
      <c r="M46" s="196" t="s">
        <v>699</v>
      </c>
      <c r="O46" s="176" t="s">
        <v>125</v>
      </c>
      <c r="P46" s="176" t="s">
        <v>126</v>
      </c>
      <c r="Q46" s="176" t="s">
        <v>127</v>
      </c>
      <c r="R46" s="176" t="s">
        <v>128</v>
      </c>
      <c r="S46" s="196" t="s">
        <v>699</v>
      </c>
    </row>
    <row r="47" spans="1:19" x14ac:dyDescent="0.2">
      <c r="A47" s="205"/>
      <c r="C47" s="6">
        <v>1</v>
      </c>
      <c r="D47" s="8">
        <f>D61/C61</f>
        <v>12.6</v>
      </c>
      <c r="E47" s="6">
        <v>0</v>
      </c>
      <c r="F47" s="8">
        <f>Do_mc_1144[[#This Row],[V_av]]-Do_mc_1144[[#This Row],[V_prel]]</f>
        <v>12.6</v>
      </c>
      <c r="G47" s="194">
        <v>0</v>
      </c>
      <c r="I47" s="6">
        <v>1</v>
      </c>
      <c r="J47" s="8">
        <f>J61/I61</f>
        <v>8.4</v>
      </c>
      <c r="K47" s="6">
        <v>0</v>
      </c>
      <c r="L47" s="8">
        <f>J47-K47</f>
        <v>8.4</v>
      </c>
      <c r="M47" s="193">
        <v>0</v>
      </c>
      <c r="O47" s="6">
        <v>1</v>
      </c>
      <c r="P47" s="8">
        <f>P61/O61</f>
        <v>5.1333333333333337</v>
      </c>
      <c r="Q47" s="6">
        <v>0</v>
      </c>
      <c r="R47" s="8">
        <f>P47-Q47</f>
        <v>5.1333333333333337</v>
      </c>
      <c r="S47" s="193">
        <v>0</v>
      </c>
    </row>
    <row r="48" spans="1:19" x14ac:dyDescent="0.2">
      <c r="A48" s="205"/>
      <c r="C48" s="6">
        <v>2</v>
      </c>
      <c r="D48" s="8">
        <f t="shared" ref="D48:D60" si="14">$D$61/$C$61+F47</f>
        <v>25.2</v>
      </c>
      <c r="E48" s="6">
        <v>0</v>
      </c>
      <c r="F48" s="8">
        <f>Do_mc_1144[[#This Row],[V_av]]-Do_mc_1144[[#This Row],[V_prel]]</f>
        <v>25.2</v>
      </c>
      <c r="G48" s="188">
        <f>((D48-F47)/D48)/(C48-C47)</f>
        <v>0.5</v>
      </c>
      <c r="I48" s="6">
        <v>2</v>
      </c>
      <c r="J48" s="8">
        <f t="shared" ref="J48:J60" si="15">$J$61/$I$61+L47</f>
        <v>16.8</v>
      </c>
      <c r="K48" s="6">
        <v>0</v>
      </c>
      <c r="L48" s="8">
        <f t="shared" ref="L48:L60" si="16">J48-K48</f>
        <v>16.8</v>
      </c>
      <c r="M48" s="188">
        <f>((J48-L47)/J48)/(I48-I47)</f>
        <v>0.5</v>
      </c>
      <c r="O48" s="6">
        <v>2</v>
      </c>
      <c r="P48" s="8">
        <f t="shared" ref="P48:P60" si="17">$P$61/$O$61+R47</f>
        <v>10.266666666666667</v>
      </c>
      <c r="Q48" s="6">
        <v>0</v>
      </c>
      <c r="R48" s="8">
        <f t="shared" ref="R48:R60" si="18">P48-Q48</f>
        <v>10.266666666666667</v>
      </c>
      <c r="S48" s="188">
        <f>((P48-R47)/P48)/(O48-O47)</f>
        <v>0.5</v>
      </c>
    </row>
    <row r="49" spans="1:19" x14ac:dyDescent="0.2">
      <c r="A49" s="205"/>
      <c r="C49" s="6">
        <v>3</v>
      </c>
      <c r="D49" s="8">
        <f t="shared" si="14"/>
        <v>37.799999999999997</v>
      </c>
      <c r="E49" s="6">
        <v>0</v>
      </c>
      <c r="F49" s="8">
        <f>Do_mc_1144[[#This Row],[V_av]]-Do_mc_1144[[#This Row],[V_prel]]</f>
        <v>37.799999999999997</v>
      </c>
      <c r="G49" s="188">
        <f t="shared" ref="G49:G84" si="19">((D49-F48)/D49)/(C49-C48)</f>
        <v>0.33333333333333331</v>
      </c>
      <c r="I49" s="6">
        <v>3</v>
      </c>
      <c r="J49" s="8">
        <f t="shared" si="15"/>
        <v>25.200000000000003</v>
      </c>
      <c r="K49" s="6">
        <v>0</v>
      </c>
      <c r="L49" s="8">
        <f t="shared" si="16"/>
        <v>25.200000000000003</v>
      </c>
      <c r="M49" s="188">
        <f t="shared" ref="M49:M76" si="20">((J49-L48)/J49)/(I49-I48)</f>
        <v>0.33333333333333337</v>
      </c>
      <c r="O49" s="6">
        <v>3</v>
      </c>
      <c r="P49" s="8">
        <f t="shared" si="17"/>
        <v>15.400000000000002</v>
      </c>
      <c r="Q49" s="6">
        <v>0</v>
      </c>
      <c r="R49" s="8">
        <f t="shared" si="18"/>
        <v>15.400000000000002</v>
      </c>
      <c r="S49" s="188">
        <f t="shared" ref="S49:S76" si="21">((P49-R48)/P49)/(O49-O48)</f>
        <v>0.33333333333333337</v>
      </c>
    </row>
    <row r="50" spans="1:19" x14ac:dyDescent="0.2">
      <c r="A50" s="205"/>
      <c r="C50" s="6">
        <v>4</v>
      </c>
      <c r="D50" s="8">
        <f t="shared" si="14"/>
        <v>50.4</v>
      </c>
      <c r="E50" s="6">
        <v>0</v>
      </c>
      <c r="F50" s="8">
        <f>Do_mc_1144[[#This Row],[V_av]]-Do_mc_1144[[#This Row],[V_prel]]</f>
        <v>50.4</v>
      </c>
      <c r="G50" s="188">
        <f t="shared" si="19"/>
        <v>0.25000000000000006</v>
      </c>
      <c r="I50" s="6">
        <v>4</v>
      </c>
      <c r="J50" s="8">
        <f t="shared" si="15"/>
        <v>33.6</v>
      </c>
      <c r="K50" s="6">
        <v>0</v>
      </c>
      <c r="L50" s="8">
        <f t="shared" si="16"/>
        <v>33.6</v>
      </c>
      <c r="M50" s="188">
        <f t="shared" si="20"/>
        <v>0.24999999999999994</v>
      </c>
      <c r="O50" s="6">
        <v>4</v>
      </c>
      <c r="P50" s="8">
        <f t="shared" si="17"/>
        <v>20.533333333333335</v>
      </c>
      <c r="Q50" s="6">
        <v>0</v>
      </c>
      <c r="R50" s="8">
        <f t="shared" si="18"/>
        <v>20.533333333333335</v>
      </c>
      <c r="S50" s="188">
        <f t="shared" si="21"/>
        <v>0.24999999999999994</v>
      </c>
    </row>
    <row r="51" spans="1:19" x14ac:dyDescent="0.2">
      <c r="A51" s="205"/>
      <c r="C51" s="6">
        <v>5</v>
      </c>
      <c r="D51" s="8">
        <f t="shared" si="14"/>
        <v>63</v>
      </c>
      <c r="E51" s="6">
        <v>0</v>
      </c>
      <c r="F51" s="8">
        <f>Do_mc_1144[[#This Row],[V_av]]-Do_mc_1144[[#This Row],[V_prel]]</f>
        <v>63</v>
      </c>
      <c r="G51" s="188">
        <f t="shared" si="19"/>
        <v>0.2</v>
      </c>
      <c r="I51" s="6">
        <v>5</v>
      </c>
      <c r="J51" s="8">
        <f t="shared" si="15"/>
        <v>42</v>
      </c>
      <c r="K51" s="6">
        <v>0</v>
      </c>
      <c r="L51" s="8">
        <f t="shared" si="16"/>
        <v>42</v>
      </c>
      <c r="M51" s="188">
        <f t="shared" si="20"/>
        <v>0.19999999999999996</v>
      </c>
      <c r="O51" s="6">
        <v>5</v>
      </c>
      <c r="P51" s="8">
        <f t="shared" si="17"/>
        <v>25.666666666666668</v>
      </c>
      <c r="Q51" s="6">
        <v>0</v>
      </c>
      <c r="R51" s="8">
        <f t="shared" si="18"/>
        <v>25.666666666666668</v>
      </c>
      <c r="S51" s="188">
        <f t="shared" si="21"/>
        <v>0.19999999999999998</v>
      </c>
    </row>
    <row r="52" spans="1:19" x14ac:dyDescent="0.2">
      <c r="A52" s="205"/>
      <c r="C52" s="6">
        <v>6</v>
      </c>
      <c r="D52" s="8">
        <f t="shared" si="14"/>
        <v>75.599999999999994</v>
      </c>
      <c r="E52" s="6">
        <v>0</v>
      </c>
      <c r="F52" s="8">
        <f>Do_mc_1144[[#This Row],[V_av]]-Do_mc_1144[[#This Row],[V_prel]]</f>
        <v>75.599999999999994</v>
      </c>
      <c r="G52" s="188">
        <f t="shared" si="19"/>
        <v>0.1666666666666666</v>
      </c>
      <c r="I52" s="6">
        <v>6</v>
      </c>
      <c r="J52" s="8">
        <f t="shared" si="15"/>
        <v>50.4</v>
      </c>
      <c r="K52" s="6">
        <v>0</v>
      </c>
      <c r="L52" s="8">
        <f t="shared" si="16"/>
        <v>50.4</v>
      </c>
      <c r="M52" s="188">
        <f t="shared" si="20"/>
        <v>0.16666666666666663</v>
      </c>
      <c r="O52" s="6">
        <v>6</v>
      </c>
      <c r="P52" s="8">
        <f t="shared" si="17"/>
        <v>30.8</v>
      </c>
      <c r="Q52" s="6">
        <v>0</v>
      </c>
      <c r="R52" s="8">
        <f t="shared" si="18"/>
        <v>30.8</v>
      </c>
      <c r="S52" s="188">
        <f t="shared" si="21"/>
        <v>0.16666666666666666</v>
      </c>
    </row>
    <row r="53" spans="1:19" x14ac:dyDescent="0.2">
      <c r="A53" s="205"/>
      <c r="C53" s="6">
        <v>7</v>
      </c>
      <c r="D53" s="8">
        <f t="shared" si="14"/>
        <v>88.199999999999989</v>
      </c>
      <c r="E53" s="6">
        <v>0</v>
      </c>
      <c r="F53" s="8">
        <f>Do_mc_1144[[#This Row],[V_av]]-Do_mc_1144[[#This Row],[V_prel]]</f>
        <v>88.199999999999989</v>
      </c>
      <c r="G53" s="188">
        <f t="shared" si="19"/>
        <v>0.14285714285714282</v>
      </c>
      <c r="I53" s="6">
        <v>7</v>
      </c>
      <c r="J53" s="8">
        <f t="shared" si="15"/>
        <v>58.8</v>
      </c>
      <c r="K53" s="6">
        <v>0</v>
      </c>
      <c r="L53" s="8">
        <f t="shared" si="16"/>
        <v>58.8</v>
      </c>
      <c r="M53" s="188">
        <f t="shared" si="20"/>
        <v>0.14285714285714285</v>
      </c>
      <c r="O53" s="6">
        <v>7</v>
      </c>
      <c r="P53" s="8">
        <f t="shared" si="17"/>
        <v>35.933333333333337</v>
      </c>
      <c r="Q53" s="6">
        <v>0</v>
      </c>
      <c r="R53" s="8">
        <f t="shared" si="18"/>
        <v>35.933333333333337</v>
      </c>
      <c r="S53" s="188">
        <f t="shared" si="21"/>
        <v>0.14285714285714293</v>
      </c>
    </row>
    <row r="54" spans="1:19" x14ac:dyDescent="0.2">
      <c r="A54" s="205"/>
      <c r="C54" s="6">
        <v>8</v>
      </c>
      <c r="D54" s="8">
        <f t="shared" si="14"/>
        <v>100.79999999999998</v>
      </c>
      <c r="E54" s="6">
        <v>0</v>
      </c>
      <c r="F54" s="8">
        <f>Do_mc_1144[[#This Row],[V_av]]-Do_mc_1144[[#This Row],[V_prel]]</f>
        <v>100.79999999999998</v>
      </c>
      <c r="G54" s="188">
        <f t="shared" si="19"/>
        <v>0.12499999999999996</v>
      </c>
      <c r="I54" s="6">
        <v>8</v>
      </c>
      <c r="J54" s="8">
        <f t="shared" si="15"/>
        <v>67.2</v>
      </c>
      <c r="K54" s="6">
        <v>0</v>
      </c>
      <c r="L54" s="8">
        <f t="shared" si="16"/>
        <v>67.2</v>
      </c>
      <c r="M54" s="188">
        <f t="shared" si="20"/>
        <v>0.12500000000000008</v>
      </c>
      <c r="O54" s="6">
        <v>8</v>
      </c>
      <c r="P54" s="8">
        <f t="shared" si="17"/>
        <v>41.06666666666667</v>
      </c>
      <c r="Q54" s="6">
        <v>0</v>
      </c>
      <c r="R54" s="8">
        <f t="shared" si="18"/>
        <v>41.06666666666667</v>
      </c>
      <c r="S54" s="188">
        <f t="shared" si="21"/>
        <v>0.12499999999999997</v>
      </c>
    </row>
    <row r="55" spans="1:19" x14ac:dyDescent="0.2">
      <c r="A55" s="205"/>
      <c r="C55" s="6">
        <v>9</v>
      </c>
      <c r="D55" s="8">
        <f t="shared" si="14"/>
        <v>113.39999999999998</v>
      </c>
      <c r="E55" s="6">
        <v>0</v>
      </c>
      <c r="F55" s="8">
        <f>Do_mc_1144[[#This Row],[V_av]]-Do_mc_1144[[#This Row],[V_prel]]</f>
        <v>113.39999999999998</v>
      </c>
      <c r="G55" s="188">
        <f t="shared" si="19"/>
        <v>0.11111111111111108</v>
      </c>
      <c r="I55" s="6">
        <v>9</v>
      </c>
      <c r="J55" s="8">
        <f t="shared" si="15"/>
        <v>75.600000000000009</v>
      </c>
      <c r="K55" s="6">
        <v>0</v>
      </c>
      <c r="L55" s="8">
        <f t="shared" si="16"/>
        <v>75.600000000000009</v>
      </c>
      <c r="M55" s="188">
        <f t="shared" si="20"/>
        <v>0.11111111111111117</v>
      </c>
      <c r="O55" s="6">
        <v>9</v>
      </c>
      <c r="P55" s="8">
        <f t="shared" si="17"/>
        <v>46.2</v>
      </c>
      <c r="Q55" s="6">
        <v>0</v>
      </c>
      <c r="R55" s="8">
        <f t="shared" si="18"/>
        <v>46.2</v>
      </c>
      <c r="S55" s="188">
        <f t="shared" si="21"/>
        <v>0.11111111111111109</v>
      </c>
    </row>
    <row r="56" spans="1:19" x14ac:dyDescent="0.2">
      <c r="A56" s="205"/>
      <c r="C56" s="6">
        <v>10</v>
      </c>
      <c r="D56" s="8">
        <f t="shared" si="14"/>
        <v>125.99999999999997</v>
      </c>
      <c r="E56" s="6">
        <v>0</v>
      </c>
      <c r="F56" s="8">
        <f>Do_mc_1144[[#This Row],[V_av]]-Do_mc_1144[[#This Row],[V_prel]]</f>
        <v>125.99999999999997</v>
      </c>
      <c r="G56" s="188">
        <f t="shared" si="19"/>
        <v>9.9999999999999978E-2</v>
      </c>
      <c r="I56" s="6">
        <v>10</v>
      </c>
      <c r="J56" s="8">
        <f t="shared" si="15"/>
        <v>84.000000000000014</v>
      </c>
      <c r="K56" s="6">
        <v>0</v>
      </c>
      <c r="L56" s="8">
        <f t="shared" si="16"/>
        <v>84.000000000000014</v>
      </c>
      <c r="M56" s="188">
        <f t="shared" si="20"/>
        <v>0.10000000000000005</v>
      </c>
      <c r="O56" s="6">
        <v>10</v>
      </c>
      <c r="P56" s="8">
        <f t="shared" si="17"/>
        <v>51.333333333333336</v>
      </c>
      <c r="Q56" s="6">
        <v>0</v>
      </c>
      <c r="R56" s="8">
        <f t="shared" si="18"/>
        <v>51.333333333333336</v>
      </c>
      <c r="S56" s="188">
        <f t="shared" si="21"/>
        <v>9.9999999999999992E-2</v>
      </c>
    </row>
    <row r="57" spans="1:19" x14ac:dyDescent="0.2">
      <c r="A57" s="205"/>
      <c r="C57" s="6">
        <v>11</v>
      </c>
      <c r="D57" s="8">
        <f t="shared" si="14"/>
        <v>138.59999999999997</v>
      </c>
      <c r="E57" s="6">
        <v>0</v>
      </c>
      <c r="F57" s="8">
        <f>Do_mc_1144[[#This Row],[V_av]]-Do_mc_1144[[#This Row],[V_prel]]</f>
        <v>138.59999999999997</v>
      </c>
      <c r="G57" s="188">
        <f t="shared" si="19"/>
        <v>9.0909090909090884E-2</v>
      </c>
      <c r="I57" s="6">
        <v>11</v>
      </c>
      <c r="J57" s="8">
        <f t="shared" si="15"/>
        <v>92.40000000000002</v>
      </c>
      <c r="K57" s="6">
        <v>0</v>
      </c>
      <c r="L57" s="8">
        <f t="shared" si="16"/>
        <v>92.40000000000002</v>
      </c>
      <c r="M57" s="188">
        <f t="shared" si="20"/>
        <v>9.0909090909090953E-2</v>
      </c>
      <c r="O57" s="6">
        <v>11</v>
      </c>
      <c r="P57" s="8">
        <f t="shared" si="17"/>
        <v>56.466666666666669</v>
      </c>
      <c r="Q57" s="6">
        <v>0</v>
      </c>
      <c r="R57" s="8">
        <f t="shared" si="18"/>
        <v>56.466666666666669</v>
      </c>
      <c r="S57" s="188">
        <f t="shared" si="21"/>
        <v>9.0909090909090898E-2</v>
      </c>
    </row>
    <row r="58" spans="1:19" x14ac:dyDescent="0.2">
      <c r="A58" s="495" t="s">
        <v>701</v>
      </c>
      <c r="C58" s="6">
        <v>12</v>
      </c>
      <c r="D58" s="8">
        <f t="shared" si="14"/>
        <v>151.19999999999996</v>
      </c>
      <c r="E58" s="6">
        <v>0</v>
      </c>
      <c r="F58" s="8">
        <f>Do_mc_1144[[#This Row],[V_av]]-Do_mc_1144[[#This Row],[V_prel]]</f>
        <v>151.19999999999996</v>
      </c>
      <c r="G58" s="188">
        <f t="shared" si="19"/>
        <v>8.3333333333333315E-2</v>
      </c>
      <c r="I58" s="6">
        <v>12</v>
      </c>
      <c r="J58" s="8">
        <f t="shared" si="15"/>
        <v>100.80000000000003</v>
      </c>
      <c r="K58" s="6">
        <v>0</v>
      </c>
      <c r="L58" s="8">
        <f t="shared" si="16"/>
        <v>100.80000000000003</v>
      </c>
      <c r="M58" s="188">
        <f t="shared" si="20"/>
        <v>8.333333333333337E-2</v>
      </c>
      <c r="O58" s="6">
        <v>12</v>
      </c>
      <c r="P58" s="8">
        <f t="shared" si="17"/>
        <v>61.6</v>
      </c>
      <c r="Q58" s="6">
        <v>0</v>
      </c>
      <c r="R58" s="8">
        <f t="shared" si="18"/>
        <v>61.6</v>
      </c>
      <c r="S58" s="188">
        <f t="shared" si="21"/>
        <v>8.3333333333333329E-2</v>
      </c>
    </row>
    <row r="59" spans="1:19" x14ac:dyDescent="0.2">
      <c r="A59" s="495"/>
      <c r="C59" s="6">
        <v>13</v>
      </c>
      <c r="D59" s="8">
        <f t="shared" si="14"/>
        <v>163.79999999999995</v>
      </c>
      <c r="E59" s="6">
        <v>0</v>
      </c>
      <c r="F59" s="8">
        <f>Do_mc_1144[[#This Row],[V_av]]-Do_mc_1144[[#This Row],[V_prel]]</f>
        <v>163.79999999999995</v>
      </c>
      <c r="G59" s="188">
        <f t="shared" si="19"/>
        <v>7.6923076923076913E-2</v>
      </c>
      <c r="I59" s="6">
        <v>13</v>
      </c>
      <c r="J59" s="8">
        <f t="shared" si="15"/>
        <v>109.20000000000003</v>
      </c>
      <c r="K59" s="6">
        <v>0</v>
      </c>
      <c r="L59" s="8">
        <f t="shared" si="16"/>
        <v>109.20000000000003</v>
      </c>
      <c r="M59" s="188">
        <f t="shared" si="20"/>
        <v>7.6923076923076955E-2</v>
      </c>
      <c r="O59" s="6">
        <v>13</v>
      </c>
      <c r="P59" s="8">
        <f t="shared" si="17"/>
        <v>66.733333333333334</v>
      </c>
      <c r="Q59" s="6">
        <v>0</v>
      </c>
      <c r="R59" s="8">
        <f t="shared" si="18"/>
        <v>66.733333333333334</v>
      </c>
      <c r="S59" s="188">
        <f t="shared" si="21"/>
        <v>7.6923076923076913E-2</v>
      </c>
    </row>
    <row r="60" spans="1:19" x14ac:dyDescent="0.2">
      <c r="A60" s="495"/>
      <c r="C60" s="6">
        <v>14</v>
      </c>
      <c r="D60" s="8">
        <f t="shared" si="14"/>
        <v>176.39999999999995</v>
      </c>
      <c r="E60" s="6">
        <v>0</v>
      </c>
      <c r="F60" s="8">
        <f>Do_mc_1144[[#This Row],[V_av]]-Do_mc_1144[[#This Row],[V_prel]]</f>
        <v>176.39999999999995</v>
      </c>
      <c r="G60" s="188">
        <f t="shared" si="19"/>
        <v>7.1428571428571411E-2</v>
      </c>
      <c r="I60" s="6">
        <v>14</v>
      </c>
      <c r="J60" s="8">
        <f t="shared" si="15"/>
        <v>117.60000000000004</v>
      </c>
      <c r="K60" s="6">
        <v>0</v>
      </c>
      <c r="L60" s="8">
        <f t="shared" si="16"/>
        <v>117.60000000000004</v>
      </c>
      <c r="M60" s="188">
        <f t="shared" si="20"/>
        <v>7.1428571428571452E-2</v>
      </c>
      <c r="O60" s="6">
        <v>14</v>
      </c>
      <c r="P60" s="8">
        <f t="shared" si="17"/>
        <v>71.866666666666674</v>
      </c>
      <c r="Q60" s="6">
        <v>0</v>
      </c>
      <c r="R60" s="8">
        <f t="shared" si="18"/>
        <v>71.866666666666674</v>
      </c>
      <c r="S60" s="188">
        <f t="shared" si="21"/>
        <v>7.1428571428571508E-2</v>
      </c>
    </row>
    <row r="61" spans="1:19" x14ac:dyDescent="0.2">
      <c r="A61" s="495"/>
      <c r="C61" s="7">
        <v>15</v>
      </c>
      <c r="D61" s="7">
        <v>189</v>
      </c>
      <c r="E61" s="7">
        <v>0</v>
      </c>
      <c r="F61" s="7">
        <v>189</v>
      </c>
      <c r="G61" s="188">
        <f t="shared" si="19"/>
        <v>6.6666666666666943E-2</v>
      </c>
      <c r="I61" s="7">
        <v>15</v>
      </c>
      <c r="J61" s="7">
        <v>126</v>
      </c>
      <c r="K61" s="7">
        <v>0</v>
      </c>
      <c r="L61" s="7">
        <v>126</v>
      </c>
      <c r="M61" s="188">
        <f t="shared" si="20"/>
        <v>6.6666666666666374E-2</v>
      </c>
      <c r="O61" s="7">
        <v>15</v>
      </c>
      <c r="P61" s="7">
        <v>77</v>
      </c>
      <c r="Q61" s="7">
        <v>0</v>
      </c>
      <c r="R61" s="7">
        <v>77</v>
      </c>
      <c r="S61" s="188">
        <f t="shared" si="21"/>
        <v>6.6666666666666569E-2</v>
      </c>
    </row>
    <row r="62" spans="1:19" x14ac:dyDescent="0.2">
      <c r="A62" s="495"/>
      <c r="C62" s="6">
        <v>16</v>
      </c>
      <c r="D62" s="8">
        <f>($D$66-$F$61)/($C$66-$C$61)+F61</f>
        <v>217.4</v>
      </c>
      <c r="E62" s="6">
        <v>0</v>
      </c>
      <c r="F62" s="8">
        <f>Do_mc_1144[[#This Row],[V_av]]-Do_mc_1144[[#This Row],[V_prel]]</f>
        <v>217.4</v>
      </c>
      <c r="G62" s="188">
        <f t="shared" si="19"/>
        <v>0.13063477460901565</v>
      </c>
      <c r="I62" s="6">
        <v>16</v>
      </c>
      <c r="J62" s="8">
        <f>($J$66-$L$61)/($I$66-$I$61)+L61</f>
        <v>148.4</v>
      </c>
      <c r="K62" s="6">
        <v>0</v>
      </c>
      <c r="L62" s="8">
        <f>J62-K62</f>
        <v>148.4</v>
      </c>
      <c r="M62" s="188">
        <f t="shared" si="20"/>
        <v>0.15094339622641512</v>
      </c>
      <c r="O62" s="6">
        <v>16</v>
      </c>
      <c r="P62" s="8">
        <f>($P$66-$R$61)/($O$66-$O$61)+R61</f>
        <v>93.2</v>
      </c>
      <c r="Q62" s="6">
        <v>0</v>
      </c>
      <c r="R62" s="8">
        <f>P62-Q62</f>
        <v>93.2</v>
      </c>
      <c r="S62" s="188">
        <f t="shared" si="21"/>
        <v>0.1738197424892704</v>
      </c>
    </row>
    <row r="63" spans="1:19" x14ac:dyDescent="0.2">
      <c r="A63" s="495"/>
      <c r="C63" s="6">
        <v>17</v>
      </c>
      <c r="D63" s="8">
        <f>($D$66-$F$61)/($C$66-$C$61)+D62</f>
        <v>245.8</v>
      </c>
      <c r="E63" s="6">
        <v>0</v>
      </c>
      <c r="F63" s="8">
        <f>Do_mc_1144[[#This Row],[V_av]]-Do_mc_1144[[#This Row],[V_prel]]</f>
        <v>245.8</v>
      </c>
      <c r="G63" s="188">
        <f t="shared" si="19"/>
        <v>0.11554109031733119</v>
      </c>
      <c r="I63" s="6">
        <v>17</v>
      </c>
      <c r="J63" s="8">
        <f>($J$66-$L$61)/($I$66-$I$61)+J62</f>
        <v>170.8</v>
      </c>
      <c r="K63" s="6">
        <v>0</v>
      </c>
      <c r="L63" s="8">
        <f>J63-K63</f>
        <v>170.8</v>
      </c>
      <c r="M63" s="188">
        <f t="shared" si="20"/>
        <v>0.13114754098360659</v>
      </c>
      <c r="O63" s="6">
        <v>17</v>
      </c>
      <c r="P63" s="8">
        <f>($P$66-$R$61)/($O$66-$O$61)+P62</f>
        <v>109.4</v>
      </c>
      <c r="Q63" s="6">
        <v>0</v>
      </c>
      <c r="R63" s="8">
        <f>P63-Q63</f>
        <v>109.4</v>
      </c>
      <c r="S63" s="188">
        <f t="shared" si="21"/>
        <v>0.14808043875685559</v>
      </c>
    </row>
    <row r="64" spans="1:19" x14ac:dyDescent="0.2">
      <c r="A64" s="495"/>
      <c r="C64" s="6">
        <v>18</v>
      </c>
      <c r="D64" s="8">
        <f>($D$66-$F$61)/($C$66-$C$61)+D63</f>
        <v>274.2</v>
      </c>
      <c r="E64" s="6">
        <v>0</v>
      </c>
      <c r="F64" s="8">
        <f>Do_mc_1144[[#This Row],[V_av]]-Do_mc_1144[[#This Row],[V_prel]]</f>
        <v>274.2</v>
      </c>
      <c r="G64" s="188">
        <f t="shared" si="19"/>
        <v>0.10357403355215164</v>
      </c>
      <c r="I64" s="6">
        <v>18</v>
      </c>
      <c r="J64" s="8">
        <f>($J$66-$L$61)/($I$66-$I$61)+J63</f>
        <v>193.20000000000002</v>
      </c>
      <c r="K64" s="6">
        <v>0</v>
      </c>
      <c r="L64" s="8">
        <f>J64-K64</f>
        <v>193.20000000000002</v>
      </c>
      <c r="M64" s="188">
        <f t="shared" si="20"/>
        <v>0.11594202898550726</v>
      </c>
      <c r="O64" s="6">
        <v>18</v>
      </c>
      <c r="P64" s="8">
        <f>($P$66-$R$61)/($O$66-$O$61)+P63</f>
        <v>125.60000000000001</v>
      </c>
      <c r="Q64" s="6">
        <v>0</v>
      </c>
      <c r="R64" s="8">
        <f>P64-Q64</f>
        <v>125.60000000000001</v>
      </c>
      <c r="S64" s="188">
        <f t="shared" si="21"/>
        <v>0.12898089171974525</v>
      </c>
    </row>
    <row r="65" spans="1:19" x14ac:dyDescent="0.2">
      <c r="A65" s="495"/>
      <c r="C65" s="6">
        <v>19</v>
      </c>
      <c r="D65" s="8">
        <f>($D$66-$F$61)/($C$66-$C$61)+D64</f>
        <v>302.59999999999997</v>
      </c>
      <c r="E65" s="6">
        <v>0</v>
      </c>
      <c r="F65" s="8">
        <f>Do_mc_1144[[#This Row],[V_av]]-Do_mc_1144[[#This Row],[V_prel]]</f>
        <v>302.59999999999997</v>
      </c>
      <c r="G65" s="188">
        <f t="shared" si="19"/>
        <v>9.3853271645736883E-2</v>
      </c>
      <c r="I65" s="6">
        <v>19</v>
      </c>
      <c r="J65" s="8">
        <f>($J$66-$L$61)/($I$66-$I$61)+J64</f>
        <v>215.60000000000002</v>
      </c>
      <c r="K65" s="6">
        <v>0</v>
      </c>
      <c r="L65" s="8">
        <f>J65-K65</f>
        <v>215.60000000000002</v>
      </c>
      <c r="M65" s="188">
        <f t="shared" si="20"/>
        <v>0.10389610389610392</v>
      </c>
      <c r="O65" s="6">
        <v>19</v>
      </c>
      <c r="P65" s="8">
        <f>($P$66-$R$61)/($O$66-$O$61)+P64</f>
        <v>141.80000000000001</v>
      </c>
      <c r="Q65" s="6">
        <v>0</v>
      </c>
      <c r="R65" s="8">
        <f>P65-Q65</f>
        <v>141.80000000000001</v>
      </c>
      <c r="S65" s="188">
        <f t="shared" si="21"/>
        <v>0.1142454160789845</v>
      </c>
    </row>
    <row r="66" spans="1:19" x14ac:dyDescent="0.2">
      <c r="A66" s="495"/>
      <c r="C66" s="7">
        <v>20</v>
      </c>
      <c r="D66" s="7">
        <v>331</v>
      </c>
      <c r="E66" s="7">
        <v>11</v>
      </c>
      <c r="F66" s="7">
        <v>320</v>
      </c>
      <c r="G66" s="188">
        <f t="shared" si="19"/>
        <v>8.580060422960735E-2</v>
      </c>
      <c r="I66" s="7">
        <v>20</v>
      </c>
      <c r="J66" s="7">
        <v>238</v>
      </c>
      <c r="K66" s="7">
        <v>0</v>
      </c>
      <c r="L66" s="7">
        <v>238</v>
      </c>
      <c r="M66" s="188">
        <f t="shared" si="20"/>
        <v>9.4117647058823431E-2</v>
      </c>
      <c r="O66" s="7">
        <v>20</v>
      </c>
      <c r="P66" s="7">
        <v>158</v>
      </c>
      <c r="Q66" s="7">
        <v>0</v>
      </c>
      <c r="R66" s="7">
        <v>158</v>
      </c>
      <c r="S66" s="188">
        <f t="shared" si="21"/>
        <v>0.10253164556962018</v>
      </c>
    </row>
    <row r="67" spans="1:19" x14ac:dyDescent="0.2">
      <c r="A67" s="495"/>
      <c r="C67" s="6">
        <v>21</v>
      </c>
      <c r="D67" s="8">
        <f>($D$71-$F$66)/($C$71-$C$66)+F66</f>
        <v>349.8</v>
      </c>
      <c r="E67" s="6">
        <v>0</v>
      </c>
      <c r="F67" s="8">
        <f>Do_mc_1144[[#This Row],[V_av]]-Do_mc_1144[[#This Row],[V_prel]]</f>
        <v>349.8</v>
      </c>
      <c r="G67" s="188">
        <f t="shared" si="19"/>
        <v>8.5191538021726729E-2</v>
      </c>
      <c r="I67" s="6">
        <v>21</v>
      </c>
      <c r="J67" s="8">
        <f>($J$71-$L$66)/($I$71-$I$66)+L66</f>
        <v>264.8</v>
      </c>
      <c r="K67" s="6">
        <v>0</v>
      </c>
      <c r="L67" s="8">
        <f>J67-K67</f>
        <v>264.8</v>
      </c>
      <c r="M67" s="188">
        <f t="shared" si="20"/>
        <v>0.10120845921450156</v>
      </c>
      <c r="O67" s="6">
        <v>21</v>
      </c>
      <c r="P67" s="8">
        <f>($P$71-$R$66)/($O$71-$O$66)+R66</f>
        <v>179.8</v>
      </c>
      <c r="Q67" s="6">
        <v>0</v>
      </c>
      <c r="R67" s="8">
        <f>P67-Q67</f>
        <v>179.8</v>
      </c>
      <c r="S67" s="188">
        <f t="shared" si="21"/>
        <v>0.12124582869855401</v>
      </c>
    </row>
    <row r="68" spans="1:19" x14ac:dyDescent="0.2">
      <c r="A68" s="495"/>
      <c r="C68" s="6">
        <v>22</v>
      </c>
      <c r="D68" s="8">
        <f>($D$71-$F$66)/($C$71-$C$66)+D67</f>
        <v>379.6</v>
      </c>
      <c r="E68" s="6">
        <v>0</v>
      </c>
      <c r="F68" s="8">
        <f>Do_mc_1144[[#This Row],[V_av]]-Do_mc_1144[[#This Row],[V_prel]]</f>
        <v>379.6</v>
      </c>
      <c r="G68" s="188">
        <f t="shared" si="19"/>
        <v>7.8503688092729215E-2</v>
      </c>
      <c r="I68" s="6">
        <v>22</v>
      </c>
      <c r="J68" s="8">
        <f>($J$71-$L$66)/($I$71-$I$66)+J67</f>
        <v>291.60000000000002</v>
      </c>
      <c r="K68" s="6">
        <v>0</v>
      </c>
      <c r="L68" s="8">
        <f>J68-K68</f>
        <v>291.60000000000002</v>
      </c>
      <c r="M68" s="188">
        <f t="shared" si="20"/>
        <v>9.1906721536351196E-2</v>
      </c>
      <c r="O68" s="6">
        <v>22</v>
      </c>
      <c r="P68" s="8">
        <f>($P$71-$R$66)/($O$71-$O$66)+P67</f>
        <v>201.60000000000002</v>
      </c>
      <c r="Q68" s="6">
        <v>0</v>
      </c>
      <c r="R68" s="8">
        <f>P68-Q68</f>
        <v>201.60000000000002</v>
      </c>
      <c r="S68" s="188">
        <f t="shared" si="21"/>
        <v>0.10813492063492068</v>
      </c>
    </row>
    <row r="69" spans="1:19" x14ac:dyDescent="0.2">
      <c r="A69" s="495"/>
      <c r="C69" s="6">
        <v>23</v>
      </c>
      <c r="D69" s="8">
        <f>($D$71-$F$66)/($C$71-$C$66)+D68</f>
        <v>409.40000000000003</v>
      </c>
      <c r="E69" s="6">
        <v>0</v>
      </c>
      <c r="F69" s="8">
        <f>Do_mc_1144[[#This Row],[V_av]]-Do_mc_1144[[#This Row],[V_prel]]</f>
        <v>409.40000000000003</v>
      </c>
      <c r="G69" s="188">
        <f t="shared" si="19"/>
        <v>7.2789447972642918E-2</v>
      </c>
      <c r="I69" s="6">
        <v>23</v>
      </c>
      <c r="J69" s="8">
        <f>($J$71-$L$66)/($I$71-$I$66)+J68</f>
        <v>318.40000000000003</v>
      </c>
      <c r="K69" s="6">
        <v>0</v>
      </c>
      <c r="L69" s="8">
        <f>J69-K69</f>
        <v>318.40000000000003</v>
      </c>
      <c r="M69" s="188">
        <f t="shared" si="20"/>
        <v>8.4170854271356815E-2</v>
      </c>
      <c r="O69" s="6">
        <v>23</v>
      </c>
      <c r="P69" s="8">
        <f>($P$71-$R$66)/($O$71-$O$66)+P68</f>
        <v>223.40000000000003</v>
      </c>
      <c r="Q69" s="6">
        <v>0</v>
      </c>
      <c r="R69" s="8">
        <f>P69-Q69</f>
        <v>223.40000000000003</v>
      </c>
      <c r="S69" s="188">
        <f t="shared" si="21"/>
        <v>9.7582811101163874E-2</v>
      </c>
    </row>
    <row r="70" spans="1:19" x14ac:dyDescent="0.2">
      <c r="A70" s="495"/>
      <c r="C70" s="6">
        <v>24</v>
      </c>
      <c r="D70" s="8">
        <f>($D$71-$F$66)/($C$71-$C$66)+D69</f>
        <v>439.20000000000005</v>
      </c>
      <c r="E70" s="6">
        <v>0</v>
      </c>
      <c r="F70" s="8">
        <f>Do_mc_1144[[#This Row],[V_av]]-Do_mc_1144[[#This Row],[V_prel]]</f>
        <v>439.20000000000005</v>
      </c>
      <c r="G70" s="188">
        <f t="shared" si="19"/>
        <v>6.7850637522768695E-2</v>
      </c>
      <c r="I70" s="6">
        <v>24</v>
      </c>
      <c r="J70" s="8">
        <f>($J$71-$L$66)/($I$71-$I$66)+J69</f>
        <v>345.20000000000005</v>
      </c>
      <c r="K70" s="6">
        <v>0</v>
      </c>
      <c r="L70" s="8">
        <f>J70-K70</f>
        <v>345.20000000000005</v>
      </c>
      <c r="M70" s="188">
        <f t="shared" si="20"/>
        <v>7.7636152954808829E-2</v>
      </c>
      <c r="O70" s="6">
        <v>24</v>
      </c>
      <c r="P70" s="8">
        <f>($P$71-$R$66)/($O$71-$O$66)+P69</f>
        <v>245.20000000000005</v>
      </c>
      <c r="Q70" s="6">
        <v>0</v>
      </c>
      <c r="R70" s="8">
        <f>P70-Q70</f>
        <v>245.20000000000005</v>
      </c>
      <c r="S70" s="188">
        <f t="shared" si="21"/>
        <v>8.8907014681892368E-2</v>
      </c>
    </row>
    <row r="71" spans="1:19" x14ac:dyDescent="0.2">
      <c r="A71" s="495"/>
      <c r="C71" s="7">
        <v>25</v>
      </c>
      <c r="D71" s="7">
        <v>469</v>
      </c>
      <c r="E71" s="7">
        <v>46</v>
      </c>
      <c r="F71" s="7">
        <v>423</v>
      </c>
      <c r="G71" s="188">
        <f t="shared" si="19"/>
        <v>6.353944562899777E-2</v>
      </c>
      <c r="I71" s="7">
        <v>25</v>
      </c>
      <c r="J71" s="7">
        <v>372</v>
      </c>
      <c r="K71" s="7">
        <v>21</v>
      </c>
      <c r="L71" s="7">
        <v>351</v>
      </c>
      <c r="M71" s="188">
        <f t="shared" si="20"/>
        <v>7.2043010752688055E-2</v>
      </c>
      <c r="O71" s="7">
        <v>25</v>
      </c>
      <c r="P71" s="7">
        <v>267</v>
      </c>
      <c r="Q71" s="7">
        <v>0</v>
      </c>
      <c r="R71" s="7">
        <v>267</v>
      </c>
      <c r="S71" s="188">
        <f t="shared" si="21"/>
        <v>8.1647940074906195E-2</v>
      </c>
    </row>
    <row r="72" spans="1:19" x14ac:dyDescent="0.2">
      <c r="A72" s="495"/>
      <c r="C72" s="6">
        <v>26</v>
      </c>
      <c r="D72" s="8">
        <f>($D$76-$F$71)/($C$76-$C$71)+F71</f>
        <v>450.4</v>
      </c>
      <c r="E72" s="6">
        <v>0</v>
      </c>
      <c r="F72" s="8">
        <f>Do_mc_1144[[#This Row],[V_av]]-Do_mc_1144[[#This Row],[V_prel]]</f>
        <v>450.4</v>
      </c>
      <c r="G72" s="188">
        <f t="shared" si="19"/>
        <v>6.0834813499111851E-2</v>
      </c>
      <c r="I72" s="6">
        <v>26</v>
      </c>
      <c r="J72" s="8">
        <f>($J$76-$L$71)/($I$76-$I$71)+L71</f>
        <v>377.6</v>
      </c>
      <c r="K72" s="6">
        <v>0</v>
      </c>
      <c r="L72" s="8">
        <f>J72-K72</f>
        <v>377.6</v>
      </c>
      <c r="M72" s="188">
        <f t="shared" si="20"/>
        <v>7.044491525423735E-2</v>
      </c>
      <c r="O72" s="6">
        <v>26</v>
      </c>
      <c r="P72" s="8">
        <f>($P$76-$R$71)/($O$76-$O$71)+R71</f>
        <v>291.8</v>
      </c>
      <c r="Q72" s="6">
        <v>0</v>
      </c>
      <c r="R72" s="8">
        <f>P72-Q72</f>
        <v>291.8</v>
      </c>
      <c r="S72" s="188">
        <f t="shared" si="21"/>
        <v>8.4989718985606616E-2</v>
      </c>
    </row>
    <row r="73" spans="1:19" x14ac:dyDescent="0.2">
      <c r="A73" s="495"/>
      <c r="C73" s="6">
        <v>27</v>
      </c>
      <c r="D73" s="8">
        <f>($D$76-$F$71)/($C$76-$C$71)+D72</f>
        <v>477.79999999999995</v>
      </c>
      <c r="E73" s="6">
        <v>0</v>
      </c>
      <c r="F73" s="8">
        <f>Do_mc_1144[[#This Row],[V_av]]-Do_mc_1144[[#This Row],[V_prel]]</f>
        <v>477.79999999999995</v>
      </c>
      <c r="G73" s="188">
        <f t="shared" si="19"/>
        <v>5.7346169945583884E-2</v>
      </c>
      <c r="I73" s="6">
        <v>27</v>
      </c>
      <c r="J73" s="8">
        <f>($J$76-$L$71)/($I$76-$I$71)+J72</f>
        <v>404.20000000000005</v>
      </c>
      <c r="K73" s="6">
        <v>0</v>
      </c>
      <c r="L73" s="8">
        <f>J73-K73</f>
        <v>404.20000000000005</v>
      </c>
      <c r="M73" s="188">
        <f t="shared" si="20"/>
        <v>6.5809005442850121E-2</v>
      </c>
      <c r="O73" s="6">
        <v>27</v>
      </c>
      <c r="P73" s="8">
        <f>($P$76-$R$71)/($O$76-$O$71)+P72</f>
        <v>316.60000000000002</v>
      </c>
      <c r="Q73" s="6">
        <v>0</v>
      </c>
      <c r="R73" s="8">
        <f>P73-Q73</f>
        <v>316.60000000000002</v>
      </c>
      <c r="S73" s="188">
        <f t="shared" si="21"/>
        <v>7.8332280480101102E-2</v>
      </c>
    </row>
    <row r="74" spans="1:19" x14ac:dyDescent="0.2">
      <c r="A74" s="495"/>
      <c r="C74" s="6">
        <v>28</v>
      </c>
      <c r="D74" s="8">
        <f>($D$76-$F$71)/($C$76-$C$71)+D73</f>
        <v>505.19999999999993</v>
      </c>
      <c r="E74" s="6">
        <v>0</v>
      </c>
      <c r="F74" s="8">
        <f>Do_mc_1144[[#This Row],[V_av]]-Do_mc_1144[[#This Row],[V_prel]]</f>
        <v>505.19999999999993</v>
      </c>
      <c r="G74" s="188">
        <f t="shared" si="19"/>
        <v>5.423594615993662E-2</v>
      </c>
      <c r="I74" s="6">
        <v>28</v>
      </c>
      <c r="J74" s="8">
        <f>($J$76-$L$71)/($I$76-$I$71)+J73</f>
        <v>430.80000000000007</v>
      </c>
      <c r="K74" s="6">
        <v>0</v>
      </c>
      <c r="L74" s="8">
        <f>J74-K74</f>
        <v>430.80000000000007</v>
      </c>
      <c r="M74" s="188">
        <f t="shared" si="20"/>
        <v>6.1745589600742848E-2</v>
      </c>
      <c r="O74" s="6">
        <v>28</v>
      </c>
      <c r="P74" s="8">
        <f>($P$76-$R$71)/($O$76-$O$71)+P73</f>
        <v>341.40000000000003</v>
      </c>
      <c r="Q74" s="6">
        <v>0</v>
      </c>
      <c r="R74" s="8">
        <f>P74-Q74</f>
        <v>341.40000000000003</v>
      </c>
      <c r="S74" s="188">
        <f t="shared" si="21"/>
        <v>7.2642062097246662E-2</v>
      </c>
    </row>
    <row r="75" spans="1:19" x14ac:dyDescent="0.2">
      <c r="A75" s="495"/>
      <c r="C75" s="6">
        <v>29</v>
      </c>
      <c r="D75" s="8">
        <f>($D$76-$F$71)/($C$76-$C$71)+D74</f>
        <v>532.59999999999991</v>
      </c>
      <c r="E75" s="6">
        <v>0</v>
      </c>
      <c r="F75" s="8">
        <f>Do_mc_1144[[#This Row],[V_av]]-Do_mc_1144[[#This Row],[V_prel]]</f>
        <v>532.59999999999991</v>
      </c>
      <c r="G75" s="188">
        <f t="shared" si="19"/>
        <v>5.1445737889598164E-2</v>
      </c>
      <c r="I75" s="6">
        <v>29</v>
      </c>
      <c r="J75" s="8">
        <f>($J$76-$L$71)/($I$76-$I$71)+J74</f>
        <v>457.40000000000009</v>
      </c>
      <c r="K75" s="6">
        <v>0</v>
      </c>
      <c r="L75" s="8">
        <f>J75-K75</f>
        <v>457.40000000000009</v>
      </c>
      <c r="M75" s="188">
        <f t="shared" si="20"/>
        <v>5.815478793178841E-2</v>
      </c>
      <c r="O75" s="6">
        <v>29</v>
      </c>
      <c r="P75" s="8">
        <f>($P$76-$R$71)/($O$76-$O$71)+P74</f>
        <v>366.20000000000005</v>
      </c>
      <c r="Q75" s="6">
        <v>0</v>
      </c>
      <c r="R75" s="8">
        <f>P75-Q75</f>
        <v>366.20000000000005</v>
      </c>
      <c r="S75" s="188">
        <f t="shared" si="21"/>
        <v>6.7722555980338633E-2</v>
      </c>
    </row>
    <row r="76" spans="1:19" x14ac:dyDescent="0.2">
      <c r="A76" s="495"/>
      <c r="C76" s="7">
        <v>30</v>
      </c>
      <c r="D76" s="7">
        <v>560</v>
      </c>
      <c r="E76" s="7">
        <v>67</v>
      </c>
      <c r="F76" s="7">
        <v>493</v>
      </c>
      <c r="G76" s="188">
        <f t="shared" si="19"/>
        <v>4.8928571428571592E-2</v>
      </c>
      <c r="I76" s="7">
        <v>30</v>
      </c>
      <c r="J76" s="7">
        <v>484</v>
      </c>
      <c r="K76" s="7">
        <v>48</v>
      </c>
      <c r="L76" s="7">
        <v>436</v>
      </c>
      <c r="M76" s="188">
        <f t="shared" si="20"/>
        <v>5.4958677685950225E-2</v>
      </c>
      <c r="O76" s="7">
        <v>30</v>
      </c>
      <c r="P76" s="7">
        <v>391</v>
      </c>
      <c r="Q76" s="7">
        <v>25</v>
      </c>
      <c r="R76" s="7">
        <v>366</v>
      </c>
      <c r="S76" s="188">
        <f t="shared" si="21"/>
        <v>6.3427109974424439E-2</v>
      </c>
    </row>
    <row r="77" spans="1:19" x14ac:dyDescent="0.2">
      <c r="A77" s="495"/>
      <c r="C77" s="7">
        <v>35</v>
      </c>
      <c r="D77" s="7">
        <v>616</v>
      </c>
      <c r="E77" s="7">
        <v>72</v>
      </c>
      <c r="F77" s="7">
        <v>544</v>
      </c>
      <c r="G77" s="188">
        <f t="shared" si="19"/>
        <v>3.9935064935064934E-2</v>
      </c>
    </row>
    <row r="78" spans="1:19" x14ac:dyDescent="0.2">
      <c r="A78" s="495"/>
      <c r="C78" s="7">
        <v>40</v>
      </c>
      <c r="D78" s="7">
        <v>654</v>
      </c>
      <c r="E78" s="7">
        <v>79</v>
      </c>
      <c r="F78" s="7">
        <v>575</v>
      </c>
      <c r="G78" s="188">
        <f t="shared" si="19"/>
        <v>3.3639143730886847E-2</v>
      </c>
    </row>
    <row r="79" spans="1:19" x14ac:dyDescent="0.2">
      <c r="A79" s="495"/>
      <c r="C79" s="7">
        <v>45</v>
      </c>
      <c r="D79" s="7">
        <v>677</v>
      </c>
      <c r="E79" s="7">
        <v>82</v>
      </c>
      <c r="F79" s="7">
        <v>595</v>
      </c>
      <c r="G79" s="188">
        <f t="shared" si="19"/>
        <v>3.0132939438700147E-2</v>
      </c>
    </row>
    <row r="80" spans="1:19" x14ac:dyDescent="0.2">
      <c r="A80" s="495"/>
      <c r="C80" s="7">
        <v>50</v>
      </c>
      <c r="D80" s="7">
        <v>691</v>
      </c>
      <c r="E80" s="7">
        <v>75</v>
      </c>
      <c r="F80" s="7">
        <v>616</v>
      </c>
      <c r="G80" s="188">
        <f t="shared" si="19"/>
        <v>2.7785817655571636E-2</v>
      </c>
    </row>
    <row r="81" spans="1:31" x14ac:dyDescent="0.2">
      <c r="A81" s="495"/>
      <c r="C81" s="7">
        <v>55</v>
      </c>
      <c r="D81" s="7">
        <v>705</v>
      </c>
      <c r="E81" s="7">
        <v>66</v>
      </c>
      <c r="F81" s="7">
        <v>639</v>
      </c>
      <c r="G81" s="188">
        <f t="shared" si="19"/>
        <v>2.5248226950354606E-2</v>
      </c>
    </row>
    <row r="82" spans="1:31" x14ac:dyDescent="0.2">
      <c r="A82" s="495"/>
      <c r="C82" s="7">
        <v>60</v>
      </c>
      <c r="D82" s="7">
        <v>723</v>
      </c>
      <c r="E82" s="7">
        <v>64</v>
      </c>
      <c r="F82" s="7">
        <v>659</v>
      </c>
      <c r="G82" s="188">
        <f t="shared" si="19"/>
        <v>2.3236514522821577E-2</v>
      </c>
    </row>
    <row r="83" spans="1:31" x14ac:dyDescent="0.2">
      <c r="A83" s="495"/>
      <c r="C83" s="7">
        <v>65</v>
      </c>
      <c r="D83" s="7">
        <v>741</v>
      </c>
      <c r="E83" s="7">
        <v>70</v>
      </c>
      <c r="F83" s="7">
        <v>671</v>
      </c>
      <c r="G83" s="188">
        <f t="shared" si="19"/>
        <v>2.2132253711201082E-2</v>
      </c>
    </row>
    <row r="84" spans="1:31" x14ac:dyDescent="0.2">
      <c r="A84" s="495"/>
      <c r="C84" s="7">
        <v>70</v>
      </c>
      <c r="D84" s="7">
        <v>751.5</v>
      </c>
      <c r="E84" s="7">
        <v>751.5</v>
      </c>
      <c r="F84" s="7">
        <v>0</v>
      </c>
      <c r="G84" s="188">
        <f t="shared" si="19"/>
        <v>2.1423819028609448E-2</v>
      </c>
    </row>
    <row r="87" spans="1:31" s="67" customFormat="1" ht="15" customHeight="1" x14ac:dyDescent="0.2">
      <c r="A87" s="494" t="s">
        <v>702</v>
      </c>
      <c r="C87" s="66" t="s">
        <v>942</v>
      </c>
      <c r="G87" s="190"/>
      <c r="I87" s="66" t="s">
        <v>943</v>
      </c>
      <c r="M87" s="190"/>
      <c r="O87" s="66" t="s">
        <v>944</v>
      </c>
      <c r="S87" s="190"/>
      <c r="Y87" s="190"/>
      <c r="AE87" s="190"/>
    </row>
    <row r="88" spans="1:31" s="68" customFormat="1" x14ac:dyDescent="0.2">
      <c r="A88" s="494"/>
      <c r="C88" s="70" t="s">
        <v>125</v>
      </c>
      <c r="D88" s="70" t="s">
        <v>126</v>
      </c>
      <c r="E88" s="70" t="s">
        <v>127</v>
      </c>
      <c r="F88" s="70" t="s">
        <v>128</v>
      </c>
      <c r="G88" s="192" t="s">
        <v>699</v>
      </c>
      <c r="I88" s="70" t="s">
        <v>125</v>
      </c>
      <c r="J88" s="70" t="s">
        <v>126</v>
      </c>
      <c r="K88" s="70" t="s">
        <v>127</v>
      </c>
      <c r="L88" s="70" t="s">
        <v>128</v>
      </c>
      <c r="M88" s="244" t="s">
        <v>699</v>
      </c>
      <c r="O88" s="70" t="s">
        <v>125</v>
      </c>
      <c r="P88" s="70" t="s">
        <v>126</v>
      </c>
      <c r="Q88" s="70" t="s">
        <v>127</v>
      </c>
      <c r="R88" s="70" t="s">
        <v>128</v>
      </c>
      <c r="S88" s="192" t="s">
        <v>699</v>
      </c>
      <c r="Y88" s="191"/>
      <c r="AE88" s="191"/>
    </row>
    <row r="89" spans="1:31" s="68" customFormat="1" x14ac:dyDescent="0.2">
      <c r="A89" s="494"/>
      <c r="C89" s="69">
        <v>1</v>
      </c>
      <c r="D89" s="71">
        <v>6.3461538461538458</v>
      </c>
      <c r="E89" s="69">
        <v>0</v>
      </c>
      <c r="F89" s="71">
        <v>6.3461538461538458</v>
      </c>
      <c r="G89" s="193">
        <v>0</v>
      </c>
      <c r="I89" s="69">
        <v>1</v>
      </c>
      <c r="J89" s="71">
        <v>5.0769230769230766</v>
      </c>
      <c r="K89" s="69">
        <v>0</v>
      </c>
      <c r="L89" s="71">
        <v>5.0769230769230766</v>
      </c>
      <c r="M89" s="243">
        <v>0</v>
      </c>
      <c r="O89" s="69">
        <v>1</v>
      </c>
      <c r="P89" s="71">
        <v>3.9189189189189189</v>
      </c>
      <c r="Q89" s="69">
        <v>0</v>
      </c>
      <c r="R89" s="71">
        <v>3.9189189189189189</v>
      </c>
      <c r="S89" s="193">
        <v>0</v>
      </c>
      <c r="Y89" s="191"/>
      <c r="AE89" s="191"/>
    </row>
    <row r="90" spans="1:31" s="68" customFormat="1" x14ac:dyDescent="0.2">
      <c r="A90" s="494"/>
      <c r="C90" s="69">
        <v>2</v>
      </c>
      <c r="D90" s="71">
        <v>12.692307692307692</v>
      </c>
      <c r="E90" s="69">
        <v>0</v>
      </c>
      <c r="F90" s="71">
        <v>12.692307692307692</v>
      </c>
      <c r="G90" s="188">
        <f>((D90-F89)/D90)/(C90-C89)</f>
        <v>0.5</v>
      </c>
      <c r="I90" s="68">
        <v>2</v>
      </c>
      <c r="J90" s="71">
        <v>10.153846153846153</v>
      </c>
      <c r="K90" s="69">
        <v>0</v>
      </c>
      <c r="L90" s="71">
        <v>10.153846153846153</v>
      </c>
      <c r="M90" s="197">
        <f>((J90-L89)/J90)/(I90-I89)</f>
        <v>0.5</v>
      </c>
      <c r="O90" s="68">
        <v>2</v>
      </c>
      <c r="P90" s="71">
        <v>7.8378378378378377</v>
      </c>
      <c r="Q90" s="69">
        <v>0</v>
      </c>
      <c r="R90" s="71">
        <v>7.8378378378378377</v>
      </c>
      <c r="S90" s="188">
        <f>((P90-R89)/P90)/(O90-O89)</f>
        <v>0.5</v>
      </c>
      <c r="Y90" s="191"/>
      <c r="AE90" s="191"/>
    </row>
    <row r="91" spans="1:31" s="68" customFormat="1" x14ac:dyDescent="0.2">
      <c r="A91" s="494"/>
      <c r="C91" s="69">
        <v>3</v>
      </c>
      <c r="D91" s="71">
        <v>19.038461538461537</v>
      </c>
      <c r="E91" s="69">
        <v>0</v>
      </c>
      <c r="F91" s="71">
        <v>19.038461538461537</v>
      </c>
      <c r="G91" s="188">
        <f t="shared" ref="G91:G140" si="22">((D91-F90)/D91)/(C91-C90)</f>
        <v>0.33333333333333331</v>
      </c>
      <c r="I91" s="69">
        <v>3</v>
      </c>
      <c r="J91" s="71">
        <v>15.23076923076923</v>
      </c>
      <c r="K91" s="69">
        <v>0</v>
      </c>
      <c r="L91" s="71">
        <v>15.23076923076923</v>
      </c>
      <c r="M91" s="197">
        <f t="shared" ref="M91:M153" si="23">((J91-L90)/J91)/(I91-I90)</f>
        <v>0.33333333333333331</v>
      </c>
      <c r="O91" s="69">
        <v>3</v>
      </c>
      <c r="P91" s="71">
        <v>11.756756756756756</v>
      </c>
      <c r="Q91" s="69">
        <v>0</v>
      </c>
      <c r="R91" s="71">
        <v>11.756756756756756</v>
      </c>
      <c r="S91" s="188">
        <f t="shared" ref="S91:S154" si="24">((P91-R90)/P91)/(O91-O90)</f>
        <v>0.33333333333333331</v>
      </c>
      <c r="Y91" s="191"/>
      <c r="AE91" s="191"/>
    </row>
    <row r="92" spans="1:31" s="68" customFormat="1" x14ac:dyDescent="0.2">
      <c r="A92" s="494"/>
      <c r="C92" s="69">
        <v>4</v>
      </c>
      <c r="D92" s="71">
        <v>25.384615384615383</v>
      </c>
      <c r="E92" s="69">
        <v>0</v>
      </c>
      <c r="F92" s="71">
        <v>25.384615384615383</v>
      </c>
      <c r="G92" s="188">
        <f t="shared" si="22"/>
        <v>0.25000000000000006</v>
      </c>
      <c r="I92" s="68">
        <v>4</v>
      </c>
      <c r="J92" s="71">
        <v>20.307692307692307</v>
      </c>
      <c r="K92" s="69">
        <v>0</v>
      </c>
      <c r="L92" s="71">
        <v>20.307692307692307</v>
      </c>
      <c r="M92" s="197">
        <f t="shared" si="23"/>
        <v>0.25</v>
      </c>
      <c r="O92" s="68">
        <v>4</v>
      </c>
      <c r="P92" s="71">
        <v>15.675675675675675</v>
      </c>
      <c r="Q92" s="69">
        <v>0</v>
      </c>
      <c r="R92" s="71">
        <v>15.675675675675675</v>
      </c>
      <c r="S92" s="188">
        <f t="shared" si="24"/>
        <v>0.25000000000000006</v>
      </c>
      <c r="Y92" s="191"/>
      <c r="AE92" s="191"/>
    </row>
    <row r="93" spans="1:31" s="68" customFormat="1" x14ac:dyDescent="0.2">
      <c r="A93" s="494"/>
      <c r="C93" s="69">
        <v>5</v>
      </c>
      <c r="D93" s="71">
        <v>31.73076923076923</v>
      </c>
      <c r="E93" s="69">
        <v>0</v>
      </c>
      <c r="F93" s="71">
        <v>31.73076923076923</v>
      </c>
      <c r="G93" s="188">
        <f t="shared" si="22"/>
        <v>0.2</v>
      </c>
      <c r="I93" s="69">
        <v>5</v>
      </c>
      <c r="J93" s="71">
        <v>25.384615384615383</v>
      </c>
      <c r="K93" s="69">
        <v>0</v>
      </c>
      <c r="L93" s="71">
        <v>25.384615384615383</v>
      </c>
      <c r="M93" s="197">
        <f t="shared" si="23"/>
        <v>0.2</v>
      </c>
      <c r="O93" s="69">
        <v>5</v>
      </c>
      <c r="P93" s="71">
        <v>19.594594594594593</v>
      </c>
      <c r="Q93" s="69">
        <v>0</v>
      </c>
      <c r="R93" s="71">
        <v>19.594594594594593</v>
      </c>
      <c r="S93" s="188">
        <f t="shared" si="24"/>
        <v>0.19999999999999996</v>
      </c>
      <c r="Y93" s="191"/>
      <c r="AE93" s="191"/>
    </row>
    <row r="94" spans="1:31" s="68" customFormat="1" x14ac:dyDescent="0.2">
      <c r="A94" s="494"/>
      <c r="C94" s="69">
        <v>6</v>
      </c>
      <c r="D94" s="71">
        <v>38.076923076923073</v>
      </c>
      <c r="E94" s="69">
        <v>0</v>
      </c>
      <c r="F94" s="71">
        <v>38.076923076923073</v>
      </c>
      <c r="G94" s="188">
        <f t="shared" si="22"/>
        <v>0.1666666666666666</v>
      </c>
      <c r="I94" s="68">
        <v>6</v>
      </c>
      <c r="J94" s="71">
        <v>30.46153846153846</v>
      </c>
      <c r="K94" s="69">
        <v>0</v>
      </c>
      <c r="L94" s="71">
        <v>30.46153846153846</v>
      </c>
      <c r="M94" s="197">
        <f t="shared" si="23"/>
        <v>0.16666666666666666</v>
      </c>
      <c r="O94" s="68">
        <v>6</v>
      </c>
      <c r="P94" s="71">
        <v>23.513513513513512</v>
      </c>
      <c r="Q94" s="69">
        <v>0</v>
      </c>
      <c r="R94" s="71">
        <v>23.513513513513512</v>
      </c>
      <c r="S94" s="188">
        <f t="shared" si="24"/>
        <v>0.16666666666666669</v>
      </c>
      <c r="Y94" s="191"/>
      <c r="AE94" s="191"/>
    </row>
    <row r="95" spans="1:31" s="68" customFormat="1" x14ac:dyDescent="0.2">
      <c r="A95" s="494"/>
      <c r="C95" s="69">
        <v>7</v>
      </c>
      <c r="D95" s="71">
        <v>44.42307692307692</v>
      </c>
      <c r="E95" s="69">
        <v>0</v>
      </c>
      <c r="F95" s="71">
        <v>44.42307692307692</v>
      </c>
      <c r="G95" s="188">
        <f t="shared" si="22"/>
        <v>0.14285714285714288</v>
      </c>
      <c r="I95" s="69">
        <v>7</v>
      </c>
      <c r="J95" s="71">
        <v>35.538461538461533</v>
      </c>
      <c r="K95" s="69">
        <v>0</v>
      </c>
      <c r="L95" s="71">
        <v>35.538461538461533</v>
      </c>
      <c r="M95" s="197">
        <f t="shared" si="23"/>
        <v>0.14285714285714277</v>
      </c>
      <c r="O95" s="69">
        <v>7</v>
      </c>
      <c r="P95" s="71">
        <v>27.432432432432432</v>
      </c>
      <c r="Q95" s="69">
        <v>0</v>
      </c>
      <c r="R95" s="71">
        <v>27.432432432432432</v>
      </c>
      <c r="S95" s="188">
        <f t="shared" si="24"/>
        <v>0.14285714285714288</v>
      </c>
      <c r="Y95" s="191"/>
      <c r="AE95" s="191"/>
    </row>
    <row r="96" spans="1:31" s="68" customFormat="1" x14ac:dyDescent="0.2">
      <c r="A96" s="494"/>
      <c r="C96" s="69">
        <v>8</v>
      </c>
      <c r="D96" s="71">
        <v>50.769230769230766</v>
      </c>
      <c r="E96" s="69">
        <v>0</v>
      </c>
      <c r="F96" s="71">
        <v>50.769230769230766</v>
      </c>
      <c r="G96" s="188">
        <f t="shared" si="22"/>
        <v>0.12500000000000003</v>
      </c>
      <c r="I96" s="68">
        <v>8</v>
      </c>
      <c r="J96" s="71">
        <v>40.615384615384613</v>
      </c>
      <c r="K96" s="69">
        <v>0</v>
      </c>
      <c r="L96" s="71">
        <v>40.615384615384613</v>
      </c>
      <c r="M96" s="197">
        <f t="shared" si="23"/>
        <v>0.12500000000000008</v>
      </c>
      <c r="O96" s="68">
        <v>8</v>
      </c>
      <c r="P96" s="71">
        <v>31.351351351351351</v>
      </c>
      <c r="Q96" s="69">
        <v>0</v>
      </c>
      <c r="R96" s="71">
        <v>31.351351351351351</v>
      </c>
      <c r="S96" s="188">
        <f t="shared" si="24"/>
        <v>0.12500000000000003</v>
      </c>
      <c r="Y96" s="191"/>
      <c r="AE96" s="191"/>
    </row>
    <row r="97" spans="1:31" s="68" customFormat="1" x14ac:dyDescent="0.2">
      <c r="A97" s="494"/>
      <c r="C97" s="69">
        <v>9</v>
      </c>
      <c r="D97" s="71">
        <v>57.115384615384613</v>
      </c>
      <c r="E97" s="69">
        <v>0</v>
      </c>
      <c r="F97" s="71">
        <v>57.115384615384613</v>
      </c>
      <c r="G97" s="188">
        <f t="shared" si="22"/>
        <v>0.11111111111111112</v>
      </c>
      <c r="I97" s="69">
        <v>9</v>
      </c>
      <c r="J97" s="71">
        <v>45.692307692307693</v>
      </c>
      <c r="K97" s="69">
        <v>0</v>
      </c>
      <c r="L97" s="71">
        <v>45.692307692307693</v>
      </c>
      <c r="M97" s="197">
        <f t="shared" si="23"/>
        <v>0.11111111111111117</v>
      </c>
      <c r="O97" s="69">
        <v>9</v>
      </c>
      <c r="P97" s="71">
        <v>35.270270270270267</v>
      </c>
      <c r="Q97" s="69">
        <v>0</v>
      </c>
      <c r="R97" s="71">
        <v>35.270270270270267</v>
      </c>
      <c r="S97" s="188">
        <f t="shared" si="24"/>
        <v>0.11111111111111104</v>
      </c>
      <c r="Y97" s="191"/>
      <c r="AE97" s="191"/>
    </row>
    <row r="98" spans="1:31" s="68" customFormat="1" x14ac:dyDescent="0.2">
      <c r="A98" s="494"/>
      <c r="C98" s="69">
        <v>10</v>
      </c>
      <c r="D98" s="71">
        <v>63.46153846153846</v>
      </c>
      <c r="E98" s="69">
        <v>0</v>
      </c>
      <c r="F98" s="71">
        <v>63.46153846153846</v>
      </c>
      <c r="G98" s="188">
        <f t="shared" si="22"/>
        <v>0.1</v>
      </c>
      <c r="I98" s="68">
        <v>10</v>
      </c>
      <c r="J98" s="71">
        <v>50.769230769230774</v>
      </c>
      <c r="K98" s="69">
        <v>0</v>
      </c>
      <c r="L98" s="71">
        <v>50.769230769230774</v>
      </c>
      <c r="M98" s="197">
        <f t="shared" si="23"/>
        <v>0.10000000000000006</v>
      </c>
      <c r="O98" s="68">
        <v>10</v>
      </c>
      <c r="P98" s="71">
        <v>39.189189189189186</v>
      </c>
      <c r="Q98" s="69">
        <v>0</v>
      </c>
      <c r="R98" s="71">
        <v>39.189189189189186</v>
      </c>
      <c r="S98" s="188">
        <f t="shared" si="24"/>
        <v>0.10000000000000002</v>
      </c>
      <c r="Y98" s="191"/>
      <c r="AE98" s="191"/>
    </row>
    <row r="99" spans="1:31" s="68" customFormat="1" x14ac:dyDescent="0.2">
      <c r="A99" s="494"/>
      <c r="C99" s="69">
        <v>11</v>
      </c>
      <c r="D99" s="71">
        <v>69.807692307692307</v>
      </c>
      <c r="E99" s="69">
        <v>0</v>
      </c>
      <c r="F99" s="71">
        <v>69.807692307692307</v>
      </c>
      <c r="G99" s="188">
        <f t="shared" si="22"/>
        <v>9.0909090909090912E-2</v>
      </c>
      <c r="I99" s="69">
        <v>11</v>
      </c>
      <c r="J99" s="71">
        <v>55.846153846153854</v>
      </c>
      <c r="K99" s="69">
        <v>0</v>
      </c>
      <c r="L99" s="71">
        <v>55.846153846153854</v>
      </c>
      <c r="M99" s="197">
        <f t="shared" si="23"/>
        <v>9.0909090909090953E-2</v>
      </c>
      <c r="O99" s="69">
        <v>11</v>
      </c>
      <c r="P99" s="71">
        <v>43.108108108108105</v>
      </c>
      <c r="Q99" s="69">
        <v>0</v>
      </c>
      <c r="R99" s="71">
        <v>43.108108108108105</v>
      </c>
      <c r="S99" s="188">
        <f t="shared" si="24"/>
        <v>9.0909090909090925E-2</v>
      </c>
      <c r="Y99" s="191"/>
      <c r="AE99" s="191"/>
    </row>
    <row r="100" spans="1:31" s="68" customFormat="1" x14ac:dyDescent="0.2">
      <c r="A100" s="494"/>
      <c r="C100" s="69">
        <v>12</v>
      </c>
      <c r="D100" s="71">
        <v>76.153846153846146</v>
      </c>
      <c r="E100" s="69">
        <v>0</v>
      </c>
      <c r="F100" s="71">
        <v>76.153846153846146</v>
      </c>
      <c r="G100" s="188">
        <f t="shared" si="22"/>
        <v>8.3333333333333259E-2</v>
      </c>
      <c r="I100" s="68">
        <v>12</v>
      </c>
      <c r="J100" s="71">
        <v>60.923076923076934</v>
      </c>
      <c r="K100" s="69">
        <v>0</v>
      </c>
      <c r="L100" s="71">
        <v>60.923076923076934</v>
      </c>
      <c r="M100" s="197">
        <f t="shared" si="23"/>
        <v>8.333333333333337E-2</v>
      </c>
      <c r="O100" s="68">
        <v>12</v>
      </c>
      <c r="P100" s="71">
        <v>47.027027027027025</v>
      </c>
      <c r="Q100" s="69">
        <v>0</v>
      </c>
      <c r="R100" s="71">
        <v>47.027027027027025</v>
      </c>
      <c r="S100" s="188">
        <f t="shared" si="24"/>
        <v>8.3333333333333343E-2</v>
      </c>
      <c r="Y100" s="191"/>
      <c r="AE100" s="191"/>
    </row>
    <row r="101" spans="1:31" s="68" customFormat="1" x14ac:dyDescent="0.2">
      <c r="A101" s="494"/>
      <c r="C101" s="69">
        <v>13</v>
      </c>
      <c r="D101" s="71">
        <v>82.499999999999986</v>
      </c>
      <c r="E101" s="69">
        <v>0</v>
      </c>
      <c r="F101" s="71">
        <v>82.499999999999986</v>
      </c>
      <c r="G101" s="188">
        <f t="shared" si="22"/>
        <v>7.6923076923076858E-2</v>
      </c>
      <c r="I101" s="69">
        <v>13</v>
      </c>
      <c r="J101" s="71">
        <v>66.000000000000014</v>
      </c>
      <c r="K101" s="69">
        <v>0</v>
      </c>
      <c r="L101" s="71">
        <v>66.000000000000014</v>
      </c>
      <c r="M101" s="197">
        <f t="shared" si="23"/>
        <v>7.6923076923076955E-2</v>
      </c>
      <c r="O101" s="69">
        <v>13</v>
      </c>
      <c r="P101" s="71">
        <v>50.945945945945944</v>
      </c>
      <c r="Q101" s="69">
        <v>0</v>
      </c>
      <c r="R101" s="71">
        <v>50.945945945945944</v>
      </c>
      <c r="S101" s="188">
        <f t="shared" si="24"/>
        <v>7.6923076923076927E-2</v>
      </c>
      <c r="Y101" s="191"/>
      <c r="AE101" s="191"/>
    </row>
    <row r="102" spans="1:31" s="68" customFormat="1" x14ac:dyDescent="0.2">
      <c r="A102" s="494"/>
      <c r="C102" s="69">
        <v>14</v>
      </c>
      <c r="D102" s="71">
        <v>88.846153846153825</v>
      </c>
      <c r="E102" s="69">
        <v>0</v>
      </c>
      <c r="F102" s="71">
        <v>88.846153846153825</v>
      </c>
      <c r="G102" s="188">
        <f t="shared" si="22"/>
        <v>7.1428571428571369E-2</v>
      </c>
      <c r="I102" s="68">
        <v>14</v>
      </c>
      <c r="J102" s="71">
        <v>71.076923076923094</v>
      </c>
      <c r="K102" s="69">
        <v>0</v>
      </c>
      <c r="L102" s="71">
        <v>71.076923076923094</v>
      </c>
      <c r="M102" s="197">
        <f t="shared" si="23"/>
        <v>7.1428571428571452E-2</v>
      </c>
      <c r="O102" s="68">
        <v>14</v>
      </c>
      <c r="P102" s="71">
        <v>54.864864864864863</v>
      </c>
      <c r="Q102" s="69">
        <v>0</v>
      </c>
      <c r="R102" s="71">
        <v>54.864864864864863</v>
      </c>
      <c r="S102" s="188">
        <f t="shared" si="24"/>
        <v>7.1428571428571438E-2</v>
      </c>
      <c r="Y102" s="191"/>
      <c r="AE102" s="191"/>
    </row>
    <row r="103" spans="1:31" s="68" customFormat="1" x14ac:dyDescent="0.2">
      <c r="A103" s="494"/>
      <c r="C103" s="69">
        <v>15</v>
      </c>
      <c r="D103" s="71">
        <v>95.192307692307665</v>
      </c>
      <c r="E103" s="69">
        <v>0</v>
      </c>
      <c r="F103" s="71">
        <v>95.192307692307665</v>
      </c>
      <c r="G103" s="188">
        <f t="shared" si="22"/>
        <v>6.666666666666661E-2</v>
      </c>
      <c r="I103" s="69">
        <v>15</v>
      </c>
      <c r="J103" s="71">
        <v>76.153846153846175</v>
      </c>
      <c r="K103" s="69">
        <v>0</v>
      </c>
      <c r="L103" s="71">
        <v>76.153846153846175</v>
      </c>
      <c r="M103" s="197">
        <f t="shared" si="23"/>
        <v>6.6666666666666693E-2</v>
      </c>
      <c r="O103" s="69">
        <v>15</v>
      </c>
      <c r="P103" s="71">
        <v>58.783783783783782</v>
      </c>
      <c r="Q103" s="69">
        <v>0</v>
      </c>
      <c r="R103" s="71">
        <v>58.783783783783782</v>
      </c>
      <c r="S103" s="188">
        <f t="shared" si="24"/>
        <v>6.666666666666668E-2</v>
      </c>
      <c r="Y103" s="191"/>
      <c r="AE103" s="191"/>
    </row>
    <row r="104" spans="1:31" s="68" customFormat="1" x14ac:dyDescent="0.2">
      <c r="A104" s="494"/>
      <c r="C104" s="69">
        <v>16</v>
      </c>
      <c r="D104" s="71">
        <v>101.5384615384615</v>
      </c>
      <c r="E104" s="69">
        <v>0</v>
      </c>
      <c r="F104" s="71">
        <v>101.5384615384615</v>
      </c>
      <c r="G104" s="188">
        <f t="shared" si="22"/>
        <v>6.2499999999999958E-2</v>
      </c>
      <c r="I104" s="68">
        <v>16</v>
      </c>
      <c r="J104" s="71">
        <v>81.230769230769255</v>
      </c>
      <c r="K104" s="69">
        <v>0</v>
      </c>
      <c r="L104" s="71">
        <v>81.230769230769255</v>
      </c>
      <c r="M104" s="197">
        <f t="shared" si="23"/>
        <v>6.2500000000000028E-2</v>
      </c>
      <c r="O104" s="68">
        <v>16</v>
      </c>
      <c r="P104" s="71">
        <v>62.702702702702702</v>
      </c>
      <c r="Q104" s="69">
        <v>0</v>
      </c>
      <c r="R104" s="71">
        <v>62.702702702702702</v>
      </c>
      <c r="S104" s="188">
        <f t="shared" si="24"/>
        <v>6.2500000000000014E-2</v>
      </c>
      <c r="Y104" s="191"/>
      <c r="AE104" s="191"/>
    </row>
    <row r="105" spans="1:31" s="68" customFormat="1" x14ac:dyDescent="0.2">
      <c r="A105" s="494"/>
      <c r="C105" s="69">
        <v>17</v>
      </c>
      <c r="D105" s="71">
        <v>107.88461538461534</v>
      </c>
      <c r="E105" s="69">
        <v>0</v>
      </c>
      <c r="F105" s="71">
        <v>107.88461538461534</v>
      </c>
      <c r="G105" s="188">
        <f t="shared" si="22"/>
        <v>5.882352941176467E-2</v>
      </c>
      <c r="I105" s="69">
        <v>17</v>
      </c>
      <c r="J105" s="71">
        <v>86.307692307692335</v>
      </c>
      <c r="K105" s="69">
        <v>0</v>
      </c>
      <c r="L105" s="71">
        <v>86.307692307692335</v>
      </c>
      <c r="M105" s="197">
        <f t="shared" si="23"/>
        <v>5.8823529411764726E-2</v>
      </c>
      <c r="O105" s="69">
        <v>17</v>
      </c>
      <c r="P105" s="71">
        <v>66.621621621621614</v>
      </c>
      <c r="Q105" s="69">
        <v>0</v>
      </c>
      <c r="R105" s="71">
        <v>66.621621621621614</v>
      </c>
      <c r="S105" s="188">
        <f t="shared" si="24"/>
        <v>5.8823529411764615E-2</v>
      </c>
      <c r="Y105" s="191"/>
      <c r="AE105" s="191"/>
    </row>
    <row r="106" spans="1:31" s="68" customFormat="1" x14ac:dyDescent="0.2">
      <c r="A106" s="494"/>
      <c r="C106" s="69">
        <v>18</v>
      </c>
      <c r="D106" s="71">
        <v>114.23076923076918</v>
      </c>
      <c r="E106" s="69">
        <v>0</v>
      </c>
      <c r="F106" s="71">
        <v>114.23076923076918</v>
      </c>
      <c r="G106" s="188">
        <f t="shared" si="22"/>
        <v>5.5555555555555518E-2</v>
      </c>
      <c r="I106" s="68">
        <v>18</v>
      </c>
      <c r="J106" s="71">
        <v>91.384615384615415</v>
      </c>
      <c r="K106" s="69">
        <v>0</v>
      </c>
      <c r="L106" s="71">
        <v>91.384615384615415</v>
      </c>
      <c r="M106" s="197">
        <f t="shared" si="23"/>
        <v>5.5555555555555573E-2</v>
      </c>
      <c r="O106" s="68">
        <v>18</v>
      </c>
      <c r="P106" s="71">
        <v>70.540540540540533</v>
      </c>
      <c r="Q106" s="69">
        <v>0</v>
      </c>
      <c r="R106" s="71">
        <v>70.540540540540533</v>
      </c>
      <c r="S106" s="188">
        <f t="shared" si="24"/>
        <v>5.5555555555555566E-2</v>
      </c>
      <c r="Y106" s="191"/>
      <c r="AE106" s="191"/>
    </row>
    <row r="107" spans="1:31" s="68" customFormat="1" x14ac:dyDescent="0.2">
      <c r="A107" s="494"/>
      <c r="C107" s="69">
        <v>19</v>
      </c>
      <c r="D107" s="71">
        <v>120.57692307692302</v>
      </c>
      <c r="E107" s="69">
        <v>0</v>
      </c>
      <c r="F107" s="71">
        <v>120.57692307692302</v>
      </c>
      <c r="G107" s="188">
        <f t="shared" si="22"/>
        <v>5.263157894736839E-2</v>
      </c>
      <c r="I107" s="69">
        <v>19</v>
      </c>
      <c r="J107" s="71">
        <v>96.461538461538495</v>
      </c>
      <c r="K107" s="69">
        <v>0</v>
      </c>
      <c r="L107" s="71">
        <v>96.461538461538495</v>
      </c>
      <c r="M107" s="197">
        <f t="shared" si="23"/>
        <v>5.2631578947368439E-2</v>
      </c>
      <c r="O107" s="69">
        <v>19</v>
      </c>
      <c r="P107" s="71">
        <v>74.459459459459453</v>
      </c>
      <c r="Q107" s="69">
        <v>0</v>
      </c>
      <c r="R107" s="71">
        <v>74.459459459459453</v>
      </c>
      <c r="S107" s="188">
        <f t="shared" si="24"/>
        <v>5.2631578947368432E-2</v>
      </c>
      <c r="Y107" s="191"/>
      <c r="AE107" s="191"/>
    </row>
    <row r="108" spans="1:31" s="68" customFormat="1" x14ac:dyDescent="0.2">
      <c r="A108" s="494"/>
      <c r="C108" s="69">
        <v>20</v>
      </c>
      <c r="D108" s="71">
        <v>126.92307692307686</v>
      </c>
      <c r="E108" s="69">
        <v>0</v>
      </c>
      <c r="F108" s="71">
        <v>126.92307692307686</v>
      </c>
      <c r="G108" s="188">
        <f t="shared" si="22"/>
        <v>4.9999999999999975E-2</v>
      </c>
      <c r="I108" s="68">
        <v>20</v>
      </c>
      <c r="J108" s="71">
        <v>101.53846153846158</v>
      </c>
      <c r="K108" s="69">
        <v>0</v>
      </c>
      <c r="L108" s="71">
        <v>101.53846153846158</v>
      </c>
      <c r="M108" s="197">
        <f t="shared" si="23"/>
        <v>5.0000000000000017E-2</v>
      </c>
      <c r="O108" s="68">
        <v>20</v>
      </c>
      <c r="P108" s="71">
        <v>78.378378378378372</v>
      </c>
      <c r="Q108" s="69">
        <v>0</v>
      </c>
      <c r="R108" s="71">
        <v>78.378378378378372</v>
      </c>
      <c r="S108" s="188">
        <f t="shared" si="24"/>
        <v>5.000000000000001E-2</v>
      </c>
      <c r="Y108" s="191"/>
      <c r="AE108" s="191"/>
    </row>
    <row r="109" spans="1:31" s="68" customFormat="1" x14ac:dyDescent="0.2">
      <c r="A109" s="494"/>
      <c r="C109" s="69">
        <v>21</v>
      </c>
      <c r="D109" s="71">
        <v>133.26923076923072</v>
      </c>
      <c r="E109" s="69">
        <v>0</v>
      </c>
      <c r="F109" s="71">
        <v>133.26923076923072</v>
      </c>
      <c r="G109" s="188">
        <f t="shared" si="22"/>
        <v>4.7619047619047693E-2</v>
      </c>
      <c r="I109" s="69">
        <v>21</v>
      </c>
      <c r="J109" s="71">
        <v>106.61538461538466</v>
      </c>
      <c r="K109" s="69">
        <v>0</v>
      </c>
      <c r="L109" s="71">
        <v>106.61538461538466</v>
      </c>
      <c r="M109" s="197">
        <f t="shared" si="23"/>
        <v>4.761904761904763E-2</v>
      </c>
      <c r="O109" s="69">
        <v>21</v>
      </c>
      <c r="P109" s="71">
        <v>82.297297297297291</v>
      </c>
      <c r="Q109" s="69">
        <v>0</v>
      </c>
      <c r="R109" s="71">
        <v>82.297297297297291</v>
      </c>
      <c r="S109" s="188">
        <f t="shared" si="24"/>
        <v>4.761904761904763E-2</v>
      </c>
      <c r="Y109" s="191"/>
      <c r="AE109" s="191"/>
    </row>
    <row r="110" spans="1:31" s="68" customFormat="1" x14ac:dyDescent="0.2">
      <c r="A110" s="494"/>
      <c r="C110" s="69">
        <v>22</v>
      </c>
      <c r="D110" s="71">
        <v>139.61538461538456</v>
      </c>
      <c r="E110" s="69">
        <v>0</v>
      </c>
      <c r="F110" s="71">
        <v>139.61538461538456</v>
      </c>
      <c r="G110" s="188">
        <f t="shared" si="22"/>
        <v>4.5454545454545428E-2</v>
      </c>
      <c r="I110" s="68">
        <v>22</v>
      </c>
      <c r="J110" s="71">
        <v>111.69230769230774</v>
      </c>
      <c r="K110" s="69">
        <v>0</v>
      </c>
      <c r="L110" s="71">
        <v>111.69230769230774</v>
      </c>
      <c r="M110" s="197">
        <f t="shared" si="23"/>
        <v>4.5454545454545463E-2</v>
      </c>
      <c r="O110" s="68">
        <v>22</v>
      </c>
      <c r="P110" s="71">
        <v>86.21621621621621</v>
      </c>
      <c r="Q110" s="69">
        <v>0</v>
      </c>
      <c r="R110" s="71">
        <v>86.21621621621621</v>
      </c>
      <c r="S110" s="188">
        <f t="shared" si="24"/>
        <v>4.5454545454545463E-2</v>
      </c>
      <c r="Y110" s="191"/>
      <c r="AE110" s="191"/>
    </row>
    <row r="111" spans="1:31" s="68" customFormat="1" x14ac:dyDescent="0.2">
      <c r="A111" s="494"/>
      <c r="C111" s="69">
        <v>23</v>
      </c>
      <c r="D111" s="71">
        <v>145.9615384615384</v>
      </c>
      <c r="E111" s="69">
        <v>0</v>
      </c>
      <c r="F111" s="71">
        <v>145.9615384615384</v>
      </c>
      <c r="G111" s="188">
        <f t="shared" si="22"/>
        <v>4.3478260869565195E-2</v>
      </c>
      <c r="I111" s="69">
        <v>23</v>
      </c>
      <c r="J111" s="71">
        <v>116.76923076923082</v>
      </c>
      <c r="K111" s="69">
        <v>0</v>
      </c>
      <c r="L111" s="71">
        <v>116.76923076923082</v>
      </c>
      <c r="M111" s="197">
        <f t="shared" si="23"/>
        <v>4.347826086956523E-2</v>
      </c>
      <c r="O111" s="69">
        <v>23</v>
      </c>
      <c r="P111" s="71">
        <v>90.13513513513513</v>
      </c>
      <c r="Q111" s="69">
        <v>0</v>
      </c>
      <c r="R111" s="71">
        <v>90.13513513513513</v>
      </c>
      <c r="S111" s="188">
        <f t="shared" si="24"/>
        <v>4.3478260869565223E-2</v>
      </c>
      <c r="Y111" s="191"/>
      <c r="AE111" s="191"/>
    </row>
    <row r="112" spans="1:31" s="68" customFormat="1" x14ac:dyDescent="0.2">
      <c r="A112" s="494"/>
      <c r="C112" s="69">
        <v>24</v>
      </c>
      <c r="D112" s="71">
        <v>152.30769230769224</v>
      </c>
      <c r="E112" s="69">
        <v>0</v>
      </c>
      <c r="F112" s="71">
        <v>152.30769230769224</v>
      </c>
      <c r="G112" s="188">
        <f t="shared" si="22"/>
        <v>4.1666666666666644E-2</v>
      </c>
      <c r="I112" s="68">
        <v>24</v>
      </c>
      <c r="J112" s="71">
        <v>121.8461538461539</v>
      </c>
      <c r="K112" s="69">
        <v>0</v>
      </c>
      <c r="L112" s="71">
        <v>121.8461538461539</v>
      </c>
      <c r="M112" s="197">
        <f t="shared" si="23"/>
        <v>4.1666666666666678E-2</v>
      </c>
      <c r="O112" s="68">
        <v>24</v>
      </c>
      <c r="P112" s="71">
        <v>94.054054054054049</v>
      </c>
      <c r="Q112" s="69">
        <v>0</v>
      </c>
      <c r="R112" s="71">
        <v>94.054054054054049</v>
      </c>
      <c r="S112" s="188">
        <f t="shared" si="24"/>
        <v>4.1666666666666671E-2</v>
      </c>
      <c r="Y112" s="191"/>
      <c r="AE112" s="191"/>
    </row>
    <row r="113" spans="1:31" s="68" customFormat="1" x14ac:dyDescent="0.2">
      <c r="A113" s="494"/>
      <c r="C113" s="69">
        <v>25</v>
      </c>
      <c r="D113" s="71">
        <v>158.65384615384608</v>
      </c>
      <c r="E113" s="69">
        <v>0</v>
      </c>
      <c r="F113" s="71">
        <v>158.65384615384608</v>
      </c>
      <c r="G113" s="188">
        <f t="shared" si="22"/>
        <v>3.999999999999998E-2</v>
      </c>
      <c r="I113" s="69">
        <v>25</v>
      </c>
      <c r="J113" s="71">
        <v>126.92307692307698</v>
      </c>
      <c r="K113" s="69">
        <v>0</v>
      </c>
      <c r="L113" s="71">
        <v>126.92307692307698</v>
      </c>
      <c r="M113" s="197">
        <f t="shared" si="23"/>
        <v>4.0000000000000008E-2</v>
      </c>
      <c r="O113" s="69">
        <v>25</v>
      </c>
      <c r="P113" s="71">
        <v>97.972972972972968</v>
      </c>
      <c r="Q113" s="69">
        <v>0</v>
      </c>
      <c r="R113" s="71">
        <v>97.972972972972968</v>
      </c>
      <c r="S113" s="188">
        <f t="shared" si="24"/>
        <v>4.0000000000000008E-2</v>
      </c>
      <c r="Y113" s="191"/>
      <c r="AE113" s="191"/>
    </row>
    <row r="114" spans="1:31" s="68" customFormat="1" x14ac:dyDescent="0.2">
      <c r="A114" s="494"/>
      <c r="C114" s="69">
        <v>26</v>
      </c>
      <c r="D114" s="71">
        <v>164.99999999999991</v>
      </c>
      <c r="E114" s="69">
        <v>0</v>
      </c>
      <c r="F114" s="71">
        <v>164.99999999999991</v>
      </c>
      <c r="G114" s="188">
        <f t="shared" si="22"/>
        <v>3.8461538461538443E-2</v>
      </c>
      <c r="I114" s="68">
        <v>26</v>
      </c>
      <c r="J114" s="71">
        <v>132.00000000000006</v>
      </c>
      <c r="K114" s="69">
        <v>0</v>
      </c>
      <c r="L114" s="71">
        <v>132.00000000000006</v>
      </c>
      <c r="M114" s="197">
        <f t="shared" si="23"/>
        <v>3.8461538461538471E-2</v>
      </c>
      <c r="O114" s="68">
        <v>26</v>
      </c>
      <c r="P114" s="71">
        <v>101.89189189189189</v>
      </c>
      <c r="Q114" s="69">
        <v>0</v>
      </c>
      <c r="R114" s="71">
        <v>101.89189189189189</v>
      </c>
      <c r="S114" s="188">
        <f t="shared" si="24"/>
        <v>3.8461538461538464E-2</v>
      </c>
      <c r="Y114" s="191"/>
      <c r="AE114" s="191"/>
    </row>
    <row r="115" spans="1:31" s="68" customFormat="1" x14ac:dyDescent="0.2">
      <c r="A115" s="494"/>
      <c r="C115" s="69">
        <v>27</v>
      </c>
      <c r="D115" s="71">
        <v>171.34615384615375</v>
      </c>
      <c r="E115" s="69">
        <v>0</v>
      </c>
      <c r="F115" s="71">
        <v>171.34615384615375</v>
      </c>
      <c r="G115" s="188">
        <f t="shared" si="22"/>
        <v>3.7037037037037021E-2</v>
      </c>
      <c r="I115" s="69">
        <v>27</v>
      </c>
      <c r="J115" s="71">
        <v>137.07692307692312</v>
      </c>
      <c r="K115" s="69">
        <v>0</v>
      </c>
      <c r="L115" s="71">
        <v>137.07692307692312</v>
      </c>
      <c r="M115" s="197">
        <f t="shared" si="23"/>
        <v>3.7037037037036945E-2</v>
      </c>
      <c r="O115" s="69">
        <v>27</v>
      </c>
      <c r="P115" s="71">
        <v>105.81081081081081</v>
      </c>
      <c r="Q115" s="69">
        <v>0</v>
      </c>
      <c r="R115" s="71">
        <v>105.81081081081081</v>
      </c>
      <c r="S115" s="188">
        <f t="shared" si="24"/>
        <v>3.7037037037037042E-2</v>
      </c>
      <c r="Y115" s="191"/>
      <c r="AE115" s="191"/>
    </row>
    <row r="116" spans="1:31" s="68" customFormat="1" x14ac:dyDescent="0.2">
      <c r="A116" s="494"/>
      <c r="C116" s="69">
        <v>28</v>
      </c>
      <c r="D116" s="71">
        <v>177.69230769230759</v>
      </c>
      <c r="E116" s="69">
        <v>0</v>
      </c>
      <c r="F116" s="71">
        <v>177.69230769230759</v>
      </c>
      <c r="G116" s="188">
        <f t="shared" si="22"/>
        <v>3.5714285714285698E-2</v>
      </c>
      <c r="I116" s="68">
        <v>28</v>
      </c>
      <c r="J116" s="71">
        <v>142.15384615384619</v>
      </c>
      <c r="K116" s="69">
        <v>0</v>
      </c>
      <c r="L116" s="71">
        <v>142.15384615384619</v>
      </c>
      <c r="M116" s="197">
        <f t="shared" si="23"/>
        <v>3.5714285714285629E-2</v>
      </c>
      <c r="O116" s="68">
        <v>28</v>
      </c>
      <c r="P116" s="71">
        <v>109.72972972972973</v>
      </c>
      <c r="Q116" s="69">
        <v>0</v>
      </c>
      <c r="R116" s="71">
        <v>109.72972972972973</v>
      </c>
      <c r="S116" s="188">
        <f t="shared" si="24"/>
        <v>3.5714285714285719E-2</v>
      </c>
      <c r="Y116" s="191"/>
      <c r="AE116" s="191"/>
    </row>
    <row r="117" spans="1:31" s="68" customFormat="1" x14ac:dyDescent="0.2">
      <c r="A117" s="494"/>
      <c r="C117" s="69">
        <v>29</v>
      </c>
      <c r="D117" s="71">
        <v>184.03846153846143</v>
      </c>
      <c r="E117" s="69">
        <v>0</v>
      </c>
      <c r="F117" s="71">
        <v>184.03846153846143</v>
      </c>
      <c r="G117" s="188">
        <f t="shared" si="22"/>
        <v>3.4482758620689641E-2</v>
      </c>
      <c r="I117" s="69">
        <v>29</v>
      </c>
      <c r="J117" s="71">
        <v>147.23076923076925</v>
      </c>
      <c r="K117" s="69">
        <v>0</v>
      </c>
      <c r="L117" s="71">
        <v>147.23076923076925</v>
      </c>
      <c r="M117" s="197">
        <f t="shared" si="23"/>
        <v>3.4482758620689578E-2</v>
      </c>
      <c r="O117" s="69">
        <v>29</v>
      </c>
      <c r="P117" s="71">
        <v>113.64864864864865</v>
      </c>
      <c r="Q117" s="69">
        <v>0</v>
      </c>
      <c r="R117" s="71">
        <v>113.64864864864865</v>
      </c>
      <c r="S117" s="188">
        <f t="shared" si="24"/>
        <v>3.4482758620689662E-2</v>
      </c>
      <c r="Y117" s="191"/>
      <c r="AE117" s="191"/>
    </row>
    <row r="118" spans="1:31" s="68" customFormat="1" x14ac:dyDescent="0.2">
      <c r="A118" s="494"/>
      <c r="C118" s="69">
        <v>30</v>
      </c>
      <c r="D118" s="71">
        <v>190.38461538461527</v>
      </c>
      <c r="E118" s="69">
        <v>0</v>
      </c>
      <c r="F118" s="71">
        <v>190.38461538461527</v>
      </c>
      <c r="G118" s="188">
        <f t="shared" si="22"/>
        <v>3.3333333333333319E-2</v>
      </c>
      <c r="I118" s="68">
        <v>30</v>
      </c>
      <c r="J118" s="71">
        <v>152.30769230769232</v>
      </c>
      <c r="K118" s="69">
        <v>0</v>
      </c>
      <c r="L118" s="71">
        <v>152.30769230769232</v>
      </c>
      <c r="M118" s="197">
        <f t="shared" si="23"/>
        <v>3.3333333333333257E-2</v>
      </c>
      <c r="O118" s="68">
        <v>30</v>
      </c>
      <c r="P118" s="71">
        <v>117.56756756756756</v>
      </c>
      <c r="Q118" s="69">
        <v>0</v>
      </c>
      <c r="R118" s="71">
        <v>117.56756756756756</v>
      </c>
      <c r="S118" s="188">
        <f t="shared" si="24"/>
        <v>3.333333333333334E-2</v>
      </c>
      <c r="Y118" s="191"/>
      <c r="AE118" s="191"/>
    </row>
    <row r="119" spans="1:31" s="68" customFormat="1" x14ac:dyDescent="0.2">
      <c r="A119" s="494"/>
      <c r="C119" s="69">
        <v>31</v>
      </c>
      <c r="D119" s="71">
        <v>196.73076923076911</v>
      </c>
      <c r="E119" s="69">
        <v>0</v>
      </c>
      <c r="F119" s="71">
        <v>196.73076923076911</v>
      </c>
      <c r="G119" s="188">
        <f t="shared" si="22"/>
        <v>3.2258064516129017E-2</v>
      </c>
      <c r="I119" s="69">
        <v>31</v>
      </c>
      <c r="J119" s="71">
        <v>157.38461538461539</v>
      </c>
      <c r="K119" s="69">
        <v>0</v>
      </c>
      <c r="L119" s="71">
        <v>157.38461538461539</v>
      </c>
      <c r="M119" s="197">
        <f t="shared" si="23"/>
        <v>3.2258064516128962E-2</v>
      </c>
      <c r="O119" s="69">
        <v>31</v>
      </c>
      <c r="P119" s="71">
        <v>121.48648648648648</v>
      </c>
      <c r="Q119" s="69">
        <v>0</v>
      </c>
      <c r="R119" s="71">
        <v>121.48648648648648</v>
      </c>
      <c r="S119" s="188">
        <f t="shared" si="24"/>
        <v>3.2258064516129038E-2</v>
      </c>
      <c r="Y119" s="191"/>
      <c r="AE119" s="191"/>
    </row>
    <row r="120" spans="1:31" s="68" customFormat="1" x14ac:dyDescent="0.2">
      <c r="A120" s="494"/>
      <c r="C120" s="69">
        <v>32</v>
      </c>
      <c r="D120" s="71">
        <v>203.07692307692295</v>
      </c>
      <c r="E120" s="69">
        <v>0</v>
      </c>
      <c r="F120" s="71">
        <v>203.07692307692295</v>
      </c>
      <c r="G120" s="188">
        <f t="shared" si="22"/>
        <v>3.1249999999999986E-2</v>
      </c>
      <c r="I120" s="68">
        <v>32</v>
      </c>
      <c r="J120" s="71">
        <v>162.46153846153845</v>
      </c>
      <c r="K120" s="69">
        <v>0</v>
      </c>
      <c r="L120" s="71">
        <v>162.46153846153845</v>
      </c>
      <c r="M120" s="197">
        <f t="shared" si="23"/>
        <v>3.1249999999999934E-2</v>
      </c>
      <c r="O120" s="68">
        <v>32</v>
      </c>
      <c r="P120" s="71">
        <v>125.4054054054054</v>
      </c>
      <c r="Q120" s="69">
        <v>0</v>
      </c>
      <c r="R120" s="71">
        <v>125.4054054054054</v>
      </c>
      <c r="S120" s="188">
        <f t="shared" si="24"/>
        <v>3.1250000000000007E-2</v>
      </c>
      <c r="Y120" s="191"/>
      <c r="AE120" s="191"/>
    </row>
    <row r="121" spans="1:31" s="68" customFormat="1" x14ac:dyDescent="0.2">
      <c r="A121" s="494"/>
      <c r="C121" s="69">
        <v>33</v>
      </c>
      <c r="D121" s="71">
        <v>209.42307692307679</v>
      </c>
      <c r="E121" s="69">
        <v>0</v>
      </c>
      <c r="F121" s="71">
        <v>209.42307692307679</v>
      </c>
      <c r="G121" s="188">
        <f t="shared" si="22"/>
        <v>3.030303030303029E-2</v>
      </c>
      <c r="I121" s="69">
        <v>33</v>
      </c>
      <c r="J121" s="71">
        <v>167.53846153846152</v>
      </c>
      <c r="K121" s="69">
        <v>0</v>
      </c>
      <c r="L121" s="71">
        <v>167.53846153846152</v>
      </c>
      <c r="M121" s="197">
        <f t="shared" si="23"/>
        <v>3.0303030303030241E-2</v>
      </c>
      <c r="O121" s="69">
        <v>33</v>
      </c>
      <c r="P121" s="71">
        <v>129.32432432432432</v>
      </c>
      <c r="Q121" s="69">
        <v>0</v>
      </c>
      <c r="R121" s="71">
        <v>129.32432432432432</v>
      </c>
      <c r="S121" s="188">
        <f t="shared" si="24"/>
        <v>3.0303030303030307E-2</v>
      </c>
      <c r="Y121" s="191"/>
      <c r="AE121" s="191"/>
    </row>
    <row r="122" spans="1:31" s="68" customFormat="1" x14ac:dyDescent="0.2">
      <c r="A122" s="494"/>
      <c r="C122" s="69">
        <v>34</v>
      </c>
      <c r="D122" s="71">
        <v>215.76923076923063</v>
      </c>
      <c r="E122" s="69">
        <v>0</v>
      </c>
      <c r="F122" s="71">
        <v>215.76923076923063</v>
      </c>
      <c r="G122" s="188">
        <f t="shared" si="22"/>
        <v>2.9411764705882342E-2</v>
      </c>
      <c r="I122" s="68">
        <v>34</v>
      </c>
      <c r="J122" s="71">
        <v>172.61538461538458</v>
      </c>
      <c r="K122" s="69">
        <v>0</v>
      </c>
      <c r="L122" s="71">
        <v>172.61538461538458</v>
      </c>
      <c r="M122" s="197">
        <f t="shared" si="23"/>
        <v>2.9411764705882294E-2</v>
      </c>
      <c r="O122" s="68">
        <v>34</v>
      </c>
      <c r="P122" s="71">
        <v>133.24324324324323</v>
      </c>
      <c r="Q122" s="69">
        <v>0</v>
      </c>
      <c r="R122" s="71">
        <v>133.24324324324323</v>
      </c>
      <c r="S122" s="188">
        <f t="shared" si="24"/>
        <v>2.9411764705882252E-2</v>
      </c>
      <c r="Y122" s="191"/>
      <c r="AE122" s="191"/>
    </row>
    <row r="123" spans="1:31" s="68" customFormat="1" x14ac:dyDescent="0.2">
      <c r="A123" s="494"/>
      <c r="C123" s="69">
        <v>35</v>
      </c>
      <c r="D123" s="71">
        <v>222.11538461538447</v>
      </c>
      <c r="E123" s="69">
        <v>0</v>
      </c>
      <c r="F123" s="71">
        <v>222.11538461538447</v>
      </c>
      <c r="G123" s="188">
        <f t="shared" si="22"/>
        <v>2.857142857142856E-2</v>
      </c>
      <c r="I123" s="69">
        <v>35</v>
      </c>
      <c r="J123" s="71">
        <v>177.69230769230765</v>
      </c>
      <c r="K123" s="69">
        <v>0</v>
      </c>
      <c r="L123" s="71">
        <v>177.69230769230765</v>
      </c>
      <c r="M123" s="197">
        <f t="shared" si="23"/>
        <v>2.8571428571428515E-2</v>
      </c>
      <c r="O123" s="69">
        <v>35</v>
      </c>
      <c r="P123" s="71">
        <v>137.16216216216213</v>
      </c>
      <c r="Q123" s="69">
        <v>0</v>
      </c>
      <c r="R123" s="71">
        <v>137.16216216216213</v>
      </c>
      <c r="S123" s="188">
        <f t="shared" si="24"/>
        <v>2.8571428571428477E-2</v>
      </c>
      <c r="Y123" s="191"/>
      <c r="AE123" s="191"/>
    </row>
    <row r="124" spans="1:31" s="68" customFormat="1" x14ac:dyDescent="0.2">
      <c r="A124" s="495" t="s">
        <v>702</v>
      </c>
      <c r="C124" s="69">
        <v>36</v>
      </c>
      <c r="D124" s="71">
        <v>228.46153846153831</v>
      </c>
      <c r="E124" s="69">
        <v>0</v>
      </c>
      <c r="F124" s="71">
        <v>228.46153846153831</v>
      </c>
      <c r="G124" s="188">
        <f t="shared" si="22"/>
        <v>2.7777777777777766E-2</v>
      </c>
      <c r="I124" s="68">
        <v>36</v>
      </c>
      <c r="J124" s="71">
        <v>182.76923076923072</v>
      </c>
      <c r="K124" s="69">
        <v>0</v>
      </c>
      <c r="L124" s="71">
        <v>182.76923076923072</v>
      </c>
      <c r="M124" s="197">
        <f t="shared" si="23"/>
        <v>2.7777777777777728E-2</v>
      </c>
      <c r="O124" s="68">
        <v>36</v>
      </c>
      <c r="P124" s="71">
        <v>141.08108108108104</v>
      </c>
      <c r="Q124" s="69">
        <v>0</v>
      </c>
      <c r="R124" s="71">
        <v>141.08108108108104</v>
      </c>
      <c r="S124" s="188">
        <f t="shared" si="24"/>
        <v>2.7777777777777689E-2</v>
      </c>
      <c r="Y124" s="191"/>
      <c r="AE124" s="191"/>
    </row>
    <row r="125" spans="1:31" s="68" customFormat="1" x14ac:dyDescent="0.2">
      <c r="A125" s="495"/>
      <c r="C125" s="69">
        <v>37</v>
      </c>
      <c r="D125" s="71">
        <v>234.80769230769215</v>
      </c>
      <c r="E125" s="69">
        <v>0</v>
      </c>
      <c r="F125" s="71">
        <v>234.80769230769215</v>
      </c>
      <c r="G125" s="188">
        <f t="shared" si="22"/>
        <v>2.7027027027027018E-2</v>
      </c>
      <c r="I125" s="69">
        <v>37</v>
      </c>
      <c r="J125" s="71">
        <v>187.84615384615378</v>
      </c>
      <c r="K125" s="69">
        <v>0</v>
      </c>
      <c r="L125" s="71">
        <v>187.84615384615378</v>
      </c>
      <c r="M125" s="197">
        <f t="shared" si="23"/>
        <v>2.7027027027026976E-2</v>
      </c>
      <c r="O125" s="69">
        <v>37</v>
      </c>
      <c r="P125" s="71">
        <v>144.99999999999994</v>
      </c>
      <c r="Q125" s="69">
        <v>0</v>
      </c>
      <c r="R125" s="71">
        <v>144.99999999999994</v>
      </c>
      <c r="S125" s="188">
        <f t="shared" si="24"/>
        <v>2.7027027027026942E-2</v>
      </c>
      <c r="Y125" s="191"/>
      <c r="AE125" s="191"/>
    </row>
    <row r="126" spans="1:31" s="68" customFormat="1" x14ac:dyDescent="0.2">
      <c r="A126" s="495"/>
      <c r="C126" s="69">
        <v>38</v>
      </c>
      <c r="D126" s="71">
        <v>241.15384615384599</v>
      </c>
      <c r="E126" s="69">
        <v>0</v>
      </c>
      <c r="F126" s="71">
        <v>241.15384615384599</v>
      </c>
      <c r="G126" s="188">
        <f t="shared" si="22"/>
        <v>2.6315789473684202E-2</v>
      </c>
      <c r="I126" s="68">
        <v>38</v>
      </c>
      <c r="J126" s="71">
        <v>192.92307692307685</v>
      </c>
      <c r="K126" s="69">
        <v>0</v>
      </c>
      <c r="L126" s="71">
        <v>192.92307692307685</v>
      </c>
      <c r="M126" s="197">
        <f t="shared" si="23"/>
        <v>2.6315789473684164E-2</v>
      </c>
      <c r="O126" s="68">
        <v>38</v>
      </c>
      <c r="P126" s="71">
        <v>148.91891891891885</v>
      </c>
      <c r="Q126" s="69">
        <v>0</v>
      </c>
      <c r="R126" s="71">
        <v>148.91891891891885</v>
      </c>
      <c r="S126" s="188">
        <f t="shared" si="24"/>
        <v>2.6315789473684129E-2</v>
      </c>
      <c r="Y126" s="191"/>
      <c r="AE126" s="191"/>
    </row>
    <row r="127" spans="1:31" s="68" customFormat="1" x14ac:dyDescent="0.2">
      <c r="A127" s="495"/>
      <c r="C127" s="69">
        <v>39</v>
      </c>
      <c r="D127" s="71">
        <v>247.49999999999983</v>
      </c>
      <c r="E127" s="69">
        <v>0</v>
      </c>
      <c r="F127" s="71">
        <v>247.49999999999983</v>
      </c>
      <c r="G127" s="188">
        <f t="shared" si="22"/>
        <v>2.5641025641025633E-2</v>
      </c>
      <c r="I127" s="69">
        <v>39</v>
      </c>
      <c r="J127" s="71">
        <v>197.99999999999991</v>
      </c>
      <c r="K127" s="69">
        <v>0</v>
      </c>
      <c r="L127" s="71">
        <v>197.99999999999991</v>
      </c>
      <c r="M127" s="197">
        <f t="shared" si="23"/>
        <v>2.5641025641025599E-2</v>
      </c>
      <c r="O127" s="69">
        <v>39</v>
      </c>
      <c r="P127" s="71">
        <v>152.83783783783775</v>
      </c>
      <c r="Q127" s="69">
        <v>0</v>
      </c>
      <c r="R127" s="71">
        <v>152.83783783783775</v>
      </c>
      <c r="S127" s="188">
        <f t="shared" si="24"/>
        <v>2.5641025641025564E-2</v>
      </c>
      <c r="Y127" s="191"/>
      <c r="AE127" s="191"/>
    </row>
    <row r="128" spans="1:31" s="68" customFormat="1" x14ac:dyDescent="0.2">
      <c r="A128" s="495"/>
      <c r="C128" s="69">
        <v>40</v>
      </c>
      <c r="D128" s="71">
        <v>253.84615384615367</v>
      </c>
      <c r="E128" s="69">
        <v>0</v>
      </c>
      <c r="F128" s="71">
        <v>253.84615384615367</v>
      </c>
      <c r="G128" s="188">
        <f t="shared" si="22"/>
        <v>2.4999999999999991E-2</v>
      </c>
      <c r="I128" s="68">
        <v>40</v>
      </c>
      <c r="J128" s="71">
        <v>203.07692307692298</v>
      </c>
      <c r="K128" s="69">
        <v>0</v>
      </c>
      <c r="L128" s="71">
        <v>203.07692307692298</v>
      </c>
      <c r="M128" s="197">
        <f t="shared" si="23"/>
        <v>2.4999999999999956E-2</v>
      </c>
      <c r="O128" s="68">
        <v>40</v>
      </c>
      <c r="P128" s="71">
        <v>156.75675675675666</v>
      </c>
      <c r="Q128" s="69">
        <v>0</v>
      </c>
      <c r="R128" s="71">
        <v>156.75675675675666</v>
      </c>
      <c r="S128" s="188">
        <f t="shared" si="24"/>
        <v>2.4999999999999929E-2</v>
      </c>
      <c r="Y128" s="191"/>
      <c r="AE128" s="191"/>
    </row>
    <row r="129" spans="1:31" s="68" customFormat="1" x14ac:dyDescent="0.2">
      <c r="A129" s="495"/>
      <c r="C129" s="69">
        <v>41</v>
      </c>
      <c r="D129" s="71">
        <v>260.19230769230751</v>
      </c>
      <c r="E129" s="69">
        <v>0</v>
      </c>
      <c r="F129" s="71">
        <v>260.19230769230751</v>
      </c>
      <c r="G129" s="188">
        <f t="shared" si="22"/>
        <v>2.4390243902439015E-2</v>
      </c>
      <c r="I129" s="69">
        <v>41</v>
      </c>
      <c r="J129" s="71">
        <v>208.15384615384605</v>
      </c>
      <c r="K129" s="69">
        <v>0</v>
      </c>
      <c r="L129" s="71">
        <v>208.15384615384605</v>
      </c>
      <c r="M129" s="197">
        <f t="shared" si="23"/>
        <v>2.4390243902438984E-2</v>
      </c>
      <c r="O129" s="69">
        <v>41</v>
      </c>
      <c r="P129" s="71">
        <v>160.67567567567556</v>
      </c>
      <c r="Q129" s="69">
        <v>0</v>
      </c>
      <c r="R129" s="71">
        <v>160.67567567567556</v>
      </c>
      <c r="S129" s="188">
        <f t="shared" si="24"/>
        <v>2.4390243902438956E-2</v>
      </c>
      <c r="Y129" s="191"/>
      <c r="AE129" s="191"/>
    </row>
    <row r="130" spans="1:31" s="68" customFormat="1" x14ac:dyDescent="0.2">
      <c r="A130" s="495"/>
      <c r="C130" s="69">
        <v>42</v>
      </c>
      <c r="D130" s="71">
        <v>266.53846153846138</v>
      </c>
      <c r="E130" s="69">
        <v>0</v>
      </c>
      <c r="F130" s="71">
        <v>266.53846153846138</v>
      </c>
      <c r="G130" s="188">
        <f t="shared" si="22"/>
        <v>2.3809523809523905E-2</v>
      </c>
      <c r="I130" s="68">
        <v>42</v>
      </c>
      <c r="J130" s="71">
        <v>213.23076923076911</v>
      </c>
      <c r="K130" s="69">
        <v>0</v>
      </c>
      <c r="L130" s="71">
        <v>213.23076923076911</v>
      </c>
      <c r="M130" s="197">
        <f t="shared" si="23"/>
        <v>2.380952380952377E-2</v>
      </c>
      <c r="O130" s="68">
        <v>42</v>
      </c>
      <c r="P130" s="71">
        <v>164.59459459459447</v>
      </c>
      <c r="Q130" s="69">
        <v>0</v>
      </c>
      <c r="R130" s="71">
        <v>164.59459459459447</v>
      </c>
      <c r="S130" s="188">
        <f t="shared" si="24"/>
        <v>2.3809523809523742E-2</v>
      </c>
      <c r="Y130" s="191"/>
      <c r="AE130" s="191"/>
    </row>
    <row r="131" spans="1:31" s="68" customFormat="1" x14ac:dyDescent="0.2">
      <c r="A131" s="495"/>
      <c r="C131" s="69">
        <v>43</v>
      </c>
      <c r="D131" s="71">
        <v>272.88461538461524</v>
      </c>
      <c r="E131" s="69">
        <v>0</v>
      </c>
      <c r="F131" s="71">
        <v>272.88461538461524</v>
      </c>
      <c r="G131" s="188">
        <f t="shared" si="22"/>
        <v>2.3255813953488465E-2</v>
      </c>
      <c r="I131" s="69">
        <v>43</v>
      </c>
      <c r="J131" s="71">
        <v>218.30769230769218</v>
      </c>
      <c r="K131" s="69">
        <v>0</v>
      </c>
      <c r="L131" s="71">
        <v>218.30769230769218</v>
      </c>
      <c r="M131" s="197">
        <f t="shared" si="23"/>
        <v>2.3255813953488337E-2</v>
      </c>
      <c r="O131" s="69">
        <v>43</v>
      </c>
      <c r="P131" s="71">
        <v>168.51351351351337</v>
      </c>
      <c r="Q131" s="69">
        <v>0</v>
      </c>
      <c r="R131" s="71">
        <v>168.51351351351337</v>
      </c>
      <c r="S131" s="188">
        <f t="shared" si="24"/>
        <v>2.3255813953488309E-2</v>
      </c>
      <c r="Y131" s="191"/>
      <c r="AE131" s="191"/>
    </row>
    <row r="132" spans="1:31" s="68" customFormat="1" x14ac:dyDescent="0.2">
      <c r="A132" s="495"/>
      <c r="C132" s="69">
        <v>44</v>
      </c>
      <c r="D132" s="71">
        <v>279.23076923076911</v>
      </c>
      <c r="E132" s="69">
        <v>0</v>
      </c>
      <c r="F132" s="71">
        <v>279.23076923076911</v>
      </c>
      <c r="G132" s="188">
        <f t="shared" si="22"/>
        <v>2.2727272727272815E-2</v>
      </c>
      <c r="I132" s="68">
        <v>44</v>
      </c>
      <c r="J132" s="71">
        <v>223.38461538461524</v>
      </c>
      <c r="K132" s="69">
        <v>0</v>
      </c>
      <c r="L132" s="71">
        <v>223.38461538461524</v>
      </c>
      <c r="M132" s="197">
        <f t="shared" si="23"/>
        <v>2.2727272727272693E-2</v>
      </c>
      <c r="O132" s="68">
        <v>44</v>
      </c>
      <c r="P132" s="71">
        <v>172.43243243243228</v>
      </c>
      <c r="Q132" s="69">
        <v>0</v>
      </c>
      <c r="R132" s="71">
        <v>172.43243243243228</v>
      </c>
      <c r="S132" s="188">
        <f t="shared" si="24"/>
        <v>2.2727272727272669E-2</v>
      </c>
      <c r="Y132" s="191"/>
      <c r="AE132" s="191"/>
    </row>
    <row r="133" spans="1:31" s="68" customFormat="1" x14ac:dyDescent="0.2">
      <c r="A133" s="495"/>
      <c r="C133" s="69">
        <v>45</v>
      </c>
      <c r="D133" s="71">
        <v>285.57692307692298</v>
      </c>
      <c r="E133" s="69">
        <v>0</v>
      </c>
      <c r="F133" s="71">
        <v>285.57692307692298</v>
      </c>
      <c r="G133" s="188">
        <f t="shared" si="22"/>
        <v>2.2222222222222306E-2</v>
      </c>
      <c r="I133" s="69">
        <v>45</v>
      </c>
      <c r="J133" s="71">
        <v>228.46153846153831</v>
      </c>
      <c r="K133" s="69">
        <v>0</v>
      </c>
      <c r="L133" s="71">
        <v>228.46153846153831</v>
      </c>
      <c r="M133" s="197">
        <f t="shared" si="23"/>
        <v>2.2222222222222188E-2</v>
      </c>
      <c r="O133" s="69">
        <v>45</v>
      </c>
      <c r="P133" s="71">
        <v>176.35135135135118</v>
      </c>
      <c r="Q133" s="69">
        <v>0</v>
      </c>
      <c r="R133" s="71">
        <v>176.35135135135118</v>
      </c>
      <c r="S133" s="188">
        <f t="shared" si="24"/>
        <v>2.2222222222222164E-2</v>
      </c>
      <c r="Y133" s="191"/>
      <c r="AE133" s="191"/>
    </row>
    <row r="134" spans="1:31" s="68" customFormat="1" x14ac:dyDescent="0.2">
      <c r="A134" s="495"/>
      <c r="C134" s="69">
        <v>46</v>
      </c>
      <c r="D134" s="71">
        <v>291.92307692307685</v>
      </c>
      <c r="E134" s="69">
        <v>0</v>
      </c>
      <c r="F134" s="71">
        <v>291.92307692307685</v>
      </c>
      <c r="G134" s="188">
        <f t="shared" si="22"/>
        <v>2.1739130434782688E-2</v>
      </c>
      <c r="I134" s="68">
        <v>46</v>
      </c>
      <c r="J134" s="71">
        <v>233.53846153846138</v>
      </c>
      <c r="K134" s="69">
        <v>0</v>
      </c>
      <c r="L134" s="71">
        <v>233.53846153846138</v>
      </c>
      <c r="M134" s="197">
        <f t="shared" si="23"/>
        <v>2.1739130434782577E-2</v>
      </c>
      <c r="O134" s="68">
        <v>46</v>
      </c>
      <c r="P134" s="71">
        <v>180.27027027027009</v>
      </c>
      <c r="Q134" s="69">
        <v>0</v>
      </c>
      <c r="R134" s="71">
        <v>180.27027027027009</v>
      </c>
      <c r="S134" s="188">
        <f t="shared" si="24"/>
        <v>2.1739130434782553E-2</v>
      </c>
      <c r="Y134" s="191"/>
      <c r="AE134" s="191"/>
    </row>
    <row r="135" spans="1:31" s="68" customFormat="1" x14ac:dyDescent="0.2">
      <c r="A135" s="495"/>
      <c r="C135" s="69">
        <v>47</v>
      </c>
      <c r="D135" s="71">
        <v>298.26923076923072</v>
      </c>
      <c r="E135" s="69">
        <v>0</v>
      </c>
      <c r="F135" s="71">
        <v>298.26923076923072</v>
      </c>
      <c r="G135" s="188">
        <f t="shared" si="22"/>
        <v>2.1276595744680927E-2</v>
      </c>
      <c r="I135" s="69">
        <v>47</v>
      </c>
      <c r="J135" s="71">
        <v>238.61538461538444</v>
      </c>
      <c r="K135" s="69">
        <v>0</v>
      </c>
      <c r="L135" s="71">
        <v>238.61538461538444</v>
      </c>
      <c r="M135" s="197">
        <f t="shared" si="23"/>
        <v>2.1276595744680819E-2</v>
      </c>
      <c r="O135" s="69">
        <v>47</v>
      </c>
      <c r="P135" s="71">
        <v>184.18918918918899</v>
      </c>
      <c r="Q135" s="69">
        <v>0</v>
      </c>
      <c r="R135" s="71">
        <v>184.18918918918899</v>
      </c>
      <c r="S135" s="188">
        <f t="shared" si="24"/>
        <v>2.1276595744680799E-2</v>
      </c>
      <c r="Y135" s="191"/>
      <c r="AE135" s="191"/>
    </row>
    <row r="136" spans="1:31" s="68" customFormat="1" x14ac:dyDescent="0.2">
      <c r="A136" s="495"/>
      <c r="C136" s="69">
        <v>48</v>
      </c>
      <c r="D136" s="71">
        <v>304.61538461538458</v>
      </c>
      <c r="E136" s="69">
        <v>0</v>
      </c>
      <c r="F136" s="71">
        <v>304.61538461538458</v>
      </c>
      <c r="G136" s="188">
        <f t="shared" si="22"/>
        <v>2.0833333333333409E-2</v>
      </c>
      <c r="I136" s="68">
        <v>48</v>
      </c>
      <c r="J136" s="71">
        <v>243.69230769230751</v>
      </c>
      <c r="K136" s="69">
        <v>0</v>
      </c>
      <c r="L136" s="71">
        <v>243.69230769230751</v>
      </c>
      <c r="M136" s="197">
        <f t="shared" si="23"/>
        <v>2.0833333333333304E-2</v>
      </c>
      <c r="O136" s="68">
        <v>48</v>
      </c>
      <c r="P136" s="71">
        <v>188.1081081081079</v>
      </c>
      <c r="Q136" s="69">
        <v>0</v>
      </c>
      <c r="R136" s="71">
        <v>188.1081081081079</v>
      </c>
      <c r="S136" s="188">
        <f t="shared" si="24"/>
        <v>2.0833333333333284E-2</v>
      </c>
      <c r="Y136" s="191"/>
      <c r="AE136" s="191"/>
    </row>
    <row r="137" spans="1:31" s="68" customFormat="1" x14ac:dyDescent="0.2">
      <c r="A137" s="495"/>
      <c r="C137" s="69">
        <v>49</v>
      </c>
      <c r="D137" s="71">
        <v>310.96153846153845</v>
      </c>
      <c r="E137" s="69">
        <v>0</v>
      </c>
      <c r="F137" s="71">
        <v>310.96153846153845</v>
      </c>
      <c r="G137" s="188">
        <f t="shared" si="22"/>
        <v>2.0408163265306194E-2</v>
      </c>
      <c r="I137" s="69">
        <v>49</v>
      </c>
      <c r="J137" s="71">
        <v>248.76923076923057</v>
      </c>
      <c r="K137" s="69">
        <v>0</v>
      </c>
      <c r="L137" s="71">
        <v>248.76923076923057</v>
      </c>
      <c r="M137" s="197">
        <f t="shared" si="23"/>
        <v>2.0408163265306093E-2</v>
      </c>
      <c r="O137" s="69">
        <v>49</v>
      </c>
      <c r="P137" s="71">
        <v>192.0270270270268</v>
      </c>
      <c r="Q137" s="69">
        <v>0</v>
      </c>
      <c r="R137" s="71">
        <v>192.0270270270268</v>
      </c>
      <c r="S137" s="188">
        <f t="shared" si="24"/>
        <v>2.0408163265306076E-2</v>
      </c>
      <c r="Y137" s="191"/>
      <c r="AE137" s="191"/>
    </row>
    <row r="138" spans="1:31" s="68" customFormat="1" x14ac:dyDescent="0.2">
      <c r="A138" s="495"/>
      <c r="C138" s="69">
        <v>50</v>
      </c>
      <c r="D138" s="71">
        <v>317.30769230769232</v>
      </c>
      <c r="E138" s="69">
        <v>0</v>
      </c>
      <c r="F138" s="71">
        <v>317.30769230769232</v>
      </c>
      <c r="G138" s="188">
        <f t="shared" si="22"/>
        <v>2.000000000000007E-2</v>
      </c>
      <c r="I138" s="68">
        <v>50</v>
      </c>
      <c r="J138" s="71">
        <v>253.84615384615364</v>
      </c>
      <c r="K138" s="69">
        <v>0</v>
      </c>
      <c r="L138" s="71">
        <v>253.84615384615364</v>
      </c>
      <c r="M138" s="197">
        <f t="shared" si="23"/>
        <v>1.9999999999999973E-2</v>
      </c>
      <c r="O138" s="68">
        <v>50</v>
      </c>
      <c r="P138" s="71">
        <v>195.94594594594571</v>
      </c>
      <c r="Q138" s="69">
        <v>0</v>
      </c>
      <c r="R138" s="71">
        <v>195.94594594594571</v>
      </c>
      <c r="S138" s="188">
        <f t="shared" si="24"/>
        <v>1.9999999999999955E-2</v>
      </c>
      <c r="Y138" s="191"/>
      <c r="AE138" s="191"/>
    </row>
    <row r="139" spans="1:31" s="68" customFormat="1" x14ac:dyDescent="0.2">
      <c r="A139" s="495"/>
      <c r="C139" s="69">
        <v>51</v>
      </c>
      <c r="D139" s="71">
        <v>323.65384615384619</v>
      </c>
      <c r="E139" s="69">
        <v>0</v>
      </c>
      <c r="F139" s="71">
        <v>323.65384615384619</v>
      </c>
      <c r="G139" s="188">
        <f t="shared" si="22"/>
        <v>1.9607843137254968E-2</v>
      </c>
      <c r="I139" s="69">
        <v>51</v>
      </c>
      <c r="J139" s="71">
        <v>258.92307692307674</v>
      </c>
      <c r="K139" s="69">
        <v>0</v>
      </c>
      <c r="L139" s="71">
        <v>258.92307692307674</v>
      </c>
      <c r="M139" s="197">
        <f t="shared" si="23"/>
        <v>1.9607843137254985E-2</v>
      </c>
      <c r="O139" s="69">
        <v>51</v>
      </c>
      <c r="P139" s="71">
        <v>199.86486486486461</v>
      </c>
      <c r="Q139" s="69">
        <v>0</v>
      </c>
      <c r="R139" s="71">
        <v>199.86486486486461</v>
      </c>
      <c r="S139" s="188">
        <f t="shared" si="24"/>
        <v>1.9607843137254857E-2</v>
      </c>
      <c r="Y139" s="191"/>
      <c r="AE139" s="191"/>
    </row>
    <row r="140" spans="1:31" s="68" customFormat="1" x14ac:dyDescent="0.2">
      <c r="A140" s="495"/>
      <c r="C140" s="69">
        <v>52</v>
      </c>
      <c r="D140" s="68">
        <v>330</v>
      </c>
      <c r="E140" s="69">
        <v>76</v>
      </c>
      <c r="F140" s="71">
        <v>254</v>
      </c>
      <c r="G140" s="188">
        <f t="shared" si="22"/>
        <v>1.9230769230769124E-2</v>
      </c>
      <c r="I140" s="68">
        <v>52</v>
      </c>
      <c r="J140" s="71">
        <v>263.99999999999983</v>
      </c>
      <c r="K140" s="69">
        <v>0</v>
      </c>
      <c r="L140" s="71">
        <v>263.99999999999983</v>
      </c>
      <c r="M140" s="197">
        <f t="shared" si="23"/>
        <v>1.9230769230769308E-2</v>
      </c>
      <c r="O140" s="68">
        <v>52</v>
      </c>
      <c r="P140" s="71">
        <v>203.78378378378352</v>
      </c>
      <c r="Q140" s="69">
        <v>0</v>
      </c>
      <c r="R140" s="71">
        <v>203.78378378378352</v>
      </c>
      <c r="S140" s="188">
        <f t="shared" si="24"/>
        <v>1.9230769230769187E-2</v>
      </c>
      <c r="Y140" s="191"/>
      <c r="AE140" s="191"/>
    </row>
    <row r="141" spans="1:31" s="68" customFormat="1" x14ac:dyDescent="0.2">
      <c r="A141" s="495"/>
      <c r="G141" s="191"/>
      <c r="I141" s="69">
        <v>53</v>
      </c>
      <c r="J141" s="71">
        <v>269.07692307692292</v>
      </c>
      <c r="K141" s="69">
        <v>0</v>
      </c>
      <c r="L141" s="71">
        <v>269.07692307692292</v>
      </c>
      <c r="M141" s="197">
        <f t="shared" si="23"/>
        <v>1.8867924528301962E-2</v>
      </c>
      <c r="O141" s="69">
        <v>53</v>
      </c>
      <c r="P141" s="71">
        <v>207.70270270270242</v>
      </c>
      <c r="Q141" s="69">
        <v>0</v>
      </c>
      <c r="R141" s="71">
        <v>207.70270270270242</v>
      </c>
      <c r="S141" s="188">
        <f t="shared" si="24"/>
        <v>1.8867924528301844E-2</v>
      </c>
      <c r="Y141" s="191"/>
      <c r="AE141" s="191"/>
    </row>
    <row r="142" spans="1:31" s="68" customFormat="1" x14ac:dyDescent="0.2">
      <c r="A142" s="495"/>
      <c r="G142" s="191"/>
      <c r="I142" s="68">
        <v>54</v>
      </c>
      <c r="J142" s="71">
        <v>274.15384615384602</v>
      </c>
      <c r="K142" s="69">
        <v>0</v>
      </c>
      <c r="L142" s="71">
        <v>274.15384615384602</v>
      </c>
      <c r="M142" s="197">
        <f t="shared" si="23"/>
        <v>1.851851851851859E-2</v>
      </c>
      <c r="O142" s="68">
        <v>54</v>
      </c>
      <c r="P142" s="71">
        <v>211.62162162162133</v>
      </c>
      <c r="Q142" s="69">
        <v>0</v>
      </c>
      <c r="R142" s="71">
        <v>211.62162162162133</v>
      </c>
      <c r="S142" s="188">
        <f t="shared" si="24"/>
        <v>1.8518518518518479E-2</v>
      </c>
      <c r="Y142" s="191"/>
      <c r="AE142" s="191"/>
    </row>
    <row r="143" spans="1:31" s="68" customFormat="1" x14ac:dyDescent="0.2">
      <c r="A143" s="495"/>
      <c r="G143" s="191"/>
      <c r="I143" s="69">
        <v>55</v>
      </c>
      <c r="J143" s="71">
        <v>279.23076923076911</v>
      </c>
      <c r="K143" s="69">
        <v>0</v>
      </c>
      <c r="L143" s="71">
        <v>279.23076923076911</v>
      </c>
      <c r="M143" s="197">
        <f t="shared" si="23"/>
        <v>1.8181818181818254E-2</v>
      </c>
      <c r="O143" s="69">
        <v>55</v>
      </c>
      <c r="P143" s="71">
        <v>215.54054054054023</v>
      </c>
      <c r="Q143" s="69">
        <v>0</v>
      </c>
      <c r="R143" s="71">
        <v>215.54054054054023</v>
      </c>
      <c r="S143" s="188">
        <f t="shared" si="24"/>
        <v>1.8181818181818143E-2</v>
      </c>
      <c r="Y143" s="191"/>
      <c r="AE143" s="191"/>
    </row>
    <row r="144" spans="1:31" s="68" customFormat="1" x14ac:dyDescent="0.2">
      <c r="A144" s="495"/>
      <c r="G144" s="191"/>
      <c r="I144" s="68">
        <v>56</v>
      </c>
      <c r="J144" s="71">
        <v>284.30769230769221</v>
      </c>
      <c r="K144" s="69">
        <v>0</v>
      </c>
      <c r="L144" s="71">
        <v>284.30769230769221</v>
      </c>
      <c r="M144" s="197">
        <f t="shared" si="23"/>
        <v>1.7857142857142926E-2</v>
      </c>
      <c r="O144" s="68">
        <v>56</v>
      </c>
      <c r="P144" s="71">
        <v>219.45945945945914</v>
      </c>
      <c r="Q144" s="69">
        <v>0</v>
      </c>
      <c r="R144" s="71">
        <v>219.45945945945914</v>
      </c>
      <c r="S144" s="188">
        <f t="shared" si="24"/>
        <v>1.7857142857142821E-2</v>
      </c>
      <c r="Y144" s="191"/>
      <c r="AE144" s="191"/>
    </row>
    <row r="145" spans="1:31" s="68" customFormat="1" x14ac:dyDescent="0.2">
      <c r="A145" s="495"/>
      <c r="G145" s="191"/>
      <c r="I145" s="69">
        <v>57</v>
      </c>
      <c r="J145" s="71">
        <v>289.3846153846153</v>
      </c>
      <c r="K145" s="69">
        <v>0</v>
      </c>
      <c r="L145" s="71">
        <v>289.3846153846153</v>
      </c>
      <c r="M145" s="197">
        <f t="shared" si="23"/>
        <v>1.7543859649122872E-2</v>
      </c>
      <c r="O145" s="69">
        <v>57</v>
      </c>
      <c r="P145" s="71">
        <v>223.37837837837804</v>
      </c>
      <c r="Q145" s="69">
        <v>0</v>
      </c>
      <c r="R145" s="71">
        <v>223.37837837837804</v>
      </c>
      <c r="S145" s="188">
        <f t="shared" si="24"/>
        <v>1.7543859649122771E-2</v>
      </c>
      <c r="Y145" s="191"/>
      <c r="AE145" s="191"/>
    </row>
    <row r="146" spans="1:31" s="68" customFormat="1" x14ac:dyDescent="0.2">
      <c r="A146" s="495"/>
      <c r="G146" s="191"/>
      <c r="I146" s="68">
        <v>58</v>
      </c>
      <c r="J146" s="71">
        <v>294.4615384615384</v>
      </c>
      <c r="K146" s="69">
        <v>0</v>
      </c>
      <c r="L146" s="71">
        <v>294.4615384615384</v>
      </c>
      <c r="M146" s="197">
        <f t="shared" si="23"/>
        <v>1.724137931034489E-2</v>
      </c>
      <c r="O146" s="68">
        <v>58</v>
      </c>
      <c r="P146" s="71">
        <v>227.29729729729695</v>
      </c>
      <c r="Q146" s="69">
        <v>0</v>
      </c>
      <c r="R146" s="71">
        <v>227.29729729729695</v>
      </c>
      <c r="S146" s="188">
        <f t="shared" si="24"/>
        <v>1.7241379310344793E-2</v>
      </c>
      <c r="Y146" s="191"/>
      <c r="AE146" s="191"/>
    </row>
    <row r="147" spans="1:31" s="68" customFormat="1" x14ac:dyDescent="0.2">
      <c r="A147" s="495"/>
      <c r="G147" s="191"/>
      <c r="I147" s="69">
        <v>59</v>
      </c>
      <c r="J147" s="71">
        <v>299.53846153846149</v>
      </c>
      <c r="K147" s="69">
        <v>0</v>
      </c>
      <c r="L147" s="71">
        <v>299.53846153846149</v>
      </c>
      <c r="M147" s="197">
        <f t="shared" si="23"/>
        <v>1.6949152542372944E-2</v>
      </c>
      <c r="O147" s="69">
        <v>59</v>
      </c>
      <c r="P147" s="71">
        <v>231.21621621621586</v>
      </c>
      <c r="Q147" s="69">
        <v>0</v>
      </c>
      <c r="R147" s="71">
        <v>231.21621621621586</v>
      </c>
      <c r="S147" s="188">
        <f t="shared" si="24"/>
        <v>1.6949152542372847E-2</v>
      </c>
      <c r="Y147" s="191"/>
      <c r="AE147" s="191"/>
    </row>
    <row r="148" spans="1:31" s="68" customFormat="1" x14ac:dyDescent="0.2">
      <c r="A148" s="495"/>
      <c r="G148" s="191"/>
      <c r="I148" s="68">
        <v>60</v>
      </c>
      <c r="J148" s="71">
        <v>304.61538461538458</v>
      </c>
      <c r="K148" s="69">
        <v>0</v>
      </c>
      <c r="L148" s="71">
        <v>304.61538461538458</v>
      </c>
      <c r="M148" s="197">
        <f t="shared" si="23"/>
        <v>1.6666666666666725E-2</v>
      </c>
      <c r="O148" s="68">
        <v>60</v>
      </c>
      <c r="P148" s="71">
        <v>235.13513513513476</v>
      </c>
      <c r="Q148" s="69">
        <v>0</v>
      </c>
      <c r="R148" s="71">
        <v>235.13513513513476</v>
      </c>
      <c r="S148" s="188">
        <f t="shared" si="24"/>
        <v>1.6666666666666635E-2</v>
      </c>
      <c r="Y148" s="191"/>
      <c r="AE148" s="191"/>
    </row>
    <row r="149" spans="1:31" s="68" customFormat="1" x14ac:dyDescent="0.2">
      <c r="A149" s="495"/>
      <c r="G149" s="191"/>
      <c r="I149" s="69">
        <v>61</v>
      </c>
      <c r="J149" s="71">
        <v>309.69230769230768</v>
      </c>
      <c r="K149" s="69">
        <v>0</v>
      </c>
      <c r="L149" s="71">
        <v>309.69230769230768</v>
      </c>
      <c r="M149" s="197">
        <f t="shared" si="23"/>
        <v>1.6393442622950876E-2</v>
      </c>
      <c r="O149" s="69">
        <v>61</v>
      </c>
      <c r="P149" s="71">
        <v>239.05405405405367</v>
      </c>
      <c r="Q149" s="69">
        <v>0</v>
      </c>
      <c r="R149" s="71">
        <v>239.05405405405367</v>
      </c>
      <c r="S149" s="188">
        <f t="shared" si="24"/>
        <v>1.6393442622950789E-2</v>
      </c>
      <c r="Y149" s="191"/>
      <c r="AE149" s="191"/>
    </row>
    <row r="150" spans="1:31" s="68" customFormat="1" x14ac:dyDescent="0.2">
      <c r="A150" s="495"/>
      <c r="G150" s="191"/>
      <c r="I150" s="68">
        <v>62</v>
      </c>
      <c r="J150" s="71">
        <v>314.76923076923077</v>
      </c>
      <c r="K150" s="69">
        <v>0</v>
      </c>
      <c r="L150" s="71">
        <v>314.76923076923077</v>
      </c>
      <c r="M150" s="197">
        <f t="shared" si="23"/>
        <v>1.6129032258064571E-2</v>
      </c>
      <c r="O150" s="68">
        <v>62</v>
      </c>
      <c r="P150" s="71">
        <v>242.97297297297257</v>
      </c>
      <c r="Q150" s="69">
        <v>0</v>
      </c>
      <c r="R150" s="71">
        <v>242.97297297297257</v>
      </c>
      <c r="S150" s="188">
        <f t="shared" si="24"/>
        <v>1.6129032258064484E-2</v>
      </c>
      <c r="Y150" s="191"/>
      <c r="AE150" s="191"/>
    </row>
    <row r="151" spans="1:31" s="68" customFormat="1" x14ac:dyDescent="0.2">
      <c r="A151" s="495"/>
      <c r="G151" s="191"/>
      <c r="I151" s="69">
        <v>63</v>
      </c>
      <c r="J151" s="71">
        <v>319.84615384615387</v>
      </c>
      <c r="K151" s="69">
        <v>0</v>
      </c>
      <c r="L151" s="71">
        <v>319.84615384615387</v>
      </c>
      <c r="M151" s="197">
        <f t="shared" si="23"/>
        <v>1.5873015873015928E-2</v>
      </c>
      <c r="O151" s="69">
        <v>63</v>
      </c>
      <c r="P151" s="71">
        <v>246.89189189189148</v>
      </c>
      <c r="Q151" s="69">
        <v>0</v>
      </c>
      <c r="R151" s="71">
        <v>246.89189189189148</v>
      </c>
      <c r="S151" s="188">
        <f t="shared" si="24"/>
        <v>1.5873015873015844E-2</v>
      </c>
      <c r="Y151" s="191"/>
      <c r="AE151" s="191"/>
    </row>
    <row r="152" spans="1:31" s="68" customFormat="1" x14ac:dyDescent="0.2">
      <c r="A152" s="495"/>
      <c r="G152" s="191"/>
      <c r="I152" s="68">
        <v>64</v>
      </c>
      <c r="J152" s="71">
        <v>324.92307692307696</v>
      </c>
      <c r="K152" s="69">
        <v>0</v>
      </c>
      <c r="L152" s="71">
        <v>324.92307692307696</v>
      </c>
      <c r="M152" s="197">
        <f t="shared" si="23"/>
        <v>1.5625000000000052E-2</v>
      </c>
      <c r="O152" s="68">
        <v>64</v>
      </c>
      <c r="P152" s="71">
        <v>250.81081081081038</v>
      </c>
      <c r="Q152" s="69">
        <v>0</v>
      </c>
      <c r="R152" s="71">
        <v>250.81081081081038</v>
      </c>
      <c r="S152" s="188">
        <f t="shared" si="24"/>
        <v>1.5624999999999972E-2</v>
      </c>
      <c r="Y152" s="191"/>
      <c r="AE152" s="191"/>
    </row>
    <row r="153" spans="1:31" s="68" customFormat="1" x14ac:dyDescent="0.2">
      <c r="A153" s="495"/>
      <c r="G153" s="191"/>
      <c r="I153" s="69">
        <v>65</v>
      </c>
      <c r="J153" s="68">
        <v>330</v>
      </c>
      <c r="K153" s="69">
        <v>80</v>
      </c>
      <c r="L153" s="71">
        <v>250</v>
      </c>
      <c r="M153" s="197">
        <f t="shared" si="23"/>
        <v>1.5384615384615266E-2</v>
      </c>
      <c r="O153" s="69">
        <v>65</v>
      </c>
      <c r="P153" s="71">
        <v>254.72972972972929</v>
      </c>
      <c r="Q153" s="69">
        <v>0</v>
      </c>
      <c r="R153" s="71">
        <v>254.72972972972929</v>
      </c>
      <c r="S153" s="188">
        <f t="shared" si="24"/>
        <v>1.5384615384615358E-2</v>
      </c>
      <c r="Y153" s="191"/>
      <c r="AE153" s="191"/>
    </row>
    <row r="154" spans="1:31" s="4" customFormat="1" ht="16" x14ac:dyDescent="0.2">
      <c r="A154" s="495"/>
      <c r="G154" s="16"/>
      <c r="M154" s="245"/>
      <c r="O154" s="68">
        <v>66</v>
      </c>
      <c r="P154" s="71">
        <v>258.64864864864819</v>
      </c>
      <c r="Q154" s="69">
        <v>0</v>
      </c>
      <c r="R154" s="71">
        <v>258.64864864864819</v>
      </c>
      <c r="S154" s="188">
        <f t="shared" si="24"/>
        <v>1.5151515151515124E-2</v>
      </c>
      <c r="Y154" s="16"/>
      <c r="AE154" s="16"/>
    </row>
    <row r="155" spans="1:31" s="4" customFormat="1" ht="16" x14ac:dyDescent="0.2">
      <c r="A155" s="495"/>
      <c r="G155" s="16"/>
      <c r="M155" s="16"/>
      <c r="O155" s="69">
        <v>67</v>
      </c>
      <c r="P155" s="71">
        <v>262.5675675675671</v>
      </c>
      <c r="Q155" s="69">
        <v>0</v>
      </c>
      <c r="R155" s="71">
        <v>262.5675675675671</v>
      </c>
      <c r="S155" s="188">
        <f t="shared" ref="S155:S162" si="25">((P155-R154)/P155)/(O155-O154)</f>
        <v>1.4925373134328332E-2</v>
      </c>
      <c r="Y155" s="16"/>
      <c r="AE155" s="16"/>
    </row>
    <row r="156" spans="1:31" s="4" customFormat="1" ht="16" x14ac:dyDescent="0.2">
      <c r="A156" s="495"/>
      <c r="G156" s="16"/>
      <c r="M156" s="16"/>
      <c r="O156" s="68">
        <v>68</v>
      </c>
      <c r="P156" s="71">
        <v>266.486486486486</v>
      </c>
      <c r="Q156" s="69">
        <v>0</v>
      </c>
      <c r="R156" s="71">
        <v>266.486486486486</v>
      </c>
      <c r="S156" s="188">
        <f t="shared" si="25"/>
        <v>1.4705882352941152E-2</v>
      </c>
      <c r="Y156" s="16"/>
      <c r="AE156" s="16"/>
    </row>
    <row r="157" spans="1:31" s="4" customFormat="1" ht="16" x14ac:dyDescent="0.2">
      <c r="A157" s="495"/>
      <c r="G157" s="16"/>
      <c r="M157" s="16"/>
      <c r="O157" s="69">
        <v>69</v>
      </c>
      <c r="P157" s="71">
        <v>270.40540540540491</v>
      </c>
      <c r="Q157" s="69">
        <v>0</v>
      </c>
      <c r="R157" s="71">
        <v>270.40540540540491</v>
      </c>
      <c r="S157" s="188">
        <f t="shared" si="25"/>
        <v>1.4492753623188382E-2</v>
      </c>
      <c r="Y157" s="16"/>
      <c r="AE157" s="16"/>
    </row>
    <row r="158" spans="1:31" s="4" customFormat="1" ht="16" x14ac:dyDescent="0.2">
      <c r="A158" s="495"/>
      <c r="G158" s="16"/>
      <c r="M158" s="16"/>
      <c r="O158" s="68">
        <v>70</v>
      </c>
      <c r="P158" s="71">
        <v>274.32432432432381</v>
      </c>
      <c r="Q158" s="69">
        <v>0</v>
      </c>
      <c r="R158" s="71">
        <v>274.32432432432381</v>
      </c>
      <c r="S158" s="188">
        <f t="shared" si="25"/>
        <v>1.4285714285714263E-2</v>
      </c>
      <c r="Y158" s="16"/>
      <c r="AE158" s="16"/>
    </row>
    <row r="159" spans="1:31" s="4" customFormat="1" ht="16" x14ac:dyDescent="0.2">
      <c r="A159" s="495"/>
      <c r="G159" s="16"/>
      <c r="M159" s="16"/>
      <c r="O159" s="69">
        <v>71</v>
      </c>
      <c r="P159" s="71">
        <v>278.24324324324272</v>
      </c>
      <c r="Q159" s="69">
        <v>0</v>
      </c>
      <c r="R159" s="71">
        <v>278.24324324324272</v>
      </c>
      <c r="S159" s="188">
        <f t="shared" si="25"/>
        <v>1.4084507042253499E-2</v>
      </c>
      <c r="Y159" s="16"/>
      <c r="AE159" s="16"/>
    </row>
    <row r="160" spans="1:31" s="4" customFormat="1" ht="16" x14ac:dyDescent="0.2">
      <c r="A160" s="495"/>
      <c r="G160" s="16"/>
      <c r="M160" s="16"/>
      <c r="O160" s="68">
        <v>72</v>
      </c>
      <c r="P160" s="71">
        <v>282.16216216216162</v>
      </c>
      <c r="Q160" s="69">
        <v>0</v>
      </c>
      <c r="R160" s="71">
        <v>282.16216216216162</v>
      </c>
      <c r="S160" s="188">
        <f t="shared" si="25"/>
        <v>1.3888888888888867E-2</v>
      </c>
      <c r="Y160" s="16"/>
      <c r="AE160" s="16"/>
    </row>
    <row r="161" spans="1:31" s="4" customFormat="1" ht="16" x14ac:dyDescent="0.2">
      <c r="A161" s="495"/>
      <c r="G161" s="16"/>
      <c r="M161" s="16"/>
      <c r="O161" s="69">
        <v>73</v>
      </c>
      <c r="P161" s="71">
        <v>286.08108108108053</v>
      </c>
      <c r="Q161" s="69">
        <v>0</v>
      </c>
      <c r="R161" s="71">
        <v>286.08108108108053</v>
      </c>
      <c r="S161" s="188">
        <f t="shared" si="25"/>
        <v>1.369863013698628E-2</v>
      </c>
      <c r="Y161" s="16"/>
      <c r="AE161" s="16"/>
    </row>
    <row r="162" spans="1:31" s="4" customFormat="1" ht="16" x14ac:dyDescent="0.2">
      <c r="A162" s="495"/>
      <c r="G162" s="16"/>
      <c r="M162" s="16"/>
      <c r="O162" s="68">
        <v>74</v>
      </c>
      <c r="P162" s="71">
        <v>290</v>
      </c>
      <c r="Q162" s="69">
        <v>57</v>
      </c>
      <c r="R162" s="71">
        <v>233</v>
      </c>
      <c r="S162" s="188">
        <f t="shared" si="25"/>
        <v>1.3513513513515426E-2</v>
      </c>
      <c r="Y162" s="16"/>
      <c r="AE162" s="16"/>
    </row>
    <row r="163" spans="1:31" x14ac:dyDescent="0.2">
      <c r="C163" s="7"/>
      <c r="D163" s="7"/>
      <c r="I163" s="7"/>
      <c r="J163" s="7"/>
      <c r="K163" s="7"/>
      <c r="L163" s="7"/>
    </row>
    <row r="165" spans="1:31" ht="16" customHeight="1" x14ac:dyDescent="0.2">
      <c r="A165" s="494" t="s">
        <v>703</v>
      </c>
      <c r="C165" s="7" t="s">
        <v>945</v>
      </c>
      <c r="D165" s="4"/>
      <c r="E165" s="4"/>
      <c r="F165" s="4"/>
    </row>
    <row r="166" spans="1:31" x14ac:dyDescent="0.2">
      <c r="A166" s="494"/>
      <c r="C166" s="199" t="s">
        <v>276</v>
      </c>
      <c r="D166" s="199" t="s">
        <v>126</v>
      </c>
      <c r="E166" s="199" t="s">
        <v>127</v>
      </c>
      <c r="F166" s="199" t="s">
        <v>128</v>
      </c>
      <c r="G166" s="200" t="s">
        <v>699</v>
      </c>
    </row>
    <row r="167" spans="1:31" x14ac:dyDescent="0.2">
      <c r="A167" s="494"/>
      <c r="C167" s="178">
        <v>1</v>
      </c>
      <c r="D167" s="179">
        <f>D178/12</f>
        <v>8.5833333333333339</v>
      </c>
      <c r="E167" s="178">
        <v>0</v>
      </c>
      <c r="F167" s="179">
        <v>8.5833333333333339</v>
      </c>
      <c r="G167" s="187">
        <v>0</v>
      </c>
    </row>
    <row r="168" spans="1:31" x14ac:dyDescent="0.2">
      <c r="A168" s="494"/>
      <c r="C168" s="178">
        <v>2</v>
      </c>
      <c r="D168" s="179">
        <f t="shared" ref="D168:D177" si="26">F167+D$15/C$178</f>
        <v>13.138888888888889</v>
      </c>
      <c r="E168" s="178">
        <v>0</v>
      </c>
      <c r="F168" s="179">
        <v>17.166666666666668</v>
      </c>
      <c r="G168" s="188">
        <f>((D168-F167)/D168)/(C168-C167)</f>
        <v>0.34672304439746299</v>
      </c>
    </row>
    <row r="169" spans="1:31" x14ac:dyDescent="0.2">
      <c r="A169" s="494"/>
      <c r="C169" s="178">
        <v>3</v>
      </c>
      <c r="D169" s="179">
        <f t="shared" si="26"/>
        <v>21.722222222222221</v>
      </c>
      <c r="E169" s="178">
        <v>0</v>
      </c>
      <c r="F169" s="179">
        <v>25.75</v>
      </c>
      <c r="G169" s="188">
        <f t="shared" ref="G169:G202" si="27">((D169-F168)/D169)/(C169-C168)</f>
        <v>0.20971867007672626</v>
      </c>
    </row>
    <row r="170" spans="1:31" x14ac:dyDescent="0.2">
      <c r="A170" s="494"/>
      <c r="C170" s="178">
        <v>4</v>
      </c>
      <c r="D170" s="179">
        <f t="shared" si="26"/>
        <v>30.305555555555554</v>
      </c>
      <c r="E170" s="178">
        <v>0</v>
      </c>
      <c r="F170" s="179">
        <v>34.333333333333336</v>
      </c>
      <c r="G170" s="188">
        <f t="shared" si="27"/>
        <v>0.15032080659944999</v>
      </c>
    </row>
    <row r="171" spans="1:31" x14ac:dyDescent="0.2">
      <c r="A171" s="494"/>
      <c r="C171" s="178">
        <v>5</v>
      </c>
      <c r="D171" s="179">
        <f t="shared" si="26"/>
        <v>38.888888888888893</v>
      </c>
      <c r="E171" s="178">
        <v>0</v>
      </c>
      <c r="F171" s="179">
        <v>42.916666666666671</v>
      </c>
      <c r="G171" s="188">
        <f t="shared" si="27"/>
        <v>0.11714285714285717</v>
      </c>
    </row>
    <row r="172" spans="1:31" x14ac:dyDescent="0.2">
      <c r="A172" s="494"/>
      <c r="C172" s="178">
        <v>6</v>
      </c>
      <c r="D172" s="179">
        <f t="shared" si="26"/>
        <v>47.472222222222229</v>
      </c>
      <c r="E172" s="178">
        <v>0</v>
      </c>
      <c r="F172" s="179">
        <v>51.500000000000007</v>
      </c>
      <c r="G172" s="188">
        <f t="shared" si="27"/>
        <v>9.5962551199531912E-2</v>
      </c>
    </row>
    <row r="173" spans="1:31" x14ac:dyDescent="0.2">
      <c r="A173" s="494"/>
      <c r="C173" s="178">
        <v>7</v>
      </c>
      <c r="D173" s="179">
        <f t="shared" si="26"/>
        <v>56.055555555555564</v>
      </c>
      <c r="E173" s="178">
        <v>0</v>
      </c>
      <c r="F173" s="179">
        <v>60.083333333333343</v>
      </c>
      <c r="G173" s="188">
        <f t="shared" si="27"/>
        <v>8.1268582755203184E-2</v>
      </c>
    </row>
    <row r="174" spans="1:31" x14ac:dyDescent="0.2">
      <c r="A174" s="494"/>
      <c r="C174" s="178">
        <v>8</v>
      </c>
      <c r="D174" s="179">
        <f t="shared" si="26"/>
        <v>64.6388888888889</v>
      </c>
      <c r="E174" s="178">
        <v>0</v>
      </c>
      <c r="F174" s="179">
        <v>68.666666666666671</v>
      </c>
      <c r="G174" s="188">
        <f t="shared" si="27"/>
        <v>7.0477009024495066E-2</v>
      </c>
    </row>
    <row r="175" spans="1:31" x14ac:dyDescent="0.2">
      <c r="A175" s="494"/>
      <c r="C175" s="178">
        <v>9</v>
      </c>
      <c r="D175" s="179">
        <f t="shared" si="26"/>
        <v>73.222222222222229</v>
      </c>
      <c r="E175" s="178">
        <v>0</v>
      </c>
      <c r="F175" s="179">
        <v>77.25</v>
      </c>
      <c r="G175" s="188">
        <f t="shared" si="27"/>
        <v>6.2215477996965113E-2</v>
      </c>
    </row>
    <row r="176" spans="1:31" x14ac:dyDescent="0.2">
      <c r="A176" s="494"/>
      <c r="C176" s="178">
        <v>10</v>
      </c>
      <c r="D176" s="179">
        <f t="shared" si="26"/>
        <v>81.805555555555557</v>
      </c>
      <c r="E176" s="178">
        <v>0</v>
      </c>
      <c r="F176" s="179">
        <v>85.833333333333329</v>
      </c>
      <c r="G176" s="188">
        <f t="shared" si="27"/>
        <v>5.5687606112054346E-2</v>
      </c>
    </row>
    <row r="177" spans="1:7" x14ac:dyDescent="0.2">
      <c r="A177" s="494"/>
      <c r="C177" s="178">
        <v>11</v>
      </c>
      <c r="D177" s="179">
        <f t="shared" si="26"/>
        <v>90.388888888888886</v>
      </c>
      <c r="E177" s="178">
        <v>0</v>
      </c>
      <c r="F177" s="179">
        <v>94.416666666666657</v>
      </c>
      <c r="G177" s="188">
        <f t="shared" si="27"/>
        <v>5.0399508297480043E-2</v>
      </c>
    </row>
    <row r="178" spans="1:7" x14ac:dyDescent="0.2">
      <c r="A178" s="494"/>
      <c r="C178" s="180">
        <v>12</v>
      </c>
      <c r="D178" s="180">
        <v>103</v>
      </c>
      <c r="E178" s="180">
        <v>18</v>
      </c>
      <c r="F178" s="180">
        <v>85</v>
      </c>
      <c r="G178" s="188">
        <f t="shared" si="27"/>
        <v>8.3333333333333426E-2</v>
      </c>
    </row>
    <row r="179" spans="1:7" x14ac:dyDescent="0.2">
      <c r="A179" s="494"/>
      <c r="C179" s="178">
        <v>13</v>
      </c>
      <c r="D179" s="178">
        <f>($D$184-$F$178)/($C$184-$C$178)+F178</f>
        <v>108</v>
      </c>
      <c r="E179" s="178">
        <v>0</v>
      </c>
      <c r="F179" s="178">
        <v>108</v>
      </c>
      <c r="G179" s="188">
        <f t="shared" si="27"/>
        <v>0.21296296296296297</v>
      </c>
    </row>
    <row r="180" spans="1:7" x14ac:dyDescent="0.2">
      <c r="A180" s="494"/>
      <c r="C180" s="178">
        <v>14</v>
      </c>
      <c r="D180" s="178">
        <f>($D$184-$F$178)/($C$184-$C$178)+D179</f>
        <v>131</v>
      </c>
      <c r="E180" s="178">
        <v>0</v>
      </c>
      <c r="F180" s="178">
        <v>131</v>
      </c>
      <c r="G180" s="188">
        <f t="shared" si="27"/>
        <v>0.17557251908396945</v>
      </c>
    </row>
    <row r="181" spans="1:7" x14ac:dyDescent="0.2">
      <c r="A181" s="494"/>
      <c r="C181" s="178">
        <v>15</v>
      </c>
      <c r="D181" s="178">
        <f>($D$184-$F$178)/($C$184-$C$178)+D180</f>
        <v>154</v>
      </c>
      <c r="E181" s="178">
        <v>0</v>
      </c>
      <c r="F181" s="178">
        <v>154</v>
      </c>
      <c r="G181" s="188">
        <f t="shared" si="27"/>
        <v>0.14935064935064934</v>
      </c>
    </row>
    <row r="182" spans="1:7" x14ac:dyDescent="0.2">
      <c r="A182" s="494"/>
      <c r="C182" s="178">
        <v>16</v>
      </c>
      <c r="D182" s="178">
        <f>($D$184-$F$178)/($C$184-$C$178)+D181</f>
        <v>177</v>
      </c>
      <c r="E182" s="178">
        <v>0</v>
      </c>
      <c r="F182" s="178">
        <v>177</v>
      </c>
      <c r="G182" s="188">
        <f t="shared" si="27"/>
        <v>0.12994350282485875</v>
      </c>
    </row>
    <row r="183" spans="1:7" x14ac:dyDescent="0.2">
      <c r="A183" s="494"/>
      <c r="C183" s="178">
        <v>17</v>
      </c>
      <c r="D183" s="178">
        <f>($D$184-$F$178)/($C$184-$C$178)+D182</f>
        <v>200</v>
      </c>
      <c r="E183" s="178">
        <v>0</v>
      </c>
      <c r="F183" s="178">
        <v>200</v>
      </c>
      <c r="G183" s="188">
        <f t="shared" si="27"/>
        <v>0.115</v>
      </c>
    </row>
    <row r="184" spans="1:7" x14ac:dyDescent="0.2">
      <c r="A184" s="494"/>
      <c r="C184" s="180">
        <v>18</v>
      </c>
      <c r="D184" s="180">
        <v>223</v>
      </c>
      <c r="E184" s="180">
        <v>84</v>
      </c>
      <c r="F184" s="180">
        <v>139</v>
      </c>
      <c r="G184" s="188">
        <f t="shared" si="27"/>
        <v>0.1031390134529148</v>
      </c>
    </row>
    <row r="185" spans="1:7" x14ac:dyDescent="0.2">
      <c r="A185" s="494"/>
      <c r="C185" s="178">
        <v>19</v>
      </c>
      <c r="D185" s="179">
        <f>($D$190-$F$184)/($C$190-$C$184)+F184</f>
        <v>158.16666666666666</v>
      </c>
      <c r="E185" s="178">
        <v>0</v>
      </c>
      <c r="F185" s="179">
        <v>158.16666666666666</v>
      </c>
      <c r="G185" s="188">
        <f t="shared" si="27"/>
        <v>0.12118018967334031</v>
      </c>
    </row>
    <row r="186" spans="1:7" x14ac:dyDescent="0.2">
      <c r="A186" s="494"/>
      <c r="C186" s="178">
        <v>20</v>
      </c>
      <c r="D186" s="179">
        <f>($D$190-$F$184)/($C$190-$C$184)+D185</f>
        <v>177.33333333333331</v>
      </c>
      <c r="E186" s="178">
        <v>0</v>
      </c>
      <c r="F186" s="179">
        <v>177.33333333333334</v>
      </c>
      <c r="G186" s="188">
        <f t="shared" si="27"/>
        <v>0.10808270676691725</v>
      </c>
    </row>
    <row r="187" spans="1:7" x14ac:dyDescent="0.2">
      <c r="A187" s="494"/>
      <c r="C187" s="178">
        <v>21</v>
      </c>
      <c r="D187" s="179">
        <f>($D$190-$F$184)/($C$190-$C$184)+D186</f>
        <v>196.49999999999997</v>
      </c>
      <c r="E187" s="178">
        <v>0</v>
      </c>
      <c r="F187" s="179">
        <v>196.5</v>
      </c>
      <c r="G187" s="188">
        <f t="shared" si="27"/>
        <v>9.7540288379982854E-2</v>
      </c>
    </row>
    <row r="188" spans="1:7" x14ac:dyDescent="0.2">
      <c r="A188" s="494"/>
      <c r="C188" s="178">
        <v>22</v>
      </c>
      <c r="D188" s="179">
        <f>($D$190-$F$184)/($C$190-$C$184)+D187</f>
        <v>215.66666666666663</v>
      </c>
      <c r="E188" s="178">
        <v>0</v>
      </c>
      <c r="F188" s="179">
        <v>215.66666666666669</v>
      </c>
      <c r="G188" s="188">
        <f t="shared" si="27"/>
        <v>8.8871715610509883E-2</v>
      </c>
    </row>
    <row r="189" spans="1:7" x14ac:dyDescent="0.2">
      <c r="A189" s="494"/>
      <c r="C189" s="178">
        <v>23</v>
      </c>
      <c r="D189" s="179">
        <f>($D$190-$F$184)/($C$190-$C$184)+D188</f>
        <v>234.83333333333329</v>
      </c>
      <c r="E189" s="178">
        <v>0</v>
      </c>
      <c r="F189" s="179">
        <v>234.83333333333331</v>
      </c>
      <c r="G189" s="188">
        <f t="shared" si="27"/>
        <v>8.1618168914123226E-2</v>
      </c>
    </row>
    <row r="190" spans="1:7" x14ac:dyDescent="0.2">
      <c r="A190" s="205"/>
      <c r="C190" s="180">
        <v>24</v>
      </c>
      <c r="D190" s="180">
        <v>254</v>
      </c>
      <c r="E190" s="180">
        <v>74</v>
      </c>
      <c r="F190" s="181">
        <v>180</v>
      </c>
      <c r="G190" s="188">
        <f t="shared" si="27"/>
        <v>7.5459317585301916E-2</v>
      </c>
    </row>
    <row r="191" spans="1:7" x14ac:dyDescent="0.2">
      <c r="A191" s="205"/>
      <c r="C191" s="178">
        <v>25</v>
      </c>
      <c r="D191" s="179">
        <f>($D$196-$F$190)/($C$196-$C$190)+F190</f>
        <v>196.66666666666666</v>
      </c>
      <c r="E191" s="178">
        <v>0</v>
      </c>
      <c r="F191" s="179">
        <v>196.66666666666666</v>
      </c>
      <c r="G191" s="188">
        <f t="shared" si="27"/>
        <v>8.4745762711864361E-2</v>
      </c>
    </row>
    <row r="192" spans="1:7" x14ac:dyDescent="0.2">
      <c r="A192" s="205"/>
      <c r="C192" s="178">
        <v>26</v>
      </c>
      <c r="D192" s="179">
        <f>($D$196-$F$190)/($C$196-$C$190)+D191</f>
        <v>213.33333333333331</v>
      </c>
      <c r="E192" s="178">
        <v>0</v>
      </c>
      <c r="F192" s="179">
        <v>213.33333333333334</v>
      </c>
      <c r="G192" s="188">
        <f t="shared" si="27"/>
        <v>7.8124999999999958E-2</v>
      </c>
    </row>
    <row r="193" spans="1:19" x14ac:dyDescent="0.2">
      <c r="A193" s="205"/>
      <c r="C193" s="178">
        <v>27</v>
      </c>
      <c r="D193" s="179">
        <f>($D$196-$F$190)/($C$196-$C$190)+D192</f>
        <v>229.99999999999997</v>
      </c>
      <c r="E193" s="178">
        <v>0</v>
      </c>
      <c r="F193" s="179">
        <v>230</v>
      </c>
      <c r="G193" s="188">
        <f t="shared" si="27"/>
        <v>7.2463768115941879E-2</v>
      </c>
    </row>
    <row r="194" spans="1:19" x14ac:dyDescent="0.2">
      <c r="A194" s="205"/>
      <c r="C194" s="178">
        <v>28</v>
      </c>
      <c r="D194" s="179">
        <f>($D$196-$F$190)/($C$196-$C$190)+D193</f>
        <v>246.66666666666663</v>
      </c>
      <c r="E194" s="178">
        <v>0</v>
      </c>
      <c r="F194" s="179">
        <v>246.66666666666669</v>
      </c>
      <c r="G194" s="188">
        <f t="shared" si="27"/>
        <v>6.7567567567567419E-2</v>
      </c>
    </row>
    <row r="195" spans="1:19" x14ac:dyDescent="0.2">
      <c r="A195" s="205"/>
      <c r="C195" s="178">
        <v>29</v>
      </c>
      <c r="D195" s="179">
        <f>($D$196-$F$190)/($C$196-$C$190)+D194</f>
        <v>263.33333333333331</v>
      </c>
      <c r="E195" s="178">
        <v>0</v>
      </c>
      <c r="F195" s="179">
        <v>263.33333333333331</v>
      </c>
      <c r="G195" s="188">
        <f t="shared" si="27"/>
        <v>6.3291139240506195E-2</v>
      </c>
    </row>
    <row r="196" spans="1:19" x14ac:dyDescent="0.2">
      <c r="A196" s="205"/>
      <c r="C196" s="180">
        <v>30</v>
      </c>
      <c r="D196" s="180">
        <v>280</v>
      </c>
      <c r="E196" s="180">
        <v>63</v>
      </c>
      <c r="F196" s="180">
        <v>218</v>
      </c>
      <c r="G196" s="188">
        <f t="shared" si="27"/>
        <v>5.952380952380959E-2</v>
      </c>
    </row>
    <row r="197" spans="1:19" x14ac:dyDescent="0.2">
      <c r="A197" s="205"/>
      <c r="C197" s="178">
        <v>31</v>
      </c>
      <c r="D197" s="179">
        <f>($D$202-$F$196)/($C$202-$C$196)+F196</f>
        <v>232.5</v>
      </c>
      <c r="E197" s="178">
        <v>0</v>
      </c>
      <c r="F197" s="179">
        <v>232.5</v>
      </c>
      <c r="G197" s="188">
        <f t="shared" si="27"/>
        <v>6.236559139784946E-2</v>
      </c>
    </row>
    <row r="198" spans="1:19" x14ac:dyDescent="0.2">
      <c r="A198" s="205"/>
      <c r="C198" s="178">
        <v>32</v>
      </c>
      <c r="D198" s="179">
        <f>($D$202-$F$196)/($C$202-$C$196)+D197</f>
        <v>247</v>
      </c>
      <c r="E198" s="178">
        <v>0</v>
      </c>
      <c r="F198" s="179">
        <v>247</v>
      </c>
      <c r="G198" s="188">
        <f t="shared" si="27"/>
        <v>5.8704453441295545E-2</v>
      </c>
    </row>
    <row r="199" spans="1:19" x14ac:dyDescent="0.2">
      <c r="A199" s="205"/>
      <c r="C199" s="178">
        <v>33</v>
      </c>
      <c r="D199" s="179">
        <f>($D$202-$F$196)/($C$202-$C$196)+D198</f>
        <v>261.5</v>
      </c>
      <c r="E199" s="178">
        <v>0</v>
      </c>
      <c r="F199" s="179">
        <v>261.5</v>
      </c>
      <c r="G199" s="188">
        <f t="shared" si="27"/>
        <v>5.5449330783938815E-2</v>
      </c>
    </row>
    <row r="200" spans="1:19" x14ac:dyDescent="0.2">
      <c r="A200" s="205"/>
      <c r="C200" s="178">
        <v>34</v>
      </c>
      <c r="D200" s="179">
        <f>($D$202-$F$196)/($C$202-$C$196)+D199</f>
        <v>276</v>
      </c>
      <c r="E200" s="178">
        <v>0</v>
      </c>
      <c r="F200" s="179">
        <v>276</v>
      </c>
      <c r="G200" s="188">
        <f t="shared" si="27"/>
        <v>5.2536231884057968E-2</v>
      </c>
    </row>
    <row r="201" spans="1:19" x14ac:dyDescent="0.2">
      <c r="A201" s="205"/>
      <c r="C201" s="178">
        <v>35</v>
      </c>
      <c r="D201" s="179">
        <f>($D$202-$F$196)/($C$202-$C$196)+D200</f>
        <v>290.5</v>
      </c>
      <c r="E201" s="178">
        <v>0</v>
      </c>
      <c r="F201" s="179">
        <v>290.5</v>
      </c>
      <c r="G201" s="188">
        <f t="shared" si="27"/>
        <v>4.9913941480206538E-2</v>
      </c>
    </row>
    <row r="202" spans="1:19" x14ac:dyDescent="0.2">
      <c r="A202" s="205"/>
      <c r="C202" s="180">
        <v>36</v>
      </c>
      <c r="D202" s="180">
        <v>305</v>
      </c>
      <c r="E202" s="180">
        <v>58</v>
      </c>
      <c r="F202" s="180">
        <v>246</v>
      </c>
      <c r="G202" s="188">
        <f t="shared" si="27"/>
        <v>4.7540983606557376E-2</v>
      </c>
    </row>
    <row r="203" spans="1:19" x14ac:dyDescent="0.2">
      <c r="A203" s="205"/>
    </row>
    <row r="204" spans="1:19" x14ac:dyDescent="0.2">
      <c r="A204" s="205"/>
      <c r="C204" s="7" t="s">
        <v>946</v>
      </c>
      <c r="D204" s="7"/>
      <c r="I204" s="7" t="s">
        <v>947</v>
      </c>
      <c r="J204" s="7"/>
      <c r="K204" s="7"/>
      <c r="L204" s="7"/>
      <c r="O204" s="7" t="s">
        <v>948</v>
      </c>
    </row>
    <row r="205" spans="1:19" x14ac:dyDescent="0.2">
      <c r="A205" s="205"/>
      <c r="C205" s="6" t="s">
        <v>125</v>
      </c>
      <c r="D205" s="6" t="s">
        <v>126</v>
      </c>
      <c r="E205" s="6" t="s">
        <v>127</v>
      </c>
      <c r="F205" s="6" t="s">
        <v>128</v>
      </c>
      <c r="G205" s="186" t="s">
        <v>699</v>
      </c>
      <c r="I205" s="176" t="s">
        <v>125</v>
      </c>
      <c r="J205" s="176" t="s">
        <v>126</v>
      </c>
      <c r="K205" s="176" t="s">
        <v>127</v>
      </c>
      <c r="L205" s="176" t="s">
        <v>128</v>
      </c>
      <c r="M205" s="196" t="s">
        <v>699</v>
      </c>
      <c r="O205" s="176" t="s">
        <v>125</v>
      </c>
      <c r="P205" s="176" t="s">
        <v>126</v>
      </c>
      <c r="Q205" s="176" t="s">
        <v>127</v>
      </c>
      <c r="R205" s="176" t="s">
        <v>128</v>
      </c>
      <c r="S205" s="196" t="s">
        <v>699</v>
      </c>
    </row>
    <row r="206" spans="1:19" x14ac:dyDescent="0.2">
      <c r="A206" s="205"/>
      <c r="C206" s="6">
        <v>1</v>
      </c>
      <c r="D206" s="8">
        <f>D217/C217</f>
        <v>9.6666666666666661</v>
      </c>
      <c r="E206" s="6">
        <v>0</v>
      </c>
      <c r="F206" s="8">
        <f>Mz_1178[[#This Row],[V_av]]-Mz_1178[[#This Row],[V_prel]]</f>
        <v>9.6666666666666661</v>
      </c>
      <c r="G206" s="187">
        <v>0</v>
      </c>
      <c r="I206" s="6">
        <v>1</v>
      </c>
      <c r="J206" s="8">
        <f>J220/I220</f>
        <v>7.8666666666666663</v>
      </c>
      <c r="K206" s="6">
        <v>0</v>
      </c>
      <c r="L206" s="8">
        <f>J206-K206</f>
        <v>7.8666666666666663</v>
      </c>
      <c r="M206" s="193">
        <v>0</v>
      </c>
      <c r="O206" s="6">
        <v>1</v>
      </c>
      <c r="P206" s="8">
        <f>P223/O223</f>
        <v>6.2222222222222223</v>
      </c>
      <c r="Q206" s="6">
        <v>0</v>
      </c>
      <c r="R206" s="8">
        <f>P206-Q206</f>
        <v>6.2222222222222223</v>
      </c>
      <c r="S206" s="193">
        <v>0</v>
      </c>
    </row>
    <row r="207" spans="1:19" x14ac:dyDescent="0.2">
      <c r="A207" s="205"/>
      <c r="C207" s="6">
        <v>2</v>
      </c>
      <c r="D207" s="8">
        <f>$D$217/$C$217+F206</f>
        <v>19.333333333333332</v>
      </c>
      <c r="E207" s="6">
        <v>0</v>
      </c>
      <c r="F207" s="8">
        <f>Mz_1178[[#This Row],[V_av]]-Mz_1178[[#This Row],[V_prel]]</f>
        <v>19.333333333333332</v>
      </c>
      <c r="G207" s="188">
        <f>((D207-F206)/D207)/(C207-C206)</f>
        <v>0.5</v>
      </c>
      <c r="I207" s="6">
        <v>2</v>
      </c>
      <c r="J207" s="8">
        <f>$J$220/$I$220+L206</f>
        <v>15.733333333333333</v>
      </c>
      <c r="K207" s="6">
        <v>0</v>
      </c>
      <c r="L207" s="8">
        <f t="shared" ref="L207:L237" si="28">J207-K207</f>
        <v>15.733333333333333</v>
      </c>
      <c r="M207" s="188">
        <f>((J207-L206)/J207)/(I207-I206)</f>
        <v>0.5</v>
      </c>
      <c r="O207" s="6">
        <v>2</v>
      </c>
      <c r="P207" s="8">
        <f>$P$223/$O$223+R206</f>
        <v>12.444444444444445</v>
      </c>
      <c r="Q207" s="6">
        <v>0</v>
      </c>
      <c r="R207" s="8">
        <f t="shared" ref="R207:R234" si="29">P207-Q207</f>
        <v>12.444444444444445</v>
      </c>
      <c r="S207" s="188">
        <f>((P207-R206)/P207)/(O207-O206)</f>
        <v>0.5</v>
      </c>
    </row>
    <row r="208" spans="1:19" ht="15" customHeight="1" x14ac:dyDescent="0.2">
      <c r="A208" s="495" t="s">
        <v>703</v>
      </c>
      <c r="C208" s="6">
        <v>3</v>
      </c>
      <c r="D208" s="8">
        <f t="shared" ref="D208:D216" si="30">$D$217/$C$217+F207</f>
        <v>29</v>
      </c>
      <c r="E208" s="6">
        <v>0</v>
      </c>
      <c r="F208" s="8">
        <f>Mz_1178[[#This Row],[V_av]]-Mz_1178[[#This Row],[V_prel]]</f>
        <v>29</v>
      </c>
      <c r="G208" s="188">
        <f t="shared" ref="G208:G237" si="31">((D208-F207)/D208)/(C208-C207)</f>
        <v>0.33333333333333337</v>
      </c>
      <c r="I208" s="6">
        <v>3</v>
      </c>
      <c r="J208" s="8">
        <f t="shared" ref="J208:J219" si="32">$J$220/$I$220+L207</f>
        <v>23.599999999999998</v>
      </c>
      <c r="K208" s="6">
        <v>0</v>
      </c>
      <c r="L208" s="8">
        <f t="shared" si="28"/>
        <v>23.599999999999998</v>
      </c>
      <c r="M208" s="188">
        <f t="shared" ref="M208:M237" si="33">((J208-L207)/J208)/(I208-I207)</f>
        <v>0.33333333333333331</v>
      </c>
      <c r="O208" s="6">
        <v>3</v>
      </c>
      <c r="P208" s="8">
        <f t="shared" ref="P208:P222" si="34">$P$223/$O$223+R207</f>
        <v>18.666666666666668</v>
      </c>
      <c r="Q208" s="6">
        <v>0</v>
      </c>
      <c r="R208" s="8">
        <f t="shared" si="29"/>
        <v>18.666666666666668</v>
      </c>
      <c r="S208" s="188">
        <f t="shared" ref="S208:S235" si="35">((P208-R207)/P208)/(O208-O207)</f>
        <v>0.33333333333333337</v>
      </c>
    </row>
    <row r="209" spans="1:19" x14ac:dyDescent="0.2">
      <c r="A209" s="495"/>
      <c r="C209" s="6">
        <v>4</v>
      </c>
      <c r="D209" s="8">
        <f t="shared" si="30"/>
        <v>38.666666666666664</v>
      </c>
      <c r="E209" s="6">
        <v>0</v>
      </c>
      <c r="F209" s="8">
        <f>Mz_1178[[#This Row],[V_av]]-Mz_1178[[#This Row],[V_prel]]</f>
        <v>38.666666666666664</v>
      </c>
      <c r="G209" s="188">
        <f t="shared" si="31"/>
        <v>0.24999999999999994</v>
      </c>
      <c r="I209" s="6">
        <v>4</v>
      </c>
      <c r="J209" s="8">
        <f t="shared" si="32"/>
        <v>31.466666666666665</v>
      </c>
      <c r="K209" s="6">
        <v>0</v>
      </c>
      <c r="L209" s="8">
        <f t="shared" si="28"/>
        <v>31.466666666666665</v>
      </c>
      <c r="M209" s="188">
        <f t="shared" si="33"/>
        <v>0.25000000000000006</v>
      </c>
      <c r="O209" s="6">
        <v>4</v>
      </c>
      <c r="P209" s="8">
        <f t="shared" si="34"/>
        <v>24.888888888888889</v>
      </c>
      <c r="Q209" s="6">
        <v>0</v>
      </c>
      <c r="R209" s="8">
        <f t="shared" si="29"/>
        <v>24.888888888888889</v>
      </c>
      <c r="S209" s="188">
        <f t="shared" si="35"/>
        <v>0.24999999999999997</v>
      </c>
    </row>
    <row r="210" spans="1:19" x14ac:dyDescent="0.2">
      <c r="A210" s="495"/>
      <c r="C210" s="6">
        <v>5</v>
      </c>
      <c r="D210" s="8">
        <f t="shared" si="30"/>
        <v>48.333333333333329</v>
      </c>
      <c r="E210" s="6">
        <v>0</v>
      </c>
      <c r="F210" s="8">
        <f>Mz_1178[[#This Row],[V_av]]-Mz_1178[[#This Row],[V_prel]]</f>
        <v>48.333333333333329</v>
      </c>
      <c r="G210" s="188">
        <f t="shared" si="31"/>
        <v>0.19999999999999998</v>
      </c>
      <c r="I210" s="6">
        <v>5</v>
      </c>
      <c r="J210" s="8">
        <f t="shared" si="32"/>
        <v>39.333333333333329</v>
      </c>
      <c r="K210" s="6">
        <v>0</v>
      </c>
      <c r="L210" s="8">
        <f t="shared" si="28"/>
        <v>39.333333333333329</v>
      </c>
      <c r="M210" s="188">
        <f t="shared" si="33"/>
        <v>0.19999999999999996</v>
      </c>
      <c r="O210" s="6">
        <v>5</v>
      </c>
      <c r="P210" s="8">
        <f t="shared" si="34"/>
        <v>31.111111111111111</v>
      </c>
      <c r="Q210" s="6">
        <v>0</v>
      </c>
      <c r="R210" s="8">
        <f t="shared" si="29"/>
        <v>31.111111111111111</v>
      </c>
      <c r="S210" s="188">
        <f t="shared" si="35"/>
        <v>0.19999999999999998</v>
      </c>
    </row>
    <row r="211" spans="1:19" x14ac:dyDescent="0.2">
      <c r="A211" s="495"/>
      <c r="C211" s="6">
        <v>6</v>
      </c>
      <c r="D211" s="8">
        <f t="shared" si="30"/>
        <v>57.999999999999993</v>
      </c>
      <c r="E211" s="6">
        <v>0</v>
      </c>
      <c r="F211" s="8">
        <f>Mz_1178[[#This Row],[V_av]]-Mz_1178[[#This Row],[V_prel]]</f>
        <v>57.999999999999993</v>
      </c>
      <c r="G211" s="188">
        <f t="shared" si="31"/>
        <v>0.16666666666666666</v>
      </c>
      <c r="I211" s="6">
        <v>6</v>
      </c>
      <c r="J211" s="8">
        <f t="shared" si="32"/>
        <v>47.199999999999996</v>
      </c>
      <c r="K211" s="6">
        <v>0</v>
      </c>
      <c r="L211" s="8">
        <f t="shared" si="28"/>
        <v>47.199999999999996</v>
      </c>
      <c r="M211" s="188">
        <f t="shared" si="33"/>
        <v>0.16666666666666669</v>
      </c>
      <c r="O211" s="6">
        <v>6</v>
      </c>
      <c r="P211" s="8">
        <f t="shared" si="34"/>
        <v>37.333333333333336</v>
      </c>
      <c r="Q211" s="6">
        <v>0</v>
      </c>
      <c r="R211" s="8">
        <f t="shared" si="29"/>
        <v>37.333333333333336</v>
      </c>
      <c r="S211" s="188">
        <f t="shared" si="35"/>
        <v>0.16666666666666674</v>
      </c>
    </row>
    <row r="212" spans="1:19" x14ac:dyDescent="0.2">
      <c r="A212" s="495"/>
      <c r="C212" s="6">
        <v>7</v>
      </c>
      <c r="D212" s="8">
        <f t="shared" si="30"/>
        <v>67.666666666666657</v>
      </c>
      <c r="E212" s="6">
        <v>0</v>
      </c>
      <c r="F212" s="8">
        <f>Mz_1178[[#This Row],[V_av]]-Mz_1178[[#This Row],[V_prel]]</f>
        <v>67.666666666666657</v>
      </c>
      <c r="G212" s="188">
        <f t="shared" si="31"/>
        <v>0.14285714285714285</v>
      </c>
      <c r="I212" s="6">
        <v>7</v>
      </c>
      <c r="J212" s="8">
        <f t="shared" si="32"/>
        <v>55.066666666666663</v>
      </c>
      <c r="K212" s="6">
        <v>0</v>
      </c>
      <c r="L212" s="8">
        <f t="shared" si="28"/>
        <v>55.066666666666663</v>
      </c>
      <c r="M212" s="188">
        <f t="shared" si="33"/>
        <v>0.14285714285714288</v>
      </c>
      <c r="O212" s="6">
        <v>7</v>
      </c>
      <c r="P212" s="8">
        <f t="shared" si="34"/>
        <v>43.555555555555557</v>
      </c>
      <c r="Q212" s="6">
        <v>0</v>
      </c>
      <c r="R212" s="8">
        <f t="shared" si="29"/>
        <v>43.555555555555557</v>
      </c>
      <c r="S212" s="188">
        <f t="shared" si="35"/>
        <v>0.14285714285714282</v>
      </c>
    </row>
    <row r="213" spans="1:19" x14ac:dyDescent="0.2">
      <c r="A213" s="495"/>
      <c r="C213" s="6">
        <v>8</v>
      </c>
      <c r="D213" s="8">
        <f t="shared" si="30"/>
        <v>77.333333333333329</v>
      </c>
      <c r="E213" s="6">
        <v>0</v>
      </c>
      <c r="F213" s="8">
        <f>Mz_1178[[#This Row],[V_av]]-Mz_1178[[#This Row],[V_prel]]</f>
        <v>77.333333333333329</v>
      </c>
      <c r="G213" s="188">
        <f t="shared" si="31"/>
        <v>0.12500000000000006</v>
      </c>
      <c r="I213" s="6">
        <v>8</v>
      </c>
      <c r="J213" s="8">
        <f t="shared" si="32"/>
        <v>62.93333333333333</v>
      </c>
      <c r="K213" s="6">
        <v>0</v>
      </c>
      <c r="L213" s="8">
        <f t="shared" si="28"/>
        <v>62.93333333333333</v>
      </c>
      <c r="M213" s="188">
        <f t="shared" si="33"/>
        <v>0.12500000000000003</v>
      </c>
      <c r="O213" s="6">
        <v>8</v>
      </c>
      <c r="P213" s="8">
        <f t="shared" si="34"/>
        <v>49.777777777777779</v>
      </c>
      <c r="Q213" s="6">
        <v>0</v>
      </c>
      <c r="R213" s="8">
        <f t="shared" si="29"/>
        <v>49.777777777777779</v>
      </c>
      <c r="S213" s="188">
        <f t="shared" si="35"/>
        <v>0.12499999999999999</v>
      </c>
    </row>
    <row r="214" spans="1:19" x14ac:dyDescent="0.2">
      <c r="A214" s="495"/>
      <c r="C214" s="6">
        <v>9</v>
      </c>
      <c r="D214" s="8">
        <f t="shared" si="30"/>
        <v>87</v>
      </c>
      <c r="E214" s="6">
        <v>0</v>
      </c>
      <c r="F214" s="8">
        <f>Mz_1178[[#This Row],[V_av]]-Mz_1178[[#This Row],[V_prel]]</f>
        <v>87</v>
      </c>
      <c r="G214" s="188">
        <f t="shared" si="31"/>
        <v>0.11111111111111116</v>
      </c>
      <c r="I214" s="6">
        <v>9</v>
      </c>
      <c r="J214" s="8">
        <f t="shared" si="32"/>
        <v>70.8</v>
      </c>
      <c r="K214" s="6">
        <v>0</v>
      </c>
      <c r="L214" s="8">
        <f t="shared" si="28"/>
        <v>70.8</v>
      </c>
      <c r="M214" s="188">
        <f t="shared" si="33"/>
        <v>0.11111111111111112</v>
      </c>
      <c r="O214" s="6">
        <v>9</v>
      </c>
      <c r="P214" s="8">
        <f t="shared" si="34"/>
        <v>56</v>
      </c>
      <c r="Q214" s="6">
        <v>0</v>
      </c>
      <c r="R214" s="8">
        <f t="shared" si="29"/>
        <v>56</v>
      </c>
      <c r="S214" s="188">
        <f t="shared" si="35"/>
        <v>0.11111111111111109</v>
      </c>
    </row>
    <row r="215" spans="1:19" x14ac:dyDescent="0.2">
      <c r="A215" s="495"/>
      <c r="C215" s="6">
        <v>10</v>
      </c>
      <c r="D215" s="8">
        <f t="shared" si="30"/>
        <v>96.666666666666671</v>
      </c>
      <c r="E215" s="6">
        <v>0</v>
      </c>
      <c r="F215" s="8">
        <f>Mz_1178[[#This Row],[V_av]]-Mz_1178[[#This Row],[V_prel]]</f>
        <v>96.666666666666671</v>
      </c>
      <c r="G215" s="188">
        <f t="shared" si="31"/>
        <v>0.10000000000000005</v>
      </c>
      <c r="I215" s="6">
        <v>10</v>
      </c>
      <c r="J215" s="8">
        <f t="shared" si="32"/>
        <v>78.666666666666657</v>
      </c>
      <c r="K215" s="6">
        <v>0</v>
      </c>
      <c r="L215" s="8">
        <f t="shared" si="28"/>
        <v>78.666666666666657</v>
      </c>
      <c r="M215" s="188">
        <f t="shared" si="33"/>
        <v>9.9999999999999922E-2</v>
      </c>
      <c r="O215" s="6">
        <v>10</v>
      </c>
      <c r="P215" s="8">
        <f t="shared" si="34"/>
        <v>62.222222222222221</v>
      </c>
      <c r="Q215" s="6">
        <v>0</v>
      </c>
      <c r="R215" s="8">
        <f t="shared" si="29"/>
        <v>62.222222222222221</v>
      </c>
      <c r="S215" s="188">
        <f t="shared" si="35"/>
        <v>9.9999999999999992E-2</v>
      </c>
    </row>
    <row r="216" spans="1:19" x14ac:dyDescent="0.2">
      <c r="A216" s="495"/>
      <c r="C216" s="6">
        <v>11</v>
      </c>
      <c r="D216" s="8">
        <f t="shared" si="30"/>
        <v>106.33333333333334</v>
      </c>
      <c r="E216" s="6">
        <v>0</v>
      </c>
      <c r="F216" s="8">
        <f>Mz_1178[[#This Row],[V_av]]-Mz_1178[[#This Row],[V_prel]]</f>
        <v>106.33333333333334</v>
      </c>
      <c r="G216" s="188">
        <f t="shared" si="31"/>
        <v>9.0909090909090939E-2</v>
      </c>
      <c r="I216" s="6">
        <v>11</v>
      </c>
      <c r="J216" s="8">
        <f t="shared" si="32"/>
        <v>86.533333333333317</v>
      </c>
      <c r="K216" s="6">
        <v>0</v>
      </c>
      <c r="L216" s="8">
        <f t="shared" si="28"/>
        <v>86.533333333333317</v>
      </c>
      <c r="M216" s="188">
        <f t="shared" si="33"/>
        <v>9.0909090909090856E-2</v>
      </c>
      <c r="O216" s="6">
        <v>11</v>
      </c>
      <c r="P216" s="8">
        <f t="shared" si="34"/>
        <v>68.444444444444443</v>
      </c>
      <c r="Q216" s="6">
        <v>0</v>
      </c>
      <c r="R216" s="8">
        <f t="shared" si="29"/>
        <v>68.444444444444443</v>
      </c>
      <c r="S216" s="188">
        <f t="shared" si="35"/>
        <v>9.0909090909090898E-2</v>
      </c>
    </row>
    <row r="217" spans="1:19" x14ac:dyDescent="0.2">
      <c r="A217" s="495"/>
      <c r="C217" s="7">
        <v>12</v>
      </c>
      <c r="D217" s="7">
        <v>116</v>
      </c>
      <c r="E217" s="7">
        <v>21</v>
      </c>
      <c r="F217" s="13">
        <f>Mz_1178[[#This Row],[V_av]]-Mz_1178[[#This Row],[V_prel]]</f>
        <v>95</v>
      </c>
      <c r="G217" s="188">
        <f t="shared" si="31"/>
        <v>8.3333333333333245E-2</v>
      </c>
      <c r="I217" s="6">
        <v>12</v>
      </c>
      <c r="J217" s="8">
        <f t="shared" si="32"/>
        <v>94.399999999999977</v>
      </c>
      <c r="K217" s="6">
        <v>0</v>
      </c>
      <c r="L217" s="8">
        <f t="shared" si="28"/>
        <v>94.399999999999977</v>
      </c>
      <c r="M217" s="188">
        <f t="shared" si="33"/>
        <v>8.3333333333333287E-2</v>
      </c>
      <c r="O217" s="6">
        <v>12</v>
      </c>
      <c r="P217" s="8">
        <f t="shared" si="34"/>
        <v>74.666666666666671</v>
      </c>
      <c r="Q217" s="6">
        <v>0</v>
      </c>
      <c r="R217" s="8">
        <f t="shared" si="29"/>
        <v>74.666666666666671</v>
      </c>
      <c r="S217" s="188">
        <f t="shared" si="35"/>
        <v>8.3333333333333412E-2</v>
      </c>
    </row>
    <row r="218" spans="1:19" x14ac:dyDescent="0.2">
      <c r="A218" s="495"/>
      <c r="C218" s="6">
        <v>13</v>
      </c>
      <c r="D218" s="8">
        <f>($D$220-$F$217)/($C$220-$C$217)+F217</f>
        <v>119.33333333333333</v>
      </c>
      <c r="E218" s="6">
        <v>0</v>
      </c>
      <c r="F218" s="8">
        <f>Mz_1178[[#This Row],[V_av]]-Mz_1178[[#This Row],[V_prel]]</f>
        <v>119.33333333333333</v>
      </c>
      <c r="G218" s="188">
        <f t="shared" si="31"/>
        <v>0.20391061452513964</v>
      </c>
      <c r="I218" s="6">
        <v>13</v>
      </c>
      <c r="J218" s="8">
        <f t="shared" si="32"/>
        <v>102.26666666666664</v>
      </c>
      <c r="K218" s="6">
        <v>0</v>
      </c>
      <c r="L218" s="8">
        <f t="shared" si="28"/>
        <v>102.26666666666664</v>
      </c>
      <c r="M218" s="188">
        <f t="shared" si="33"/>
        <v>7.6923076923076886E-2</v>
      </c>
      <c r="O218" s="6">
        <v>13</v>
      </c>
      <c r="P218" s="8">
        <f t="shared" si="34"/>
        <v>80.8888888888889</v>
      </c>
      <c r="Q218" s="6">
        <v>0</v>
      </c>
      <c r="R218" s="8">
        <f t="shared" si="29"/>
        <v>80.8888888888889</v>
      </c>
      <c r="S218" s="188">
        <f t="shared" si="35"/>
        <v>7.6923076923076997E-2</v>
      </c>
    </row>
    <row r="219" spans="1:19" x14ac:dyDescent="0.2">
      <c r="A219" s="495"/>
      <c r="C219" s="6">
        <v>14</v>
      </c>
      <c r="D219" s="8">
        <f>($D$220-$F$217)/($C$220-$C$217)+D218</f>
        <v>143.66666666666666</v>
      </c>
      <c r="E219" s="6">
        <v>0</v>
      </c>
      <c r="F219" s="8">
        <f>Mz_1178[[#This Row],[V_av]]-Mz_1178[[#This Row],[V_prel]]</f>
        <v>143.66666666666666</v>
      </c>
      <c r="G219" s="188">
        <f t="shared" si="31"/>
        <v>0.1693735498839907</v>
      </c>
      <c r="I219" s="6">
        <v>14</v>
      </c>
      <c r="J219" s="8">
        <f t="shared" si="32"/>
        <v>110.1333333333333</v>
      </c>
      <c r="K219" s="6">
        <v>0</v>
      </c>
      <c r="L219" s="8">
        <f t="shared" si="28"/>
        <v>110.1333333333333</v>
      </c>
      <c r="M219" s="188">
        <f t="shared" si="33"/>
        <v>7.1428571428571397E-2</v>
      </c>
      <c r="O219" s="6">
        <v>14</v>
      </c>
      <c r="P219" s="8">
        <f t="shared" si="34"/>
        <v>87.111111111111128</v>
      </c>
      <c r="Q219" s="6">
        <v>0</v>
      </c>
      <c r="R219" s="8">
        <f t="shared" si="29"/>
        <v>87.111111111111128</v>
      </c>
      <c r="S219" s="188">
        <f t="shared" si="35"/>
        <v>7.142857142857148E-2</v>
      </c>
    </row>
    <row r="220" spans="1:19" x14ac:dyDescent="0.2">
      <c r="A220" s="495"/>
      <c r="C220" s="7">
        <v>15</v>
      </c>
      <c r="D220" s="7">
        <v>168</v>
      </c>
      <c r="E220" s="7">
        <v>47</v>
      </c>
      <c r="F220" s="13">
        <f>Mz_1178[[#This Row],[V_av]]-Mz_1178[[#This Row],[V_prel]]</f>
        <v>121</v>
      </c>
      <c r="G220" s="188">
        <f t="shared" si="31"/>
        <v>0.14484126984126991</v>
      </c>
      <c r="I220" s="7">
        <v>15</v>
      </c>
      <c r="J220" s="7">
        <v>118</v>
      </c>
      <c r="K220" s="7">
        <v>21</v>
      </c>
      <c r="L220" s="7">
        <v>97</v>
      </c>
      <c r="M220" s="188">
        <f t="shared" si="33"/>
        <v>6.6666666666666971E-2</v>
      </c>
      <c r="O220" s="6">
        <v>15</v>
      </c>
      <c r="P220" s="8">
        <f t="shared" si="34"/>
        <v>93.333333333333357</v>
      </c>
      <c r="Q220" s="6">
        <v>0</v>
      </c>
      <c r="R220" s="8">
        <f t="shared" si="29"/>
        <v>93.333333333333357</v>
      </c>
      <c r="S220" s="188">
        <f t="shared" si="35"/>
        <v>6.6666666666666721E-2</v>
      </c>
    </row>
    <row r="221" spans="1:19" x14ac:dyDescent="0.2">
      <c r="A221" s="495"/>
      <c r="C221" s="6">
        <v>16</v>
      </c>
      <c r="D221" s="8">
        <f>($D$223-$F$220)/($C$223-$C$220)+F220</f>
        <v>142.33333333333334</v>
      </c>
      <c r="E221" s="6">
        <v>0</v>
      </c>
      <c r="F221" s="8">
        <f>Mz_1178[[#This Row],[V_av]]-Mz_1178[[#This Row],[V_prel]]</f>
        <v>142.33333333333334</v>
      </c>
      <c r="G221" s="188">
        <f t="shared" si="31"/>
        <v>0.14988290398126469</v>
      </c>
      <c r="I221" s="6">
        <v>16</v>
      </c>
      <c r="J221" s="8">
        <f>($J$223-$L$220)/($I$223-$I$220)+L220</f>
        <v>111.66666666666667</v>
      </c>
      <c r="K221" s="6">
        <v>0</v>
      </c>
      <c r="L221" s="8">
        <f t="shared" si="28"/>
        <v>111.66666666666667</v>
      </c>
      <c r="M221" s="188">
        <f t="shared" si="33"/>
        <v>0.13134328358208958</v>
      </c>
      <c r="O221" s="6">
        <v>16</v>
      </c>
      <c r="P221" s="8">
        <f t="shared" si="34"/>
        <v>99.555555555555586</v>
      </c>
      <c r="Q221" s="6">
        <v>0</v>
      </c>
      <c r="R221" s="8">
        <f t="shared" si="29"/>
        <v>99.555555555555586</v>
      </c>
      <c r="S221" s="188">
        <f t="shared" si="35"/>
        <v>6.2500000000000042E-2</v>
      </c>
    </row>
    <row r="222" spans="1:19" x14ac:dyDescent="0.2">
      <c r="A222" s="495"/>
      <c r="C222" s="6">
        <v>17</v>
      </c>
      <c r="D222" s="8">
        <f>($D$223-$F$220)/($C$223-$C$220)+D221</f>
        <v>163.66666666666669</v>
      </c>
      <c r="E222" s="6">
        <v>0</v>
      </c>
      <c r="F222" s="8">
        <f>Mz_1178[[#This Row],[V_av]]-Mz_1178[[#This Row],[V_prel]]</f>
        <v>163.66666666666669</v>
      </c>
      <c r="G222" s="188">
        <f t="shared" si="31"/>
        <v>0.13034623217922611</v>
      </c>
      <c r="I222" s="6">
        <v>17</v>
      </c>
      <c r="J222" s="8">
        <f>($J$223-$L$220)/($I$223-$I$220)+J221</f>
        <v>126.33333333333334</v>
      </c>
      <c r="K222" s="6">
        <v>0</v>
      </c>
      <c r="L222" s="8">
        <f t="shared" si="28"/>
        <v>126.33333333333334</v>
      </c>
      <c r="M222" s="188">
        <f t="shared" si="33"/>
        <v>0.11609498680738789</v>
      </c>
      <c r="O222" s="6">
        <v>17</v>
      </c>
      <c r="P222" s="8">
        <f t="shared" si="34"/>
        <v>105.77777777777781</v>
      </c>
      <c r="Q222" s="6">
        <v>0</v>
      </c>
      <c r="R222" s="8">
        <f t="shared" si="29"/>
        <v>105.77777777777781</v>
      </c>
      <c r="S222" s="188">
        <f t="shared" si="35"/>
        <v>5.8823529411764747E-2</v>
      </c>
    </row>
    <row r="223" spans="1:19" x14ac:dyDescent="0.2">
      <c r="A223" s="495"/>
      <c r="C223" s="7">
        <v>18</v>
      </c>
      <c r="D223" s="7">
        <v>185</v>
      </c>
      <c r="E223" s="7">
        <v>61</v>
      </c>
      <c r="F223" s="13">
        <f>Mz_1178[[#This Row],[V_av]]-Mz_1178[[#This Row],[V_prel]]</f>
        <v>124</v>
      </c>
      <c r="G223" s="188">
        <f t="shared" si="31"/>
        <v>0.11531531531531521</v>
      </c>
      <c r="I223" s="7">
        <v>18</v>
      </c>
      <c r="J223" s="7">
        <v>141</v>
      </c>
      <c r="K223" s="7">
        <v>25</v>
      </c>
      <c r="L223" s="7">
        <v>116</v>
      </c>
      <c r="M223" s="188">
        <f t="shared" si="33"/>
        <v>0.10401891252955076</v>
      </c>
      <c r="O223" s="7">
        <v>18</v>
      </c>
      <c r="P223" s="7">
        <v>112</v>
      </c>
      <c r="Q223" s="7">
        <v>20</v>
      </c>
      <c r="R223" s="7">
        <v>92</v>
      </c>
      <c r="S223" s="188">
        <f t="shared" si="35"/>
        <v>5.5555555555555233E-2</v>
      </c>
    </row>
    <row r="224" spans="1:19" x14ac:dyDescent="0.2">
      <c r="A224" s="495"/>
      <c r="C224" s="6">
        <v>19</v>
      </c>
      <c r="D224" s="8">
        <f>($D$229-$F$223)/($C$229-$C$223)+F223</f>
        <v>143.16666666666666</v>
      </c>
      <c r="E224" s="6">
        <v>0</v>
      </c>
      <c r="F224" s="8">
        <f>Mz_1178[[#This Row],[V_av]]-Mz_1178[[#This Row],[V_prel]]</f>
        <v>143.16666666666666</v>
      </c>
      <c r="G224" s="188">
        <f t="shared" si="31"/>
        <v>0.13387660069848656</v>
      </c>
      <c r="I224" s="6">
        <v>19</v>
      </c>
      <c r="J224" s="8">
        <f>($J$226-$L$223)/($I$226-$I$223)+L223</f>
        <v>130.66666666666666</v>
      </c>
      <c r="K224" s="6">
        <v>0</v>
      </c>
      <c r="L224" s="8">
        <f t="shared" si="28"/>
        <v>130.66666666666666</v>
      </c>
      <c r="M224" s="188">
        <f t="shared" si="33"/>
        <v>0.1122448979591836</v>
      </c>
      <c r="O224" s="6">
        <v>19</v>
      </c>
      <c r="P224" s="8">
        <f>($P$226-$R$223)/($O$226-$O$223)+R223</f>
        <v>110</v>
      </c>
      <c r="Q224" s="6">
        <v>0</v>
      </c>
      <c r="R224" s="8">
        <f t="shared" si="29"/>
        <v>110</v>
      </c>
      <c r="S224" s="188">
        <f t="shared" si="35"/>
        <v>0.16363636363636364</v>
      </c>
    </row>
    <row r="225" spans="1:27" x14ac:dyDescent="0.2">
      <c r="A225" s="495"/>
      <c r="C225" s="6">
        <v>20</v>
      </c>
      <c r="D225" s="8">
        <f>($D$229-$F$223)/($C$229-$C$223)+D224</f>
        <v>162.33333333333331</v>
      </c>
      <c r="E225" s="6">
        <v>0</v>
      </c>
      <c r="F225" s="8">
        <f>Mz_1178[[#This Row],[V_av]]-Mz_1178[[#This Row],[V_prel]]</f>
        <v>162.33333333333331</v>
      </c>
      <c r="G225" s="188">
        <f t="shared" si="31"/>
        <v>0.11806981519507183</v>
      </c>
      <c r="I225" s="6">
        <v>20</v>
      </c>
      <c r="J225" s="8">
        <f>($J$226-$L$223)/($I$226-$I$223)+J224</f>
        <v>145.33333333333331</v>
      </c>
      <c r="K225" s="6">
        <v>0</v>
      </c>
      <c r="L225" s="8">
        <f t="shared" si="28"/>
        <v>145.33333333333331</v>
      </c>
      <c r="M225" s="188">
        <f t="shared" si="33"/>
        <v>0.1009174311926605</v>
      </c>
      <c r="O225" s="6">
        <v>20</v>
      </c>
      <c r="P225" s="8">
        <f>($P$226-$R$223)/($O$226-$O$223)+P224</f>
        <v>128</v>
      </c>
      <c r="Q225" s="6">
        <v>0</v>
      </c>
      <c r="R225" s="8">
        <f t="shared" si="29"/>
        <v>128</v>
      </c>
      <c r="S225" s="188">
        <f t="shared" si="35"/>
        <v>0.140625</v>
      </c>
    </row>
    <row r="226" spans="1:27" x14ac:dyDescent="0.2">
      <c r="A226" s="495"/>
      <c r="C226" s="6">
        <v>21</v>
      </c>
      <c r="D226" s="8">
        <f t="shared" ref="D226:D228" si="36">($D$229-$F$223)/($C$229-$C$223)+D225</f>
        <v>181.49999999999997</v>
      </c>
      <c r="E226" s="6">
        <v>0</v>
      </c>
      <c r="F226" s="8">
        <f>Mz_1178[[#This Row],[V_av]]-Mz_1178[[#This Row],[V_prel]]</f>
        <v>181.49999999999997</v>
      </c>
      <c r="G226" s="188">
        <f t="shared" si="31"/>
        <v>0.10560146923783284</v>
      </c>
      <c r="I226" s="7">
        <v>21</v>
      </c>
      <c r="J226" s="7">
        <v>160</v>
      </c>
      <c r="K226" s="7">
        <v>30</v>
      </c>
      <c r="L226" s="7">
        <v>130</v>
      </c>
      <c r="M226" s="188">
        <f t="shared" si="33"/>
        <v>9.1666666666666785E-2</v>
      </c>
      <c r="O226" s="7">
        <v>21</v>
      </c>
      <c r="P226" s="7">
        <v>146</v>
      </c>
      <c r="Q226" s="7">
        <v>26</v>
      </c>
      <c r="R226" s="7">
        <v>120</v>
      </c>
      <c r="S226" s="188">
        <f t="shared" si="35"/>
        <v>0.12328767123287671</v>
      </c>
    </row>
    <row r="227" spans="1:27" x14ac:dyDescent="0.2">
      <c r="A227" s="495"/>
      <c r="C227" s="6">
        <v>22</v>
      </c>
      <c r="D227" s="8">
        <f t="shared" si="36"/>
        <v>200.66666666666663</v>
      </c>
      <c r="E227" s="6">
        <v>0</v>
      </c>
      <c r="F227" s="8">
        <f>Mz_1178[[#This Row],[V_av]]-Mz_1178[[#This Row],[V_prel]]</f>
        <v>200.66666666666663</v>
      </c>
      <c r="G227" s="188">
        <f t="shared" si="31"/>
        <v>9.551495016611293E-2</v>
      </c>
      <c r="I227" s="6">
        <v>22</v>
      </c>
      <c r="J227" s="8">
        <f>($J$232-$L$226)/($I$232-$I$226)+L226</f>
        <v>144.83333333333334</v>
      </c>
      <c r="K227" s="6">
        <v>0</v>
      </c>
      <c r="L227" s="8">
        <f t="shared" si="28"/>
        <v>144.83333333333334</v>
      </c>
      <c r="M227" s="188">
        <f t="shared" si="33"/>
        <v>0.10241657077100121</v>
      </c>
      <c r="O227" s="6">
        <v>22</v>
      </c>
      <c r="P227" s="8">
        <f>($P$229-$R$226)/($O$229-$O$226)+R226</f>
        <v>136</v>
      </c>
      <c r="Q227" s="6">
        <v>0</v>
      </c>
      <c r="R227" s="8">
        <f t="shared" si="29"/>
        <v>136</v>
      </c>
      <c r="S227" s="188">
        <f t="shared" si="35"/>
        <v>0.11764705882352941</v>
      </c>
    </row>
    <row r="228" spans="1:27" x14ac:dyDescent="0.2">
      <c r="A228" s="495"/>
      <c r="C228" s="6">
        <v>23</v>
      </c>
      <c r="D228" s="8">
        <f t="shared" si="36"/>
        <v>219.83333333333329</v>
      </c>
      <c r="E228" s="6">
        <v>0</v>
      </c>
      <c r="F228" s="8">
        <f>Mz_1178[[#This Row],[V_av]]-Mz_1178[[#This Row],[V_prel]]</f>
        <v>219.83333333333329</v>
      </c>
      <c r="G228" s="188">
        <f t="shared" si="31"/>
        <v>8.7187263078089439E-2</v>
      </c>
      <c r="I228" s="6">
        <v>23</v>
      </c>
      <c r="J228" s="8">
        <f>($J$232-$L$226)/($I$232-$I$226)+J227</f>
        <v>159.66666666666669</v>
      </c>
      <c r="K228" s="6">
        <v>0</v>
      </c>
      <c r="L228" s="8">
        <f t="shared" si="28"/>
        <v>159.66666666666669</v>
      </c>
      <c r="M228" s="188">
        <f t="shared" si="33"/>
        <v>9.2901878914405059E-2</v>
      </c>
      <c r="O228" s="6">
        <v>23</v>
      </c>
      <c r="P228" s="8">
        <f>($P$229-$R$226)/($O$229-$O$226)+P227</f>
        <v>152</v>
      </c>
      <c r="Q228" s="6">
        <v>0</v>
      </c>
      <c r="R228" s="8">
        <f t="shared" si="29"/>
        <v>152</v>
      </c>
      <c r="S228" s="188">
        <f t="shared" si="35"/>
        <v>0.10526315789473684</v>
      </c>
    </row>
    <row r="229" spans="1:27" x14ac:dyDescent="0.2">
      <c r="A229" s="495"/>
      <c r="C229" s="7">
        <v>24</v>
      </c>
      <c r="D229" s="7">
        <v>239</v>
      </c>
      <c r="E229" s="7">
        <v>84</v>
      </c>
      <c r="F229" s="13">
        <f>Mz_1178[[#This Row],[V_av]]-Mz_1178[[#This Row],[V_prel]]</f>
        <v>155</v>
      </c>
      <c r="G229" s="188">
        <f t="shared" si="31"/>
        <v>8.0195258019525997E-2</v>
      </c>
      <c r="I229" s="6">
        <v>24</v>
      </c>
      <c r="J229" s="8">
        <f t="shared" ref="J229:J231" si="37">($J$232-$L$226)/($I$232-$I$226)+J228</f>
        <v>174.50000000000003</v>
      </c>
      <c r="K229" s="6">
        <v>0</v>
      </c>
      <c r="L229" s="8">
        <f t="shared" si="28"/>
        <v>174.50000000000003</v>
      </c>
      <c r="M229" s="188">
        <f t="shared" si="33"/>
        <v>8.50047755491882E-2</v>
      </c>
      <c r="O229" s="7">
        <v>24</v>
      </c>
      <c r="P229" s="7">
        <v>168</v>
      </c>
      <c r="Q229" s="7">
        <v>29</v>
      </c>
      <c r="R229" s="7">
        <v>139</v>
      </c>
      <c r="S229" s="188">
        <f t="shared" si="35"/>
        <v>9.5238095238095233E-2</v>
      </c>
    </row>
    <row r="230" spans="1:27" x14ac:dyDescent="0.2">
      <c r="A230" s="495"/>
      <c r="C230" s="6">
        <v>25</v>
      </c>
      <c r="D230" s="8">
        <f>($D$235-$F$229)/($C$235-$C$229)+F229</f>
        <v>171.66666666666666</v>
      </c>
      <c r="E230" s="6">
        <v>0</v>
      </c>
      <c r="F230" s="8">
        <f>Mz_1178[[#This Row],[V_av]]-Mz_1178[[#This Row],[V_prel]]</f>
        <v>171.66666666666666</v>
      </c>
      <c r="G230" s="188">
        <f t="shared" si="31"/>
        <v>9.7087378640776656E-2</v>
      </c>
      <c r="I230" s="6">
        <v>25</v>
      </c>
      <c r="J230" s="8">
        <f t="shared" si="37"/>
        <v>189.33333333333337</v>
      </c>
      <c r="K230" s="6">
        <v>0</v>
      </c>
      <c r="L230" s="8">
        <f t="shared" si="28"/>
        <v>189.33333333333337</v>
      </c>
      <c r="M230" s="188">
        <f t="shared" si="33"/>
        <v>7.8345070422535246E-2</v>
      </c>
      <c r="O230" s="6">
        <v>25</v>
      </c>
      <c r="P230" s="8">
        <f>($P$235-$R$229)/($O$235-$O$229)+R229</f>
        <v>153.16666666666666</v>
      </c>
      <c r="Q230" s="6">
        <v>0</v>
      </c>
      <c r="R230" s="8">
        <f t="shared" si="29"/>
        <v>153.16666666666666</v>
      </c>
      <c r="S230" s="188">
        <f t="shared" si="35"/>
        <v>9.2491838955386235E-2</v>
      </c>
    </row>
    <row r="231" spans="1:27" x14ac:dyDescent="0.2">
      <c r="A231" s="495"/>
      <c r="C231" s="6">
        <v>26</v>
      </c>
      <c r="D231" s="8">
        <f>($D$235-$F$229)/($C$235-$C$229)+D230</f>
        <v>188.33333333333331</v>
      </c>
      <c r="E231" s="6">
        <v>0</v>
      </c>
      <c r="F231" s="8">
        <f>Mz_1178[[#This Row],[V_av]]-Mz_1178[[#This Row],[V_prel]]</f>
        <v>188.33333333333331</v>
      </c>
      <c r="G231" s="188">
        <f t="shared" si="31"/>
        <v>8.8495575221238895E-2</v>
      </c>
      <c r="I231" s="6">
        <v>26</v>
      </c>
      <c r="J231" s="8">
        <f t="shared" si="37"/>
        <v>204.16666666666671</v>
      </c>
      <c r="K231" s="6">
        <v>0</v>
      </c>
      <c r="L231" s="8">
        <f t="shared" si="28"/>
        <v>204.16666666666671</v>
      </c>
      <c r="M231" s="188">
        <f t="shared" si="33"/>
        <v>7.2653061224489821E-2</v>
      </c>
      <c r="O231" s="6">
        <v>26</v>
      </c>
      <c r="P231" s="8">
        <f>($P$235-$R$229)/($O$235-$O$229)+P230</f>
        <v>167.33333333333331</v>
      </c>
      <c r="Q231" s="6">
        <v>0</v>
      </c>
      <c r="R231" s="8">
        <f t="shared" si="29"/>
        <v>167.33333333333331</v>
      </c>
      <c r="S231" s="188">
        <f t="shared" si="35"/>
        <v>8.4661354581673259E-2</v>
      </c>
    </row>
    <row r="232" spans="1:27" x14ac:dyDescent="0.2">
      <c r="A232" s="495"/>
      <c r="C232" s="6">
        <v>27</v>
      </c>
      <c r="D232" s="8">
        <f>($D$235-$F$229)/($C$235-$C$229)+D231</f>
        <v>204.99999999999997</v>
      </c>
      <c r="E232" s="6">
        <v>0</v>
      </c>
      <c r="F232" s="8">
        <f>Mz_1178[[#This Row],[V_av]]-Mz_1178[[#This Row],[V_prel]]</f>
        <v>204.99999999999997</v>
      </c>
      <c r="G232" s="188">
        <f t="shared" si="31"/>
        <v>8.1300813008130052E-2</v>
      </c>
      <c r="I232" s="7">
        <v>27</v>
      </c>
      <c r="J232" s="7">
        <v>219</v>
      </c>
      <c r="K232" s="7">
        <v>51</v>
      </c>
      <c r="L232" s="7">
        <v>168</v>
      </c>
      <c r="M232" s="188">
        <f t="shared" si="33"/>
        <v>6.7732115677320945E-2</v>
      </c>
      <c r="O232" s="6">
        <v>27</v>
      </c>
      <c r="P232" s="8">
        <f t="shared" ref="P232:P234" si="38">($P$235-$R$229)/($O$235-$O$229)+P231</f>
        <v>181.49999999999997</v>
      </c>
      <c r="Q232" s="6">
        <v>0</v>
      </c>
      <c r="R232" s="8">
        <f t="shared" si="29"/>
        <v>181.49999999999997</v>
      </c>
      <c r="S232" s="188">
        <f t="shared" si="35"/>
        <v>7.8053259871441655E-2</v>
      </c>
    </row>
    <row r="233" spans="1:27" x14ac:dyDescent="0.2">
      <c r="A233" s="495"/>
      <c r="C233" s="6">
        <v>28</v>
      </c>
      <c r="D233" s="8">
        <f t="shared" ref="D233:D234" si="39">($D$235-$F$229)/($C$235-$C$229)+D232</f>
        <v>221.66666666666663</v>
      </c>
      <c r="E233" s="6">
        <v>0</v>
      </c>
      <c r="F233" s="8">
        <f>Mz_1178[[#This Row],[V_av]]-Mz_1178[[#This Row],[V_prel]]</f>
        <v>221.66666666666663</v>
      </c>
      <c r="G233" s="188">
        <f t="shared" si="31"/>
        <v>7.5187969924811998E-2</v>
      </c>
      <c r="I233" s="6">
        <v>28</v>
      </c>
      <c r="J233" s="8">
        <f>($J$238-$L$232)/($I$238-$I$232)+L232</f>
        <v>182.16666666666666</v>
      </c>
      <c r="K233" s="6">
        <v>0</v>
      </c>
      <c r="L233" s="8">
        <f t="shared" si="28"/>
        <v>182.16666666666666</v>
      </c>
      <c r="M233" s="188">
        <f t="shared" si="33"/>
        <v>7.7767612076852649E-2</v>
      </c>
      <c r="O233" s="6">
        <v>28</v>
      </c>
      <c r="P233" s="8">
        <f t="shared" si="38"/>
        <v>195.66666666666663</v>
      </c>
      <c r="Q233" s="6">
        <v>0</v>
      </c>
      <c r="R233" s="8">
        <f t="shared" si="29"/>
        <v>195.66666666666663</v>
      </c>
      <c r="S233" s="188">
        <f t="shared" si="35"/>
        <v>7.2402044293015291E-2</v>
      </c>
    </row>
    <row r="234" spans="1:27" x14ac:dyDescent="0.2">
      <c r="A234" s="495"/>
      <c r="C234" s="6">
        <v>29</v>
      </c>
      <c r="D234" s="8">
        <f t="shared" si="39"/>
        <v>238.33333333333329</v>
      </c>
      <c r="E234" s="6">
        <v>0</v>
      </c>
      <c r="F234" s="8">
        <f>Mz_1178[[#This Row],[V_av]]-Mz_1178[[#This Row],[V_prel]]</f>
        <v>238.33333333333329</v>
      </c>
      <c r="G234" s="188">
        <f t="shared" si="31"/>
        <v>6.9930069930069907E-2</v>
      </c>
      <c r="I234" s="6">
        <v>29</v>
      </c>
      <c r="J234" s="8">
        <f>($J$238-$L$232)/($I$238-$I$232)+J233</f>
        <v>196.33333333333331</v>
      </c>
      <c r="K234" s="6">
        <v>0</v>
      </c>
      <c r="L234" s="8">
        <f t="shared" si="28"/>
        <v>196.33333333333331</v>
      </c>
      <c r="M234" s="188">
        <f t="shared" si="33"/>
        <v>7.2156196943972795E-2</v>
      </c>
      <c r="O234" s="6">
        <v>29</v>
      </c>
      <c r="P234" s="8">
        <f t="shared" si="38"/>
        <v>209.83333333333329</v>
      </c>
      <c r="Q234" s="6">
        <v>0</v>
      </c>
      <c r="R234" s="8">
        <f t="shared" si="29"/>
        <v>209.83333333333329</v>
      </c>
      <c r="S234" s="188">
        <f t="shared" si="35"/>
        <v>6.7513899920571857E-2</v>
      </c>
    </row>
    <row r="235" spans="1:27" x14ac:dyDescent="0.2">
      <c r="A235" s="495"/>
      <c r="C235" s="7">
        <v>30</v>
      </c>
      <c r="D235" s="7">
        <v>255</v>
      </c>
      <c r="E235" s="7">
        <v>76</v>
      </c>
      <c r="F235" s="7">
        <v>179</v>
      </c>
      <c r="G235" s="188">
        <f t="shared" si="31"/>
        <v>6.5359477124183191E-2</v>
      </c>
      <c r="I235" s="6">
        <v>30</v>
      </c>
      <c r="J235" s="8">
        <f>($J$238-$L$232)/($I$238-$I$232)+J234</f>
        <v>210.49999999999997</v>
      </c>
      <c r="K235" s="6">
        <v>0</v>
      </c>
      <c r="L235" s="8">
        <f t="shared" si="28"/>
        <v>210.49999999999997</v>
      </c>
      <c r="M235" s="188">
        <f t="shared" si="33"/>
        <v>6.7300079176563707E-2</v>
      </c>
      <c r="O235" s="7">
        <v>30</v>
      </c>
      <c r="P235" s="7">
        <v>224</v>
      </c>
      <c r="Q235" s="7">
        <v>53</v>
      </c>
      <c r="R235" s="7">
        <v>171</v>
      </c>
      <c r="S235" s="188">
        <f t="shared" si="35"/>
        <v>6.3244047619047825E-2</v>
      </c>
    </row>
    <row r="236" spans="1:27" x14ac:dyDescent="0.2">
      <c r="A236" s="495"/>
      <c r="C236" s="7">
        <v>36</v>
      </c>
      <c r="D236" s="7">
        <v>269</v>
      </c>
      <c r="E236" s="7">
        <v>75</v>
      </c>
      <c r="F236" s="7">
        <v>194</v>
      </c>
      <c r="G236" s="188">
        <f t="shared" si="31"/>
        <v>5.5762081784386623E-2</v>
      </c>
      <c r="I236" s="6">
        <v>31</v>
      </c>
      <c r="J236" s="8">
        <f t="shared" ref="J236:J237" si="40">($J$238-$L$232)/($I$238-$I$232)+J235</f>
        <v>224.66666666666663</v>
      </c>
      <c r="K236" s="6">
        <v>0</v>
      </c>
      <c r="L236" s="8">
        <f t="shared" si="28"/>
        <v>224.66666666666663</v>
      </c>
      <c r="M236" s="188">
        <f t="shared" si="33"/>
        <v>6.3056379821958428E-2</v>
      </c>
    </row>
    <row r="237" spans="1:27" x14ac:dyDescent="0.2">
      <c r="A237" s="495"/>
      <c r="C237" s="7">
        <v>40</v>
      </c>
      <c r="D237" s="7">
        <v>278</v>
      </c>
      <c r="E237" s="7">
        <v>278</v>
      </c>
      <c r="F237" s="7"/>
      <c r="G237" s="188">
        <f t="shared" si="31"/>
        <v>7.5539568345323743E-2</v>
      </c>
      <c r="I237" s="6">
        <v>32</v>
      </c>
      <c r="J237" s="8">
        <f t="shared" si="40"/>
        <v>238.83333333333329</v>
      </c>
      <c r="K237" s="6">
        <v>0</v>
      </c>
      <c r="L237" s="8">
        <f t="shared" si="28"/>
        <v>238.83333333333329</v>
      </c>
      <c r="M237" s="188">
        <f t="shared" si="33"/>
        <v>5.9316120027913442E-2</v>
      </c>
    </row>
    <row r="238" spans="1:27" x14ac:dyDescent="0.2">
      <c r="A238" s="495"/>
      <c r="I238" s="7">
        <v>33</v>
      </c>
      <c r="J238" s="7">
        <v>253</v>
      </c>
      <c r="K238" s="7">
        <v>63</v>
      </c>
      <c r="L238" s="7">
        <v>190</v>
      </c>
      <c r="M238" s="188">
        <f>((J238-L235)/J238)/(I238-I235)</f>
        <v>5.5994729907773426E-2</v>
      </c>
    </row>
    <row r="240" spans="1:27" x14ac:dyDescent="0.2">
      <c r="A240" s="496" t="s">
        <v>704</v>
      </c>
      <c r="C240" s="7" t="s">
        <v>949</v>
      </c>
      <c r="D240" s="9" t="s">
        <v>129</v>
      </c>
      <c r="I240" s="7" t="s">
        <v>950</v>
      </c>
      <c r="O240" s="7" t="s">
        <v>951</v>
      </c>
      <c r="U240" s="7" t="s">
        <v>952</v>
      </c>
      <c r="AA240" s="7" t="s">
        <v>953</v>
      </c>
    </row>
    <row r="241" spans="1:31" x14ac:dyDescent="0.2">
      <c r="A241" s="496"/>
      <c r="C241" s="6" t="s">
        <v>125</v>
      </c>
      <c r="D241" s="6" t="s">
        <v>126</v>
      </c>
      <c r="E241" s="6" t="s">
        <v>127</v>
      </c>
      <c r="F241" s="6" t="s">
        <v>128</v>
      </c>
      <c r="G241" s="194" t="s">
        <v>699</v>
      </c>
      <c r="I241" s="176" t="s">
        <v>125</v>
      </c>
      <c r="J241" s="176" t="s">
        <v>126</v>
      </c>
      <c r="K241" s="176" t="s">
        <v>127</v>
      </c>
      <c r="L241" s="176" t="s">
        <v>128</v>
      </c>
      <c r="M241" s="196" t="s">
        <v>699</v>
      </c>
      <c r="O241" s="176" t="s">
        <v>125</v>
      </c>
      <c r="P241" s="176" t="s">
        <v>126</v>
      </c>
      <c r="Q241" s="176" t="s">
        <v>127</v>
      </c>
      <c r="R241" s="176" t="s">
        <v>128</v>
      </c>
      <c r="S241" s="196" t="s">
        <v>699</v>
      </c>
      <c r="U241" s="176" t="s">
        <v>125</v>
      </c>
      <c r="V241" s="176" t="s">
        <v>126</v>
      </c>
      <c r="W241" s="176" t="s">
        <v>127</v>
      </c>
      <c r="X241" s="176" t="s">
        <v>128</v>
      </c>
      <c r="Y241" s="196" t="s">
        <v>699</v>
      </c>
      <c r="AA241" s="176" t="s">
        <v>125</v>
      </c>
      <c r="AB241" s="176" t="s">
        <v>126</v>
      </c>
      <c r="AC241" s="176" t="s">
        <v>127</v>
      </c>
      <c r="AD241" s="176" t="s">
        <v>128</v>
      </c>
      <c r="AE241" s="196" t="s">
        <v>699</v>
      </c>
    </row>
    <row r="242" spans="1:31" x14ac:dyDescent="0.2">
      <c r="A242" s="496"/>
      <c r="C242" s="6">
        <v>1</v>
      </c>
      <c r="D242" s="6">
        <f>D261/C261</f>
        <v>5</v>
      </c>
      <c r="E242" s="6">
        <v>0</v>
      </c>
      <c r="F242" s="6">
        <f>Ps_1126[[#This Row],[V_av]]-Ps_1126[[#This Row],[V_prel]]</f>
        <v>5</v>
      </c>
      <c r="G242" s="194">
        <v>0</v>
      </c>
      <c r="I242" s="6">
        <v>1</v>
      </c>
      <c r="J242" s="8">
        <f>J263/I263</f>
        <v>3.8181818181818183</v>
      </c>
      <c r="K242" s="6">
        <v>0</v>
      </c>
      <c r="L242" s="8">
        <f>J242-K242</f>
        <v>3.8181818181818183</v>
      </c>
      <c r="M242" s="194">
        <v>0</v>
      </c>
      <c r="O242" s="6">
        <v>1</v>
      </c>
      <c r="P242" s="8">
        <f>P266/O266</f>
        <v>3.92</v>
      </c>
      <c r="Q242" s="6">
        <v>0</v>
      </c>
      <c r="R242" s="6">
        <f>P242-Q242</f>
        <v>3.92</v>
      </c>
      <c r="S242" s="193">
        <v>0</v>
      </c>
      <c r="U242" s="6">
        <v>1</v>
      </c>
      <c r="V242" s="8">
        <f>V271/U271</f>
        <v>3.2666666666666666</v>
      </c>
      <c r="W242" s="6">
        <v>0</v>
      </c>
      <c r="X242" s="8">
        <f>V242-W242</f>
        <v>3.2666666666666666</v>
      </c>
      <c r="Y242" s="193">
        <v>0</v>
      </c>
      <c r="AA242" s="6">
        <v>1</v>
      </c>
      <c r="AB242" s="8">
        <f>AB278/AA278</f>
        <v>2.5135135135135136</v>
      </c>
      <c r="AC242" s="6">
        <v>0</v>
      </c>
      <c r="AD242" s="8">
        <f>AB242-AC242</f>
        <v>2.5135135135135136</v>
      </c>
      <c r="AE242" s="193">
        <v>0</v>
      </c>
    </row>
    <row r="243" spans="1:31" x14ac:dyDescent="0.2">
      <c r="A243" s="496"/>
      <c r="C243" s="6">
        <v>2</v>
      </c>
      <c r="D243" s="6">
        <f>$D$261/$C$261+F242</f>
        <v>10</v>
      </c>
      <c r="E243" s="6">
        <v>0</v>
      </c>
      <c r="F243" s="6">
        <f>Ps_1126[[#This Row],[V_av]]-Ps_1126[[#This Row],[V_prel]]</f>
        <v>10</v>
      </c>
      <c r="G243" s="188">
        <f>((D243-F242)/D243)/(C243-C242)</f>
        <v>0.5</v>
      </c>
      <c r="I243" s="6">
        <v>2</v>
      </c>
      <c r="J243" s="8">
        <f t="shared" ref="J243:J262" si="41">$J$263/$I$263+L242</f>
        <v>7.6363636363636367</v>
      </c>
      <c r="K243" s="6">
        <v>0</v>
      </c>
      <c r="L243" s="8">
        <f t="shared" ref="L243:L262" si="42">J243-K243</f>
        <v>7.6363636363636367</v>
      </c>
      <c r="M243" s="188">
        <f>((J243-L242)/J243)/(I243-I242)</f>
        <v>0.5</v>
      </c>
      <c r="O243" s="6">
        <v>2</v>
      </c>
      <c r="P243" s="8">
        <f>$P$266/$O$266+R242</f>
        <v>7.84</v>
      </c>
      <c r="Q243" s="6">
        <v>0</v>
      </c>
      <c r="R243" s="6">
        <f t="shared" ref="R243:R265" si="43">P243-Q243</f>
        <v>7.84</v>
      </c>
      <c r="S243" s="188">
        <f>((P243-R242)/P243)/(O243-O242)</f>
        <v>0.5</v>
      </c>
      <c r="U243" s="6">
        <v>2</v>
      </c>
      <c r="V243" s="8">
        <f>$V$271/$U$271+X242</f>
        <v>6.5333333333333332</v>
      </c>
      <c r="W243" s="6">
        <v>0</v>
      </c>
      <c r="X243" s="8">
        <f t="shared" ref="X243:X270" si="44">V243-W243</f>
        <v>6.5333333333333332</v>
      </c>
      <c r="Y243" s="188">
        <f>((V243-X242)/V243)/(U243-U242)</f>
        <v>0.5</v>
      </c>
      <c r="AA243" s="6">
        <v>2</v>
      </c>
      <c r="AB243" s="8">
        <f>$AB$278/$AA$278+AD242</f>
        <v>5.0270270270270272</v>
      </c>
      <c r="AC243" s="6">
        <v>0</v>
      </c>
      <c r="AD243" s="8">
        <f t="shared" ref="AD243:AD277" si="45">AB243-AC243</f>
        <v>5.0270270270270272</v>
      </c>
      <c r="AE243" s="188">
        <f>((AB243-AB242)/AB243)/(AA243-AA242)</f>
        <v>0.5</v>
      </c>
    </row>
    <row r="244" spans="1:31" x14ac:dyDescent="0.2">
      <c r="A244" s="496"/>
      <c r="C244" s="6">
        <v>3</v>
      </c>
      <c r="D244" s="6">
        <f t="shared" ref="D244:D260" si="46">$D$261/$C$261+F243</f>
        <v>15</v>
      </c>
      <c r="E244" s="6">
        <v>0</v>
      </c>
      <c r="F244" s="6">
        <f>Ps_1126[[#This Row],[V_av]]-Ps_1126[[#This Row],[V_prel]]</f>
        <v>15</v>
      </c>
      <c r="G244" s="188">
        <f t="shared" ref="G244:G279" si="47">((D244-F243)/D244)/(C244-C243)</f>
        <v>0.33333333333333331</v>
      </c>
      <c r="I244" s="6">
        <v>3</v>
      </c>
      <c r="J244" s="8">
        <f t="shared" si="41"/>
        <v>11.454545454545455</v>
      </c>
      <c r="K244" s="6">
        <v>0</v>
      </c>
      <c r="L244" s="8">
        <f t="shared" si="42"/>
        <v>11.454545454545455</v>
      </c>
      <c r="M244" s="188">
        <f t="shared" ref="M244:M271" si="48">((J244-L243)/J244)/(I244-I243)</f>
        <v>0.33333333333333331</v>
      </c>
      <c r="O244" s="6">
        <v>3</v>
      </c>
      <c r="P244" s="8">
        <f t="shared" ref="P244:P265" si="49">$P$266/$O$266+R243</f>
        <v>11.76</v>
      </c>
      <c r="Q244" s="6">
        <v>0</v>
      </c>
      <c r="R244" s="6">
        <f t="shared" si="43"/>
        <v>11.76</v>
      </c>
      <c r="S244" s="188">
        <f t="shared" ref="S244:S271" si="50">((P244-R243)/P244)/(O244-O243)</f>
        <v>0.33333333333333331</v>
      </c>
      <c r="U244" s="6">
        <v>3</v>
      </c>
      <c r="V244" s="8">
        <f t="shared" ref="V244:V270" si="51">$V$271/$U$271+X243</f>
        <v>9.8000000000000007</v>
      </c>
      <c r="W244" s="6">
        <v>0</v>
      </c>
      <c r="X244" s="8">
        <f t="shared" si="44"/>
        <v>9.8000000000000007</v>
      </c>
      <c r="Y244" s="188">
        <f t="shared" ref="Y244:Y271" si="52">((V244-X243)/V244)/(U244-U243)</f>
        <v>0.33333333333333337</v>
      </c>
      <c r="AA244" s="6">
        <v>3</v>
      </c>
      <c r="AB244" s="8">
        <f t="shared" ref="AB244:AB277" si="53">$AB$278/$AA$278+AD243</f>
        <v>7.5405405405405403</v>
      </c>
      <c r="AC244" s="6">
        <v>0</v>
      </c>
      <c r="AD244" s="8">
        <f t="shared" si="45"/>
        <v>7.5405405405405403</v>
      </c>
      <c r="AE244" s="188">
        <f t="shared" ref="AE244:AE278" si="54">((AB244-AB243)/AB244)/(AA244-AA243)</f>
        <v>0.33333333333333331</v>
      </c>
    </row>
    <row r="245" spans="1:31" x14ac:dyDescent="0.2">
      <c r="A245" s="496"/>
      <c r="C245" s="6">
        <v>4</v>
      </c>
      <c r="D245" s="6">
        <f t="shared" si="46"/>
        <v>20</v>
      </c>
      <c r="E245" s="6">
        <v>0</v>
      </c>
      <c r="F245" s="6">
        <f>Ps_1126[[#This Row],[V_av]]-Ps_1126[[#This Row],[V_prel]]</f>
        <v>20</v>
      </c>
      <c r="G245" s="188">
        <f t="shared" si="47"/>
        <v>0.25</v>
      </c>
      <c r="I245" s="6">
        <v>4</v>
      </c>
      <c r="J245" s="8">
        <f t="shared" si="41"/>
        <v>15.272727272727273</v>
      </c>
      <c r="K245" s="6">
        <v>0</v>
      </c>
      <c r="L245" s="8">
        <f t="shared" si="42"/>
        <v>15.272727272727273</v>
      </c>
      <c r="M245" s="188">
        <f t="shared" si="48"/>
        <v>0.25</v>
      </c>
      <c r="O245" s="6">
        <v>4</v>
      </c>
      <c r="P245" s="8">
        <f t="shared" si="49"/>
        <v>15.68</v>
      </c>
      <c r="Q245" s="6">
        <v>0</v>
      </c>
      <c r="R245" s="6">
        <f t="shared" si="43"/>
        <v>15.68</v>
      </c>
      <c r="S245" s="188">
        <f t="shared" si="50"/>
        <v>0.25</v>
      </c>
      <c r="U245" s="6">
        <v>4</v>
      </c>
      <c r="V245" s="8">
        <f t="shared" si="51"/>
        <v>13.066666666666666</v>
      </c>
      <c r="W245" s="6">
        <v>0</v>
      </c>
      <c r="X245" s="8">
        <f t="shared" si="44"/>
        <v>13.066666666666666</v>
      </c>
      <c r="Y245" s="188">
        <f t="shared" si="52"/>
        <v>0.24999999999999994</v>
      </c>
      <c r="AA245" s="6">
        <v>4</v>
      </c>
      <c r="AB245" s="8">
        <f t="shared" si="53"/>
        <v>10.054054054054054</v>
      </c>
      <c r="AC245" s="6">
        <v>0</v>
      </c>
      <c r="AD245" s="8">
        <f t="shared" si="45"/>
        <v>10.054054054054054</v>
      </c>
      <c r="AE245" s="188">
        <f t="shared" si="54"/>
        <v>0.25000000000000006</v>
      </c>
    </row>
    <row r="246" spans="1:31" x14ac:dyDescent="0.2">
      <c r="A246" s="496"/>
      <c r="C246" s="6">
        <v>5</v>
      </c>
      <c r="D246" s="6">
        <f t="shared" si="46"/>
        <v>25</v>
      </c>
      <c r="E246" s="6">
        <v>0</v>
      </c>
      <c r="F246" s="6">
        <f>Ps_1126[[#This Row],[V_av]]-Ps_1126[[#This Row],[V_prel]]</f>
        <v>25</v>
      </c>
      <c r="G246" s="188">
        <f t="shared" si="47"/>
        <v>0.2</v>
      </c>
      <c r="I246" s="6">
        <v>5</v>
      </c>
      <c r="J246" s="8">
        <f t="shared" si="41"/>
        <v>19.090909090909093</v>
      </c>
      <c r="K246" s="6">
        <v>0</v>
      </c>
      <c r="L246" s="8">
        <f t="shared" si="42"/>
        <v>19.090909090909093</v>
      </c>
      <c r="M246" s="188">
        <f t="shared" si="48"/>
        <v>0.20000000000000007</v>
      </c>
      <c r="O246" s="6">
        <v>5</v>
      </c>
      <c r="P246" s="8">
        <f t="shared" si="49"/>
        <v>19.600000000000001</v>
      </c>
      <c r="Q246" s="6">
        <v>0</v>
      </c>
      <c r="R246" s="6">
        <f t="shared" si="43"/>
        <v>19.600000000000001</v>
      </c>
      <c r="S246" s="188">
        <f t="shared" si="50"/>
        <v>0.20000000000000007</v>
      </c>
      <c r="U246" s="6">
        <v>5</v>
      </c>
      <c r="V246" s="8">
        <f t="shared" si="51"/>
        <v>16.333333333333332</v>
      </c>
      <c r="W246" s="6">
        <v>0</v>
      </c>
      <c r="X246" s="8">
        <f t="shared" si="44"/>
        <v>16.333333333333332</v>
      </c>
      <c r="Y246" s="188">
        <f t="shared" si="52"/>
        <v>0.19999999999999996</v>
      </c>
      <c r="AA246" s="6">
        <v>5</v>
      </c>
      <c r="AB246" s="8">
        <f t="shared" si="53"/>
        <v>12.567567567567568</v>
      </c>
      <c r="AC246" s="6">
        <v>0</v>
      </c>
      <c r="AD246" s="8">
        <f t="shared" si="45"/>
        <v>12.567567567567568</v>
      </c>
      <c r="AE246" s="188">
        <f t="shared" si="54"/>
        <v>0.20000000000000004</v>
      </c>
    </row>
    <row r="247" spans="1:31" x14ac:dyDescent="0.2">
      <c r="A247" s="496"/>
      <c r="C247" s="6">
        <v>6</v>
      </c>
      <c r="D247" s="6">
        <f t="shared" si="46"/>
        <v>30</v>
      </c>
      <c r="E247" s="6">
        <v>0</v>
      </c>
      <c r="F247" s="6">
        <f>Ps_1126[[#This Row],[V_av]]-Ps_1126[[#This Row],[V_prel]]</f>
        <v>30</v>
      </c>
      <c r="G247" s="188">
        <f t="shared" si="47"/>
        <v>0.16666666666666666</v>
      </c>
      <c r="I247" s="6">
        <v>6</v>
      </c>
      <c r="J247" s="8">
        <f t="shared" si="41"/>
        <v>22.909090909090914</v>
      </c>
      <c r="K247" s="6">
        <v>0</v>
      </c>
      <c r="L247" s="8">
        <f t="shared" si="42"/>
        <v>22.909090909090914</v>
      </c>
      <c r="M247" s="188">
        <f t="shared" si="48"/>
        <v>0.16666666666666671</v>
      </c>
      <c r="O247" s="6">
        <v>6</v>
      </c>
      <c r="P247" s="8">
        <f t="shared" si="49"/>
        <v>23.520000000000003</v>
      </c>
      <c r="Q247" s="6">
        <v>0</v>
      </c>
      <c r="R247" s="6">
        <f t="shared" si="43"/>
        <v>23.520000000000003</v>
      </c>
      <c r="S247" s="188">
        <f t="shared" si="50"/>
        <v>0.16666666666666671</v>
      </c>
      <c r="U247" s="6">
        <v>6</v>
      </c>
      <c r="V247" s="8">
        <f t="shared" si="51"/>
        <v>19.599999999999998</v>
      </c>
      <c r="W247" s="6">
        <v>0</v>
      </c>
      <c r="X247" s="8">
        <f t="shared" si="44"/>
        <v>19.599999999999998</v>
      </c>
      <c r="Y247" s="188">
        <f t="shared" si="52"/>
        <v>0.16666666666666663</v>
      </c>
      <c r="AA247" s="6">
        <v>6</v>
      </c>
      <c r="AB247" s="8">
        <f t="shared" si="53"/>
        <v>15.081081081081082</v>
      </c>
      <c r="AC247" s="6">
        <v>0</v>
      </c>
      <c r="AD247" s="8">
        <f t="shared" si="45"/>
        <v>15.081081081081082</v>
      </c>
      <c r="AE247" s="188">
        <f t="shared" si="54"/>
        <v>0.16666666666666669</v>
      </c>
    </row>
    <row r="248" spans="1:31" x14ac:dyDescent="0.2">
      <c r="A248" s="496"/>
      <c r="C248" s="6">
        <v>7</v>
      </c>
      <c r="D248" s="6">
        <f t="shared" si="46"/>
        <v>35</v>
      </c>
      <c r="E248" s="6">
        <v>0</v>
      </c>
      <c r="F248" s="6">
        <f>Ps_1126[[#This Row],[V_av]]-Ps_1126[[#This Row],[V_prel]]</f>
        <v>35</v>
      </c>
      <c r="G248" s="188">
        <f t="shared" si="47"/>
        <v>0.14285714285714285</v>
      </c>
      <c r="I248" s="6">
        <v>7</v>
      </c>
      <c r="J248" s="8">
        <f t="shared" si="41"/>
        <v>26.727272727272734</v>
      </c>
      <c r="K248" s="6">
        <v>0</v>
      </c>
      <c r="L248" s="8">
        <f t="shared" si="42"/>
        <v>26.727272727272734</v>
      </c>
      <c r="M248" s="188">
        <f t="shared" si="48"/>
        <v>0.1428571428571429</v>
      </c>
      <c r="O248" s="6">
        <v>7</v>
      </c>
      <c r="P248" s="8">
        <f t="shared" si="49"/>
        <v>27.440000000000005</v>
      </c>
      <c r="Q248" s="6">
        <v>0</v>
      </c>
      <c r="R248" s="6">
        <f t="shared" si="43"/>
        <v>27.440000000000005</v>
      </c>
      <c r="S248" s="188">
        <f t="shared" si="50"/>
        <v>0.1428571428571429</v>
      </c>
      <c r="U248" s="6">
        <v>7</v>
      </c>
      <c r="V248" s="8">
        <f t="shared" si="51"/>
        <v>22.866666666666664</v>
      </c>
      <c r="W248" s="6">
        <v>0</v>
      </c>
      <c r="X248" s="8">
        <f t="shared" si="44"/>
        <v>22.866666666666664</v>
      </c>
      <c r="Y248" s="188">
        <f t="shared" si="52"/>
        <v>0.14285714285714282</v>
      </c>
      <c r="AA248" s="6">
        <v>7</v>
      </c>
      <c r="AB248" s="8">
        <f t="shared" si="53"/>
        <v>17.594594594594597</v>
      </c>
      <c r="AC248" s="6">
        <v>0</v>
      </c>
      <c r="AD248" s="8">
        <f t="shared" si="45"/>
        <v>17.594594594594597</v>
      </c>
      <c r="AE248" s="188">
        <f t="shared" si="54"/>
        <v>0.14285714285714288</v>
      </c>
    </row>
    <row r="249" spans="1:31" x14ac:dyDescent="0.2">
      <c r="A249" s="496"/>
      <c r="C249" s="6">
        <v>8</v>
      </c>
      <c r="D249" s="6">
        <f t="shared" si="46"/>
        <v>40</v>
      </c>
      <c r="E249" s="6">
        <v>0</v>
      </c>
      <c r="F249" s="6">
        <f>Ps_1126[[#This Row],[V_av]]-Ps_1126[[#This Row],[V_prel]]</f>
        <v>40</v>
      </c>
      <c r="G249" s="188">
        <f t="shared" si="47"/>
        <v>0.125</v>
      </c>
      <c r="I249" s="6">
        <v>8</v>
      </c>
      <c r="J249" s="8">
        <f t="shared" si="41"/>
        <v>30.545454545454554</v>
      </c>
      <c r="K249" s="6">
        <v>0</v>
      </c>
      <c r="L249" s="8">
        <f t="shared" si="42"/>
        <v>30.545454545454554</v>
      </c>
      <c r="M249" s="188">
        <f t="shared" si="48"/>
        <v>0.12500000000000003</v>
      </c>
      <c r="O249" s="6">
        <v>8</v>
      </c>
      <c r="P249" s="8">
        <f t="shared" si="49"/>
        <v>31.360000000000007</v>
      </c>
      <c r="Q249" s="6">
        <v>0</v>
      </c>
      <c r="R249" s="6">
        <f t="shared" si="43"/>
        <v>31.360000000000007</v>
      </c>
      <c r="S249" s="188">
        <f t="shared" si="50"/>
        <v>0.12500000000000003</v>
      </c>
      <c r="U249" s="6">
        <v>8</v>
      </c>
      <c r="V249" s="8">
        <f t="shared" si="51"/>
        <v>26.133333333333329</v>
      </c>
      <c r="W249" s="6">
        <v>0</v>
      </c>
      <c r="X249" s="8">
        <f t="shared" si="44"/>
        <v>26.133333333333329</v>
      </c>
      <c r="Y249" s="188">
        <f t="shared" si="52"/>
        <v>0.12499999999999999</v>
      </c>
      <c r="AA249" s="6">
        <v>8</v>
      </c>
      <c r="AB249" s="8">
        <f t="shared" si="53"/>
        <v>20.108108108108109</v>
      </c>
      <c r="AC249" s="6">
        <v>0</v>
      </c>
      <c r="AD249" s="8">
        <f t="shared" si="45"/>
        <v>20.108108108108109</v>
      </c>
      <c r="AE249" s="188">
        <f t="shared" si="54"/>
        <v>0.12499999999999993</v>
      </c>
    </row>
    <row r="250" spans="1:31" x14ac:dyDescent="0.2">
      <c r="A250" s="496"/>
      <c r="C250" s="6">
        <v>9</v>
      </c>
      <c r="D250" s="6">
        <f t="shared" si="46"/>
        <v>45</v>
      </c>
      <c r="E250" s="6">
        <v>0</v>
      </c>
      <c r="F250" s="6">
        <f>Ps_1126[[#This Row],[V_av]]-Ps_1126[[#This Row],[V_prel]]</f>
        <v>45</v>
      </c>
      <c r="G250" s="188">
        <f t="shared" si="47"/>
        <v>0.1111111111111111</v>
      </c>
      <c r="I250" s="6">
        <v>9</v>
      </c>
      <c r="J250" s="8">
        <f t="shared" si="41"/>
        <v>34.363636363636374</v>
      </c>
      <c r="K250" s="6">
        <v>0</v>
      </c>
      <c r="L250" s="8">
        <f t="shared" si="42"/>
        <v>34.363636363636374</v>
      </c>
      <c r="M250" s="188">
        <f t="shared" si="48"/>
        <v>0.11111111111111113</v>
      </c>
      <c r="O250" s="6">
        <v>9</v>
      </c>
      <c r="P250" s="8">
        <f t="shared" si="49"/>
        <v>35.280000000000008</v>
      </c>
      <c r="Q250" s="6">
        <v>0</v>
      </c>
      <c r="R250" s="6">
        <f t="shared" si="43"/>
        <v>35.280000000000008</v>
      </c>
      <c r="S250" s="188">
        <f t="shared" si="50"/>
        <v>0.11111111111111113</v>
      </c>
      <c r="U250" s="6">
        <v>9</v>
      </c>
      <c r="V250" s="8">
        <f t="shared" si="51"/>
        <v>29.399999999999995</v>
      </c>
      <c r="W250" s="6">
        <v>0</v>
      </c>
      <c r="X250" s="8">
        <f t="shared" si="44"/>
        <v>29.399999999999995</v>
      </c>
      <c r="Y250" s="188">
        <f t="shared" si="52"/>
        <v>0.11111111111111109</v>
      </c>
      <c r="AA250" s="6">
        <v>9</v>
      </c>
      <c r="AB250" s="8">
        <f t="shared" si="53"/>
        <v>22.621621621621621</v>
      </c>
      <c r="AC250" s="6">
        <v>0</v>
      </c>
      <c r="AD250" s="8">
        <f t="shared" si="45"/>
        <v>22.621621621621621</v>
      </c>
      <c r="AE250" s="188">
        <f t="shared" si="54"/>
        <v>0.11111111111111106</v>
      </c>
    </row>
    <row r="251" spans="1:31" x14ac:dyDescent="0.2">
      <c r="A251" s="496"/>
      <c r="C251" s="6">
        <v>10</v>
      </c>
      <c r="D251" s="6">
        <f t="shared" si="46"/>
        <v>50</v>
      </c>
      <c r="E251" s="6">
        <v>0</v>
      </c>
      <c r="F251" s="6">
        <f>Ps_1126[[#This Row],[V_av]]-Ps_1126[[#This Row],[V_prel]]</f>
        <v>50</v>
      </c>
      <c r="G251" s="188">
        <f t="shared" si="47"/>
        <v>0.1</v>
      </c>
      <c r="I251" s="6">
        <v>10</v>
      </c>
      <c r="J251" s="8">
        <f t="shared" si="41"/>
        <v>38.181818181818194</v>
      </c>
      <c r="K251" s="6">
        <v>0</v>
      </c>
      <c r="L251" s="8">
        <f t="shared" si="42"/>
        <v>38.181818181818194</v>
      </c>
      <c r="M251" s="188">
        <f t="shared" si="48"/>
        <v>0.10000000000000002</v>
      </c>
      <c r="O251" s="6">
        <v>10</v>
      </c>
      <c r="P251" s="8">
        <f t="shared" si="49"/>
        <v>39.20000000000001</v>
      </c>
      <c r="Q251" s="6">
        <v>0</v>
      </c>
      <c r="R251" s="6">
        <f t="shared" si="43"/>
        <v>39.20000000000001</v>
      </c>
      <c r="S251" s="188">
        <f t="shared" si="50"/>
        <v>0.10000000000000002</v>
      </c>
      <c r="U251" s="6">
        <v>10</v>
      </c>
      <c r="V251" s="8">
        <f t="shared" si="51"/>
        <v>32.666666666666664</v>
      </c>
      <c r="W251" s="6">
        <v>0</v>
      </c>
      <c r="X251" s="8">
        <f t="shared" si="44"/>
        <v>32.666666666666664</v>
      </c>
      <c r="Y251" s="188">
        <f t="shared" si="52"/>
        <v>0.10000000000000009</v>
      </c>
      <c r="AA251" s="6">
        <v>10</v>
      </c>
      <c r="AB251" s="8">
        <f t="shared" si="53"/>
        <v>25.135135135135133</v>
      </c>
      <c r="AC251" s="6">
        <v>0</v>
      </c>
      <c r="AD251" s="8">
        <f t="shared" si="45"/>
        <v>25.135135135135133</v>
      </c>
      <c r="AE251" s="188">
        <f t="shared" si="54"/>
        <v>9.9999999999999964E-2</v>
      </c>
    </row>
    <row r="252" spans="1:31" x14ac:dyDescent="0.2">
      <c r="A252" s="496"/>
      <c r="C252" s="6">
        <v>11</v>
      </c>
      <c r="D252" s="6">
        <f t="shared" si="46"/>
        <v>55</v>
      </c>
      <c r="E252" s="6">
        <v>0</v>
      </c>
      <c r="F252" s="6">
        <f>Ps_1126[[#This Row],[V_av]]-Ps_1126[[#This Row],[V_prel]]</f>
        <v>55</v>
      </c>
      <c r="G252" s="188">
        <f t="shared" si="47"/>
        <v>9.0909090909090912E-2</v>
      </c>
      <c r="I252" s="6">
        <v>11</v>
      </c>
      <c r="J252" s="8">
        <f t="shared" si="41"/>
        <v>42.000000000000014</v>
      </c>
      <c r="K252" s="6">
        <v>0</v>
      </c>
      <c r="L252" s="8">
        <f t="shared" si="42"/>
        <v>42.000000000000014</v>
      </c>
      <c r="M252" s="188">
        <f t="shared" si="48"/>
        <v>9.0909090909090925E-2</v>
      </c>
      <c r="O252" s="6">
        <v>11</v>
      </c>
      <c r="P252" s="8">
        <f t="shared" si="49"/>
        <v>43.120000000000012</v>
      </c>
      <c r="Q252" s="6">
        <v>0</v>
      </c>
      <c r="R252" s="6">
        <f t="shared" si="43"/>
        <v>43.120000000000012</v>
      </c>
      <c r="S252" s="188">
        <f t="shared" si="50"/>
        <v>9.0909090909090925E-2</v>
      </c>
      <c r="U252" s="6">
        <v>11</v>
      </c>
      <c r="V252" s="8">
        <f t="shared" si="51"/>
        <v>35.93333333333333</v>
      </c>
      <c r="W252" s="6">
        <v>0</v>
      </c>
      <c r="X252" s="8">
        <f t="shared" si="44"/>
        <v>35.93333333333333</v>
      </c>
      <c r="Y252" s="188">
        <f t="shared" si="52"/>
        <v>9.0909090909090898E-2</v>
      </c>
      <c r="AA252" s="6">
        <v>11</v>
      </c>
      <c r="AB252" s="8">
        <f t="shared" si="53"/>
        <v>27.648648648648646</v>
      </c>
      <c r="AC252" s="6">
        <v>0</v>
      </c>
      <c r="AD252" s="8">
        <f t="shared" si="45"/>
        <v>27.648648648648646</v>
      </c>
      <c r="AE252" s="188">
        <f t="shared" si="54"/>
        <v>9.090909090909087E-2</v>
      </c>
    </row>
    <row r="253" spans="1:31" x14ac:dyDescent="0.2">
      <c r="A253" s="496"/>
      <c r="C253" s="6">
        <v>12</v>
      </c>
      <c r="D253" s="6">
        <f t="shared" si="46"/>
        <v>60</v>
      </c>
      <c r="E253" s="6">
        <v>0</v>
      </c>
      <c r="F253" s="6">
        <f>Ps_1126[[#This Row],[V_av]]-Ps_1126[[#This Row],[V_prel]]</f>
        <v>60</v>
      </c>
      <c r="G253" s="188">
        <f t="shared" si="47"/>
        <v>8.3333333333333329E-2</v>
      </c>
      <c r="I253" s="6">
        <v>12</v>
      </c>
      <c r="J253" s="8">
        <f t="shared" si="41"/>
        <v>45.818181818181834</v>
      </c>
      <c r="K253" s="6">
        <v>0</v>
      </c>
      <c r="L253" s="8">
        <f t="shared" si="42"/>
        <v>45.818181818181834</v>
      </c>
      <c r="M253" s="188">
        <f t="shared" si="48"/>
        <v>8.3333333333333343E-2</v>
      </c>
      <c r="O253" s="6">
        <v>12</v>
      </c>
      <c r="P253" s="8">
        <f t="shared" si="49"/>
        <v>47.040000000000013</v>
      </c>
      <c r="Q253" s="6">
        <v>0</v>
      </c>
      <c r="R253" s="6">
        <f t="shared" si="43"/>
        <v>47.040000000000013</v>
      </c>
      <c r="S253" s="188">
        <f t="shared" si="50"/>
        <v>8.3333333333333343E-2</v>
      </c>
      <c r="U253" s="6">
        <v>12</v>
      </c>
      <c r="V253" s="8">
        <f t="shared" si="51"/>
        <v>39.199999999999996</v>
      </c>
      <c r="W253" s="6">
        <v>0</v>
      </c>
      <c r="X253" s="8">
        <f t="shared" si="44"/>
        <v>39.199999999999996</v>
      </c>
      <c r="Y253" s="188">
        <f t="shared" si="52"/>
        <v>8.3333333333333315E-2</v>
      </c>
      <c r="AA253" s="6">
        <v>12</v>
      </c>
      <c r="AB253" s="8">
        <f t="shared" si="53"/>
        <v>30.162162162162158</v>
      </c>
      <c r="AC253" s="6">
        <v>0</v>
      </c>
      <c r="AD253" s="8">
        <f t="shared" si="45"/>
        <v>30.162162162162158</v>
      </c>
      <c r="AE253" s="188">
        <f t="shared" si="54"/>
        <v>8.3333333333333301E-2</v>
      </c>
    </row>
    <row r="254" spans="1:31" x14ac:dyDescent="0.2">
      <c r="A254" s="496"/>
      <c r="C254" s="6">
        <v>13</v>
      </c>
      <c r="D254" s="6">
        <f t="shared" si="46"/>
        <v>65</v>
      </c>
      <c r="E254" s="6">
        <v>0</v>
      </c>
      <c r="F254" s="6">
        <f>Ps_1126[[#This Row],[V_av]]-Ps_1126[[#This Row],[V_prel]]</f>
        <v>65</v>
      </c>
      <c r="G254" s="188">
        <f t="shared" si="47"/>
        <v>7.6923076923076927E-2</v>
      </c>
      <c r="I254" s="6">
        <v>13</v>
      </c>
      <c r="J254" s="8">
        <f t="shared" si="41"/>
        <v>49.636363636363654</v>
      </c>
      <c r="K254" s="6">
        <v>0</v>
      </c>
      <c r="L254" s="8">
        <f t="shared" si="42"/>
        <v>49.636363636363654</v>
      </c>
      <c r="M254" s="188">
        <f t="shared" si="48"/>
        <v>7.6923076923076927E-2</v>
      </c>
      <c r="O254" s="6">
        <v>13</v>
      </c>
      <c r="P254" s="8">
        <f t="shared" si="49"/>
        <v>50.960000000000015</v>
      </c>
      <c r="Q254" s="6">
        <v>0</v>
      </c>
      <c r="R254" s="6">
        <f t="shared" si="43"/>
        <v>50.960000000000015</v>
      </c>
      <c r="S254" s="188">
        <f t="shared" si="50"/>
        <v>7.6923076923076927E-2</v>
      </c>
      <c r="U254" s="6">
        <v>13</v>
      </c>
      <c r="V254" s="8">
        <f t="shared" si="51"/>
        <v>42.466666666666661</v>
      </c>
      <c r="W254" s="6">
        <v>0</v>
      </c>
      <c r="X254" s="8">
        <f t="shared" si="44"/>
        <v>42.466666666666661</v>
      </c>
      <c r="Y254" s="188">
        <f t="shared" si="52"/>
        <v>7.6923076923076913E-2</v>
      </c>
      <c r="AA254" s="6">
        <v>13</v>
      </c>
      <c r="AB254" s="8">
        <f t="shared" si="53"/>
        <v>32.67567567567567</v>
      </c>
      <c r="AC254" s="6">
        <v>0</v>
      </c>
      <c r="AD254" s="8">
        <f t="shared" si="45"/>
        <v>32.67567567567567</v>
      </c>
      <c r="AE254" s="188">
        <f t="shared" si="54"/>
        <v>7.69230769230769E-2</v>
      </c>
    </row>
    <row r="255" spans="1:31" x14ac:dyDescent="0.2">
      <c r="A255" s="496"/>
      <c r="C255" s="6">
        <v>14</v>
      </c>
      <c r="D255" s="6">
        <f t="shared" si="46"/>
        <v>70</v>
      </c>
      <c r="E255" s="6">
        <v>0</v>
      </c>
      <c r="F255" s="6">
        <f>Ps_1126[[#This Row],[V_av]]-Ps_1126[[#This Row],[V_prel]]</f>
        <v>70</v>
      </c>
      <c r="G255" s="188">
        <f t="shared" si="47"/>
        <v>7.1428571428571425E-2</v>
      </c>
      <c r="I255" s="6">
        <v>14</v>
      </c>
      <c r="J255" s="8">
        <f t="shared" si="41"/>
        <v>53.454545454545475</v>
      </c>
      <c r="K255" s="6">
        <v>0</v>
      </c>
      <c r="L255" s="8">
        <f t="shared" si="42"/>
        <v>53.454545454545475</v>
      </c>
      <c r="M255" s="188">
        <f t="shared" si="48"/>
        <v>7.1428571428571438E-2</v>
      </c>
      <c r="O255" s="6">
        <v>14</v>
      </c>
      <c r="P255" s="8">
        <f t="shared" si="49"/>
        <v>54.880000000000017</v>
      </c>
      <c r="Q255" s="6">
        <v>0</v>
      </c>
      <c r="R255" s="6">
        <f t="shared" si="43"/>
        <v>54.880000000000017</v>
      </c>
      <c r="S255" s="188">
        <f t="shared" si="50"/>
        <v>7.1428571428571438E-2</v>
      </c>
      <c r="U255" s="6">
        <v>14</v>
      </c>
      <c r="V255" s="8">
        <f t="shared" si="51"/>
        <v>45.733333333333327</v>
      </c>
      <c r="W255" s="6">
        <v>0</v>
      </c>
      <c r="X255" s="8">
        <f t="shared" si="44"/>
        <v>45.733333333333327</v>
      </c>
      <c r="Y255" s="188">
        <f t="shared" si="52"/>
        <v>7.1428571428571411E-2</v>
      </c>
      <c r="AA255" s="6">
        <v>14</v>
      </c>
      <c r="AB255" s="8">
        <f t="shared" si="53"/>
        <v>35.189189189189186</v>
      </c>
      <c r="AC255" s="6">
        <v>0</v>
      </c>
      <c r="AD255" s="8">
        <f t="shared" si="45"/>
        <v>35.189189189189186</v>
      </c>
      <c r="AE255" s="188">
        <f t="shared" si="54"/>
        <v>7.1428571428571494E-2</v>
      </c>
    </row>
    <row r="256" spans="1:31" x14ac:dyDescent="0.2">
      <c r="A256" s="496"/>
      <c r="C256" s="6">
        <v>15</v>
      </c>
      <c r="D256" s="6">
        <f t="shared" si="46"/>
        <v>75</v>
      </c>
      <c r="E256" s="6">
        <v>0</v>
      </c>
      <c r="F256" s="6">
        <f>Ps_1126[[#This Row],[V_av]]-Ps_1126[[#This Row],[V_prel]]</f>
        <v>75</v>
      </c>
      <c r="G256" s="188">
        <f t="shared" si="47"/>
        <v>6.6666666666666666E-2</v>
      </c>
      <c r="I256" s="6">
        <v>15</v>
      </c>
      <c r="J256" s="8">
        <f t="shared" si="41"/>
        <v>57.272727272727295</v>
      </c>
      <c r="K256" s="6">
        <v>0</v>
      </c>
      <c r="L256" s="8">
        <f t="shared" si="42"/>
        <v>57.272727272727295</v>
      </c>
      <c r="M256" s="188">
        <f t="shared" si="48"/>
        <v>6.666666666666668E-2</v>
      </c>
      <c r="O256" s="6">
        <v>15</v>
      </c>
      <c r="P256" s="8">
        <f t="shared" si="49"/>
        <v>58.800000000000018</v>
      </c>
      <c r="Q256" s="6">
        <v>0</v>
      </c>
      <c r="R256" s="6">
        <f t="shared" si="43"/>
        <v>58.800000000000018</v>
      </c>
      <c r="S256" s="188">
        <f t="shared" si="50"/>
        <v>6.666666666666668E-2</v>
      </c>
      <c r="U256" s="6">
        <v>15</v>
      </c>
      <c r="V256" s="8">
        <f t="shared" si="51"/>
        <v>48.999999999999993</v>
      </c>
      <c r="W256" s="6">
        <v>0</v>
      </c>
      <c r="X256" s="8">
        <f t="shared" si="44"/>
        <v>48.999999999999993</v>
      </c>
      <c r="Y256" s="188">
        <f t="shared" si="52"/>
        <v>6.6666666666666652E-2</v>
      </c>
      <c r="AA256" s="6">
        <v>15</v>
      </c>
      <c r="AB256" s="8">
        <f t="shared" si="53"/>
        <v>37.702702702702702</v>
      </c>
      <c r="AC256" s="6">
        <v>0</v>
      </c>
      <c r="AD256" s="8">
        <f t="shared" si="45"/>
        <v>37.702702702702702</v>
      </c>
      <c r="AE256" s="188">
        <f t="shared" si="54"/>
        <v>6.6666666666666735E-2</v>
      </c>
    </row>
    <row r="257" spans="1:31" x14ac:dyDescent="0.2">
      <c r="A257" s="496"/>
      <c r="C257" s="6">
        <v>16</v>
      </c>
      <c r="D257" s="6">
        <f t="shared" si="46"/>
        <v>80</v>
      </c>
      <c r="E257" s="6">
        <v>0</v>
      </c>
      <c r="F257" s="6">
        <f>Ps_1126[[#This Row],[V_av]]-Ps_1126[[#This Row],[V_prel]]</f>
        <v>80</v>
      </c>
      <c r="G257" s="188">
        <f t="shared" si="47"/>
        <v>6.25E-2</v>
      </c>
      <c r="I257" s="6">
        <v>16</v>
      </c>
      <c r="J257" s="8">
        <f t="shared" si="41"/>
        <v>61.090909090909115</v>
      </c>
      <c r="K257" s="6">
        <v>0</v>
      </c>
      <c r="L257" s="8">
        <f t="shared" si="42"/>
        <v>61.090909090909115</v>
      </c>
      <c r="M257" s="188">
        <f t="shared" si="48"/>
        <v>6.2500000000000014E-2</v>
      </c>
      <c r="O257" s="6">
        <v>16</v>
      </c>
      <c r="P257" s="8">
        <f t="shared" si="49"/>
        <v>62.72000000000002</v>
      </c>
      <c r="Q257" s="6">
        <v>0</v>
      </c>
      <c r="R257" s="6">
        <f t="shared" si="43"/>
        <v>62.72000000000002</v>
      </c>
      <c r="S257" s="188">
        <f t="shared" si="50"/>
        <v>6.2500000000000014E-2</v>
      </c>
      <c r="U257" s="6">
        <v>16</v>
      </c>
      <c r="V257" s="8">
        <f t="shared" si="51"/>
        <v>52.266666666666659</v>
      </c>
      <c r="W257" s="6">
        <v>0</v>
      </c>
      <c r="X257" s="8">
        <f t="shared" si="44"/>
        <v>52.266666666666659</v>
      </c>
      <c r="Y257" s="188">
        <f t="shared" si="52"/>
        <v>6.2499999999999993E-2</v>
      </c>
      <c r="AA257" s="6">
        <v>16</v>
      </c>
      <c r="AB257" s="8">
        <f t="shared" si="53"/>
        <v>40.216216216216218</v>
      </c>
      <c r="AC257" s="6">
        <v>0</v>
      </c>
      <c r="AD257" s="8">
        <f t="shared" si="45"/>
        <v>40.216216216216218</v>
      </c>
      <c r="AE257" s="188">
        <f t="shared" si="54"/>
        <v>6.2500000000000056E-2</v>
      </c>
    </row>
    <row r="258" spans="1:31" x14ac:dyDescent="0.2">
      <c r="A258" s="496"/>
      <c r="C258" s="6">
        <v>17</v>
      </c>
      <c r="D258" s="6">
        <f t="shared" si="46"/>
        <v>85</v>
      </c>
      <c r="E258" s="6">
        <v>0</v>
      </c>
      <c r="F258" s="6">
        <f>Ps_1126[[#This Row],[V_av]]-Ps_1126[[#This Row],[V_prel]]</f>
        <v>85</v>
      </c>
      <c r="G258" s="188">
        <f t="shared" si="47"/>
        <v>5.8823529411764705E-2</v>
      </c>
      <c r="I258" s="6">
        <v>17</v>
      </c>
      <c r="J258" s="8">
        <f t="shared" si="41"/>
        <v>64.909090909090935</v>
      </c>
      <c r="K258" s="6">
        <v>0</v>
      </c>
      <c r="L258" s="8">
        <f t="shared" si="42"/>
        <v>64.909090909090935</v>
      </c>
      <c r="M258" s="188">
        <f t="shared" si="48"/>
        <v>5.8823529411764712E-2</v>
      </c>
      <c r="O258" s="6">
        <v>17</v>
      </c>
      <c r="P258" s="8">
        <f t="shared" si="49"/>
        <v>66.640000000000015</v>
      </c>
      <c r="Q258" s="6">
        <v>0</v>
      </c>
      <c r="R258" s="6">
        <f t="shared" si="43"/>
        <v>66.640000000000015</v>
      </c>
      <c r="S258" s="188">
        <f t="shared" si="50"/>
        <v>5.8823529411764615E-2</v>
      </c>
      <c r="U258" s="6">
        <v>17</v>
      </c>
      <c r="V258" s="8">
        <f t="shared" si="51"/>
        <v>55.533333333333324</v>
      </c>
      <c r="W258" s="6">
        <v>0</v>
      </c>
      <c r="X258" s="8">
        <f t="shared" si="44"/>
        <v>55.533333333333324</v>
      </c>
      <c r="Y258" s="188">
        <f t="shared" si="52"/>
        <v>5.8823529411764698E-2</v>
      </c>
      <c r="AA258" s="6">
        <v>17</v>
      </c>
      <c r="AB258" s="8">
        <f t="shared" si="53"/>
        <v>42.729729729729733</v>
      </c>
      <c r="AC258" s="6">
        <v>0</v>
      </c>
      <c r="AD258" s="8">
        <f t="shared" si="45"/>
        <v>42.729729729729733</v>
      </c>
      <c r="AE258" s="188">
        <f t="shared" si="54"/>
        <v>5.8823529411764754E-2</v>
      </c>
    </row>
    <row r="259" spans="1:31" x14ac:dyDescent="0.2">
      <c r="A259" s="496"/>
      <c r="C259" s="6">
        <v>18</v>
      </c>
      <c r="D259" s="6">
        <f t="shared" si="46"/>
        <v>90</v>
      </c>
      <c r="E259" s="6">
        <v>0</v>
      </c>
      <c r="F259" s="6">
        <f>Ps_1126[[#This Row],[V_av]]-Ps_1126[[#This Row],[V_prel]]</f>
        <v>90</v>
      </c>
      <c r="G259" s="188">
        <f t="shared" si="47"/>
        <v>5.5555555555555552E-2</v>
      </c>
      <c r="I259" s="6">
        <v>18</v>
      </c>
      <c r="J259" s="8">
        <f t="shared" si="41"/>
        <v>68.727272727272748</v>
      </c>
      <c r="K259" s="6">
        <v>0</v>
      </c>
      <c r="L259" s="8">
        <f t="shared" si="42"/>
        <v>68.727272727272748</v>
      </c>
      <c r="M259" s="188">
        <f t="shared" si="48"/>
        <v>5.5555555555555462E-2</v>
      </c>
      <c r="O259" s="6">
        <v>18</v>
      </c>
      <c r="P259" s="8">
        <f t="shared" si="49"/>
        <v>70.560000000000016</v>
      </c>
      <c r="Q259" s="6">
        <v>0</v>
      </c>
      <c r="R259" s="6">
        <f t="shared" si="43"/>
        <v>70.560000000000016</v>
      </c>
      <c r="S259" s="188">
        <f t="shared" si="50"/>
        <v>5.5555555555555566E-2</v>
      </c>
      <c r="U259" s="6">
        <v>18</v>
      </c>
      <c r="V259" s="8">
        <f t="shared" si="51"/>
        <v>58.79999999999999</v>
      </c>
      <c r="W259" s="6">
        <v>0</v>
      </c>
      <c r="X259" s="8">
        <f t="shared" si="44"/>
        <v>58.79999999999999</v>
      </c>
      <c r="Y259" s="188">
        <f t="shared" si="52"/>
        <v>5.5555555555555546E-2</v>
      </c>
      <c r="AA259" s="6">
        <v>18</v>
      </c>
      <c r="AB259" s="8">
        <f t="shared" si="53"/>
        <v>45.243243243243249</v>
      </c>
      <c r="AC259" s="6">
        <v>0</v>
      </c>
      <c r="AD259" s="8">
        <f t="shared" si="45"/>
        <v>45.243243243243249</v>
      </c>
      <c r="AE259" s="188">
        <f t="shared" si="54"/>
        <v>5.5555555555555601E-2</v>
      </c>
    </row>
    <row r="260" spans="1:31" x14ac:dyDescent="0.2">
      <c r="A260" s="496"/>
      <c r="C260" s="6">
        <v>19</v>
      </c>
      <c r="D260" s="6">
        <f t="shared" si="46"/>
        <v>95</v>
      </c>
      <c r="E260" s="6">
        <v>0</v>
      </c>
      <c r="F260" s="6">
        <f>Ps_1126[[#This Row],[V_av]]-Ps_1126[[#This Row],[V_prel]]</f>
        <v>95</v>
      </c>
      <c r="G260" s="188">
        <f t="shared" si="47"/>
        <v>5.2631578947368418E-2</v>
      </c>
      <c r="I260" s="6">
        <v>19</v>
      </c>
      <c r="J260" s="8">
        <f t="shared" si="41"/>
        <v>72.545454545454561</v>
      </c>
      <c r="K260" s="6">
        <v>0</v>
      </c>
      <c r="L260" s="8">
        <f t="shared" si="42"/>
        <v>72.545454545454561</v>
      </c>
      <c r="M260" s="188">
        <f t="shared" si="48"/>
        <v>5.2631578947368342E-2</v>
      </c>
      <c r="O260" s="6">
        <v>19</v>
      </c>
      <c r="P260" s="8">
        <f t="shared" si="49"/>
        <v>74.480000000000018</v>
      </c>
      <c r="Q260" s="6">
        <v>0</v>
      </c>
      <c r="R260" s="6">
        <f t="shared" si="43"/>
        <v>74.480000000000018</v>
      </c>
      <c r="S260" s="188">
        <f t="shared" si="50"/>
        <v>5.2631578947368432E-2</v>
      </c>
      <c r="U260" s="6">
        <v>19</v>
      </c>
      <c r="V260" s="8">
        <f t="shared" si="51"/>
        <v>62.066666666666656</v>
      </c>
      <c r="W260" s="6">
        <v>0</v>
      </c>
      <c r="X260" s="8">
        <f t="shared" si="44"/>
        <v>62.066666666666656</v>
      </c>
      <c r="Y260" s="188">
        <f t="shared" si="52"/>
        <v>5.2631578947368418E-2</v>
      </c>
      <c r="AA260" s="6">
        <v>19</v>
      </c>
      <c r="AB260" s="8">
        <f t="shared" si="53"/>
        <v>47.756756756756765</v>
      </c>
      <c r="AC260" s="6">
        <v>0</v>
      </c>
      <c r="AD260" s="8">
        <f t="shared" si="45"/>
        <v>47.756756756756765</v>
      </c>
      <c r="AE260" s="188">
        <f t="shared" si="54"/>
        <v>5.263157894736846E-2</v>
      </c>
    </row>
    <row r="261" spans="1:31" x14ac:dyDescent="0.2">
      <c r="A261" s="496"/>
      <c r="C261" s="7">
        <v>20</v>
      </c>
      <c r="D261" s="13">
        <v>100</v>
      </c>
      <c r="E261" s="13">
        <v>13</v>
      </c>
      <c r="F261" s="13">
        <v>87</v>
      </c>
      <c r="G261" s="188">
        <f t="shared" si="47"/>
        <v>0.05</v>
      </c>
      <c r="I261" s="6">
        <v>20</v>
      </c>
      <c r="J261" s="8">
        <f t="shared" si="41"/>
        <v>76.363636363636374</v>
      </c>
      <c r="K261" s="6">
        <v>0</v>
      </c>
      <c r="L261" s="8">
        <f t="shared" si="42"/>
        <v>76.363636363636374</v>
      </c>
      <c r="M261" s="188">
        <f t="shared" si="48"/>
        <v>4.9999999999999926E-2</v>
      </c>
      <c r="O261" s="6">
        <v>20</v>
      </c>
      <c r="P261" s="8">
        <f t="shared" si="49"/>
        <v>78.40000000000002</v>
      </c>
      <c r="Q261" s="6">
        <v>0</v>
      </c>
      <c r="R261" s="6">
        <f t="shared" si="43"/>
        <v>78.40000000000002</v>
      </c>
      <c r="S261" s="188">
        <f t="shared" si="50"/>
        <v>5.000000000000001E-2</v>
      </c>
      <c r="U261" s="6">
        <v>20</v>
      </c>
      <c r="V261" s="8">
        <f t="shared" si="51"/>
        <v>65.333333333333329</v>
      </c>
      <c r="W261" s="6">
        <v>0</v>
      </c>
      <c r="X261" s="8">
        <f t="shared" si="44"/>
        <v>65.333333333333329</v>
      </c>
      <c r="Y261" s="188">
        <f t="shared" si="52"/>
        <v>5.00000000000001E-2</v>
      </c>
      <c r="AA261" s="6">
        <v>20</v>
      </c>
      <c r="AB261" s="8">
        <f t="shared" si="53"/>
        <v>50.270270270270281</v>
      </c>
      <c r="AC261" s="6">
        <v>0</v>
      </c>
      <c r="AD261" s="8">
        <f t="shared" si="45"/>
        <v>50.270270270270281</v>
      </c>
      <c r="AE261" s="188">
        <f t="shared" si="54"/>
        <v>5.0000000000000037E-2</v>
      </c>
    </row>
    <row r="262" spans="1:31" x14ac:dyDescent="0.2">
      <c r="A262" s="496"/>
      <c r="C262" s="6">
        <v>21</v>
      </c>
      <c r="D262" s="8">
        <f>($D$266-$F$261)/($C$266-$C$261)+F261</f>
        <v>104.8</v>
      </c>
      <c r="E262" s="8">
        <v>0</v>
      </c>
      <c r="F262" s="8">
        <f>Ps_1126[[#This Row],[V_av]]-Ps_1126[[#This Row],[V_prel]]</f>
        <v>104.8</v>
      </c>
      <c r="G262" s="188">
        <f t="shared" si="47"/>
        <v>0.16984732824427479</v>
      </c>
      <c r="I262" s="6">
        <v>21</v>
      </c>
      <c r="J262" s="8">
        <f t="shared" si="41"/>
        <v>80.181818181818187</v>
      </c>
      <c r="K262" s="6">
        <v>0</v>
      </c>
      <c r="L262" s="8">
        <f t="shared" si="42"/>
        <v>80.181818181818187</v>
      </c>
      <c r="M262" s="188">
        <f t="shared" si="48"/>
        <v>4.7619047619047554E-2</v>
      </c>
      <c r="O262" s="6">
        <v>21</v>
      </c>
      <c r="P262" s="8">
        <f t="shared" si="49"/>
        <v>82.320000000000022</v>
      </c>
      <c r="Q262" s="6">
        <v>0</v>
      </c>
      <c r="R262" s="6">
        <f t="shared" si="43"/>
        <v>82.320000000000022</v>
      </c>
      <c r="S262" s="188">
        <f t="shared" si="50"/>
        <v>4.761904761904763E-2</v>
      </c>
      <c r="U262" s="6">
        <v>21</v>
      </c>
      <c r="V262" s="8">
        <f t="shared" si="51"/>
        <v>68.599999999999994</v>
      </c>
      <c r="W262" s="6">
        <v>0</v>
      </c>
      <c r="X262" s="8">
        <f t="shared" si="44"/>
        <v>68.599999999999994</v>
      </c>
      <c r="Y262" s="188">
        <f t="shared" si="52"/>
        <v>4.7619047619047609E-2</v>
      </c>
      <c r="AA262" s="6">
        <v>21</v>
      </c>
      <c r="AB262" s="8">
        <f t="shared" si="53"/>
        <v>52.783783783783797</v>
      </c>
      <c r="AC262" s="6">
        <v>0</v>
      </c>
      <c r="AD262" s="8">
        <f t="shared" si="45"/>
        <v>52.783783783783797</v>
      </c>
      <c r="AE262" s="188">
        <f t="shared" si="54"/>
        <v>4.7619047619047651E-2</v>
      </c>
    </row>
    <row r="263" spans="1:31" x14ac:dyDescent="0.2">
      <c r="A263" s="496"/>
      <c r="C263" s="6">
        <v>22</v>
      </c>
      <c r="D263" s="8">
        <f>($D$266-$F$261)/($C$266-$C$261)+D262</f>
        <v>122.6</v>
      </c>
      <c r="E263" s="8">
        <v>0</v>
      </c>
      <c r="F263" s="8">
        <f>Ps_1126[[#This Row],[V_av]]-Ps_1126[[#This Row],[V_prel]]</f>
        <v>122.6</v>
      </c>
      <c r="G263" s="188">
        <f t="shared" si="47"/>
        <v>0.14518760195758562</v>
      </c>
      <c r="I263" s="7">
        <v>22</v>
      </c>
      <c r="J263" s="7">
        <v>84</v>
      </c>
      <c r="K263" s="7">
        <v>0</v>
      </c>
      <c r="L263" s="7">
        <v>84</v>
      </c>
      <c r="M263" s="188">
        <f t="shared" si="48"/>
        <v>4.5454545454545393E-2</v>
      </c>
      <c r="O263" s="6">
        <v>22</v>
      </c>
      <c r="P263" s="8">
        <f t="shared" si="49"/>
        <v>86.240000000000023</v>
      </c>
      <c r="Q263" s="6">
        <v>0</v>
      </c>
      <c r="R263" s="6">
        <f t="shared" si="43"/>
        <v>86.240000000000023</v>
      </c>
      <c r="S263" s="188">
        <f t="shared" si="50"/>
        <v>4.5454545454545463E-2</v>
      </c>
      <c r="U263" s="6">
        <v>22</v>
      </c>
      <c r="V263" s="8">
        <f t="shared" si="51"/>
        <v>71.86666666666666</v>
      </c>
      <c r="W263" s="6">
        <v>0</v>
      </c>
      <c r="X263" s="8">
        <f t="shared" si="44"/>
        <v>71.86666666666666</v>
      </c>
      <c r="Y263" s="188">
        <f t="shared" si="52"/>
        <v>4.5454545454545449E-2</v>
      </c>
      <c r="AA263" s="6">
        <v>22</v>
      </c>
      <c r="AB263" s="8">
        <f t="shared" si="53"/>
        <v>55.297297297297312</v>
      </c>
      <c r="AC263" s="6">
        <v>0</v>
      </c>
      <c r="AD263" s="8">
        <f t="shared" si="45"/>
        <v>55.297297297297312</v>
      </c>
      <c r="AE263" s="188">
        <f t="shared" si="54"/>
        <v>4.5454545454545484E-2</v>
      </c>
    </row>
    <row r="264" spans="1:31" x14ac:dyDescent="0.2">
      <c r="A264" s="496"/>
      <c r="C264" s="6">
        <v>23</v>
      </c>
      <c r="D264" s="8">
        <f t="shared" ref="D264:D265" si="55">($D$266-$F$261)/($C$266-$C$261)+D263</f>
        <v>140.4</v>
      </c>
      <c r="E264" s="8">
        <v>0</v>
      </c>
      <c r="F264" s="8">
        <f>Ps_1126[[#This Row],[V_av]]-Ps_1126[[#This Row],[V_prel]]</f>
        <v>140.4</v>
      </c>
      <c r="G264" s="188">
        <f t="shared" si="47"/>
        <v>0.12678062678062685</v>
      </c>
      <c r="I264" s="6">
        <v>23</v>
      </c>
      <c r="J264" s="8">
        <f>($J$266-$L$263)/($I$266-$I$263)+L263</f>
        <v>99.666666666666671</v>
      </c>
      <c r="K264" s="6">
        <v>0</v>
      </c>
      <c r="L264" s="8">
        <f>J264-K264</f>
        <v>99.666666666666671</v>
      </c>
      <c r="M264" s="188">
        <f t="shared" si="48"/>
        <v>0.15719063545150505</v>
      </c>
      <c r="O264" s="6">
        <v>23</v>
      </c>
      <c r="P264" s="8">
        <f t="shared" si="49"/>
        <v>90.160000000000025</v>
      </c>
      <c r="Q264" s="6">
        <v>0</v>
      </c>
      <c r="R264" s="6">
        <f t="shared" si="43"/>
        <v>90.160000000000025</v>
      </c>
      <c r="S264" s="188">
        <f t="shared" si="50"/>
        <v>4.3478260869565223E-2</v>
      </c>
      <c r="U264" s="6">
        <v>23</v>
      </c>
      <c r="V264" s="8">
        <f t="shared" si="51"/>
        <v>75.133333333333326</v>
      </c>
      <c r="W264" s="6">
        <v>0</v>
      </c>
      <c r="X264" s="8">
        <f t="shared" si="44"/>
        <v>75.133333333333326</v>
      </c>
      <c r="Y264" s="188">
        <f t="shared" si="52"/>
        <v>4.3478260869565209E-2</v>
      </c>
      <c r="AA264" s="6">
        <v>23</v>
      </c>
      <c r="AB264" s="8">
        <f t="shared" si="53"/>
        <v>57.810810810810828</v>
      </c>
      <c r="AC264" s="6">
        <v>0</v>
      </c>
      <c r="AD264" s="8">
        <f t="shared" si="45"/>
        <v>57.810810810810828</v>
      </c>
      <c r="AE264" s="188">
        <f t="shared" si="54"/>
        <v>4.3478260869565244E-2</v>
      </c>
    </row>
    <row r="265" spans="1:31" x14ac:dyDescent="0.2">
      <c r="A265" s="496"/>
      <c r="C265" s="6">
        <v>24</v>
      </c>
      <c r="D265" s="8">
        <f t="shared" si="55"/>
        <v>158.20000000000002</v>
      </c>
      <c r="E265" s="8">
        <v>0</v>
      </c>
      <c r="F265" s="8">
        <f>Ps_1126[[#This Row],[V_av]]-Ps_1126[[#This Row],[V_prel]]</f>
        <v>158.20000000000002</v>
      </c>
      <c r="G265" s="188">
        <f t="shared" si="47"/>
        <v>0.11251580278128957</v>
      </c>
      <c r="I265" s="6">
        <v>24</v>
      </c>
      <c r="J265" s="8">
        <f>($J$266-$L$263)/($I$266-$I$263)+J264</f>
        <v>115.33333333333334</v>
      </c>
      <c r="K265" s="6">
        <v>0</v>
      </c>
      <c r="L265" s="8">
        <f>J265-K265</f>
        <v>115.33333333333334</v>
      </c>
      <c r="M265" s="188">
        <f t="shared" si="48"/>
        <v>0.13583815028901738</v>
      </c>
      <c r="O265" s="6">
        <v>24</v>
      </c>
      <c r="P265" s="8">
        <f t="shared" si="49"/>
        <v>94.080000000000027</v>
      </c>
      <c r="Q265" s="6">
        <v>0</v>
      </c>
      <c r="R265" s="6">
        <f t="shared" si="43"/>
        <v>94.080000000000027</v>
      </c>
      <c r="S265" s="188">
        <f t="shared" si="50"/>
        <v>4.1666666666666671E-2</v>
      </c>
      <c r="U265" s="6">
        <v>24</v>
      </c>
      <c r="V265" s="8">
        <f t="shared" si="51"/>
        <v>78.399999999999991</v>
      </c>
      <c r="W265" s="6">
        <v>0</v>
      </c>
      <c r="X265" s="8">
        <f t="shared" si="44"/>
        <v>78.399999999999991</v>
      </c>
      <c r="Y265" s="188">
        <f t="shared" si="52"/>
        <v>4.1666666666666657E-2</v>
      </c>
      <c r="AA265" s="6">
        <v>24</v>
      </c>
      <c r="AB265" s="8">
        <f t="shared" si="53"/>
        <v>60.324324324324344</v>
      </c>
      <c r="AC265" s="6">
        <v>0</v>
      </c>
      <c r="AD265" s="8">
        <f t="shared" si="45"/>
        <v>60.324324324324344</v>
      </c>
      <c r="AE265" s="188">
        <f t="shared" si="54"/>
        <v>4.1666666666666692E-2</v>
      </c>
    </row>
    <row r="266" spans="1:31" x14ac:dyDescent="0.2">
      <c r="A266" s="496"/>
      <c r="C266" s="7">
        <v>25</v>
      </c>
      <c r="D266" s="13">
        <v>176</v>
      </c>
      <c r="E266" s="13">
        <v>41</v>
      </c>
      <c r="F266" s="13">
        <v>135</v>
      </c>
      <c r="G266" s="188">
        <f t="shared" si="47"/>
        <v>0.10113636363636354</v>
      </c>
      <c r="I266" s="7">
        <v>25</v>
      </c>
      <c r="J266" s="7">
        <v>131</v>
      </c>
      <c r="K266" s="7">
        <v>21</v>
      </c>
      <c r="L266" s="7">
        <v>110</v>
      </c>
      <c r="M266" s="188">
        <f t="shared" si="48"/>
        <v>0.11959287531806609</v>
      </c>
      <c r="O266" s="7">
        <v>25</v>
      </c>
      <c r="P266" s="13">
        <v>98</v>
      </c>
      <c r="Q266" s="7">
        <v>12</v>
      </c>
      <c r="R266" s="7">
        <v>86</v>
      </c>
      <c r="S266" s="188">
        <f t="shared" si="50"/>
        <v>3.999999999999973E-2</v>
      </c>
      <c r="U266" s="6">
        <v>25</v>
      </c>
      <c r="V266" s="8">
        <f t="shared" si="51"/>
        <v>81.666666666666657</v>
      </c>
      <c r="W266" s="6">
        <v>0</v>
      </c>
      <c r="X266" s="8">
        <f t="shared" si="44"/>
        <v>81.666666666666657</v>
      </c>
      <c r="Y266" s="188">
        <f t="shared" si="52"/>
        <v>3.9999999999999994E-2</v>
      </c>
      <c r="AA266" s="6">
        <v>25</v>
      </c>
      <c r="AB266" s="8">
        <f t="shared" si="53"/>
        <v>62.83783783783786</v>
      </c>
      <c r="AC266" s="6">
        <v>0</v>
      </c>
      <c r="AD266" s="8">
        <f t="shared" si="45"/>
        <v>62.83783783783786</v>
      </c>
      <c r="AE266" s="188">
        <f t="shared" si="54"/>
        <v>4.0000000000000022E-2</v>
      </c>
    </row>
    <row r="267" spans="1:31" x14ac:dyDescent="0.2">
      <c r="A267" s="496"/>
      <c r="C267" s="6">
        <v>26</v>
      </c>
      <c r="D267" s="8">
        <f>($D$271-$F$266)/($C$271-$C$266)+F266</f>
        <v>155.4</v>
      </c>
      <c r="E267" s="8">
        <v>0</v>
      </c>
      <c r="F267" s="8">
        <f>Ps_1126[[#This Row],[V_av]]-Ps_1126[[#This Row],[V_prel]]</f>
        <v>155.4</v>
      </c>
      <c r="G267" s="188">
        <f t="shared" si="47"/>
        <v>0.13127413127413132</v>
      </c>
      <c r="I267" s="6">
        <v>26</v>
      </c>
      <c r="J267" s="8">
        <f>($J$271-$L$266)/($I$271-$I$266)+L266</f>
        <v>124.4</v>
      </c>
      <c r="K267" s="8">
        <v>0</v>
      </c>
      <c r="L267" s="8">
        <f>J267-K267</f>
        <v>124.4</v>
      </c>
      <c r="M267" s="188">
        <f t="shared" si="48"/>
        <v>0.11575562700964634</v>
      </c>
      <c r="O267" s="6">
        <v>26</v>
      </c>
      <c r="P267" s="8">
        <f>($P$271-$R$266)/($O$271-$O$266)+R266</f>
        <v>96.8</v>
      </c>
      <c r="Q267" s="6">
        <v>0</v>
      </c>
      <c r="R267" s="6">
        <f>P267-Q267</f>
        <v>96.8</v>
      </c>
      <c r="S267" s="188">
        <f t="shared" si="50"/>
        <v>0.11157024793388427</v>
      </c>
      <c r="U267" s="6">
        <v>26</v>
      </c>
      <c r="V267" s="8">
        <f t="shared" si="51"/>
        <v>84.933333333333323</v>
      </c>
      <c r="W267" s="6">
        <v>0</v>
      </c>
      <c r="X267" s="8">
        <f t="shared" si="44"/>
        <v>84.933333333333323</v>
      </c>
      <c r="Y267" s="188">
        <f t="shared" si="52"/>
        <v>3.8461538461538457E-2</v>
      </c>
      <c r="AA267" s="6">
        <v>26</v>
      </c>
      <c r="AB267" s="8">
        <f t="shared" si="53"/>
        <v>65.351351351351369</v>
      </c>
      <c r="AC267" s="6">
        <v>0</v>
      </c>
      <c r="AD267" s="8">
        <f t="shared" si="45"/>
        <v>65.351351351351369</v>
      </c>
      <c r="AE267" s="188">
        <f t="shared" si="54"/>
        <v>3.846153846153838E-2</v>
      </c>
    </row>
    <row r="268" spans="1:31" x14ac:dyDescent="0.2">
      <c r="A268" s="496"/>
      <c r="C268" s="6">
        <v>27</v>
      </c>
      <c r="D268" s="8">
        <f>($D$271-$F$266)/($C$271-$C$266)+D267</f>
        <v>175.8</v>
      </c>
      <c r="E268" s="8">
        <v>0</v>
      </c>
      <c r="F268" s="8">
        <f>Ps_1126[[#This Row],[V_av]]-Ps_1126[[#This Row],[V_prel]]</f>
        <v>175.8</v>
      </c>
      <c r="G268" s="188">
        <f t="shared" si="47"/>
        <v>0.11604095563139934</v>
      </c>
      <c r="I268" s="6">
        <v>27</v>
      </c>
      <c r="J268" s="8">
        <f>($J$271-$L$266)/($I$271-$I$266)+J267</f>
        <v>138.80000000000001</v>
      </c>
      <c r="K268" s="8">
        <v>0</v>
      </c>
      <c r="L268" s="8">
        <f>J268-K268</f>
        <v>138.80000000000001</v>
      </c>
      <c r="M268" s="188">
        <f t="shared" si="48"/>
        <v>0.10374639769452453</v>
      </c>
      <c r="O268" s="6">
        <v>27</v>
      </c>
      <c r="P268" s="8">
        <f>($P$271-$R$266)/($O$271-$O$266)+P267</f>
        <v>107.6</v>
      </c>
      <c r="Q268" s="8">
        <v>0</v>
      </c>
      <c r="R268" s="6">
        <f>P268-Q268</f>
        <v>107.6</v>
      </c>
      <c r="S268" s="188">
        <f t="shared" si="50"/>
        <v>0.10037174721189589</v>
      </c>
      <c r="U268" s="6">
        <v>27</v>
      </c>
      <c r="V268" s="8">
        <f t="shared" si="51"/>
        <v>88.199999999999989</v>
      </c>
      <c r="W268" s="6">
        <v>0</v>
      </c>
      <c r="X268" s="8">
        <f t="shared" si="44"/>
        <v>88.199999999999989</v>
      </c>
      <c r="Y268" s="188">
        <f t="shared" si="52"/>
        <v>3.7037037037037028E-2</v>
      </c>
      <c r="AA268" s="6">
        <v>27</v>
      </c>
      <c r="AB268" s="8">
        <f t="shared" si="53"/>
        <v>67.864864864864884</v>
      </c>
      <c r="AC268" s="6">
        <v>0</v>
      </c>
      <c r="AD268" s="8">
        <f t="shared" si="45"/>
        <v>67.864864864864884</v>
      </c>
      <c r="AE268" s="188">
        <f t="shared" si="54"/>
        <v>3.7037037037037063E-2</v>
      </c>
    </row>
    <row r="269" spans="1:31" x14ac:dyDescent="0.2">
      <c r="A269" s="496"/>
      <c r="C269" s="6">
        <v>28</v>
      </c>
      <c r="D269" s="8">
        <f t="shared" ref="D269:D270" si="56">($D$271-$F$266)/($C$271-$C$266)+D268</f>
        <v>196.20000000000002</v>
      </c>
      <c r="E269" s="8">
        <v>0</v>
      </c>
      <c r="F269" s="8">
        <f>Ps_1126[[#This Row],[V_av]]-Ps_1126[[#This Row],[V_prel]]</f>
        <v>196.20000000000002</v>
      </c>
      <c r="G269" s="188">
        <f t="shared" si="47"/>
        <v>0.10397553516819574</v>
      </c>
      <c r="I269" s="6">
        <v>28</v>
      </c>
      <c r="J269" s="8">
        <f>($J$271-$L$266)/($I$271-$I$266)+J268</f>
        <v>153.20000000000002</v>
      </c>
      <c r="K269" s="8">
        <v>0</v>
      </c>
      <c r="L269" s="8">
        <f>J269-K269</f>
        <v>153.20000000000002</v>
      </c>
      <c r="M269" s="188">
        <f t="shared" si="48"/>
        <v>9.3994778067885143E-2</v>
      </c>
      <c r="O269" s="6">
        <v>28</v>
      </c>
      <c r="P269" s="8">
        <f t="shared" ref="P269:P270" si="57">($P$271-$R$266)/($O$271-$O$266)+P268</f>
        <v>118.39999999999999</v>
      </c>
      <c r="Q269" s="8">
        <v>0</v>
      </c>
      <c r="R269" s="6">
        <f>P269-Q269</f>
        <v>118.39999999999999</v>
      </c>
      <c r="S269" s="188">
        <f t="shared" si="50"/>
        <v>9.12162162162162E-2</v>
      </c>
      <c r="U269" s="6">
        <v>28</v>
      </c>
      <c r="V269" s="8">
        <f t="shared" si="51"/>
        <v>91.466666666666654</v>
      </c>
      <c r="W269" s="6">
        <v>0</v>
      </c>
      <c r="X269" s="8">
        <f t="shared" si="44"/>
        <v>91.466666666666654</v>
      </c>
      <c r="Y269" s="188">
        <f t="shared" si="52"/>
        <v>3.5714285714285705E-2</v>
      </c>
      <c r="AA269" s="6">
        <v>28</v>
      </c>
      <c r="AB269" s="8">
        <f t="shared" si="53"/>
        <v>70.3783783783784</v>
      </c>
      <c r="AC269" s="6">
        <v>0</v>
      </c>
      <c r="AD269" s="8">
        <f t="shared" si="45"/>
        <v>70.3783783783784</v>
      </c>
      <c r="AE269" s="188">
        <f t="shared" si="54"/>
        <v>3.5714285714285733E-2</v>
      </c>
    </row>
    <row r="270" spans="1:31" x14ac:dyDescent="0.2">
      <c r="A270" s="496"/>
      <c r="C270" s="6">
        <v>29</v>
      </c>
      <c r="D270" s="8">
        <f t="shared" si="56"/>
        <v>216.60000000000002</v>
      </c>
      <c r="E270" s="8">
        <v>0</v>
      </c>
      <c r="F270" s="8">
        <f>Ps_1126[[#This Row],[V_av]]-Ps_1126[[#This Row],[V_prel]]</f>
        <v>216.60000000000002</v>
      </c>
      <c r="G270" s="188">
        <f t="shared" si="47"/>
        <v>9.418282548476456E-2</v>
      </c>
      <c r="I270" s="6">
        <v>29</v>
      </c>
      <c r="J270" s="8">
        <f>($J$271-$L$266)/($I$271-$I$266)+J269</f>
        <v>167.60000000000002</v>
      </c>
      <c r="K270" s="8">
        <v>0</v>
      </c>
      <c r="L270" s="8">
        <f>J270-K270</f>
        <v>167.60000000000002</v>
      </c>
      <c r="M270" s="188">
        <f t="shared" si="48"/>
        <v>8.5918854415274484E-2</v>
      </c>
      <c r="O270" s="6">
        <v>29</v>
      </c>
      <c r="P270" s="8">
        <f t="shared" si="57"/>
        <v>129.19999999999999</v>
      </c>
      <c r="Q270" s="8">
        <v>0</v>
      </c>
      <c r="R270" s="6">
        <f>P270-Q270</f>
        <v>129.19999999999999</v>
      </c>
      <c r="S270" s="188">
        <f t="shared" si="50"/>
        <v>8.3591331269349825E-2</v>
      </c>
      <c r="U270" s="6">
        <v>29</v>
      </c>
      <c r="V270" s="8">
        <f t="shared" si="51"/>
        <v>94.73333333333332</v>
      </c>
      <c r="W270" s="6">
        <v>0</v>
      </c>
      <c r="X270" s="8">
        <f t="shared" si="44"/>
        <v>94.73333333333332</v>
      </c>
      <c r="Y270" s="188">
        <f t="shared" si="52"/>
        <v>3.4482758620689648E-2</v>
      </c>
      <c r="AA270" s="6">
        <v>29</v>
      </c>
      <c r="AB270" s="8">
        <f t="shared" si="53"/>
        <v>72.891891891891916</v>
      </c>
      <c r="AC270" s="6">
        <v>0</v>
      </c>
      <c r="AD270" s="8">
        <f t="shared" si="45"/>
        <v>72.891891891891916</v>
      </c>
      <c r="AE270" s="188">
        <f t="shared" si="54"/>
        <v>3.4482758620689676E-2</v>
      </c>
    </row>
    <row r="271" spans="1:31" x14ac:dyDescent="0.2">
      <c r="A271" s="496"/>
      <c r="C271" s="7">
        <v>30</v>
      </c>
      <c r="D271" s="7">
        <v>237</v>
      </c>
      <c r="E271" s="7">
        <v>58</v>
      </c>
      <c r="F271" s="7">
        <v>179</v>
      </c>
      <c r="G271" s="188">
        <f t="shared" si="47"/>
        <v>8.6075949367088511E-2</v>
      </c>
      <c r="I271" s="7">
        <v>30</v>
      </c>
      <c r="J271" s="7">
        <v>182</v>
      </c>
      <c r="K271" s="7">
        <v>36</v>
      </c>
      <c r="L271" s="7">
        <v>146</v>
      </c>
      <c r="M271" s="188">
        <f t="shared" si="48"/>
        <v>7.9120879120878992E-2</v>
      </c>
      <c r="O271" s="7">
        <v>30</v>
      </c>
      <c r="P271" s="7">
        <v>140</v>
      </c>
      <c r="Q271" s="7">
        <v>23</v>
      </c>
      <c r="R271" s="7">
        <v>117</v>
      </c>
      <c r="S271" s="188">
        <f t="shared" si="50"/>
        <v>7.7142857142857221E-2</v>
      </c>
      <c r="U271" s="7">
        <v>30</v>
      </c>
      <c r="V271" s="7">
        <v>98</v>
      </c>
      <c r="W271" s="7">
        <v>12</v>
      </c>
      <c r="X271" s="7">
        <v>86</v>
      </c>
      <c r="Y271" s="188">
        <f t="shared" si="52"/>
        <v>3.3333333333333472E-2</v>
      </c>
      <c r="AA271" s="6">
        <v>30</v>
      </c>
      <c r="AB271" s="8">
        <f t="shared" si="53"/>
        <v>75.405405405405432</v>
      </c>
      <c r="AC271" s="6">
        <v>0</v>
      </c>
      <c r="AD271" s="8">
        <f t="shared" si="45"/>
        <v>75.405405405405432</v>
      </c>
      <c r="AE271" s="188">
        <f t="shared" si="54"/>
        <v>3.3333333333333354E-2</v>
      </c>
    </row>
    <row r="272" spans="1:31" x14ac:dyDescent="0.2">
      <c r="A272" s="496"/>
      <c r="C272" s="7">
        <v>35</v>
      </c>
      <c r="D272" s="7">
        <v>278</v>
      </c>
      <c r="E272" s="7">
        <v>55</v>
      </c>
      <c r="F272" s="7">
        <v>223</v>
      </c>
      <c r="G272" s="188">
        <f t="shared" si="47"/>
        <v>7.1223021582733817E-2</v>
      </c>
      <c r="AA272" s="6">
        <v>31</v>
      </c>
      <c r="AB272" s="8">
        <f t="shared" si="53"/>
        <v>77.918918918918948</v>
      </c>
      <c r="AC272" s="6">
        <v>0</v>
      </c>
      <c r="AD272" s="8">
        <f t="shared" si="45"/>
        <v>77.918918918918948</v>
      </c>
      <c r="AE272" s="188">
        <f t="shared" si="54"/>
        <v>3.2258064516129052E-2</v>
      </c>
    </row>
    <row r="273" spans="1:31" x14ac:dyDescent="0.2">
      <c r="A273" s="496"/>
      <c r="C273" s="7">
        <v>40</v>
      </c>
      <c r="D273" s="7">
        <v>314</v>
      </c>
      <c r="E273" s="7">
        <v>51</v>
      </c>
      <c r="F273" s="7">
        <v>263</v>
      </c>
      <c r="G273" s="188">
        <f t="shared" si="47"/>
        <v>5.7961783439490447E-2</v>
      </c>
      <c r="AA273" s="6">
        <v>32</v>
      </c>
      <c r="AB273" s="8">
        <f t="shared" si="53"/>
        <v>80.432432432432464</v>
      </c>
      <c r="AC273" s="6">
        <v>0</v>
      </c>
      <c r="AD273" s="8">
        <f t="shared" si="45"/>
        <v>80.432432432432464</v>
      </c>
      <c r="AE273" s="188">
        <f t="shared" si="54"/>
        <v>3.1250000000000014E-2</v>
      </c>
    </row>
    <row r="274" spans="1:31" x14ac:dyDescent="0.2">
      <c r="A274" s="496"/>
      <c r="C274" s="7">
        <v>45</v>
      </c>
      <c r="D274" s="7">
        <v>342</v>
      </c>
      <c r="E274" s="7">
        <v>45</v>
      </c>
      <c r="F274" s="7">
        <v>297</v>
      </c>
      <c r="G274" s="188">
        <f t="shared" si="47"/>
        <v>4.6198830409356725E-2</v>
      </c>
      <c r="AA274" s="6">
        <v>33</v>
      </c>
      <c r="AB274" s="8">
        <f t="shared" si="53"/>
        <v>82.945945945945979</v>
      </c>
      <c r="AC274" s="6">
        <v>0</v>
      </c>
      <c r="AD274" s="8">
        <f t="shared" si="45"/>
        <v>82.945945945945979</v>
      </c>
      <c r="AE274" s="188">
        <f t="shared" si="54"/>
        <v>3.0303030303030318E-2</v>
      </c>
    </row>
    <row r="275" spans="1:31" x14ac:dyDescent="0.2">
      <c r="A275" s="496"/>
      <c r="C275" s="7">
        <v>50</v>
      </c>
      <c r="D275" s="7">
        <v>380</v>
      </c>
      <c r="E275" s="7">
        <v>42</v>
      </c>
      <c r="F275" s="7">
        <v>338</v>
      </c>
      <c r="G275" s="188">
        <f t="shared" si="47"/>
        <v>4.3684210526315791E-2</v>
      </c>
      <c r="AA275" s="6">
        <v>34</v>
      </c>
      <c r="AB275" s="8">
        <f t="shared" si="53"/>
        <v>85.459459459459495</v>
      </c>
      <c r="AC275" s="6">
        <v>0</v>
      </c>
      <c r="AD275" s="8">
        <f t="shared" si="45"/>
        <v>85.459459459459495</v>
      </c>
      <c r="AE275" s="188">
        <f t="shared" si="54"/>
        <v>2.9411764705882366E-2</v>
      </c>
    </row>
    <row r="276" spans="1:31" x14ac:dyDescent="0.2">
      <c r="A276" s="496"/>
      <c r="C276" s="7">
        <v>55</v>
      </c>
      <c r="D276" s="7">
        <v>412</v>
      </c>
      <c r="E276" s="7">
        <v>33</v>
      </c>
      <c r="F276" s="7">
        <v>379</v>
      </c>
      <c r="G276" s="188">
        <f t="shared" si="47"/>
        <v>3.5922330097087382E-2</v>
      </c>
      <c r="AA276" s="6">
        <v>35</v>
      </c>
      <c r="AB276" s="8">
        <f t="shared" si="53"/>
        <v>87.972972972973011</v>
      </c>
      <c r="AC276" s="6">
        <v>0</v>
      </c>
      <c r="AD276" s="8">
        <f t="shared" si="45"/>
        <v>87.972972972973011</v>
      </c>
      <c r="AE276" s="188">
        <f t="shared" si="54"/>
        <v>2.8571428571428584E-2</v>
      </c>
    </row>
    <row r="277" spans="1:31" x14ac:dyDescent="0.2">
      <c r="A277" s="496"/>
      <c r="C277" s="7">
        <v>60</v>
      </c>
      <c r="D277" s="7">
        <v>433</v>
      </c>
      <c r="E277" s="7">
        <v>20</v>
      </c>
      <c r="F277" s="7">
        <v>413</v>
      </c>
      <c r="G277" s="188">
        <f t="shared" si="47"/>
        <v>2.494226327944573E-2</v>
      </c>
      <c r="AA277" s="6">
        <v>36</v>
      </c>
      <c r="AB277" s="8">
        <f t="shared" si="53"/>
        <v>90.486486486486527</v>
      </c>
      <c r="AC277" s="6">
        <v>0</v>
      </c>
      <c r="AD277" s="8">
        <f t="shared" si="45"/>
        <v>90.486486486486527</v>
      </c>
      <c r="AE277" s="188">
        <f t="shared" si="54"/>
        <v>2.777777777777779E-2</v>
      </c>
    </row>
    <row r="278" spans="1:31" x14ac:dyDescent="0.2">
      <c r="A278" s="496"/>
      <c r="C278" s="7">
        <v>65</v>
      </c>
      <c r="D278" s="7">
        <v>458</v>
      </c>
      <c r="E278" s="7">
        <v>16</v>
      </c>
      <c r="F278" s="7">
        <v>442</v>
      </c>
      <c r="G278" s="188">
        <f t="shared" si="47"/>
        <v>1.9650655021834058E-2</v>
      </c>
      <c r="AA278" s="7">
        <v>37</v>
      </c>
      <c r="AB278" s="13">
        <v>93</v>
      </c>
      <c r="AC278" s="13">
        <v>9</v>
      </c>
      <c r="AD278" s="13">
        <v>84</v>
      </c>
      <c r="AE278" s="188">
        <f t="shared" si="54"/>
        <v>2.7027027027026595E-2</v>
      </c>
    </row>
    <row r="279" spans="1:31" x14ac:dyDescent="0.2">
      <c r="A279" s="496"/>
      <c r="C279" s="7">
        <v>70</v>
      </c>
      <c r="D279" s="7">
        <v>484.5</v>
      </c>
      <c r="E279" s="7">
        <v>484.5</v>
      </c>
      <c r="F279" s="7">
        <v>0</v>
      </c>
      <c r="G279" s="188">
        <f t="shared" si="47"/>
        <v>1.7543859649122806E-2</v>
      </c>
    </row>
    <row r="282" spans="1:31" x14ac:dyDescent="0.2">
      <c r="A282" s="494" t="s">
        <v>705</v>
      </c>
      <c r="C282" s="7" t="s">
        <v>954</v>
      </c>
      <c r="D282" s="9" t="s">
        <v>129</v>
      </c>
      <c r="I282" s="7" t="s">
        <v>955</v>
      </c>
      <c r="O282" s="7" t="s">
        <v>956</v>
      </c>
    </row>
    <row r="283" spans="1:31" x14ac:dyDescent="0.2">
      <c r="A283" s="494"/>
      <c r="C283" s="6" t="s">
        <v>125</v>
      </c>
      <c r="D283" s="6" t="s">
        <v>126</v>
      </c>
      <c r="E283" s="6" t="s">
        <v>127</v>
      </c>
      <c r="F283" s="6" t="s">
        <v>128</v>
      </c>
      <c r="G283" s="194" t="s">
        <v>699</v>
      </c>
      <c r="I283" s="176" t="s">
        <v>125</v>
      </c>
      <c r="J283" s="176" t="s">
        <v>126</v>
      </c>
      <c r="K283" s="176" t="s">
        <v>127</v>
      </c>
      <c r="L283" s="176" t="s">
        <v>128</v>
      </c>
      <c r="M283" s="196" t="s">
        <v>699</v>
      </c>
      <c r="O283" s="176" t="s">
        <v>125</v>
      </c>
      <c r="P283" s="176" t="s">
        <v>126</v>
      </c>
      <c r="Q283" s="176" t="s">
        <v>127</v>
      </c>
      <c r="R283" s="176" t="s">
        <v>128</v>
      </c>
      <c r="S283" s="196" t="s">
        <v>699</v>
      </c>
    </row>
    <row r="284" spans="1:31" x14ac:dyDescent="0.2">
      <c r="A284" s="494"/>
      <c r="C284" s="6">
        <v>1</v>
      </c>
      <c r="D284" s="8">
        <f>D300/C300</f>
        <v>6.9411764705882355</v>
      </c>
      <c r="E284" s="6">
        <v>0</v>
      </c>
      <c r="F284" s="8">
        <f>Plc_1131[[#This Row],[V_av]]-Plc_1131[[#This Row],[V_prel]]</f>
        <v>6.9411764705882355</v>
      </c>
      <c r="G284" s="194">
        <v>0</v>
      </c>
      <c r="I284" s="6">
        <v>1</v>
      </c>
      <c r="J284" s="8">
        <f>J305/I305</f>
        <v>5.5909090909090908</v>
      </c>
      <c r="K284" s="6">
        <v>0</v>
      </c>
      <c r="L284" s="8">
        <f>J284-K284</f>
        <v>5.5909090909090908</v>
      </c>
      <c r="M284" s="194">
        <v>0</v>
      </c>
      <c r="O284" s="6">
        <v>1</v>
      </c>
      <c r="P284" s="8">
        <f>P310/O310</f>
        <v>4.3703703703703702</v>
      </c>
      <c r="Q284" s="6">
        <v>0</v>
      </c>
      <c r="R284" s="8">
        <f>P284-Q284</f>
        <v>4.3703703703703702</v>
      </c>
      <c r="S284" s="193">
        <v>0</v>
      </c>
    </row>
    <row r="285" spans="1:31" x14ac:dyDescent="0.2">
      <c r="A285" s="494"/>
      <c r="C285" s="6">
        <v>2</v>
      </c>
      <c r="D285" s="8">
        <f>$D$300/$C$300+F284</f>
        <v>13.882352941176471</v>
      </c>
      <c r="E285" s="6">
        <v>0</v>
      </c>
      <c r="F285" s="8">
        <f>Plc_1131[[#This Row],[V_av]]-Plc_1131[[#This Row],[V_prel]]</f>
        <v>13.882352941176471</v>
      </c>
      <c r="G285" s="188">
        <f>((D285-F284)/D285)/(C285-C284)</f>
        <v>0.5</v>
      </c>
      <c r="I285" s="6">
        <v>2</v>
      </c>
      <c r="J285" s="8">
        <f t="shared" ref="J285:J304" si="58">$J$305/$I$305+L284</f>
        <v>11.181818181818182</v>
      </c>
      <c r="K285" s="6">
        <v>0</v>
      </c>
      <c r="L285" s="8">
        <f t="shared" ref="L285:L304" si="59">J285-K285</f>
        <v>11.181818181818182</v>
      </c>
      <c r="M285" s="188">
        <f>((J285-L284)/J285)/(I285-I284)</f>
        <v>0.5</v>
      </c>
      <c r="O285" s="6">
        <v>2</v>
      </c>
      <c r="P285" s="8">
        <f>$P$310/$O$310+R284</f>
        <v>8.7407407407407405</v>
      </c>
      <c r="Q285" s="6">
        <v>0</v>
      </c>
      <c r="R285" s="8">
        <f t="shared" ref="R285:R309" si="60">P285-Q285</f>
        <v>8.7407407407407405</v>
      </c>
      <c r="S285" s="188">
        <f>((P285-R284)/P285)/(O285-O284)</f>
        <v>0.5</v>
      </c>
    </row>
    <row r="286" spans="1:31" x14ac:dyDescent="0.2">
      <c r="A286" s="494"/>
      <c r="C286" s="6">
        <v>3</v>
      </c>
      <c r="D286" s="8">
        <f t="shared" ref="D286:D299" si="61">$D$300/$C$300+F285</f>
        <v>20.823529411764707</v>
      </c>
      <c r="E286" s="6">
        <v>0</v>
      </c>
      <c r="F286" s="8">
        <f>Plc_1131[[#This Row],[V_av]]-Plc_1131[[#This Row],[V_prel]]</f>
        <v>20.823529411764707</v>
      </c>
      <c r="G286" s="188">
        <f t="shared" ref="G286:G321" si="62">((D286-F285)/D286)/(C286-C285)</f>
        <v>0.33333333333333331</v>
      </c>
      <c r="I286" s="6">
        <v>3</v>
      </c>
      <c r="J286" s="8">
        <f t="shared" si="58"/>
        <v>16.772727272727273</v>
      </c>
      <c r="K286" s="6">
        <v>0</v>
      </c>
      <c r="L286" s="8">
        <f t="shared" si="59"/>
        <v>16.772727272727273</v>
      </c>
      <c r="M286" s="188">
        <f t="shared" ref="M286:M313" si="63">((J286-L285)/J286)/(I286-I285)</f>
        <v>0.33333333333333337</v>
      </c>
      <c r="O286" s="6">
        <v>3</v>
      </c>
      <c r="P286" s="8">
        <f t="shared" ref="P286:P309" si="64">$P$310/$O$310+R285</f>
        <v>13.111111111111111</v>
      </c>
      <c r="Q286" s="6">
        <v>0</v>
      </c>
      <c r="R286" s="8">
        <f t="shared" si="60"/>
        <v>13.111111111111111</v>
      </c>
      <c r="S286" s="188">
        <f t="shared" ref="S286:S313" si="65">((P286-R285)/P286)/(O286-O285)</f>
        <v>0.33333333333333331</v>
      </c>
    </row>
    <row r="287" spans="1:31" x14ac:dyDescent="0.2">
      <c r="A287" s="494"/>
      <c r="C287" s="6">
        <v>4</v>
      </c>
      <c r="D287" s="8">
        <f t="shared" si="61"/>
        <v>27.764705882352942</v>
      </c>
      <c r="E287" s="6">
        <v>0</v>
      </c>
      <c r="F287" s="8">
        <f>Plc_1131[[#This Row],[V_av]]-Plc_1131[[#This Row],[V_prel]]</f>
        <v>27.764705882352942</v>
      </c>
      <c r="G287" s="188">
        <f t="shared" si="62"/>
        <v>0.25</v>
      </c>
      <c r="I287" s="6">
        <v>4</v>
      </c>
      <c r="J287" s="8">
        <f t="shared" si="58"/>
        <v>22.363636363636363</v>
      </c>
      <c r="K287" s="6">
        <v>0</v>
      </c>
      <c r="L287" s="8">
        <f t="shared" si="59"/>
        <v>22.363636363636363</v>
      </c>
      <c r="M287" s="188">
        <f t="shared" si="63"/>
        <v>0.24999999999999997</v>
      </c>
      <c r="O287" s="6">
        <v>4</v>
      </c>
      <c r="P287" s="8">
        <f t="shared" si="64"/>
        <v>17.481481481481481</v>
      </c>
      <c r="Q287" s="6">
        <v>0</v>
      </c>
      <c r="R287" s="8">
        <f t="shared" si="60"/>
        <v>17.481481481481481</v>
      </c>
      <c r="S287" s="188">
        <f t="shared" si="65"/>
        <v>0.25</v>
      </c>
    </row>
    <row r="288" spans="1:31" x14ac:dyDescent="0.2">
      <c r="A288" s="494"/>
      <c r="C288" s="6">
        <v>5</v>
      </c>
      <c r="D288" s="8">
        <f t="shared" si="61"/>
        <v>34.705882352941174</v>
      </c>
      <c r="E288" s="6">
        <v>0</v>
      </c>
      <c r="F288" s="8">
        <f>Plc_1131[[#This Row],[V_av]]-Plc_1131[[#This Row],[V_prel]]</f>
        <v>34.705882352941174</v>
      </c>
      <c r="G288" s="188">
        <f t="shared" si="62"/>
        <v>0.19999999999999993</v>
      </c>
      <c r="I288" s="6">
        <v>5</v>
      </c>
      <c r="J288" s="8">
        <f t="shared" si="58"/>
        <v>27.954545454545453</v>
      </c>
      <c r="K288" s="6">
        <v>0</v>
      </c>
      <c r="L288" s="8">
        <f t="shared" si="59"/>
        <v>27.954545454545453</v>
      </c>
      <c r="M288" s="188">
        <f t="shared" si="63"/>
        <v>0.19999999999999998</v>
      </c>
      <c r="O288" s="6">
        <v>5</v>
      </c>
      <c r="P288" s="8">
        <f t="shared" si="64"/>
        <v>21.851851851851851</v>
      </c>
      <c r="Q288" s="6">
        <v>0</v>
      </c>
      <c r="R288" s="8">
        <f t="shared" si="60"/>
        <v>21.851851851851851</v>
      </c>
      <c r="S288" s="188">
        <f t="shared" si="65"/>
        <v>0.2</v>
      </c>
    </row>
    <row r="289" spans="1:31" x14ac:dyDescent="0.2">
      <c r="A289" s="494"/>
      <c r="C289" s="6">
        <v>6</v>
      </c>
      <c r="D289" s="8">
        <f t="shared" si="61"/>
        <v>41.647058823529406</v>
      </c>
      <c r="E289" s="6">
        <v>0</v>
      </c>
      <c r="F289" s="8">
        <f>Plc_1131[[#This Row],[V_av]]-Plc_1131[[#This Row],[V_prel]]</f>
        <v>41.647058823529406</v>
      </c>
      <c r="G289" s="188">
        <f t="shared" si="62"/>
        <v>0.1666666666666666</v>
      </c>
      <c r="I289" s="6">
        <v>6</v>
      </c>
      <c r="J289" s="8">
        <f t="shared" si="58"/>
        <v>33.545454545454547</v>
      </c>
      <c r="K289" s="6">
        <v>0</v>
      </c>
      <c r="L289" s="8">
        <f t="shared" si="59"/>
        <v>33.545454545454547</v>
      </c>
      <c r="M289" s="188">
        <f t="shared" si="63"/>
        <v>0.16666666666666674</v>
      </c>
      <c r="O289" s="6">
        <v>6</v>
      </c>
      <c r="P289" s="8">
        <f t="shared" si="64"/>
        <v>26.222222222222221</v>
      </c>
      <c r="Q289" s="6">
        <v>0</v>
      </c>
      <c r="R289" s="8">
        <f t="shared" si="60"/>
        <v>26.222222222222221</v>
      </c>
      <c r="S289" s="188">
        <f t="shared" si="65"/>
        <v>0.16666666666666666</v>
      </c>
    </row>
    <row r="290" spans="1:31" x14ac:dyDescent="0.2">
      <c r="A290" s="494"/>
      <c r="C290" s="6">
        <v>7</v>
      </c>
      <c r="D290" s="8">
        <f t="shared" si="61"/>
        <v>48.588235294117638</v>
      </c>
      <c r="E290" s="6">
        <v>0</v>
      </c>
      <c r="F290" s="8">
        <f>Plc_1131[[#This Row],[V_av]]-Plc_1131[[#This Row],[V_prel]]</f>
        <v>48.588235294117638</v>
      </c>
      <c r="G290" s="188">
        <f t="shared" si="62"/>
        <v>0.14285714285714282</v>
      </c>
      <c r="I290" s="6">
        <v>7</v>
      </c>
      <c r="J290" s="8">
        <f t="shared" si="58"/>
        <v>39.13636363636364</v>
      </c>
      <c r="K290" s="6">
        <v>0</v>
      </c>
      <c r="L290" s="8">
        <f t="shared" si="59"/>
        <v>39.13636363636364</v>
      </c>
      <c r="M290" s="188">
        <f t="shared" si="63"/>
        <v>0.1428571428571429</v>
      </c>
      <c r="O290" s="6">
        <v>7</v>
      </c>
      <c r="P290" s="8">
        <f t="shared" si="64"/>
        <v>30.592592592592592</v>
      </c>
      <c r="Q290" s="6">
        <v>0</v>
      </c>
      <c r="R290" s="8">
        <f t="shared" si="60"/>
        <v>30.592592592592592</v>
      </c>
      <c r="S290" s="188">
        <f t="shared" si="65"/>
        <v>0.14285714285714285</v>
      </c>
    </row>
    <row r="291" spans="1:31" x14ac:dyDescent="0.2">
      <c r="A291" s="494"/>
      <c r="C291" s="6">
        <v>8</v>
      </c>
      <c r="D291" s="8">
        <f t="shared" si="61"/>
        <v>55.52941176470587</v>
      </c>
      <c r="E291" s="6">
        <v>0</v>
      </c>
      <c r="F291" s="8">
        <f>Plc_1131[[#This Row],[V_av]]-Plc_1131[[#This Row],[V_prel]]</f>
        <v>55.52941176470587</v>
      </c>
      <c r="G291" s="188">
        <f t="shared" si="62"/>
        <v>0.12499999999999997</v>
      </c>
      <c r="I291" s="6">
        <v>8</v>
      </c>
      <c r="J291" s="8">
        <f t="shared" si="58"/>
        <v>44.727272727272734</v>
      </c>
      <c r="K291" s="6">
        <v>0</v>
      </c>
      <c r="L291" s="8">
        <f t="shared" si="59"/>
        <v>44.727272727272734</v>
      </c>
      <c r="M291" s="188">
        <f t="shared" si="63"/>
        <v>0.12500000000000003</v>
      </c>
      <c r="O291" s="6">
        <v>8</v>
      </c>
      <c r="P291" s="8">
        <f t="shared" si="64"/>
        <v>34.962962962962962</v>
      </c>
      <c r="Q291" s="6">
        <v>0</v>
      </c>
      <c r="R291" s="8">
        <f t="shared" si="60"/>
        <v>34.962962962962962</v>
      </c>
      <c r="S291" s="188">
        <f t="shared" si="65"/>
        <v>0.125</v>
      </c>
    </row>
    <row r="292" spans="1:31" x14ac:dyDescent="0.2">
      <c r="A292" s="494"/>
      <c r="C292" s="6">
        <v>9</v>
      </c>
      <c r="D292" s="8">
        <f t="shared" si="61"/>
        <v>62.470588235294102</v>
      </c>
      <c r="E292" s="6">
        <v>0</v>
      </c>
      <c r="F292" s="8">
        <f>Plc_1131[[#This Row],[V_av]]-Plc_1131[[#This Row],[V_prel]]</f>
        <v>62.470588235294102</v>
      </c>
      <c r="G292" s="188">
        <f t="shared" si="62"/>
        <v>0.11111111111111109</v>
      </c>
      <c r="I292" s="6">
        <v>9</v>
      </c>
      <c r="J292" s="8">
        <f t="shared" si="58"/>
        <v>50.318181818181827</v>
      </c>
      <c r="K292" s="6">
        <v>0</v>
      </c>
      <c r="L292" s="8">
        <f t="shared" si="59"/>
        <v>50.318181818181827</v>
      </c>
      <c r="M292" s="188">
        <f t="shared" si="63"/>
        <v>0.11111111111111115</v>
      </c>
      <c r="O292" s="6">
        <v>9</v>
      </c>
      <c r="P292" s="8">
        <f t="shared" si="64"/>
        <v>39.333333333333329</v>
      </c>
      <c r="Q292" s="6">
        <v>0</v>
      </c>
      <c r="R292" s="8">
        <f t="shared" si="60"/>
        <v>39.333333333333329</v>
      </c>
      <c r="S292" s="188">
        <f t="shared" si="65"/>
        <v>0.11111111111111104</v>
      </c>
    </row>
    <row r="293" spans="1:31" x14ac:dyDescent="0.2">
      <c r="A293" s="494"/>
      <c r="C293" s="6">
        <v>10</v>
      </c>
      <c r="D293" s="8">
        <f t="shared" si="61"/>
        <v>69.411764705882334</v>
      </c>
      <c r="E293" s="6">
        <v>0</v>
      </c>
      <c r="F293" s="8">
        <f>Plc_1131[[#This Row],[V_av]]-Plc_1131[[#This Row],[V_prel]]</f>
        <v>69.411764705882334</v>
      </c>
      <c r="G293" s="188">
        <f t="shared" si="62"/>
        <v>9.9999999999999978E-2</v>
      </c>
      <c r="I293" s="6">
        <v>10</v>
      </c>
      <c r="J293" s="8">
        <f t="shared" si="58"/>
        <v>55.909090909090921</v>
      </c>
      <c r="K293" s="6">
        <v>0</v>
      </c>
      <c r="L293" s="8">
        <f t="shared" si="59"/>
        <v>55.909090909090921</v>
      </c>
      <c r="M293" s="188">
        <f t="shared" si="63"/>
        <v>0.10000000000000002</v>
      </c>
      <c r="O293" s="6">
        <v>10</v>
      </c>
      <c r="P293" s="8">
        <f t="shared" si="64"/>
        <v>43.703703703703695</v>
      </c>
      <c r="Q293" s="6">
        <v>0</v>
      </c>
      <c r="R293" s="8">
        <f t="shared" si="60"/>
        <v>43.703703703703695</v>
      </c>
      <c r="S293" s="188">
        <f t="shared" si="65"/>
        <v>9.9999999999999936E-2</v>
      </c>
    </row>
    <row r="294" spans="1:31" x14ac:dyDescent="0.2">
      <c r="A294" s="494"/>
      <c r="C294" s="6">
        <v>11</v>
      </c>
      <c r="D294" s="8">
        <f t="shared" si="61"/>
        <v>76.352941176470566</v>
      </c>
      <c r="E294" s="6">
        <v>0</v>
      </c>
      <c r="F294" s="8">
        <f>Plc_1131[[#This Row],[V_av]]-Plc_1131[[#This Row],[V_prel]]</f>
        <v>76.352941176470566</v>
      </c>
      <c r="G294" s="188">
        <f t="shared" si="62"/>
        <v>9.0909090909090898E-2</v>
      </c>
      <c r="I294" s="6">
        <v>11</v>
      </c>
      <c r="J294" s="8">
        <f t="shared" si="58"/>
        <v>61.500000000000014</v>
      </c>
      <c r="K294" s="6">
        <v>0</v>
      </c>
      <c r="L294" s="8">
        <f t="shared" si="59"/>
        <v>61.500000000000014</v>
      </c>
      <c r="M294" s="188">
        <f t="shared" si="63"/>
        <v>9.0909090909090925E-2</v>
      </c>
      <c r="O294" s="6">
        <v>11</v>
      </c>
      <c r="P294" s="8">
        <f t="shared" si="64"/>
        <v>48.074074074074062</v>
      </c>
      <c r="Q294" s="6">
        <v>0</v>
      </c>
      <c r="R294" s="8">
        <f t="shared" si="60"/>
        <v>48.074074074074062</v>
      </c>
      <c r="S294" s="188">
        <f t="shared" si="65"/>
        <v>9.0909090909090856E-2</v>
      </c>
    </row>
    <row r="295" spans="1:31" x14ac:dyDescent="0.2">
      <c r="A295" s="494"/>
      <c r="C295" s="6">
        <v>12</v>
      </c>
      <c r="D295" s="8">
        <f t="shared" si="61"/>
        <v>83.294117647058798</v>
      </c>
      <c r="E295" s="6">
        <v>0</v>
      </c>
      <c r="F295" s="8">
        <f>Plc_1131[[#This Row],[V_av]]-Plc_1131[[#This Row],[V_prel]]</f>
        <v>83.294117647058798</v>
      </c>
      <c r="G295" s="188">
        <f t="shared" si="62"/>
        <v>8.3333333333333315E-2</v>
      </c>
      <c r="I295" s="6">
        <v>12</v>
      </c>
      <c r="J295" s="8">
        <f t="shared" si="58"/>
        <v>67.090909090909108</v>
      </c>
      <c r="K295" s="6">
        <v>0</v>
      </c>
      <c r="L295" s="8">
        <f t="shared" si="59"/>
        <v>67.090909090909108</v>
      </c>
      <c r="M295" s="188">
        <f t="shared" si="63"/>
        <v>8.3333333333333356E-2</v>
      </c>
      <c r="O295" s="6">
        <v>12</v>
      </c>
      <c r="P295" s="8">
        <f t="shared" si="64"/>
        <v>52.444444444444429</v>
      </c>
      <c r="Q295" s="6">
        <v>0</v>
      </c>
      <c r="R295" s="8">
        <f t="shared" si="60"/>
        <v>52.444444444444429</v>
      </c>
      <c r="S295" s="188">
        <f t="shared" si="65"/>
        <v>8.3333333333333287E-2</v>
      </c>
    </row>
    <row r="296" spans="1:31" x14ac:dyDescent="0.2">
      <c r="A296" s="494"/>
      <c r="C296" s="6">
        <v>13</v>
      </c>
      <c r="D296" s="8">
        <f t="shared" si="61"/>
        <v>90.23529411764703</v>
      </c>
      <c r="E296" s="6">
        <v>0</v>
      </c>
      <c r="F296" s="8">
        <f>Plc_1131[[#This Row],[V_av]]-Plc_1131[[#This Row],[V_prel]]</f>
        <v>90.23529411764703</v>
      </c>
      <c r="G296" s="188">
        <f t="shared" si="62"/>
        <v>7.6923076923076913E-2</v>
      </c>
      <c r="I296" s="6">
        <v>13</v>
      </c>
      <c r="J296" s="8">
        <f t="shared" si="58"/>
        <v>72.681818181818201</v>
      </c>
      <c r="K296" s="6">
        <v>0</v>
      </c>
      <c r="L296" s="8">
        <f t="shared" si="59"/>
        <v>72.681818181818201</v>
      </c>
      <c r="M296" s="188">
        <f t="shared" si="63"/>
        <v>7.6923076923076941E-2</v>
      </c>
      <c r="O296" s="6">
        <v>13</v>
      </c>
      <c r="P296" s="8">
        <f t="shared" si="64"/>
        <v>56.814814814814795</v>
      </c>
      <c r="Q296" s="6">
        <v>0</v>
      </c>
      <c r="R296" s="8">
        <f t="shared" si="60"/>
        <v>56.814814814814795</v>
      </c>
      <c r="S296" s="188">
        <f t="shared" si="65"/>
        <v>7.6923076923076886E-2</v>
      </c>
    </row>
    <row r="297" spans="1:31" x14ac:dyDescent="0.2">
      <c r="A297" s="494"/>
      <c r="C297" s="6">
        <v>14</v>
      </c>
      <c r="D297" s="8">
        <f t="shared" si="61"/>
        <v>97.176470588235262</v>
      </c>
      <c r="E297" s="6">
        <v>0</v>
      </c>
      <c r="F297" s="8">
        <f>Plc_1131[[#This Row],[V_av]]-Plc_1131[[#This Row],[V_prel]]</f>
        <v>97.176470588235262</v>
      </c>
      <c r="G297" s="188">
        <f t="shared" si="62"/>
        <v>7.1428571428571425E-2</v>
      </c>
      <c r="I297" s="6">
        <v>14</v>
      </c>
      <c r="J297" s="8">
        <f t="shared" si="58"/>
        <v>78.272727272727295</v>
      </c>
      <c r="K297" s="6">
        <v>0</v>
      </c>
      <c r="L297" s="8">
        <f t="shared" si="59"/>
        <v>78.272727272727295</v>
      </c>
      <c r="M297" s="188">
        <f t="shared" si="63"/>
        <v>7.1428571428571438E-2</v>
      </c>
      <c r="O297" s="6">
        <v>14</v>
      </c>
      <c r="P297" s="8">
        <f t="shared" si="64"/>
        <v>61.185185185185162</v>
      </c>
      <c r="Q297" s="6">
        <v>0</v>
      </c>
      <c r="R297" s="8">
        <f t="shared" si="60"/>
        <v>61.185185185185162</v>
      </c>
      <c r="S297" s="188">
        <f t="shared" si="65"/>
        <v>7.1428571428571397E-2</v>
      </c>
    </row>
    <row r="298" spans="1:31" x14ac:dyDescent="0.2">
      <c r="A298" s="494"/>
      <c r="C298" s="6">
        <v>15</v>
      </c>
      <c r="D298" s="8">
        <f t="shared" si="61"/>
        <v>104.11764705882349</v>
      </c>
      <c r="E298" s="6">
        <v>0</v>
      </c>
      <c r="F298" s="8">
        <f>Plc_1131[[#This Row],[V_av]]-Plc_1131[[#This Row],[V_prel]]</f>
        <v>104.11764705882349</v>
      </c>
      <c r="G298" s="188">
        <f t="shared" si="62"/>
        <v>6.6666666666666652E-2</v>
      </c>
      <c r="I298" s="6">
        <v>15</v>
      </c>
      <c r="J298" s="8">
        <f t="shared" si="58"/>
        <v>83.863636363636388</v>
      </c>
      <c r="K298" s="6">
        <v>0</v>
      </c>
      <c r="L298" s="8">
        <f t="shared" si="59"/>
        <v>83.863636363636388</v>
      </c>
      <c r="M298" s="188">
        <f t="shared" si="63"/>
        <v>6.666666666666668E-2</v>
      </c>
      <c r="O298" s="6">
        <v>15</v>
      </c>
      <c r="P298" s="8">
        <f t="shared" si="64"/>
        <v>65.555555555555529</v>
      </c>
      <c r="Q298" s="6">
        <v>0</v>
      </c>
      <c r="R298" s="8">
        <f t="shared" si="60"/>
        <v>65.555555555555529</v>
      </c>
      <c r="S298" s="188">
        <f t="shared" si="65"/>
        <v>6.6666666666666638E-2</v>
      </c>
    </row>
    <row r="299" spans="1:31" x14ac:dyDescent="0.2">
      <c r="A299" s="494"/>
      <c r="C299" s="6">
        <v>16</v>
      </c>
      <c r="D299" s="8">
        <f t="shared" si="61"/>
        <v>111.05882352941173</v>
      </c>
      <c r="E299" s="6">
        <v>0</v>
      </c>
      <c r="F299" s="8">
        <f>Plc_1131[[#This Row],[V_av]]-Plc_1131[[#This Row],[V_prel]]</f>
        <v>111.05882352941173</v>
      </c>
      <c r="G299" s="188">
        <f t="shared" si="62"/>
        <v>6.2499999999999993E-2</v>
      </c>
      <c r="I299" s="6">
        <v>16</v>
      </c>
      <c r="J299" s="8">
        <f t="shared" si="58"/>
        <v>89.454545454545482</v>
      </c>
      <c r="K299" s="6">
        <v>0</v>
      </c>
      <c r="L299" s="8">
        <f t="shared" si="59"/>
        <v>89.454545454545482</v>
      </c>
      <c r="M299" s="188">
        <f t="shared" si="63"/>
        <v>6.2500000000000014E-2</v>
      </c>
      <c r="O299" s="6">
        <v>16</v>
      </c>
      <c r="P299" s="8">
        <f t="shared" si="64"/>
        <v>69.925925925925895</v>
      </c>
      <c r="Q299" s="6">
        <v>0</v>
      </c>
      <c r="R299" s="8">
        <f t="shared" si="60"/>
        <v>69.925925925925895</v>
      </c>
      <c r="S299" s="188">
        <f t="shared" si="65"/>
        <v>6.2499999999999972E-2</v>
      </c>
    </row>
    <row r="300" spans="1:31" ht="14" customHeight="1" x14ac:dyDescent="0.25">
      <c r="A300" s="494"/>
      <c r="C300" s="7">
        <v>17</v>
      </c>
      <c r="D300" s="7">
        <v>118</v>
      </c>
      <c r="E300" s="7">
        <v>15</v>
      </c>
      <c r="F300" s="7">
        <v>103</v>
      </c>
      <c r="G300" s="188">
        <f t="shared" si="62"/>
        <v>5.8823529411765038E-2</v>
      </c>
      <c r="I300" s="6">
        <v>17</v>
      </c>
      <c r="J300" s="8">
        <f t="shared" si="58"/>
        <v>95.045454545454575</v>
      </c>
      <c r="K300" s="6">
        <v>0</v>
      </c>
      <c r="L300" s="8">
        <f t="shared" si="59"/>
        <v>95.045454545454575</v>
      </c>
      <c r="M300" s="188">
        <f t="shared" si="63"/>
        <v>5.8823529411764712E-2</v>
      </c>
      <c r="N300" s="15"/>
      <c r="O300" s="6">
        <v>17</v>
      </c>
      <c r="P300" s="8">
        <f t="shared" si="64"/>
        <v>74.296296296296262</v>
      </c>
      <c r="Q300" s="6">
        <v>0</v>
      </c>
      <c r="R300" s="8">
        <f t="shared" si="60"/>
        <v>74.296296296296262</v>
      </c>
      <c r="S300" s="188">
        <f t="shared" si="65"/>
        <v>5.8823529411764684E-2</v>
      </c>
    </row>
    <row r="301" spans="1:31" s="15" customFormat="1" ht="14" customHeight="1" x14ac:dyDescent="0.25">
      <c r="A301" s="494"/>
      <c r="C301" s="6">
        <v>18</v>
      </c>
      <c r="D301" s="8">
        <f>($D$303-$F$300)/($C$303-$C$300)+F300</f>
        <v>114.33333333333333</v>
      </c>
      <c r="E301" s="6">
        <v>0</v>
      </c>
      <c r="F301" s="8">
        <f>Plc_1131[[#This Row],[V_av]]-Plc_1131[[#This Row],[V_prel]]</f>
        <v>114.33333333333333</v>
      </c>
      <c r="G301" s="188">
        <f t="shared" si="62"/>
        <v>9.912536443148684E-2</v>
      </c>
      <c r="I301" s="6">
        <v>18</v>
      </c>
      <c r="J301" s="8">
        <f t="shared" si="58"/>
        <v>100.63636363636367</v>
      </c>
      <c r="K301" s="6">
        <v>0</v>
      </c>
      <c r="L301" s="8">
        <f t="shared" si="59"/>
        <v>100.63636363636367</v>
      </c>
      <c r="M301" s="188">
        <f t="shared" si="63"/>
        <v>5.5555555555555566E-2</v>
      </c>
      <c r="N301" s="6"/>
      <c r="O301" s="6">
        <v>18</v>
      </c>
      <c r="P301" s="8">
        <f t="shared" si="64"/>
        <v>78.666666666666629</v>
      </c>
      <c r="Q301" s="6">
        <v>0</v>
      </c>
      <c r="R301" s="8">
        <f t="shared" si="60"/>
        <v>78.666666666666629</v>
      </c>
      <c r="S301" s="188">
        <f t="shared" si="65"/>
        <v>5.5555555555555539E-2</v>
      </c>
      <c r="Y301" s="198"/>
      <c r="AE301" s="198"/>
    </row>
    <row r="302" spans="1:31" x14ac:dyDescent="0.2">
      <c r="A302" s="494"/>
      <c r="C302" s="6">
        <v>19</v>
      </c>
      <c r="D302" s="8">
        <f>($D$303-$F$300)/($C$303-$C$300)+D301</f>
        <v>125.66666666666666</v>
      </c>
      <c r="E302" s="6">
        <v>0</v>
      </c>
      <c r="F302" s="8">
        <f>Plc_1131[[#This Row],[V_av]]-Plc_1131[[#This Row],[V_prel]]</f>
        <v>125.66666666666666</v>
      </c>
      <c r="G302" s="188">
        <f t="shared" si="62"/>
        <v>9.0185676392572911E-2</v>
      </c>
      <c r="I302" s="6">
        <v>19</v>
      </c>
      <c r="J302" s="8">
        <f t="shared" si="58"/>
        <v>106.22727272727276</v>
      </c>
      <c r="K302" s="6">
        <v>0</v>
      </c>
      <c r="L302" s="8">
        <f t="shared" si="59"/>
        <v>106.22727272727276</v>
      </c>
      <c r="M302" s="188">
        <f t="shared" si="63"/>
        <v>5.2631578947368425E-2</v>
      </c>
      <c r="O302" s="6">
        <v>19</v>
      </c>
      <c r="P302" s="8">
        <f t="shared" si="64"/>
        <v>83.037037037036995</v>
      </c>
      <c r="Q302" s="6">
        <v>0</v>
      </c>
      <c r="R302" s="8">
        <f t="shared" si="60"/>
        <v>83.037037037036995</v>
      </c>
      <c r="S302" s="188">
        <f t="shared" si="65"/>
        <v>5.2631578947368404E-2</v>
      </c>
    </row>
    <row r="303" spans="1:31" x14ac:dyDescent="0.2">
      <c r="A303" s="494"/>
      <c r="C303" s="7">
        <v>20</v>
      </c>
      <c r="D303" s="7">
        <v>137</v>
      </c>
      <c r="E303" s="7">
        <v>15</v>
      </c>
      <c r="F303" s="13">
        <v>122</v>
      </c>
      <c r="G303" s="188">
        <f t="shared" si="62"/>
        <v>8.2725060827250674E-2</v>
      </c>
      <c r="I303" s="6">
        <v>20</v>
      </c>
      <c r="J303" s="8">
        <f t="shared" si="58"/>
        <v>111.81818181818186</v>
      </c>
      <c r="K303" s="6">
        <v>0</v>
      </c>
      <c r="L303" s="8">
        <f t="shared" si="59"/>
        <v>111.81818181818186</v>
      </c>
      <c r="M303" s="188">
        <f t="shared" si="63"/>
        <v>5.000000000000001E-2</v>
      </c>
      <c r="O303" s="6">
        <v>20</v>
      </c>
      <c r="P303" s="8">
        <f t="shared" si="64"/>
        <v>87.407407407407362</v>
      </c>
      <c r="Q303" s="6">
        <v>0</v>
      </c>
      <c r="R303" s="8">
        <f t="shared" si="60"/>
        <v>87.407407407407362</v>
      </c>
      <c r="S303" s="188">
        <f t="shared" si="65"/>
        <v>4.9999999999999982E-2</v>
      </c>
    </row>
    <row r="304" spans="1:31" x14ac:dyDescent="0.2">
      <c r="A304" s="494"/>
      <c r="C304" s="6">
        <v>21</v>
      </c>
      <c r="D304" s="8">
        <f>($D$308-$F$303)/($C$308-$C$303)+F303</f>
        <v>138.4</v>
      </c>
      <c r="E304" s="6">
        <v>0</v>
      </c>
      <c r="F304" s="8">
        <f>Plc_1131[[#This Row],[V_av]]-Plc_1131[[#This Row],[V_prel]]</f>
        <v>138.4</v>
      </c>
      <c r="G304" s="188">
        <f t="shared" si="62"/>
        <v>0.11849710982658963</v>
      </c>
      <c r="I304" s="6">
        <v>21</v>
      </c>
      <c r="J304" s="8">
        <f t="shared" si="58"/>
        <v>117.40909090909095</v>
      </c>
      <c r="K304" s="6">
        <v>0</v>
      </c>
      <c r="L304" s="8">
        <f t="shared" si="59"/>
        <v>117.40909090909095</v>
      </c>
      <c r="M304" s="188">
        <f t="shared" si="63"/>
        <v>4.7619047619047623E-2</v>
      </c>
      <c r="O304" s="6">
        <v>21</v>
      </c>
      <c r="P304" s="8">
        <f t="shared" si="64"/>
        <v>91.777777777777729</v>
      </c>
      <c r="Q304" s="6">
        <v>0</v>
      </c>
      <c r="R304" s="8">
        <f t="shared" si="60"/>
        <v>91.777777777777729</v>
      </c>
      <c r="S304" s="188">
        <f t="shared" si="65"/>
        <v>4.7619047619047603E-2</v>
      </c>
    </row>
    <row r="305" spans="1:19" x14ac:dyDescent="0.2">
      <c r="A305" s="494"/>
      <c r="C305" s="6">
        <v>22</v>
      </c>
      <c r="D305" s="8">
        <f>($D$308-$F$303)/($C$308-$C$303)+D304</f>
        <v>154.80000000000001</v>
      </c>
      <c r="E305" s="6">
        <v>0</v>
      </c>
      <c r="F305" s="8">
        <f>Plc_1131[[#This Row],[V_av]]-Plc_1131[[#This Row],[V_prel]]</f>
        <v>154.80000000000001</v>
      </c>
      <c r="G305" s="188">
        <f t="shared" si="62"/>
        <v>0.10594315245478039</v>
      </c>
      <c r="I305" s="7">
        <v>22</v>
      </c>
      <c r="J305" s="7">
        <v>123</v>
      </c>
      <c r="K305" s="7">
        <v>16</v>
      </c>
      <c r="L305" s="7">
        <v>107</v>
      </c>
      <c r="M305" s="188">
        <f t="shared" si="63"/>
        <v>4.545454545454513E-2</v>
      </c>
      <c r="O305" s="6">
        <v>22</v>
      </c>
      <c r="P305" s="8">
        <f t="shared" si="64"/>
        <v>96.148148148148096</v>
      </c>
      <c r="Q305" s="6">
        <v>0</v>
      </c>
      <c r="R305" s="8">
        <f t="shared" si="60"/>
        <v>96.148148148148096</v>
      </c>
      <c r="S305" s="188">
        <f t="shared" si="65"/>
        <v>4.5454545454545442E-2</v>
      </c>
    </row>
    <row r="306" spans="1:19" x14ac:dyDescent="0.2">
      <c r="A306" s="206"/>
      <c r="C306" s="6">
        <v>23</v>
      </c>
      <c r="D306" s="8">
        <f t="shared" ref="D306:D307" si="66">($D$308-$F$303)/($C$308-$C$303)+D305</f>
        <v>171.20000000000002</v>
      </c>
      <c r="E306" s="6">
        <v>0</v>
      </c>
      <c r="F306" s="8">
        <f>Plc_1131[[#This Row],[V_av]]-Plc_1131[[#This Row],[V_prel]]</f>
        <v>171.20000000000002</v>
      </c>
      <c r="G306" s="188">
        <f t="shared" si="62"/>
        <v>9.579439252336451E-2</v>
      </c>
      <c r="I306" s="6">
        <v>23</v>
      </c>
      <c r="J306" s="8">
        <f>($J$308-$L$305)/($I$308-$I$305)+L305</f>
        <v>119.33333333333333</v>
      </c>
      <c r="K306" s="6">
        <v>0</v>
      </c>
      <c r="L306" s="8">
        <f>J306-K306</f>
        <v>119.33333333333333</v>
      </c>
      <c r="M306" s="188">
        <f t="shared" si="63"/>
        <v>0.10335195530726253</v>
      </c>
      <c r="O306" s="6">
        <v>23</v>
      </c>
      <c r="P306" s="8">
        <f t="shared" si="64"/>
        <v>100.51851851851846</v>
      </c>
      <c r="Q306" s="6">
        <v>0</v>
      </c>
      <c r="R306" s="8">
        <f t="shared" si="60"/>
        <v>100.51851851851846</v>
      </c>
      <c r="S306" s="188">
        <f t="shared" si="65"/>
        <v>4.3478260869565202E-2</v>
      </c>
    </row>
    <row r="307" spans="1:19" x14ac:dyDescent="0.2">
      <c r="A307" s="206"/>
      <c r="C307" s="6">
        <v>24</v>
      </c>
      <c r="D307" s="8">
        <f t="shared" si="66"/>
        <v>187.60000000000002</v>
      </c>
      <c r="E307" s="6">
        <v>0</v>
      </c>
      <c r="F307" s="8">
        <f>Plc_1131[[#This Row],[V_av]]-Plc_1131[[#This Row],[V_prel]]</f>
        <v>187.60000000000002</v>
      </c>
      <c r="G307" s="188">
        <f t="shared" si="62"/>
        <v>8.7420042643923265E-2</v>
      </c>
      <c r="I307" s="6">
        <v>24</v>
      </c>
      <c r="J307" s="8">
        <f>($J$308-$L$305)/($I$308-$I$305)+J306</f>
        <v>131.66666666666666</v>
      </c>
      <c r="K307" s="6">
        <v>0</v>
      </c>
      <c r="L307" s="8">
        <f>J307-K307</f>
        <v>131.66666666666666</v>
      </c>
      <c r="M307" s="188">
        <f t="shared" si="63"/>
        <v>9.3670886075949339E-2</v>
      </c>
      <c r="O307" s="6">
        <v>24</v>
      </c>
      <c r="P307" s="8">
        <f t="shared" si="64"/>
        <v>104.88888888888883</v>
      </c>
      <c r="Q307" s="6">
        <v>0</v>
      </c>
      <c r="R307" s="8">
        <f t="shared" si="60"/>
        <v>104.88888888888883</v>
      </c>
      <c r="S307" s="188">
        <f t="shared" si="65"/>
        <v>4.1666666666666657E-2</v>
      </c>
    </row>
    <row r="308" spans="1:19" x14ac:dyDescent="0.2">
      <c r="A308" s="206"/>
      <c r="C308" s="7">
        <v>25</v>
      </c>
      <c r="D308" s="7">
        <v>204</v>
      </c>
      <c r="E308" s="7">
        <v>36</v>
      </c>
      <c r="F308" s="7">
        <v>168</v>
      </c>
      <c r="G308" s="188">
        <f t="shared" si="62"/>
        <v>8.0392156862744993E-2</v>
      </c>
      <c r="I308" s="7">
        <v>25</v>
      </c>
      <c r="J308" s="7">
        <v>144</v>
      </c>
      <c r="K308" s="7">
        <v>17</v>
      </c>
      <c r="L308" s="7">
        <v>127</v>
      </c>
      <c r="M308" s="188">
        <f t="shared" si="63"/>
        <v>8.5648148148148209E-2</v>
      </c>
      <c r="O308" s="6">
        <v>25</v>
      </c>
      <c r="P308" s="8">
        <f t="shared" si="64"/>
        <v>109.2592592592592</v>
      </c>
      <c r="Q308" s="6">
        <v>0</v>
      </c>
      <c r="R308" s="8">
        <f t="shared" si="60"/>
        <v>109.2592592592592</v>
      </c>
      <c r="S308" s="188">
        <f t="shared" si="65"/>
        <v>3.9999999999999987E-2</v>
      </c>
    </row>
    <row r="309" spans="1:19" x14ac:dyDescent="0.2">
      <c r="A309" s="206"/>
      <c r="C309" s="6">
        <v>26</v>
      </c>
      <c r="D309" s="8">
        <f>($D$313-$F$308)/($C$313-$C$308)+F308</f>
        <v>185.6</v>
      </c>
      <c r="E309" s="6">
        <v>0</v>
      </c>
      <c r="F309" s="8">
        <f>Plc_1131[[#This Row],[V_av]]-Plc_1131[[#This Row],[V_prel]]</f>
        <v>185.6</v>
      </c>
      <c r="G309" s="188">
        <f t="shared" si="62"/>
        <v>9.4827586206896519E-2</v>
      </c>
      <c r="I309" s="6">
        <v>26</v>
      </c>
      <c r="J309" s="8">
        <f>($J$313-$L$308)/($I$313-$I$308)+L308</f>
        <v>140.4</v>
      </c>
      <c r="K309" s="6">
        <v>0</v>
      </c>
      <c r="L309" s="8">
        <f>J309-K309</f>
        <v>140.4</v>
      </c>
      <c r="M309" s="188">
        <f t="shared" si="63"/>
        <v>9.5441595441595473E-2</v>
      </c>
      <c r="O309" s="6">
        <v>26</v>
      </c>
      <c r="P309" s="8">
        <f t="shared" si="64"/>
        <v>113.62962962962956</v>
      </c>
      <c r="Q309" s="6">
        <v>0</v>
      </c>
      <c r="R309" s="8">
        <f t="shared" si="60"/>
        <v>113.62962962962956</v>
      </c>
      <c r="S309" s="188">
        <f t="shared" si="65"/>
        <v>3.846153846153845E-2</v>
      </c>
    </row>
    <row r="310" spans="1:19" x14ac:dyDescent="0.2">
      <c r="A310" s="206"/>
      <c r="C310" s="6">
        <v>27</v>
      </c>
      <c r="D310" s="8">
        <f>($D$313-$F$308)/($C$313-$C$308)+D309</f>
        <v>203.2</v>
      </c>
      <c r="E310" s="6">
        <v>0</v>
      </c>
      <c r="F310" s="8">
        <f>Plc_1131[[#This Row],[V_av]]-Plc_1131[[#This Row],[V_prel]]</f>
        <v>203.2</v>
      </c>
      <c r="G310" s="188">
        <f t="shared" si="62"/>
        <v>8.6614173228346428E-2</v>
      </c>
      <c r="I310" s="6">
        <v>27</v>
      </c>
      <c r="J310" s="8">
        <f>($J$313-$L$308)/($I$313-$I$308)+J309</f>
        <v>153.80000000000001</v>
      </c>
      <c r="K310" s="6">
        <v>0</v>
      </c>
      <c r="L310" s="8">
        <f>J310-K310</f>
        <v>153.80000000000001</v>
      </c>
      <c r="M310" s="188">
        <f t="shared" si="63"/>
        <v>8.7126137841352438E-2</v>
      </c>
      <c r="O310" s="7">
        <v>27</v>
      </c>
      <c r="P310" s="7">
        <v>118</v>
      </c>
      <c r="Q310" s="7">
        <v>15</v>
      </c>
      <c r="R310" s="7">
        <v>103</v>
      </c>
      <c r="S310" s="188">
        <f t="shared" si="65"/>
        <v>3.7037037037037611E-2</v>
      </c>
    </row>
    <row r="311" spans="1:19" x14ac:dyDescent="0.2">
      <c r="A311" s="206"/>
      <c r="C311" s="6">
        <v>28</v>
      </c>
      <c r="D311" s="8">
        <f t="shared" ref="D311:D312" si="67">($D$313-$F$308)/($C$313-$C$308)+D310</f>
        <v>220.79999999999998</v>
      </c>
      <c r="E311" s="6">
        <v>0</v>
      </c>
      <c r="F311" s="8">
        <f>Plc_1131[[#This Row],[V_av]]-Plc_1131[[#This Row],[V_prel]]</f>
        <v>220.79999999999998</v>
      </c>
      <c r="G311" s="188">
        <f t="shared" si="62"/>
        <v>7.9710144927536211E-2</v>
      </c>
      <c r="I311" s="6">
        <v>28</v>
      </c>
      <c r="J311" s="8">
        <f>($J$313-$L$308)/($I$313-$I$308)+J310</f>
        <v>167.20000000000002</v>
      </c>
      <c r="K311" s="6">
        <v>0</v>
      </c>
      <c r="L311" s="8">
        <f>J311-K311</f>
        <v>167.20000000000002</v>
      </c>
      <c r="M311" s="188">
        <f t="shared" si="63"/>
        <v>8.0143540669856489E-2</v>
      </c>
      <c r="O311" s="6">
        <v>28</v>
      </c>
      <c r="P311" s="8">
        <f>($P$313-$R$310)/($O$313-$O$310)+R310</f>
        <v>112.66666666666667</v>
      </c>
      <c r="Q311" s="6">
        <v>0</v>
      </c>
      <c r="R311" s="8">
        <f>P311-Q311</f>
        <v>112.66666666666667</v>
      </c>
      <c r="S311" s="188">
        <f t="shared" si="65"/>
        <v>8.5798816568047373E-2</v>
      </c>
    </row>
    <row r="312" spans="1:19" x14ac:dyDescent="0.2">
      <c r="A312" s="206"/>
      <c r="C312" s="6">
        <v>29</v>
      </c>
      <c r="D312" s="8">
        <f t="shared" si="67"/>
        <v>238.39999999999998</v>
      </c>
      <c r="E312" s="6">
        <v>0</v>
      </c>
      <c r="F312" s="8">
        <f>Plc_1131[[#This Row],[V_av]]-Plc_1131[[#This Row],[V_prel]]</f>
        <v>238.39999999999998</v>
      </c>
      <c r="G312" s="188">
        <f t="shared" si="62"/>
        <v>7.3825503355704675E-2</v>
      </c>
      <c r="I312" s="6">
        <v>29</v>
      </c>
      <c r="J312" s="8">
        <f>($J$313-$L$308)/($I$313-$I$308)+J311</f>
        <v>180.60000000000002</v>
      </c>
      <c r="K312" s="6">
        <v>0</v>
      </c>
      <c r="L312" s="8">
        <f>J312-K312</f>
        <v>180.60000000000002</v>
      </c>
      <c r="M312" s="188">
        <f t="shared" si="63"/>
        <v>7.4197120708748635E-2</v>
      </c>
      <c r="O312" s="6">
        <v>29</v>
      </c>
      <c r="P312" s="8">
        <f>($P$313-$R$310)/($O$313-$O$310)+P311</f>
        <v>122.33333333333334</v>
      </c>
      <c r="Q312" s="6">
        <v>0</v>
      </c>
      <c r="R312" s="8">
        <f>P312-Q312</f>
        <v>122.33333333333334</v>
      </c>
      <c r="S312" s="188">
        <f t="shared" si="65"/>
        <v>7.9019073569482318E-2</v>
      </c>
    </row>
    <row r="313" spans="1:19" x14ac:dyDescent="0.2">
      <c r="A313" s="206"/>
      <c r="C313" s="7">
        <v>30</v>
      </c>
      <c r="D313" s="7">
        <v>256</v>
      </c>
      <c r="E313" s="7">
        <v>54</v>
      </c>
      <c r="F313" s="7">
        <v>202</v>
      </c>
      <c r="G313" s="188">
        <f t="shared" si="62"/>
        <v>6.8750000000000089E-2</v>
      </c>
      <c r="I313" s="7">
        <v>30</v>
      </c>
      <c r="J313" s="7">
        <v>194</v>
      </c>
      <c r="K313" s="7">
        <v>34</v>
      </c>
      <c r="L313" s="7">
        <v>160</v>
      </c>
      <c r="M313" s="188">
        <f t="shared" si="63"/>
        <v>6.9072164948453488E-2</v>
      </c>
      <c r="O313" s="7">
        <v>30</v>
      </c>
      <c r="P313" s="7">
        <v>132</v>
      </c>
      <c r="Q313" s="7">
        <v>13</v>
      </c>
      <c r="R313" s="7">
        <v>119</v>
      </c>
      <c r="S313" s="188">
        <f t="shared" si="65"/>
        <v>7.3232323232323163E-2</v>
      </c>
    </row>
    <row r="314" spans="1:19" x14ac:dyDescent="0.2">
      <c r="A314" s="206"/>
      <c r="C314" s="7">
        <v>35</v>
      </c>
      <c r="D314" s="7">
        <v>296</v>
      </c>
      <c r="E314" s="7">
        <v>52</v>
      </c>
      <c r="F314" s="7">
        <v>244</v>
      </c>
      <c r="G314" s="188">
        <f t="shared" si="62"/>
        <v>6.3513513513513503E-2</v>
      </c>
    </row>
    <row r="315" spans="1:19" x14ac:dyDescent="0.2">
      <c r="A315" s="206"/>
      <c r="C315" s="7">
        <v>40</v>
      </c>
      <c r="D315" s="7">
        <v>332</v>
      </c>
      <c r="E315" s="7">
        <v>48</v>
      </c>
      <c r="F315" s="7">
        <v>284</v>
      </c>
      <c r="G315" s="188">
        <f t="shared" si="62"/>
        <v>5.301204819277109E-2</v>
      </c>
    </row>
    <row r="316" spans="1:19" x14ac:dyDescent="0.2">
      <c r="A316" s="206"/>
      <c r="C316" s="7">
        <v>45</v>
      </c>
      <c r="D316" s="7">
        <v>384</v>
      </c>
      <c r="E316" s="7">
        <v>57</v>
      </c>
      <c r="F316" s="7">
        <v>327</v>
      </c>
      <c r="G316" s="188">
        <f t="shared" si="62"/>
        <v>5.2083333333333336E-2</v>
      </c>
    </row>
    <row r="317" spans="1:19" x14ac:dyDescent="0.2">
      <c r="A317" s="206"/>
      <c r="C317" s="7">
        <v>50</v>
      </c>
      <c r="D317" s="7">
        <v>414</v>
      </c>
      <c r="E317" s="7">
        <v>47</v>
      </c>
      <c r="F317" s="7">
        <v>367</v>
      </c>
      <c r="G317" s="188">
        <f t="shared" si="62"/>
        <v>4.2028985507246375E-2</v>
      </c>
    </row>
    <row r="318" spans="1:19" x14ac:dyDescent="0.2">
      <c r="A318" s="206"/>
      <c r="C318" s="7">
        <v>55</v>
      </c>
      <c r="D318" s="7">
        <v>463</v>
      </c>
      <c r="E318" s="7">
        <v>48</v>
      </c>
      <c r="F318" s="7">
        <v>415</v>
      </c>
      <c r="G318" s="188">
        <f t="shared" si="62"/>
        <v>4.1468682505399569E-2</v>
      </c>
    </row>
    <row r="319" spans="1:19" x14ac:dyDescent="0.2">
      <c r="A319" s="206"/>
      <c r="C319" s="7">
        <v>60</v>
      </c>
      <c r="D319" s="7">
        <v>500</v>
      </c>
      <c r="E319" s="7">
        <v>32</v>
      </c>
      <c r="F319" s="7">
        <v>468</v>
      </c>
      <c r="G319" s="188">
        <f t="shared" si="62"/>
        <v>3.4000000000000002E-2</v>
      </c>
    </row>
    <row r="320" spans="1:19" x14ac:dyDescent="0.2">
      <c r="A320" s="206"/>
      <c r="C320" s="7">
        <v>65</v>
      </c>
      <c r="D320" s="7">
        <v>555</v>
      </c>
      <c r="E320" s="7">
        <v>28</v>
      </c>
      <c r="F320" s="7">
        <v>527</v>
      </c>
      <c r="G320" s="188">
        <f t="shared" si="62"/>
        <v>3.135135135135135E-2</v>
      </c>
    </row>
    <row r="321" spans="1:31" x14ac:dyDescent="0.2">
      <c r="A321" s="206"/>
      <c r="C321" s="7">
        <v>70</v>
      </c>
      <c r="D321" s="7">
        <v>608.5</v>
      </c>
      <c r="E321" s="7">
        <v>608.5</v>
      </c>
      <c r="F321" s="7">
        <v>0</v>
      </c>
      <c r="G321" s="188">
        <f t="shared" si="62"/>
        <v>2.6787181594083814E-2</v>
      </c>
    </row>
    <row r="322" spans="1:31" x14ac:dyDescent="0.2">
      <c r="A322" s="206"/>
    </row>
    <row r="323" spans="1:31" x14ac:dyDescent="0.2">
      <c r="A323" s="206"/>
      <c r="C323" s="7" t="s">
        <v>957</v>
      </c>
      <c r="D323" s="9" t="s">
        <v>130</v>
      </c>
      <c r="I323" s="7" t="s">
        <v>958</v>
      </c>
      <c r="O323" s="7" t="s">
        <v>959</v>
      </c>
      <c r="U323" s="7" t="s">
        <v>960</v>
      </c>
    </row>
    <row r="324" spans="1:31" x14ac:dyDescent="0.2">
      <c r="A324" s="206"/>
      <c r="C324" s="6" t="s">
        <v>125</v>
      </c>
      <c r="D324" s="6" t="s">
        <v>126</v>
      </c>
      <c r="E324" s="6" t="s">
        <v>127</v>
      </c>
      <c r="F324" s="6" t="s">
        <v>128</v>
      </c>
      <c r="G324" s="201" t="s">
        <v>699</v>
      </c>
      <c r="I324" s="176" t="s">
        <v>125</v>
      </c>
      <c r="J324" s="176" t="s">
        <v>126</v>
      </c>
      <c r="K324" s="176" t="s">
        <v>127</v>
      </c>
      <c r="L324" s="176" t="s">
        <v>128</v>
      </c>
      <c r="M324" s="202" t="s">
        <v>699</v>
      </c>
      <c r="O324" s="176" t="s">
        <v>125</v>
      </c>
      <c r="P324" s="176" t="s">
        <v>126</v>
      </c>
      <c r="Q324" s="176" t="s">
        <v>127</v>
      </c>
      <c r="R324" s="176" t="s">
        <v>128</v>
      </c>
      <c r="S324" s="202" t="s">
        <v>699</v>
      </c>
      <c r="U324" s="176" t="s">
        <v>125</v>
      </c>
      <c r="V324" s="176" t="s">
        <v>126</v>
      </c>
      <c r="W324" s="176" t="s">
        <v>127</v>
      </c>
      <c r="X324" s="176" t="s">
        <v>128</v>
      </c>
      <c r="Y324" s="202" t="s">
        <v>699</v>
      </c>
      <c r="AE324" s="203"/>
    </row>
    <row r="325" spans="1:31" x14ac:dyDescent="0.2">
      <c r="A325" s="206"/>
      <c r="C325" s="6">
        <v>1</v>
      </c>
      <c r="D325" s="8">
        <f>D344/C344</f>
        <v>4.9000000000000004</v>
      </c>
      <c r="E325" s="6">
        <v>0</v>
      </c>
      <c r="F325" s="8">
        <f>Pn_1134[[#This Row],[V_av]]-Pn_1134[[#This Row],[V_prel]]</f>
        <v>4.9000000000000004</v>
      </c>
      <c r="G325" s="194">
        <v>0</v>
      </c>
      <c r="I325" s="6">
        <v>1</v>
      </c>
      <c r="J325" s="8">
        <f>J344/I344</f>
        <v>2.95</v>
      </c>
      <c r="K325" s="6">
        <v>0</v>
      </c>
      <c r="L325" s="8">
        <f>J325-K325</f>
        <v>2.95</v>
      </c>
      <c r="M325" s="194">
        <v>0</v>
      </c>
      <c r="O325" s="6">
        <v>1</v>
      </c>
      <c r="P325" s="8">
        <f>P344/O344</f>
        <v>1.4</v>
      </c>
      <c r="Q325" s="6">
        <v>0</v>
      </c>
      <c r="R325" s="8">
        <f>P325-Q325</f>
        <v>1.4</v>
      </c>
      <c r="S325" s="194">
        <v>0</v>
      </c>
      <c r="U325" s="6">
        <v>1</v>
      </c>
      <c r="V325" s="14">
        <f>V344/U344</f>
        <v>0.2</v>
      </c>
      <c r="W325" s="6">
        <v>0</v>
      </c>
      <c r="X325" s="8">
        <f>V325-W325</f>
        <v>0.2</v>
      </c>
      <c r="Y325" s="194">
        <v>0</v>
      </c>
    </row>
    <row r="326" spans="1:31" x14ac:dyDescent="0.2">
      <c r="A326" s="206"/>
      <c r="C326" s="6">
        <v>2</v>
      </c>
      <c r="D326" s="8">
        <f>$D$344/$C$344+F325</f>
        <v>9.8000000000000007</v>
      </c>
      <c r="E326" s="6">
        <v>0</v>
      </c>
      <c r="F326" s="8">
        <f>Pn_1134[[#This Row],[V_av]]-Pn_1134[[#This Row],[V_prel]]</f>
        <v>9.8000000000000007</v>
      </c>
      <c r="G326" s="188">
        <f>((D326-F325)/D326)/(C326-C325)</f>
        <v>0.5</v>
      </c>
      <c r="I326" s="6">
        <v>2</v>
      </c>
      <c r="J326" s="8">
        <f>$J$344/$I$344+L325</f>
        <v>5.9</v>
      </c>
      <c r="K326" s="6">
        <v>0</v>
      </c>
      <c r="L326" s="8">
        <f t="shared" ref="L326:L353" si="68">J326-K326</f>
        <v>5.9</v>
      </c>
      <c r="M326" s="188">
        <f>((J326-L325)/J326)/(I326-I325)</f>
        <v>0.5</v>
      </c>
      <c r="O326" s="6">
        <v>2</v>
      </c>
      <c r="P326" s="8">
        <f>$P$344/$O$344+R325</f>
        <v>2.8</v>
      </c>
      <c r="Q326" s="6">
        <v>0</v>
      </c>
      <c r="R326" s="8">
        <f t="shared" ref="R326:R353" si="69">P326-Q326</f>
        <v>2.8</v>
      </c>
      <c r="S326" s="188">
        <f>((P326-R325)/P326)/(O326-O325)</f>
        <v>0.5</v>
      </c>
      <c r="U326" s="6">
        <v>2</v>
      </c>
      <c r="V326" s="14">
        <f>$V$344/$U$344+X325</f>
        <v>0.4</v>
      </c>
      <c r="W326" s="6">
        <v>0</v>
      </c>
      <c r="X326" s="8">
        <f>V326-W326</f>
        <v>0.4</v>
      </c>
      <c r="Y326" s="188">
        <f>((V326-X325)/V326)/(U326-U325)</f>
        <v>0.5</v>
      </c>
    </row>
    <row r="327" spans="1:31" x14ac:dyDescent="0.2">
      <c r="A327" s="206"/>
      <c r="C327" s="6">
        <v>3</v>
      </c>
      <c r="D327" s="8">
        <f t="shared" ref="D327:D343" si="70">$D$344/$C$344+F326</f>
        <v>14.700000000000001</v>
      </c>
      <c r="E327" s="6">
        <v>0</v>
      </c>
      <c r="F327" s="8">
        <f>Pn_1134[[#This Row],[V_av]]-Pn_1134[[#This Row],[V_prel]]</f>
        <v>14.700000000000001</v>
      </c>
      <c r="G327" s="188">
        <f t="shared" ref="G327:G362" si="71">((D327-F326)/D327)/(C327-C326)</f>
        <v>0.33333333333333331</v>
      </c>
      <c r="I327" s="6">
        <v>3</v>
      </c>
      <c r="J327" s="8">
        <f t="shared" ref="J327:J343" si="72">$J$344/$I$344+L326</f>
        <v>8.8500000000000014</v>
      </c>
      <c r="K327" s="6">
        <v>0</v>
      </c>
      <c r="L327" s="8">
        <f t="shared" si="68"/>
        <v>8.8500000000000014</v>
      </c>
      <c r="M327" s="188">
        <f t="shared" ref="M327:M354" si="73">((J327-L326)/J327)/(I327-I326)</f>
        <v>0.33333333333333343</v>
      </c>
      <c r="O327" s="6">
        <v>3</v>
      </c>
      <c r="P327" s="8">
        <f t="shared" ref="P327:P343" si="74">$P$344/$O$344+R326</f>
        <v>4.1999999999999993</v>
      </c>
      <c r="Q327" s="6">
        <v>0</v>
      </c>
      <c r="R327" s="8">
        <f t="shared" si="69"/>
        <v>4.1999999999999993</v>
      </c>
      <c r="S327" s="188">
        <f t="shared" ref="S327:S354" si="75">((P327-R326)/P327)/(O327-O326)</f>
        <v>0.33333333333333326</v>
      </c>
      <c r="U327" s="6">
        <v>3</v>
      </c>
      <c r="V327" s="14">
        <f t="shared" ref="V327:V343" si="76">$V$344/$U$344+X326</f>
        <v>0.60000000000000009</v>
      </c>
      <c r="W327" s="6">
        <v>0</v>
      </c>
      <c r="X327" s="8">
        <f t="shared" ref="X327:X353" si="77">V327-W327</f>
        <v>0.60000000000000009</v>
      </c>
      <c r="Y327" s="188">
        <f t="shared" ref="Y327:Y354" si="78">((V327-X326)/V327)/(U327-U326)</f>
        <v>0.33333333333333337</v>
      </c>
    </row>
    <row r="328" spans="1:31" x14ac:dyDescent="0.2">
      <c r="A328" s="206"/>
      <c r="C328" s="6">
        <v>4</v>
      </c>
      <c r="D328" s="8">
        <f t="shared" si="70"/>
        <v>19.600000000000001</v>
      </c>
      <c r="E328" s="6">
        <v>0</v>
      </c>
      <c r="F328" s="8">
        <f>Pn_1134[[#This Row],[V_av]]-Pn_1134[[#This Row],[V_prel]]</f>
        <v>19.600000000000001</v>
      </c>
      <c r="G328" s="188">
        <f t="shared" si="71"/>
        <v>0.25</v>
      </c>
      <c r="I328" s="6">
        <v>4</v>
      </c>
      <c r="J328" s="8">
        <f t="shared" si="72"/>
        <v>11.8</v>
      </c>
      <c r="K328" s="6">
        <v>0</v>
      </c>
      <c r="L328" s="8">
        <f t="shared" si="68"/>
        <v>11.8</v>
      </c>
      <c r="M328" s="188">
        <f t="shared" si="73"/>
        <v>0.24999999999999992</v>
      </c>
      <c r="O328" s="6">
        <v>4</v>
      </c>
      <c r="P328" s="8">
        <f t="shared" si="74"/>
        <v>5.6</v>
      </c>
      <c r="Q328" s="6">
        <v>0</v>
      </c>
      <c r="R328" s="8">
        <f t="shared" si="69"/>
        <v>5.6</v>
      </c>
      <c r="S328" s="188">
        <f t="shared" si="75"/>
        <v>0.25000000000000006</v>
      </c>
      <c r="U328" s="6">
        <v>4</v>
      </c>
      <c r="V328" s="14">
        <f t="shared" si="76"/>
        <v>0.8</v>
      </c>
      <c r="W328" s="6">
        <v>0</v>
      </c>
      <c r="X328" s="8">
        <f t="shared" si="77"/>
        <v>0.8</v>
      </c>
      <c r="Y328" s="188">
        <f t="shared" si="78"/>
        <v>0.24999999999999994</v>
      </c>
    </row>
    <row r="329" spans="1:31" x14ac:dyDescent="0.2">
      <c r="A329" s="206"/>
      <c r="C329" s="6">
        <v>5</v>
      </c>
      <c r="D329" s="8">
        <f t="shared" si="70"/>
        <v>24.5</v>
      </c>
      <c r="E329" s="6">
        <v>0</v>
      </c>
      <c r="F329" s="8">
        <f>Pn_1134[[#This Row],[V_av]]-Pn_1134[[#This Row],[V_prel]]</f>
        <v>24.5</v>
      </c>
      <c r="G329" s="188">
        <f t="shared" si="71"/>
        <v>0.19999999999999996</v>
      </c>
      <c r="I329" s="6">
        <v>5</v>
      </c>
      <c r="J329" s="8">
        <f t="shared" si="72"/>
        <v>14.75</v>
      </c>
      <c r="K329" s="6">
        <v>0</v>
      </c>
      <c r="L329" s="8">
        <f t="shared" si="68"/>
        <v>14.75</v>
      </c>
      <c r="M329" s="188">
        <f t="shared" si="73"/>
        <v>0.19999999999999996</v>
      </c>
      <c r="O329" s="6">
        <v>5</v>
      </c>
      <c r="P329" s="8">
        <f t="shared" si="74"/>
        <v>7</v>
      </c>
      <c r="Q329" s="6">
        <v>0</v>
      </c>
      <c r="R329" s="8">
        <f t="shared" si="69"/>
        <v>7</v>
      </c>
      <c r="S329" s="188">
        <f t="shared" si="75"/>
        <v>0.20000000000000004</v>
      </c>
      <c r="U329" s="6">
        <v>5</v>
      </c>
      <c r="V329" s="14">
        <f t="shared" si="76"/>
        <v>1</v>
      </c>
      <c r="W329" s="6">
        <v>0</v>
      </c>
      <c r="X329" s="8">
        <f t="shared" si="77"/>
        <v>1</v>
      </c>
      <c r="Y329" s="188">
        <f t="shared" si="78"/>
        <v>0.19999999999999996</v>
      </c>
    </row>
    <row r="330" spans="1:31" x14ac:dyDescent="0.2">
      <c r="A330" s="206"/>
      <c r="C330" s="6">
        <v>6</v>
      </c>
      <c r="D330" s="8">
        <f t="shared" si="70"/>
        <v>29.4</v>
      </c>
      <c r="E330" s="6">
        <v>0</v>
      </c>
      <c r="F330" s="8">
        <f>Pn_1134[[#This Row],[V_av]]-Pn_1134[[#This Row],[V_prel]]</f>
        <v>29.4</v>
      </c>
      <c r="G330" s="188">
        <f t="shared" si="71"/>
        <v>0.16666666666666663</v>
      </c>
      <c r="I330" s="6">
        <v>6</v>
      </c>
      <c r="J330" s="8">
        <f t="shared" si="72"/>
        <v>17.7</v>
      </c>
      <c r="K330" s="6">
        <v>0</v>
      </c>
      <c r="L330" s="8">
        <f t="shared" si="68"/>
        <v>17.7</v>
      </c>
      <c r="M330" s="188">
        <f t="shared" si="73"/>
        <v>0.16666666666666663</v>
      </c>
      <c r="O330" s="6">
        <v>6</v>
      </c>
      <c r="P330" s="8">
        <f t="shared" si="74"/>
        <v>8.4</v>
      </c>
      <c r="Q330" s="6">
        <v>0</v>
      </c>
      <c r="R330" s="8">
        <f t="shared" si="69"/>
        <v>8.4</v>
      </c>
      <c r="S330" s="188">
        <f t="shared" si="75"/>
        <v>0.16666666666666671</v>
      </c>
      <c r="U330" s="6">
        <v>6</v>
      </c>
      <c r="V330" s="14">
        <f t="shared" si="76"/>
        <v>1.2</v>
      </c>
      <c r="W330" s="6">
        <v>0</v>
      </c>
      <c r="X330" s="8">
        <f t="shared" si="77"/>
        <v>1.2</v>
      </c>
      <c r="Y330" s="188">
        <f t="shared" si="78"/>
        <v>0.16666666666666663</v>
      </c>
    </row>
    <row r="331" spans="1:31" x14ac:dyDescent="0.2">
      <c r="A331" s="495" t="s">
        <v>705</v>
      </c>
      <c r="C331" s="6">
        <v>7</v>
      </c>
      <c r="D331" s="8">
        <f t="shared" si="70"/>
        <v>34.299999999999997</v>
      </c>
      <c r="E331" s="6">
        <v>0</v>
      </c>
      <c r="F331" s="8">
        <f>Pn_1134[[#This Row],[V_av]]-Pn_1134[[#This Row],[V_prel]]</f>
        <v>34.299999999999997</v>
      </c>
      <c r="G331" s="188">
        <f t="shared" si="71"/>
        <v>0.14285714285714282</v>
      </c>
      <c r="I331" s="6">
        <v>7</v>
      </c>
      <c r="J331" s="8">
        <f t="shared" si="72"/>
        <v>20.65</v>
      </c>
      <c r="K331" s="6">
        <v>0</v>
      </c>
      <c r="L331" s="8">
        <f t="shared" si="68"/>
        <v>20.65</v>
      </c>
      <c r="M331" s="188">
        <f t="shared" si="73"/>
        <v>0.14285714285714282</v>
      </c>
      <c r="O331" s="6">
        <v>7</v>
      </c>
      <c r="P331" s="8">
        <f t="shared" si="74"/>
        <v>9.8000000000000007</v>
      </c>
      <c r="Q331" s="6">
        <v>0</v>
      </c>
      <c r="R331" s="8">
        <f t="shared" si="69"/>
        <v>9.8000000000000007</v>
      </c>
      <c r="S331" s="188">
        <f t="shared" si="75"/>
        <v>0.14285714285714288</v>
      </c>
      <c r="U331" s="6">
        <v>7</v>
      </c>
      <c r="V331" s="14">
        <f t="shared" si="76"/>
        <v>1.4</v>
      </c>
      <c r="W331" s="6">
        <v>0</v>
      </c>
      <c r="X331" s="8">
        <f t="shared" si="77"/>
        <v>1.4</v>
      </c>
      <c r="Y331" s="188">
        <f t="shared" si="78"/>
        <v>0.14285714285714282</v>
      </c>
    </row>
    <row r="332" spans="1:31" x14ac:dyDescent="0.2">
      <c r="A332" s="495"/>
      <c r="C332" s="6">
        <v>8</v>
      </c>
      <c r="D332" s="8">
        <f t="shared" si="70"/>
        <v>39.199999999999996</v>
      </c>
      <c r="E332" s="6">
        <v>0</v>
      </c>
      <c r="F332" s="8">
        <f>Pn_1134[[#This Row],[V_av]]-Pn_1134[[#This Row],[V_prel]]</f>
        <v>39.199999999999996</v>
      </c>
      <c r="G332" s="188">
        <f t="shared" si="71"/>
        <v>0.12499999999999997</v>
      </c>
      <c r="I332" s="6">
        <v>8</v>
      </c>
      <c r="J332" s="8">
        <f t="shared" si="72"/>
        <v>23.599999999999998</v>
      </c>
      <c r="K332" s="6">
        <v>0</v>
      </c>
      <c r="L332" s="8">
        <f t="shared" si="68"/>
        <v>23.599999999999998</v>
      </c>
      <c r="M332" s="188">
        <f t="shared" si="73"/>
        <v>0.12499999999999999</v>
      </c>
      <c r="O332" s="6">
        <v>8</v>
      </c>
      <c r="P332" s="8">
        <f t="shared" si="74"/>
        <v>11.200000000000001</v>
      </c>
      <c r="Q332" s="6">
        <v>0</v>
      </c>
      <c r="R332" s="8">
        <f t="shared" si="69"/>
        <v>11.200000000000001</v>
      </c>
      <c r="S332" s="188">
        <f t="shared" si="75"/>
        <v>0.12500000000000003</v>
      </c>
      <c r="U332" s="6">
        <v>8</v>
      </c>
      <c r="V332" s="14">
        <f t="shared" si="76"/>
        <v>1.5999999999999999</v>
      </c>
      <c r="W332" s="6">
        <v>0</v>
      </c>
      <c r="X332" s="8">
        <f t="shared" si="77"/>
        <v>1.5999999999999999</v>
      </c>
      <c r="Y332" s="188">
        <f t="shared" si="78"/>
        <v>0.12499999999999999</v>
      </c>
    </row>
    <row r="333" spans="1:31" x14ac:dyDescent="0.2">
      <c r="A333" s="495"/>
      <c r="C333" s="6">
        <v>9</v>
      </c>
      <c r="D333" s="8">
        <f t="shared" si="70"/>
        <v>44.099999999999994</v>
      </c>
      <c r="E333" s="6">
        <v>0</v>
      </c>
      <c r="F333" s="8">
        <f>Pn_1134[[#This Row],[V_av]]-Pn_1134[[#This Row],[V_prel]]</f>
        <v>44.099999999999994</v>
      </c>
      <c r="G333" s="188">
        <f t="shared" si="71"/>
        <v>0.11111111111111109</v>
      </c>
      <c r="I333" s="6">
        <v>9</v>
      </c>
      <c r="J333" s="8">
        <f t="shared" si="72"/>
        <v>26.549999999999997</v>
      </c>
      <c r="K333" s="6">
        <v>0</v>
      </c>
      <c r="L333" s="8">
        <f t="shared" si="68"/>
        <v>26.549999999999997</v>
      </c>
      <c r="M333" s="188">
        <f t="shared" si="73"/>
        <v>0.11111111111111109</v>
      </c>
      <c r="O333" s="6">
        <v>9</v>
      </c>
      <c r="P333" s="8">
        <f t="shared" si="74"/>
        <v>12.600000000000001</v>
      </c>
      <c r="Q333" s="6">
        <v>0</v>
      </c>
      <c r="R333" s="8">
        <f t="shared" si="69"/>
        <v>12.600000000000001</v>
      </c>
      <c r="S333" s="188">
        <f t="shared" si="75"/>
        <v>0.11111111111111113</v>
      </c>
      <c r="U333" s="6">
        <v>9</v>
      </c>
      <c r="V333" s="14">
        <f t="shared" si="76"/>
        <v>1.7999999999999998</v>
      </c>
      <c r="W333" s="6">
        <v>0</v>
      </c>
      <c r="X333" s="8">
        <f t="shared" si="77"/>
        <v>1.7999999999999998</v>
      </c>
      <c r="Y333" s="188">
        <f t="shared" si="78"/>
        <v>0.11111111111111109</v>
      </c>
    </row>
    <row r="334" spans="1:31" x14ac:dyDescent="0.2">
      <c r="A334" s="495"/>
      <c r="C334" s="6">
        <v>10</v>
      </c>
      <c r="D334" s="8">
        <f t="shared" si="70"/>
        <v>48.999999999999993</v>
      </c>
      <c r="E334" s="6">
        <v>0</v>
      </c>
      <c r="F334" s="8">
        <f>Pn_1134[[#This Row],[V_av]]-Pn_1134[[#This Row],[V_prel]]</f>
        <v>48.999999999999993</v>
      </c>
      <c r="G334" s="188">
        <f t="shared" si="71"/>
        <v>9.9999999999999992E-2</v>
      </c>
      <c r="I334" s="6">
        <v>10</v>
      </c>
      <c r="J334" s="8">
        <f t="shared" si="72"/>
        <v>29.499999999999996</v>
      </c>
      <c r="K334" s="6">
        <v>0</v>
      </c>
      <c r="L334" s="8">
        <f t="shared" si="68"/>
        <v>29.499999999999996</v>
      </c>
      <c r="M334" s="188">
        <f t="shared" si="73"/>
        <v>9.9999999999999992E-2</v>
      </c>
      <c r="O334" s="6">
        <v>10</v>
      </c>
      <c r="P334" s="8">
        <f t="shared" si="74"/>
        <v>14.000000000000002</v>
      </c>
      <c r="Q334" s="6">
        <v>0</v>
      </c>
      <c r="R334" s="8">
        <f t="shared" si="69"/>
        <v>14.000000000000002</v>
      </c>
      <c r="S334" s="188">
        <f t="shared" si="75"/>
        <v>0.10000000000000002</v>
      </c>
      <c r="U334" s="6">
        <v>10</v>
      </c>
      <c r="V334" s="14">
        <f t="shared" si="76"/>
        <v>1.9999999999999998</v>
      </c>
      <c r="W334" s="6">
        <v>0</v>
      </c>
      <c r="X334" s="8">
        <f t="shared" si="77"/>
        <v>1.9999999999999998</v>
      </c>
      <c r="Y334" s="188">
        <f t="shared" si="78"/>
        <v>9.9999999999999992E-2</v>
      </c>
    </row>
    <row r="335" spans="1:31" x14ac:dyDescent="0.2">
      <c r="A335" s="495"/>
      <c r="C335" s="6">
        <v>11</v>
      </c>
      <c r="D335" s="8">
        <f t="shared" si="70"/>
        <v>53.899999999999991</v>
      </c>
      <c r="E335" s="6">
        <v>0</v>
      </c>
      <c r="F335" s="8">
        <f>Pn_1134[[#This Row],[V_av]]-Pn_1134[[#This Row],[V_prel]]</f>
        <v>53.899999999999991</v>
      </c>
      <c r="G335" s="188">
        <f t="shared" si="71"/>
        <v>9.0909090909090898E-2</v>
      </c>
      <c r="I335" s="6">
        <v>11</v>
      </c>
      <c r="J335" s="8">
        <f t="shared" si="72"/>
        <v>32.449999999999996</v>
      </c>
      <c r="K335" s="6">
        <v>0</v>
      </c>
      <c r="L335" s="8">
        <f t="shared" si="68"/>
        <v>32.449999999999996</v>
      </c>
      <c r="M335" s="188">
        <f t="shared" si="73"/>
        <v>9.0909090909090898E-2</v>
      </c>
      <c r="O335" s="6">
        <v>11</v>
      </c>
      <c r="P335" s="8">
        <f t="shared" si="74"/>
        <v>15.400000000000002</v>
      </c>
      <c r="Q335" s="6">
        <v>0</v>
      </c>
      <c r="R335" s="8">
        <f t="shared" si="69"/>
        <v>15.400000000000002</v>
      </c>
      <c r="S335" s="188">
        <f t="shared" si="75"/>
        <v>9.0909090909090925E-2</v>
      </c>
      <c r="U335" s="6">
        <v>11</v>
      </c>
      <c r="V335" s="14">
        <f t="shared" si="76"/>
        <v>2.1999999999999997</v>
      </c>
      <c r="W335" s="6">
        <v>0</v>
      </c>
      <c r="X335" s="8">
        <f t="shared" si="77"/>
        <v>2.1999999999999997</v>
      </c>
      <c r="Y335" s="188">
        <f t="shared" si="78"/>
        <v>9.0909090909090898E-2</v>
      </c>
    </row>
    <row r="336" spans="1:31" x14ac:dyDescent="0.2">
      <c r="A336" s="495"/>
      <c r="C336" s="6">
        <v>12</v>
      </c>
      <c r="D336" s="8">
        <f t="shared" si="70"/>
        <v>58.79999999999999</v>
      </c>
      <c r="E336" s="6">
        <v>0</v>
      </c>
      <c r="F336" s="8">
        <f>Pn_1134[[#This Row],[V_av]]-Pn_1134[[#This Row],[V_prel]]</f>
        <v>58.79999999999999</v>
      </c>
      <c r="G336" s="188">
        <f t="shared" si="71"/>
        <v>8.3333333333333329E-2</v>
      </c>
      <c r="I336" s="6">
        <v>12</v>
      </c>
      <c r="J336" s="8">
        <f t="shared" si="72"/>
        <v>35.4</v>
      </c>
      <c r="K336" s="6">
        <v>0</v>
      </c>
      <c r="L336" s="8">
        <f t="shared" si="68"/>
        <v>35.4</v>
      </c>
      <c r="M336" s="188">
        <f t="shared" si="73"/>
        <v>8.3333333333333412E-2</v>
      </c>
      <c r="O336" s="6">
        <v>12</v>
      </c>
      <c r="P336" s="8">
        <f t="shared" si="74"/>
        <v>16.8</v>
      </c>
      <c r="Q336" s="6">
        <v>0</v>
      </c>
      <c r="R336" s="8">
        <f t="shared" si="69"/>
        <v>16.8</v>
      </c>
      <c r="S336" s="188">
        <f t="shared" si="75"/>
        <v>8.3333333333333245E-2</v>
      </c>
      <c r="U336" s="6">
        <v>12</v>
      </c>
      <c r="V336" s="14">
        <f t="shared" si="76"/>
        <v>2.4</v>
      </c>
      <c r="W336" s="6">
        <v>0</v>
      </c>
      <c r="X336" s="8">
        <f t="shared" si="77"/>
        <v>2.4</v>
      </c>
      <c r="Y336" s="188">
        <f t="shared" si="78"/>
        <v>8.3333333333333412E-2</v>
      </c>
    </row>
    <row r="337" spans="1:25" x14ac:dyDescent="0.2">
      <c r="A337" s="495"/>
      <c r="C337" s="6">
        <v>13</v>
      </c>
      <c r="D337" s="8">
        <f t="shared" si="70"/>
        <v>63.699999999999989</v>
      </c>
      <c r="E337" s="6">
        <v>0</v>
      </c>
      <c r="F337" s="8">
        <f>Pn_1134[[#This Row],[V_av]]-Pn_1134[[#This Row],[V_prel]]</f>
        <v>63.699999999999989</v>
      </c>
      <c r="G337" s="188">
        <f t="shared" si="71"/>
        <v>7.6923076923076913E-2</v>
      </c>
      <c r="I337" s="6">
        <v>13</v>
      </c>
      <c r="J337" s="8">
        <f t="shared" si="72"/>
        <v>38.35</v>
      </c>
      <c r="K337" s="6">
        <v>0</v>
      </c>
      <c r="L337" s="8">
        <f t="shared" si="68"/>
        <v>38.35</v>
      </c>
      <c r="M337" s="188">
        <f t="shared" si="73"/>
        <v>7.6923076923076997E-2</v>
      </c>
      <c r="O337" s="6">
        <v>13</v>
      </c>
      <c r="P337" s="8">
        <f t="shared" si="74"/>
        <v>18.2</v>
      </c>
      <c r="Q337" s="6">
        <v>0</v>
      </c>
      <c r="R337" s="8">
        <f t="shared" si="69"/>
        <v>18.2</v>
      </c>
      <c r="S337" s="188">
        <f t="shared" si="75"/>
        <v>7.6923076923076844E-2</v>
      </c>
      <c r="U337" s="6">
        <v>13</v>
      </c>
      <c r="V337" s="14">
        <f t="shared" si="76"/>
        <v>2.6</v>
      </c>
      <c r="W337" s="6">
        <v>0</v>
      </c>
      <c r="X337" s="8">
        <f t="shared" si="77"/>
        <v>2.6</v>
      </c>
      <c r="Y337" s="188">
        <f t="shared" si="78"/>
        <v>7.6923076923076983E-2</v>
      </c>
    </row>
    <row r="338" spans="1:25" x14ac:dyDescent="0.2">
      <c r="A338" s="495"/>
      <c r="C338" s="6">
        <v>14</v>
      </c>
      <c r="D338" s="8">
        <f t="shared" si="70"/>
        <v>68.599999999999994</v>
      </c>
      <c r="E338" s="6">
        <v>0</v>
      </c>
      <c r="F338" s="8">
        <f>Pn_1134[[#This Row],[V_av]]-Pn_1134[[#This Row],[V_prel]]</f>
        <v>68.599999999999994</v>
      </c>
      <c r="G338" s="188">
        <f t="shared" si="71"/>
        <v>7.1428571428571522E-2</v>
      </c>
      <c r="I338" s="6">
        <v>14</v>
      </c>
      <c r="J338" s="8">
        <f t="shared" si="72"/>
        <v>41.300000000000004</v>
      </c>
      <c r="K338" s="6">
        <v>0</v>
      </c>
      <c r="L338" s="8">
        <f t="shared" si="68"/>
        <v>41.300000000000004</v>
      </c>
      <c r="M338" s="188">
        <f t="shared" si="73"/>
        <v>7.1428571428571494E-2</v>
      </c>
      <c r="O338" s="6">
        <v>14</v>
      </c>
      <c r="P338" s="8">
        <f t="shared" si="74"/>
        <v>19.599999999999998</v>
      </c>
      <c r="Q338" s="6">
        <v>0</v>
      </c>
      <c r="R338" s="8">
        <f t="shared" si="69"/>
        <v>19.599999999999998</v>
      </c>
      <c r="S338" s="188">
        <f t="shared" si="75"/>
        <v>7.1428571428571369E-2</v>
      </c>
      <c r="U338" s="6">
        <v>14</v>
      </c>
      <c r="V338" s="14">
        <f t="shared" si="76"/>
        <v>2.8000000000000003</v>
      </c>
      <c r="W338" s="6">
        <v>0</v>
      </c>
      <c r="X338" s="8">
        <f t="shared" si="77"/>
        <v>2.8000000000000003</v>
      </c>
      <c r="Y338" s="188">
        <f t="shared" si="78"/>
        <v>7.142857142857148E-2</v>
      </c>
    </row>
    <row r="339" spans="1:25" x14ac:dyDescent="0.2">
      <c r="A339" s="495"/>
      <c r="C339" s="6">
        <v>15</v>
      </c>
      <c r="D339" s="8">
        <f t="shared" si="70"/>
        <v>73.5</v>
      </c>
      <c r="E339" s="6">
        <v>0</v>
      </c>
      <c r="F339" s="8">
        <f>Pn_1134[[#This Row],[V_av]]-Pn_1134[[#This Row],[V_prel]]</f>
        <v>73.5</v>
      </c>
      <c r="G339" s="188">
        <f t="shared" si="71"/>
        <v>6.6666666666666749E-2</v>
      </c>
      <c r="I339" s="6">
        <v>15</v>
      </c>
      <c r="J339" s="8">
        <f t="shared" si="72"/>
        <v>44.250000000000007</v>
      </c>
      <c r="K339" s="6">
        <v>0</v>
      </c>
      <c r="L339" s="8">
        <f t="shared" si="68"/>
        <v>44.250000000000007</v>
      </c>
      <c r="M339" s="188">
        <f t="shared" si="73"/>
        <v>6.6666666666666721E-2</v>
      </c>
      <c r="O339" s="6">
        <v>15</v>
      </c>
      <c r="P339" s="8">
        <f t="shared" si="74"/>
        <v>20.999999999999996</v>
      </c>
      <c r="Q339" s="6">
        <v>0</v>
      </c>
      <c r="R339" s="8">
        <f t="shared" si="69"/>
        <v>20.999999999999996</v>
      </c>
      <c r="S339" s="188">
        <f t="shared" si="75"/>
        <v>6.666666666666661E-2</v>
      </c>
      <c r="U339" s="6">
        <v>15</v>
      </c>
      <c r="V339" s="14">
        <f t="shared" si="76"/>
        <v>3.0000000000000004</v>
      </c>
      <c r="W339" s="6">
        <v>0</v>
      </c>
      <c r="X339" s="8">
        <f t="shared" si="77"/>
        <v>3.0000000000000004</v>
      </c>
      <c r="Y339" s="188">
        <f t="shared" si="78"/>
        <v>6.6666666666666721E-2</v>
      </c>
    </row>
    <row r="340" spans="1:25" x14ac:dyDescent="0.2">
      <c r="A340" s="495"/>
      <c r="C340" s="6">
        <v>16</v>
      </c>
      <c r="D340" s="8">
        <f t="shared" si="70"/>
        <v>78.400000000000006</v>
      </c>
      <c r="E340" s="6">
        <v>0</v>
      </c>
      <c r="F340" s="8">
        <f>Pn_1134[[#This Row],[V_av]]-Pn_1134[[#This Row],[V_prel]]</f>
        <v>78.400000000000006</v>
      </c>
      <c r="G340" s="188">
        <f t="shared" si="71"/>
        <v>6.2500000000000069E-2</v>
      </c>
      <c r="I340" s="6">
        <v>16</v>
      </c>
      <c r="J340" s="8">
        <f t="shared" si="72"/>
        <v>47.20000000000001</v>
      </c>
      <c r="K340" s="6">
        <v>0</v>
      </c>
      <c r="L340" s="8">
        <f t="shared" si="68"/>
        <v>47.20000000000001</v>
      </c>
      <c r="M340" s="188">
        <f t="shared" si="73"/>
        <v>6.2500000000000042E-2</v>
      </c>
      <c r="O340" s="6">
        <v>16</v>
      </c>
      <c r="P340" s="8">
        <f t="shared" si="74"/>
        <v>22.399999999999995</v>
      </c>
      <c r="Q340" s="6">
        <v>0</v>
      </c>
      <c r="R340" s="8">
        <f t="shared" si="69"/>
        <v>22.399999999999995</v>
      </c>
      <c r="S340" s="188">
        <f t="shared" si="75"/>
        <v>6.2499999999999951E-2</v>
      </c>
      <c r="U340" s="6">
        <v>16</v>
      </c>
      <c r="V340" s="14">
        <f t="shared" si="76"/>
        <v>3.2000000000000006</v>
      </c>
      <c r="W340" s="6">
        <v>0</v>
      </c>
      <c r="X340" s="8">
        <f t="shared" si="77"/>
        <v>3.2000000000000006</v>
      </c>
      <c r="Y340" s="188">
        <f t="shared" si="78"/>
        <v>6.2500000000000042E-2</v>
      </c>
    </row>
    <row r="341" spans="1:25" x14ac:dyDescent="0.2">
      <c r="A341" s="495"/>
      <c r="C341" s="6">
        <v>17</v>
      </c>
      <c r="D341" s="8">
        <f t="shared" si="70"/>
        <v>83.300000000000011</v>
      </c>
      <c r="E341" s="6">
        <v>0</v>
      </c>
      <c r="F341" s="8">
        <f>Pn_1134[[#This Row],[V_av]]-Pn_1134[[#This Row],[V_prel]]</f>
        <v>83.300000000000011</v>
      </c>
      <c r="G341" s="188">
        <f t="shared" si="71"/>
        <v>5.8823529411764768E-2</v>
      </c>
      <c r="I341" s="6">
        <v>17</v>
      </c>
      <c r="J341" s="8">
        <f t="shared" si="72"/>
        <v>50.150000000000013</v>
      </c>
      <c r="K341" s="6">
        <v>0</v>
      </c>
      <c r="L341" s="8">
        <f t="shared" si="68"/>
        <v>50.150000000000013</v>
      </c>
      <c r="M341" s="188">
        <f t="shared" si="73"/>
        <v>5.8823529411764747E-2</v>
      </c>
      <c r="O341" s="6">
        <v>17</v>
      </c>
      <c r="P341" s="8">
        <f t="shared" si="74"/>
        <v>23.799999999999994</v>
      </c>
      <c r="Q341" s="6">
        <v>0</v>
      </c>
      <c r="R341" s="8">
        <f t="shared" si="69"/>
        <v>23.799999999999994</v>
      </c>
      <c r="S341" s="188">
        <f t="shared" si="75"/>
        <v>5.8823529411764663E-2</v>
      </c>
      <c r="U341" s="6">
        <v>17</v>
      </c>
      <c r="V341" s="14">
        <f t="shared" si="76"/>
        <v>3.4000000000000008</v>
      </c>
      <c r="W341" s="6">
        <v>0</v>
      </c>
      <c r="X341" s="8">
        <f t="shared" si="77"/>
        <v>3.4000000000000008</v>
      </c>
      <c r="Y341" s="188">
        <f t="shared" si="78"/>
        <v>5.8823529411764747E-2</v>
      </c>
    </row>
    <row r="342" spans="1:25" x14ac:dyDescent="0.2">
      <c r="A342" s="495"/>
      <c r="C342" s="6">
        <v>18</v>
      </c>
      <c r="D342" s="8">
        <f t="shared" si="70"/>
        <v>88.200000000000017</v>
      </c>
      <c r="E342" s="6">
        <v>0</v>
      </c>
      <c r="F342" s="8">
        <f>Pn_1134[[#This Row],[V_av]]-Pn_1134[[#This Row],[V_prel]]</f>
        <v>88.200000000000017</v>
      </c>
      <c r="G342" s="188">
        <f t="shared" si="71"/>
        <v>5.5555555555555608E-2</v>
      </c>
      <c r="I342" s="6">
        <v>18</v>
      </c>
      <c r="J342" s="8">
        <f t="shared" si="72"/>
        <v>53.100000000000016</v>
      </c>
      <c r="K342" s="6">
        <v>0</v>
      </c>
      <c r="L342" s="8">
        <f t="shared" si="68"/>
        <v>53.100000000000016</v>
      </c>
      <c r="M342" s="188">
        <f t="shared" si="73"/>
        <v>5.5555555555555594E-2</v>
      </c>
      <c r="O342" s="6">
        <v>18</v>
      </c>
      <c r="P342" s="8">
        <f t="shared" si="74"/>
        <v>25.199999999999992</v>
      </c>
      <c r="Q342" s="6">
        <v>0</v>
      </c>
      <c r="R342" s="8">
        <f t="shared" si="69"/>
        <v>25.199999999999992</v>
      </c>
      <c r="S342" s="188">
        <f t="shared" si="75"/>
        <v>5.5555555555555518E-2</v>
      </c>
      <c r="U342" s="6">
        <v>18</v>
      </c>
      <c r="V342" s="14">
        <f t="shared" si="76"/>
        <v>3.600000000000001</v>
      </c>
      <c r="W342" s="6">
        <v>0</v>
      </c>
      <c r="X342" s="8">
        <f t="shared" si="77"/>
        <v>3.600000000000001</v>
      </c>
      <c r="Y342" s="188">
        <f t="shared" si="78"/>
        <v>5.5555555555555587E-2</v>
      </c>
    </row>
    <row r="343" spans="1:25" x14ac:dyDescent="0.2">
      <c r="A343" s="495"/>
      <c r="C343" s="6">
        <v>19</v>
      </c>
      <c r="D343" s="8">
        <f t="shared" si="70"/>
        <v>93.100000000000023</v>
      </c>
      <c r="E343" s="6">
        <v>0</v>
      </c>
      <c r="F343" s="8">
        <f>Pn_1134[[#This Row],[V_av]]-Pn_1134[[#This Row],[V_prel]]</f>
        <v>93.100000000000023</v>
      </c>
      <c r="G343" s="188">
        <f t="shared" si="71"/>
        <v>5.2631578947368467E-2</v>
      </c>
      <c r="I343" s="6">
        <v>19</v>
      </c>
      <c r="J343" s="8">
        <f t="shared" si="72"/>
        <v>56.050000000000018</v>
      </c>
      <c r="K343" s="6">
        <v>0</v>
      </c>
      <c r="L343" s="8">
        <f t="shared" si="68"/>
        <v>56.050000000000018</v>
      </c>
      <c r="M343" s="188">
        <f t="shared" si="73"/>
        <v>5.2631578947368453E-2</v>
      </c>
      <c r="O343" s="6">
        <v>19</v>
      </c>
      <c r="P343" s="8">
        <f t="shared" si="74"/>
        <v>26.599999999999991</v>
      </c>
      <c r="Q343" s="6">
        <v>0</v>
      </c>
      <c r="R343" s="8">
        <f t="shared" si="69"/>
        <v>26.599999999999991</v>
      </c>
      <c r="S343" s="188">
        <f t="shared" si="75"/>
        <v>5.2631578947368383E-2</v>
      </c>
      <c r="U343" s="6">
        <v>19</v>
      </c>
      <c r="V343" s="14">
        <f t="shared" si="76"/>
        <v>3.8000000000000012</v>
      </c>
      <c r="W343" s="6">
        <v>0</v>
      </c>
      <c r="X343" s="8">
        <f t="shared" si="77"/>
        <v>3.8000000000000012</v>
      </c>
      <c r="Y343" s="188">
        <f t="shared" si="78"/>
        <v>5.2631578947368453E-2</v>
      </c>
    </row>
    <row r="344" spans="1:25" x14ac:dyDescent="0.2">
      <c r="A344" s="495"/>
      <c r="C344" s="7">
        <v>20</v>
      </c>
      <c r="D344" s="7">
        <v>98</v>
      </c>
      <c r="E344" s="7">
        <v>7</v>
      </c>
      <c r="F344" s="7">
        <v>91</v>
      </c>
      <c r="G344" s="188">
        <f t="shared" si="71"/>
        <v>4.9999999999999767E-2</v>
      </c>
      <c r="I344" s="7">
        <v>20</v>
      </c>
      <c r="J344" s="7">
        <v>59</v>
      </c>
      <c r="K344" s="7">
        <v>3</v>
      </c>
      <c r="L344" s="7">
        <v>56</v>
      </c>
      <c r="M344" s="188">
        <f t="shared" si="73"/>
        <v>4.9999999999999684E-2</v>
      </c>
      <c r="N344" s="7"/>
      <c r="O344" s="7">
        <v>20</v>
      </c>
      <c r="P344" s="7">
        <v>28</v>
      </c>
      <c r="Q344" s="7">
        <v>1</v>
      </c>
      <c r="R344" s="7">
        <v>27</v>
      </c>
      <c r="S344" s="188">
        <f t="shared" si="75"/>
        <v>5.0000000000000329E-2</v>
      </c>
      <c r="T344" s="7"/>
      <c r="U344" s="7">
        <v>20</v>
      </c>
      <c r="V344" s="7">
        <v>4</v>
      </c>
      <c r="W344" s="7">
        <v>0</v>
      </c>
      <c r="X344" s="7">
        <v>4</v>
      </c>
      <c r="Y344" s="188">
        <f t="shared" si="78"/>
        <v>4.9999999999999711E-2</v>
      </c>
    </row>
    <row r="345" spans="1:25" x14ac:dyDescent="0.2">
      <c r="A345" s="495"/>
      <c r="C345" s="6">
        <v>21</v>
      </c>
      <c r="D345" s="8">
        <f>($D$354-$F$344)/($C$354-$C$344)+F344</f>
        <v>104.4</v>
      </c>
      <c r="E345" s="6">
        <v>0</v>
      </c>
      <c r="F345" s="8">
        <f>Pn_1134[[#This Row],[V_av]]-Pn_1134[[#This Row],[V_prel]]</f>
        <v>104.4</v>
      </c>
      <c r="G345" s="188">
        <f t="shared" si="71"/>
        <v>0.12835249042145599</v>
      </c>
      <c r="I345" s="6">
        <v>21</v>
      </c>
      <c r="J345" s="6">
        <f>($J$354-$L$344)/($I$354-$I$344)+L344</f>
        <v>66</v>
      </c>
      <c r="K345" s="6">
        <v>0</v>
      </c>
      <c r="L345" s="8">
        <f t="shared" si="68"/>
        <v>66</v>
      </c>
      <c r="M345" s="188">
        <f t="shared" si="73"/>
        <v>0.15151515151515152</v>
      </c>
      <c r="O345" s="6">
        <v>21</v>
      </c>
      <c r="P345" s="8">
        <f>($P$354-$R$344)/($O$354-$O$344)+R344</f>
        <v>33.5</v>
      </c>
      <c r="Q345" s="6">
        <v>0</v>
      </c>
      <c r="R345" s="8">
        <f t="shared" si="69"/>
        <v>33.5</v>
      </c>
      <c r="S345" s="188">
        <f t="shared" si="75"/>
        <v>0.19402985074626866</v>
      </c>
      <c r="U345" s="6">
        <v>21</v>
      </c>
      <c r="V345" s="6">
        <f>($V$354-$X$344)/($U$354-$U$344)+X344</f>
        <v>8</v>
      </c>
      <c r="W345" s="6">
        <v>0</v>
      </c>
      <c r="X345" s="8">
        <f t="shared" si="77"/>
        <v>8</v>
      </c>
      <c r="Y345" s="188">
        <f t="shared" si="78"/>
        <v>0.5</v>
      </c>
    </row>
    <row r="346" spans="1:25" x14ac:dyDescent="0.2">
      <c r="A346" s="495"/>
      <c r="C346" s="6">
        <v>22</v>
      </c>
      <c r="D346" s="8">
        <f>($D$354-$F$344)/($C$354-$C$344)+D345</f>
        <v>117.80000000000001</v>
      </c>
      <c r="E346" s="6">
        <v>0</v>
      </c>
      <c r="F346" s="8">
        <f>Pn_1134[[#This Row],[V_av]]-Pn_1134[[#This Row],[V_prel]]</f>
        <v>117.80000000000001</v>
      </c>
      <c r="G346" s="188">
        <f t="shared" si="71"/>
        <v>0.11375212224108662</v>
      </c>
      <c r="I346" s="6">
        <v>22</v>
      </c>
      <c r="J346" s="6">
        <f>($J$354-$L$344)/($I$354-$I$344)+J345</f>
        <v>76</v>
      </c>
      <c r="K346" s="6">
        <v>0</v>
      </c>
      <c r="L346" s="8">
        <f t="shared" si="68"/>
        <v>76</v>
      </c>
      <c r="M346" s="188">
        <f t="shared" si="73"/>
        <v>0.13157894736842105</v>
      </c>
      <c r="O346" s="6">
        <v>22</v>
      </c>
      <c r="P346" s="8">
        <f t="shared" ref="P346:P353" si="79">($P$354-$R$344)/($O$354-$O$344)+R345</f>
        <v>40</v>
      </c>
      <c r="Q346" s="6">
        <v>0</v>
      </c>
      <c r="R346" s="8">
        <f t="shared" si="69"/>
        <v>40</v>
      </c>
      <c r="S346" s="188">
        <f t="shared" si="75"/>
        <v>0.16250000000000001</v>
      </c>
      <c r="U346" s="6">
        <v>22</v>
      </c>
      <c r="V346" s="6">
        <f>($V$354-$X$344)/($U$354-$U$344)+V345</f>
        <v>12</v>
      </c>
      <c r="W346" s="6">
        <v>0</v>
      </c>
      <c r="X346" s="8">
        <f t="shared" si="77"/>
        <v>12</v>
      </c>
      <c r="Y346" s="188">
        <f t="shared" si="78"/>
        <v>0.33333333333333331</v>
      </c>
    </row>
    <row r="347" spans="1:25" x14ac:dyDescent="0.2">
      <c r="A347" s="495"/>
      <c r="C347" s="6">
        <v>23</v>
      </c>
      <c r="D347" s="8">
        <f t="shared" ref="D347:D353" si="80">($D$354-$F$344)/($C$354-$C$344)+D346</f>
        <v>131.20000000000002</v>
      </c>
      <c r="E347" s="6">
        <v>0</v>
      </c>
      <c r="F347" s="8">
        <f>Pn_1134[[#This Row],[V_av]]-Pn_1134[[#This Row],[V_prel]]</f>
        <v>131.20000000000002</v>
      </c>
      <c r="G347" s="188">
        <f t="shared" si="71"/>
        <v>0.10213414634146345</v>
      </c>
      <c r="I347" s="6">
        <v>23</v>
      </c>
      <c r="J347" s="6">
        <f t="shared" ref="J347:J353" si="81">($J$354-$L$344)/($I$354-$I$344)+J346</f>
        <v>86</v>
      </c>
      <c r="K347" s="6">
        <v>0</v>
      </c>
      <c r="L347" s="8">
        <f t="shared" si="68"/>
        <v>86</v>
      </c>
      <c r="M347" s="188">
        <f t="shared" si="73"/>
        <v>0.11627906976744186</v>
      </c>
      <c r="O347" s="6">
        <v>23</v>
      </c>
      <c r="P347" s="8">
        <f t="shared" si="79"/>
        <v>46.5</v>
      </c>
      <c r="Q347" s="6">
        <v>0</v>
      </c>
      <c r="R347" s="8">
        <f t="shared" si="69"/>
        <v>46.5</v>
      </c>
      <c r="S347" s="188">
        <f t="shared" si="75"/>
        <v>0.13978494623655913</v>
      </c>
      <c r="U347" s="6">
        <v>23</v>
      </c>
      <c r="V347" s="6">
        <f t="shared" ref="V347:V353" si="82">($V$354-$X$344)/($U$354-$U$344)+V346</f>
        <v>16</v>
      </c>
      <c r="W347" s="6">
        <v>0</v>
      </c>
      <c r="X347" s="8">
        <f t="shared" si="77"/>
        <v>16</v>
      </c>
      <c r="Y347" s="188">
        <f t="shared" si="78"/>
        <v>0.25</v>
      </c>
    </row>
    <row r="348" spans="1:25" x14ac:dyDescent="0.2">
      <c r="A348" s="495"/>
      <c r="C348" s="6">
        <v>24</v>
      </c>
      <c r="D348" s="8">
        <f t="shared" si="80"/>
        <v>144.60000000000002</v>
      </c>
      <c r="E348" s="6">
        <v>0</v>
      </c>
      <c r="F348" s="8">
        <f>Pn_1134[[#This Row],[V_av]]-Pn_1134[[#This Row],[V_prel]]</f>
        <v>144.60000000000002</v>
      </c>
      <c r="G348" s="188">
        <f t="shared" si="71"/>
        <v>9.2669432918395606E-2</v>
      </c>
      <c r="I348" s="6">
        <v>24</v>
      </c>
      <c r="J348" s="6">
        <f t="shared" si="81"/>
        <v>96</v>
      </c>
      <c r="K348" s="6">
        <v>0</v>
      </c>
      <c r="L348" s="8">
        <f t="shared" si="68"/>
        <v>96</v>
      </c>
      <c r="M348" s="188">
        <f t="shared" si="73"/>
        <v>0.10416666666666667</v>
      </c>
      <c r="O348" s="6">
        <v>24</v>
      </c>
      <c r="P348" s="8">
        <f t="shared" si="79"/>
        <v>53</v>
      </c>
      <c r="Q348" s="6">
        <v>0</v>
      </c>
      <c r="R348" s="8">
        <f t="shared" si="69"/>
        <v>53</v>
      </c>
      <c r="S348" s="188">
        <f t="shared" si="75"/>
        <v>0.12264150943396226</v>
      </c>
      <c r="U348" s="6">
        <v>24</v>
      </c>
      <c r="V348" s="6">
        <f t="shared" si="82"/>
        <v>20</v>
      </c>
      <c r="W348" s="6">
        <v>0</v>
      </c>
      <c r="X348" s="8">
        <f t="shared" si="77"/>
        <v>20</v>
      </c>
      <c r="Y348" s="188">
        <f t="shared" si="78"/>
        <v>0.2</v>
      </c>
    </row>
    <row r="349" spans="1:25" x14ac:dyDescent="0.2">
      <c r="A349" s="495"/>
      <c r="C349" s="6">
        <v>25</v>
      </c>
      <c r="D349" s="8">
        <f t="shared" si="80"/>
        <v>158.00000000000003</v>
      </c>
      <c r="E349" s="6">
        <v>0</v>
      </c>
      <c r="F349" s="8">
        <f>Pn_1134[[#This Row],[V_av]]-Pn_1134[[#This Row],[V_prel]]</f>
        <v>158.00000000000003</v>
      </c>
      <c r="G349" s="188">
        <f t="shared" si="71"/>
        <v>8.4810126582278503E-2</v>
      </c>
      <c r="I349" s="6">
        <v>25</v>
      </c>
      <c r="J349" s="6">
        <f t="shared" si="81"/>
        <v>106</v>
      </c>
      <c r="K349" s="6">
        <v>0</v>
      </c>
      <c r="L349" s="8">
        <f t="shared" si="68"/>
        <v>106</v>
      </c>
      <c r="M349" s="188">
        <f t="shared" si="73"/>
        <v>9.4339622641509441E-2</v>
      </c>
      <c r="O349" s="6">
        <v>25</v>
      </c>
      <c r="P349" s="8">
        <f t="shared" si="79"/>
        <v>59.5</v>
      </c>
      <c r="Q349" s="6">
        <v>0</v>
      </c>
      <c r="R349" s="8">
        <f t="shared" si="69"/>
        <v>59.5</v>
      </c>
      <c r="S349" s="188">
        <f t="shared" si="75"/>
        <v>0.1092436974789916</v>
      </c>
      <c r="U349" s="6">
        <v>25</v>
      </c>
      <c r="V349" s="6">
        <f t="shared" si="82"/>
        <v>24</v>
      </c>
      <c r="W349" s="6">
        <v>0</v>
      </c>
      <c r="X349" s="8">
        <f t="shared" si="77"/>
        <v>24</v>
      </c>
      <c r="Y349" s="188">
        <f t="shared" si="78"/>
        <v>0.16666666666666666</v>
      </c>
    </row>
    <row r="350" spans="1:25" x14ac:dyDescent="0.2">
      <c r="A350" s="495"/>
      <c r="C350" s="6">
        <v>26</v>
      </c>
      <c r="D350" s="8">
        <f t="shared" si="80"/>
        <v>171.40000000000003</v>
      </c>
      <c r="E350" s="6">
        <v>0</v>
      </c>
      <c r="F350" s="8">
        <f>Pn_1134[[#This Row],[V_av]]-Pn_1134[[#This Row],[V_prel]]</f>
        <v>171.40000000000003</v>
      </c>
      <c r="G350" s="188">
        <f t="shared" si="71"/>
        <v>7.8179696616102703E-2</v>
      </c>
      <c r="I350" s="6">
        <v>26</v>
      </c>
      <c r="J350" s="6">
        <f t="shared" si="81"/>
        <v>116</v>
      </c>
      <c r="K350" s="6">
        <v>0</v>
      </c>
      <c r="L350" s="8">
        <f t="shared" si="68"/>
        <v>116</v>
      </c>
      <c r="M350" s="188">
        <f t="shared" si="73"/>
        <v>8.6206896551724144E-2</v>
      </c>
      <c r="O350" s="6">
        <v>26</v>
      </c>
      <c r="P350" s="8">
        <f t="shared" si="79"/>
        <v>66</v>
      </c>
      <c r="Q350" s="6">
        <v>0</v>
      </c>
      <c r="R350" s="8">
        <f t="shared" si="69"/>
        <v>66</v>
      </c>
      <c r="S350" s="188">
        <f t="shared" si="75"/>
        <v>9.8484848484848481E-2</v>
      </c>
      <c r="U350" s="6">
        <v>26</v>
      </c>
      <c r="V350" s="6">
        <f t="shared" si="82"/>
        <v>28</v>
      </c>
      <c r="W350" s="6">
        <v>0</v>
      </c>
      <c r="X350" s="8">
        <f t="shared" si="77"/>
        <v>28</v>
      </c>
      <c r="Y350" s="188">
        <f t="shared" si="78"/>
        <v>0.14285714285714285</v>
      </c>
    </row>
    <row r="351" spans="1:25" x14ac:dyDescent="0.2">
      <c r="A351" s="495"/>
      <c r="C351" s="6">
        <v>27</v>
      </c>
      <c r="D351" s="8">
        <f t="shared" si="80"/>
        <v>184.80000000000004</v>
      </c>
      <c r="E351" s="6">
        <v>0</v>
      </c>
      <c r="F351" s="8">
        <f>Pn_1134[[#This Row],[V_av]]-Pn_1134[[#This Row],[V_prel]]</f>
        <v>184.80000000000004</v>
      </c>
      <c r="G351" s="188">
        <f t="shared" si="71"/>
        <v>7.2510822510822526E-2</v>
      </c>
      <c r="I351" s="6">
        <v>27</v>
      </c>
      <c r="J351" s="6">
        <f t="shared" si="81"/>
        <v>126</v>
      </c>
      <c r="K351" s="6">
        <v>0</v>
      </c>
      <c r="L351" s="8">
        <f t="shared" si="68"/>
        <v>126</v>
      </c>
      <c r="M351" s="188">
        <f t="shared" si="73"/>
        <v>7.9365079365079361E-2</v>
      </c>
      <c r="O351" s="6">
        <v>27</v>
      </c>
      <c r="P351" s="8">
        <f t="shared" si="79"/>
        <v>72.5</v>
      </c>
      <c r="Q351" s="6">
        <v>0</v>
      </c>
      <c r="R351" s="8">
        <f t="shared" si="69"/>
        <v>72.5</v>
      </c>
      <c r="S351" s="188">
        <f t="shared" si="75"/>
        <v>8.9655172413793102E-2</v>
      </c>
      <c r="U351" s="6">
        <v>27</v>
      </c>
      <c r="V351" s="6">
        <f t="shared" si="82"/>
        <v>32</v>
      </c>
      <c r="W351" s="6">
        <v>0</v>
      </c>
      <c r="X351" s="8">
        <f t="shared" si="77"/>
        <v>32</v>
      </c>
      <c r="Y351" s="188">
        <f t="shared" si="78"/>
        <v>0.125</v>
      </c>
    </row>
    <row r="352" spans="1:25" x14ac:dyDescent="0.2">
      <c r="A352" s="495"/>
      <c r="C352" s="6">
        <v>28</v>
      </c>
      <c r="D352" s="8">
        <f t="shared" si="80"/>
        <v>198.20000000000005</v>
      </c>
      <c r="E352" s="6">
        <v>0</v>
      </c>
      <c r="F352" s="8">
        <f>Pn_1134[[#This Row],[V_av]]-Pn_1134[[#This Row],[V_prel]]</f>
        <v>198.20000000000005</v>
      </c>
      <c r="G352" s="188">
        <f t="shared" si="71"/>
        <v>6.7608476286579219E-2</v>
      </c>
      <c r="I352" s="6">
        <v>28</v>
      </c>
      <c r="J352" s="6">
        <f t="shared" si="81"/>
        <v>136</v>
      </c>
      <c r="K352" s="6">
        <v>0</v>
      </c>
      <c r="L352" s="8">
        <f t="shared" si="68"/>
        <v>136</v>
      </c>
      <c r="M352" s="188">
        <f t="shared" si="73"/>
        <v>7.3529411764705885E-2</v>
      </c>
      <c r="O352" s="6">
        <v>28</v>
      </c>
      <c r="P352" s="8">
        <f t="shared" si="79"/>
        <v>79</v>
      </c>
      <c r="Q352" s="6">
        <v>0</v>
      </c>
      <c r="R352" s="8">
        <f t="shared" si="69"/>
        <v>79</v>
      </c>
      <c r="S352" s="188">
        <f t="shared" si="75"/>
        <v>8.2278481012658222E-2</v>
      </c>
      <c r="U352" s="6">
        <v>28</v>
      </c>
      <c r="V352" s="6">
        <f t="shared" si="82"/>
        <v>36</v>
      </c>
      <c r="W352" s="6">
        <v>0</v>
      </c>
      <c r="X352" s="8">
        <f t="shared" si="77"/>
        <v>36</v>
      </c>
      <c r="Y352" s="188">
        <f t="shared" si="78"/>
        <v>0.1111111111111111</v>
      </c>
    </row>
    <row r="353" spans="1:37" x14ac:dyDescent="0.2">
      <c r="A353" s="495"/>
      <c r="C353" s="6">
        <v>29</v>
      </c>
      <c r="D353" s="8">
        <f t="shared" si="80"/>
        <v>211.60000000000005</v>
      </c>
      <c r="E353" s="6">
        <v>0</v>
      </c>
      <c r="F353" s="8">
        <f>Pn_1134[[#This Row],[V_av]]-Pn_1134[[#This Row],[V_prel]]</f>
        <v>211.60000000000005</v>
      </c>
      <c r="G353" s="188">
        <f t="shared" si="71"/>
        <v>6.3327032136105868E-2</v>
      </c>
      <c r="I353" s="6">
        <v>29</v>
      </c>
      <c r="J353" s="6">
        <f t="shared" si="81"/>
        <v>146</v>
      </c>
      <c r="K353" s="6">
        <v>0</v>
      </c>
      <c r="L353" s="8">
        <f t="shared" si="68"/>
        <v>146</v>
      </c>
      <c r="M353" s="188">
        <f t="shared" si="73"/>
        <v>6.8493150684931503E-2</v>
      </c>
      <c r="O353" s="6">
        <v>29</v>
      </c>
      <c r="P353" s="8">
        <f t="shared" si="79"/>
        <v>85.5</v>
      </c>
      <c r="Q353" s="6">
        <v>0</v>
      </c>
      <c r="R353" s="8">
        <f t="shared" si="69"/>
        <v>85.5</v>
      </c>
      <c r="S353" s="188">
        <f t="shared" si="75"/>
        <v>7.6023391812865493E-2</v>
      </c>
      <c r="U353" s="6">
        <v>29</v>
      </c>
      <c r="V353" s="6">
        <f t="shared" si="82"/>
        <v>40</v>
      </c>
      <c r="W353" s="6">
        <v>0</v>
      </c>
      <c r="X353" s="8">
        <f t="shared" si="77"/>
        <v>40</v>
      </c>
      <c r="Y353" s="188">
        <f t="shared" si="78"/>
        <v>0.1</v>
      </c>
    </row>
    <row r="354" spans="1:37" x14ac:dyDescent="0.2">
      <c r="A354" s="495"/>
      <c r="C354" s="7">
        <v>30</v>
      </c>
      <c r="D354" s="7">
        <v>225</v>
      </c>
      <c r="E354" s="7">
        <v>22</v>
      </c>
      <c r="F354" s="7">
        <v>203</v>
      </c>
      <c r="G354" s="188">
        <f t="shared" si="71"/>
        <v>5.9555555555555327E-2</v>
      </c>
      <c r="I354" s="7">
        <v>30</v>
      </c>
      <c r="J354" s="7">
        <v>156</v>
      </c>
      <c r="K354" s="7">
        <v>12</v>
      </c>
      <c r="L354" s="7">
        <v>144</v>
      </c>
      <c r="M354" s="188">
        <f t="shared" si="73"/>
        <v>6.4102564102564097E-2</v>
      </c>
      <c r="N354" s="7"/>
      <c r="O354" s="7">
        <v>30</v>
      </c>
      <c r="P354" s="7">
        <v>92</v>
      </c>
      <c r="Q354" s="7">
        <v>5</v>
      </c>
      <c r="R354" s="7">
        <v>87</v>
      </c>
      <c r="S354" s="188">
        <f t="shared" si="75"/>
        <v>7.0652173913043473E-2</v>
      </c>
      <c r="T354" s="7"/>
      <c r="U354" s="7">
        <v>30</v>
      </c>
      <c r="V354" s="7">
        <v>44</v>
      </c>
      <c r="W354" s="7">
        <v>2</v>
      </c>
      <c r="X354" s="7">
        <v>42</v>
      </c>
      <c r="Y354" s="188">
        <f t="shared" si="78"/>
        <v>9.0909090909090912E-2</v>
      </c>
    </row>
    <row r="355" spans="1:37" x14ac:dyDescent="0.2">
      <c r="A355" s="495"/>
      <c r="C355" s="7">
        <v>40</v>
      </c>
      <c r="D355" s="7">
        <v>337</v>
      </c>
      <c r="E355" s="7">
        <v>35</v>
      </c>
      <c r="F355" s="7">
        <v>302</v>
      </c>
      <c r="G355" s="188">
        <f t="shared" si="71"/>
        <v>3.9762611275964393E-2</v>
      </c>
    </row>
    <row r="356" spans="1:37" x14ac:dyDescent="0.2">
      <c r="A356" s="495"/>
      <c r="C356" s="7">
        <v>50</v>
      </c>
      <c r="D356" s="7">
        <v>424</v>
      </c>
      <c r="E356" s="7">
        <v>42</v>
      </c>
      <c r="F356" s="7">
        <v>382</v>
      </c>
      <c r="G356" s="188">
        <f t="shared" si="71"/>
        <v>2.8773584905660378E-2</v>
      </c>
    </row>
    <row r="357" spans="1:37" x14ac:dyDescent="0.2">
      <c r="A357" s="495"/>
      <c r="C357" s="7">
        <v>60</v>
      </c>
      <c r="D357" s="7">
        <v>485</v>
      </c>
      <c r="E357" s="7">
        <v>42</v>
      </c>
      <c r="F357" s="7">
        <v>443</v>
      </c>
      <c r="G357" s="188">
        <f t="shared" si="71"/>
        <v>2.1237113402061854E-2</v>
      </c>
    </row>
    <row r="358" spans="1:37" x14ac:dyDescent="0.2">
      <c r="A358" s="495"/>
      <c r="C358" s="7">
        <v>70</v>
      </c>
      <c r="D358" s="7">
        <v>529</v>
      </c>
      <c r="E358" s="7">
        <v>39</v>
      </c>
      <c r="F358" s="7">
        <v>490</v>
      </c>
      <c r="G358" s="188">
        <f t="shared" si="71"/>
        <v>1.6257088846880909E-2</v>
      </c>
    </row>
    <row r="359" spans="1:37" x14ac:dyDescent="0.2">
      <c r="A359" s="495"/>
      <c r="C359" s="7">
        <v>80</v>
      </c>
      <c r="D359" s="7">
        <v>562</v>
      </c>
      <c r="E359" s="7">
        <v>36</v>
      </c>
      <c r="F359" s="7">
        <v>526</v>
      </c>
      <c r="G359" s="188">
        <f t="shared" si="71"/>
        <v>1.2811387900355872E-2</v>
      </c>
    </row>
    <row r="360" spans="1:37" x14ac:dyDescent="0.2">
      <c r="A360" s="495"/>
      <c r="C360" s="7">
        <v>90</v>
      </c>
      <c r="D360" s="7">
        <v>592</v>
      </c>
      <c r="E360" s="7">
        <v>36</v>
      </c>
      <c r="F360" s="7">
        <v>556</v>
      </c>
      <c r="G360" s="188">
        <f t="shared" si="71"/>
        <v>1.1148648648648649E-2</v>
      </c>
    </row>
    <row r="361" spans="1:37" x14ac:dyDescent="0.2">
      <c r="A361" s="495"/>
      <c r="C361" s="7">
        <v>100</v>
      </c>
      <c r="D361" s="7">
        <v>621</v>
      </c>
      <c r="E361" s="7">
        <v>38</v>
      </c>
      <c r="F361" s="7">
        <v>583</v>
      </c>
      <c r="G361" s="188">
        <f t="shared" si="71"/>
        <v>1.0466988727858294E-2</v>
      </c>
    </row>
    <row r="362" spans="1:37" x14ac:dyDescent="0.2">
      <c r="A362" s="495"/>
      <c r="C362" s="7">
        <v>110</v>
      </c>
      <c r="D362" s="7">
        <v>649</v>
      </c>
      <c r="E362" s="7">
        <v>649</v>
      </c>
      <c r="F362" s="7">
        <v>0</v>
      </c>
      <c r="G362" s="188">
        <f t="shared" si="71"/>
        <v>1.016949152542373E-2</v>
      </c>
    </row>
    <row r="364" spans="1:37" x14ac:dyDescent="0.2">
      <c r="A364" s="496" t="s">
        <v>706</v>
      </c>
      <c r="C364" s="7" t="s">
        <v>961</v>
      </c>
      <c r="D364" s="9" t="s">
        <v>131</v>
      </c>
      <c r="I364" s="7" t="s">
        <v>962</v>
      </c>
      <c r="O364" s="7" t="s">
        <v>963</v>
      </c>
      <c r="U364" s="7" t="s">
        <v>964</v>
      </c>
      <c r="AA364" s="7" t="s">
        <v>965</v>
      </c>
      <c r="AG364" s="7" t="s">
        <v>966</v>
      </c>
    </row>
    <row r="365" spans="1:37" x14ac:dyDescent="0.2">
      <c r="A365" s="496"/>
      <c r="C365" s="6" t="s">
        <v>125</v>
      </c>
      <c r="D365" s="6" t="s">
        <v>126</v>
      </c>
      <c r="E365" s="6" t="s">
        <v>127</v>
      </c>
      <c r="F365" s="6" t="s">
        <v>128</v>
      </c>
      <c r="G365" s="194" t="s">
        <v>699</v>
      </c>
      <c r="I365" s="176" t="s">
        <v>125</v>
      </c>
      <c r="J365" s="176" t="s">
        <v>126</v>
      </c>
      <c r="K365" s="176" t="s">
        <v>127</v>
      </c>
      <c r="L365" s="176" t="s">
        <v>128</v>
      </c>
      <c r="M365" s="196" t="s">
        <v>699</v>
      </c>
      <c r="O365" s="176" t="s">
        <v>125</v>
      </c>
      <c r="P365" s="176" t="s">
        <v>126</v>
      </c>
      <c r="Q365" s="176" t="s">
        <v>127</v>
      </c>
      <c r="R365" s="176" t="s">
        <v>128</v>
      </c>
      <c r="S365" s="196" t="s">
        <v>699</v>
      </c>
      <c r="U365" s="176" t="s">
        <v>125</v>
      </c>
      <c r="V365" s="176" t="s">
        <v>126</v>
      </c>
      <c r="W365" s="176" t="s">
        <v>127</v>
      </c>
      <c r="X365" s="176" t="s">
        <v>128</v>
      </c>
      <c r="Y365" s="196" t="s">
        <v>699</v>
      </c>
      <c r="AA365" s="176" t="s">
        <v>125</v>
      </c>
      <c r="AB365" s="176" t="s">
        <v>126</v>
      </c>
      <c r="AC365" s="176" t="s">
        <v>127</v>
      </c>
      <c r="AD365" s="176" t="s">
        <v>128</v>
      </c>
      <c r="AE365" s="196" t="s">
        <v>699</v>
      </c>
      <c r="AG365" s="176" t="s">
        <v>125</v>
      </c>
      <c r="AH365" s="176" t="s">
        <v>126</v>
      </c>
      <c r="AI365" s="176" t="s">
        <v>127</v>
      </c>
      <c r="AJ365" s="176" t="s">
        <v>128</v>
      </c>
      <c r="AK365" s="176" t="s">
        <v>699</v>
      </c>
    </row>
    <row r="366" spans="1:37" x14ac:dyDescent="0.2">
      <c r="A366" s="496"/>
      <c r="C366" s="6">
        <v>1</v>
      </c>
      <c r="D366" s="8">
        <f>D390/C390</f>
        <v>15.88</v>
      </c>
      <c r="E366" s="6">
        <v>0</v>
      </c>
      <c r="F366" s="8">
        <f>Ec_1138[[#This Row],[V_av]]-Ec_1138[[#This Row],[V_prel]]</f>
        <v>15.88</v>
      </c>
      <c r="G366" s="194">
        <v>0</v>
      </c>
      <c r="I366" s="6">
        <v>1</v>
      </c>
      <c r="J366" s="8">
        <f>J390/I390</f>
        <v>8.92</v>
      </c>
      <c r="K366" s="6">
        <v>0</v>
      </c>
      <c r="L366" s="8">
        <f>J366-K366</f>
        <v>8.92</v>
      </c>
      <c r="M366" s="193">
        <v>0</v>
      </c>
      <c r="O366" s="6">
        <v>1</v>
      </c>
      <c r="P366" s="8">
        <f>P395/O395</f>
        <v>7.4333333333333336</v>
      </c>
      <c r="Q366" s="6">
        <v>0</v>
      </c>
      <c r="R366" s="8">
        <f>P366-Q366</f>
        <v>7.4333333333333336</v>
      </c>
      <c r="S366" s="193">
        <v>0</v>
      </c>
      <c r="U366" s="6">
        <v>1</v>
      </c>
      <c r="V366" s="8">
        <f>V400/U400</f>
        <v>6.3142857142857141</v>
      </c>
      <c r="W366" s="6">
        <v>0</v>
      </c>
      <c r="X366" s="8">
        <f>V366-W366</f>
        <v>6.3142857142857141</v>
      </c>
      <c r="Y366" s="193">
        <v>0</v>
      </c>
      <c r="AA366" s="6">
        <v>1</v>
      </c>
      <c r="AB366" s="8">
        <f>AB400/AA400</f>
        <v>3.7142857142857144</v>
      </c>
      <c r="AC366" s="6">
        <v>0</v>
      </c>
      <c r="AD366" s="8">
        <f>AB366-AC366</f>
        <v>3.7142857142857144</v>
      </c>
      <c r="AE366" s="193">
        <v>0</v>
      </c>
      <c r="AG366" s="6">
        <v>1</v>
      </c>
      <c r="AH366" s="8">
        <f>AH405/AG405</f>
        <v>2.9750000000000001</v>
      </c>
      <c r="AI366" s="6">
        <v>0</v>
      </c>
      <c r="AJ366" s="8">
        <f>AH366-AI366</f>
        <v>2.9750000000000001</v>
      </c>
      <c r="AK366" s="184">
        <v>0</v>
      </c>
    </row>
    <row r="367" spans="1:37" x14ac:dyDescent="0.2">
      <c r="A367" s="496"/>
      <c r="C367" s="6">
        <v>2</v>
      </c>
      <c r="D367" s="8">
        <f>$D$390/$C$390+F366</f>
        <v>31.76</v>
      </c>
      <c r="E367" s="6">
        <v>0</v>
      </c>
      <c r="F367" s="8">
        <f>Ec_1138[[#This Row],[V_av]]-Ec_1138[[#This Row],[V_prel]]</f>
        <v>31.76</v>
      </c>
      <c r="G367" s="188">
        <f>((D367-F366)/D367)/(C367-C366)</f>
        <v>0.5</v>
      </c>
      <c r="I367" s="6">
        <v>2</v>
      </c>
      <c r="J367" s="8">
        <f>$J$390/$I$390+L366</f>
        <v>17.84</v>
      </c>
      <c r="K367" s="6">
        <v>0</v>
      </c>
      <c r="L367" s="8">
        <f t="shared" ref="L367:L389" si="83">J367-K367</f>
        <v>17.84</v>
      </c>
      <c r="M367" s="188">
        <f>((J367-L366)/J367)/(I367-I366)</f>
        <v>0.5</v>
      </c>
      <c r="O367" s="6">
        <v>2</v>
      </c>
      <c r="P367" s="8">
        <f>$P$395/$O$395+R366</f>
        <v>14.866666666666667</v>
      </c>
      <c r="Q367" s="6">
        <v>0</v>
      </c>
      <c r="R367" s="8">
        <f t="shared" ref="R367:R394" si="84">P367-Q367</f>
        <v>14.866666666666667</v>
      </c>
      <c r="S367" s="188">
        <f>((P367-R366)/P367)/(O367-O366)</f>
        <v>0.5</v>
      </c>
      <c r="U367" s="6">
        <v>2</v>
      </c>
      <c r="V367" s="8">
        <f>$V$400/$U$400+X366</f>
        <v>12.628571428571428</v>
      </c>
      <c r="W367" s="6">
        <v>0</v>
      </c>
      <c r="X367" s="8">
        <f t="shared" ref="X367:X399" si="85">V367-W367</f>
        <v>12.628571428571428</v>
      </c>
      <c r="Y367" s="188">
        <f>((V367-X366)/V367)/(U367-U366)</f>
        <v>0.5</v>
      </c>
      <c r="AA367" s="6">
        <v>2</v>
      </c>
      <c r="AB367" s="8">
        <f>$AB$400/$AA$400+AD366</f>
        <v>7.4285714285714288</v>
      </c>
      <c r="AC367" s="6">
        <v>0</v>
      </c>
      <c r="AD367" s="8">
        <f t="shared" ref="AD367:AD399" si="86">AB367-AC367</f>
        <v>7.4285714285714288</v>
      </c>
      <c r="AE367" s="188">
        <f>((AB367-AD366)/AB367)/(AA367-AA366)</f>
        <v>0.5</v>
      </c>
      <c r="AG367" s="6">
        <v>2</v>
      </c>
      <c r="AH367" s="8">
        <f>$AH$405/$AG$405+AJ366</f>
        <v>5.95</v>
      </c>
      <c r="AI367" s="6">
        <v>0</v>
      </c>
      <c r="AJ367" s="8">
        <f t="shared" ref="AJ367:AJ404" si="87">AH367-AI367</f>
        <v>5.95</v>
      </c>
      <c r="AK367" s="188">
        <f>((AH367-AJ366)/AH367)/(AG367-AG366)</f>
        <v>0.5</v>
      </c>
    </row>
    <row r="368" spans="1:37" x14ac:dyDescent="0.2">
      <c r="A368" s="496"/>
      <c r="C368" s="6">
        <v>3</v>
      </c>
      <c r="D368" s="8">
        <f t="shared" ref="D368:D389" si="88">$D$390/$C$390+F367</f>
        <v>47.64</v>
      </c>
      <c r="E368" s="6">
        <v>0</v>
      </c>
      <c r="F368" s="8">
        <f>Ec_1138[[#This Row],[V_av]]-Ec_1138[[#This Row],[V_prel]]</f>
        <v>47.64</v>
      </c>
      <c r="G368" s="188">
        <f t="shared" ref="G368:G405" si="89">((D368-F367)/D368)/(C368-C367)</f>
        <v>0.33333333333333331</v>
      </c>
      <c r="I368" s="6">
        <v>3</v>
      </c>
      <c r="J368" s="8">
        <f t="shared" ref="J368:J389" si="90">$J$390/$I$390+L367</f>
        <v>26.759999999999998</v>
      </c>
      <c r="K368" s="6">
        <v>0</v>
      </c>
      <c r="L368" s="8">
        <f t="shared" si="83"/>
        <v>26.759999999999998</v>
      </c>
      <c r="M368" s="188">
        <f t="shared" ref="M368:M395" si="91">((J368-L367)/J368)/(I368-I367)</f>
        <v>0.33333333333333331</v>
      </c>
      <c r="O368" s="6">
        <v>3</v>
      </c>
      <c r="P368" s="8">
        <f t="shared" ref="P368:P394" si="92">$P$395/$O$395+R367</f>
        <v>22.3</v>
      </c>
      <c r="Q368" s="6">
        <v>0</v>
      </c>
      <c r="R368" s="8">
        <f t="shared" si="84"/>
        <v>22.3</v>
      </c>
      <c r="S368" s="188">
        <f t="shared" ref="S368:S395" si="93">((P368-R367)/P368)/(O368-O367)</f>
        <v>0.33333333333333331</v>
      </c>
      <c r="U368" s="6">
        <v>3</v>
      </c>
      <c r="V368" s="8">
        <f t="shared" ref="V368:V399" si="94">$V$400/$U$400+X367</f>
        <v>18.942857142857143</v>
      </c>
      <c r="W368" s="6">
        <v>0</v>
      </c>
      <c r="X368" s="8">
        <f t="shared" si="85"/>
        <v>18.942857142857143</v>
      </c>
      <c r="Y368" s="188">
        <f t="shared" ref="Y368:Y400" si="95">((V368-X367)/V368)/(U368-U367)</f>
        <v>0.33333333333333337</v>
      </c>
      <c r="AA368" s="6">
        <v>3</v>
      </c>
      <c r="AB368" s="8">
        <f t="shared" ref="AB368:AB399" si="96">$AB$400/$AA$400+AD367</f>
        <v>11.142857142857142</v>
      </c>
      <c r="AC368" s="6">
        <v>0</v>
      </c>
      <c r="AD368" s="8">
        <f t="shared" si="86"/>
        <v>11.142857142857142</v>
      </c>
      <c r="AE368" s="188">
        <f t="shared" ref="AE368:AE400" si="97">((AB368-AD367)/AB368)/(AA368-AA367)</f>
        <v>0.33333333333333326</v>
      </c>
      <c r="AG368" s="6">
        <v>3</v>
      </c>
      <c r="AH368" s="8">
        <f t="shared" ref="AH368:AH404" si="98">$AH$405/$AG$405+AJ367</f>
        <v>8.9250000000000007</v>
      </c>
      <c r="AI368" s="6">
        <v>0</v>
      </c>
      <c r="AJ368" s="8">
        <f t="shared" si="87"/>
        <v>8.9250000000000007</v>
      </c>
      <c r="AK368" s="188">
        <f t="shared" ref="AK368:AK405" si="99">((AH368-AJ367)/AH368)/(AG368-AG367)</f>
        <v>0.33333333333333337</v>
      </c>
    </row>
    <row r="369" spans="1:37" x14ac:dyDescent="0.2">
      <c r="A369" s="496"/>
      <c r="C369" s="6">
        <v>4</v>
      </c>
      <c r="D369" s="8">
        <f t="shared" si="88"/>
        <v>63.52</v>
      </c>
      <c r="E369" s="6">
        <v>0</v>
      </c>
      <c r="F369" s="8">
        <f>Ec_1138[[#This Row],[V_av]]-Ec_1138[[#This Row],[V_prel]]</f>
        <v>63.52</v>
      </c>
      <c r="G369" s="188">
        <f t="shared" si="89"/>
        <v>0.25000000000000006</v>
      </c>
      <c r="I369" s="6">
        <v>4</v>
      </c>
      <c r="J369" s="8">
        <f t="shared" si="90"/>
        <v>35.68</v>
      </c>
      <c r="K369" s="6">
        <v>0</v>
      </c>
      <c r="L369" s="8">
        <f t="shared" si="83"/>
        <v>35.68</v>
      </c>
      <c r="M369" s="188">
        <f t="shared" si="91"/>
        <v>0.25000000000000006</v>
      </c>
      <c r="O369" s="6">
        <v>4</v>
      </c>
      <c r="P369" s="8">
        <f t="shared" si="92"/>
        <v>29.733333333333334</v>
      </c>
      <c r="Q369" s="6">
        <v>0</v>
      </c>
      <c r="R369" s="8">
        <f t="shared" si="84"/>
        <v>29.733333333333334</v>
      </c>
      <c r="S369" s="188">
        <f t="shared" si="93"/>
        <v>0.25</v>
      </c>
      <c r="U369" s="6">
        <v>4</v>
      </c>
      <c r="V369" s="8">
        <f t="shared" si="94"/>
        <v>25.257142857142856</v>
      </c>
      <c r="W369" s="6">
        <v>0</v>
      </c>
      <c r="X369" s="8">
        <f t="shared" si="85"/>
        <v>25.257142857142856</v>
      </c>
      <c r="Y369" s="188">
        <f t="shared" si="95"/>
        <v>0.24999999999999997</v>
      </c>
      <c r="AA369" s="6">
        <v>4</v>
      </c>
      <c r="AB369" s="8">
        <f t="shared" si="96"/>
        <v>14.857142857142858</v>
      </c>
      <c r="AC369" s="6">
        <v>0</v>
      </c>
      <c r="AD369" s="8">
        <f t="shared" si="86"/>
        <v>14.857142857142858</v>
      </c>
      <c r="AE369" s="188">
        <f t="shared" si="97"/>
        <v>0.25000000000000006</v>
      </c>
      <c r="AG369" s="6">
        <v>4</v>
      </c>
      <c r="AH369" s="8">
        <f t="shared" si="98"/>
        <v>11.9</v>
      </c>
      <c r="AI369" s="6">
        <v>0</v>
      </c>
      <c r="AJ369" s="8">
        <f t="shared" si="87"/>
        <v>11.9</v>
      </c>
      <c r="AK369" s="188">
        <f t="shared" si="99"/>
        <v>0.24999999999999997</v>
      </c>
    </row>
    <row r="370" spans="1:37" x14ac:dyDescent="0.2">
      <c r="A370" s="496"/>
      <c r="C370" s="6">
        <v>5</v>
      </c>
      <c r="D370" s="8">
        <f t="shared" si="88"/>
        <v>79.400000000000006</v>
      </c>
      <c r="E370" s="6">
        <v>0</v>
      </c>
      <c r="F370" s="8">
        <f>Ec_1138[[#This Row],[V_av]]-Ec_1138[[#This Row],[V_prel]]</f>
        <v>79.400000000000006</v>
      </c>
      <c r="G370" s="188">
        <f t="shared" si="89"/>
        <v>0.2</v>
      </c>
      <c r="I370" s="6">
        <v>5</v>
      </c>
      <c r="J370" s="8">
        <f t="shared" si="90"/>
        <v>44.6</v>
      </c>
      <c r="K370" s="6">
        <v>0</v>
      </c>
      <c r="L370" s="8">
        <f t="shared" si="83"/>
        <v>44.6</v>
      </c>
      <c r="M370" s="188">
        <f t="shared" si="91"/>
        <v>0.20000000000000004</v>
      </c>
      <c r="O370" s="6">
        <v>5</v>
      </c>
      <c r="P370" s="8">
        <f t="shared" si="92"/>
        <v>37.166666666666671</v>
      </c>
      <c r="Q370" s="6">
        <v>0</v>
      </c>
      <c r="R370" s="8">
        <f t="shared" si="84"/>
        <v>37.166666666666671</v>
      </c>
      <c r="S370" s="188">
        <f t="shared" si="93"/>
        <v>0.20000000000000007</v>
      </c>
      <c r="U370" s="6">
        <v>5</v>
      </c>
      <c r="V370" s="8">
        <f t="shared" si="94"/>
        <v>31.571428571428569</v>
      </c>
      <c r="W370" s="6">
        <v>0</v>
      </c>
      <c r="X370" s="8">
        <f t="shared" si="85"/>
        <v>31.571428571428569</v>
      </c>
      <c r="Y370" s="188">
        <f t="shared" si="95"/>
        <v>0.19999999999999998</v>
      </c>
      <c r="AA370" s="6">
        <v>5</v>
      </c>
      <c r="AB370" s="8">
        <f t="shared" si="96"/>
        <v>18.571428571428573</v>
      </c>
      <c r="AC370" s="6">
        <v>0</v>
      </c>
      <c r="AD370" s="8">
        <f t="shared" si="86"/>
        <v>18.571428571428573</v>
      </c>
      <c r="AE370" s="188">
        <f t="shared" si="97"/>
        <v>0.20000000000000004</v>
      </c>
      <c r="AG370" s="6">
        <v>5</v>
      </c>
      <c r="AH370" s="8">
        <f t="shared" si="98"/>
        <v>14.875</v>
      </c>
      <c r="AI370" s="6">
        <v>0</v>
      </c>
      <c r="AJ370" s="8">
        <f t="shared" si="87"/>
        <v>14.875</v>
      </c>
      <c r="AK370" s="188">
        <f t="shared" si="99"/>
        <v>0.19999999999999998</v>
      </c>
    </row>
    <row r="371" spans="1:37" x14ac:dyDescent="0.2">
      <c r="A371" s="496"/>
      <c r="C371" s="6">
        <v>6</v>
      </c>
      <c r="D371" s="8">
        <f t="shared" si="88"/>
        <v>95.28</v>
      </c>
      <c r="E371" s="6">
        <v>0</v>
      </c>
      <c r="F371" s="8">
        <f>Ec_1138[[#This Row],[V_av]]-Ec_1138[[#This Row],[V_prel]]</f>
        <v>95.28</v>
      </c>
      <c r="G371" s="188">
        <f t="shared" si="89"/>
        <v>0.16666666666666663</v>
      </c>
      <c r="I371" s="6">
        <v>6</v>
      </c>
      <c r="J371" s="8">
        <f t="shared" si="90"/>
        <v>53.52</v>
      </c>
      <c r="K371" s="6">
        <v>0</v>
      </c>
      <c r="L371" s="8">
        <f t="shared" si="83"/>
        <v>53.52</v>
      </c>
      <c r="M371" s="188">
        <f t="shared" si="91"/>
        <v>0.16666666666666669</v>
      </c>
      <c r="O371" s="6">
        <v>6</v>
      </c>
      <c r="P371" s="8">
        <f t="shared" si="92"/>
        <v>44.600000000000009</v>
      </c>
      <c r="Q371" s="6">
        <v>0</v>
      </c>
      <c r="R371" s="8">
        <f t="shared" si="84"/>
        <v>44.600000000000009</v>
      </c>
      <c r="S371" s="188">
        <f t="shared" si="93"/>
        <v>0.16666666666666671</v>
      </c>
      <c r="U371" s="6">
        <v>6</v>
      </c>
      <c r="V371" s="8">
        <f t="shared" si="94"/>
        <v>37.885714285714286</v>
      </c>
      <c r="W371" s="6">
        <v>0</v>
      </c>
      <c r="X371" s="8">
        <f t="shared" si="85"/>
        <v>37.885714285714286</v>
      </c>
      <c r="Y371" s="188">
        <f t="shared" si="95"/>
        <v>0.16666666666666674</v>
      </c>
      <c r="AA371" s="6">
        <v>6</v>
      </c>
      <c r="AB371" s="8">
        <f t="shared" si="96"/>
        <v>22.285714285714288</v>
      </c>
      <c r="AC371" s="6">
        <v>0</v>
      </c>
      <c r="AD371" s="8">
        <f t="shared" si="86"/>
        <v>22.285714285714288</v>
      </c>
      <c r="AE371" s="188">
        <f t="shared" si="97"/>
        <v>0.16666666666666669</v>
      </c>
      <c r="AG371" s="6">
        <v>6</v>
      </c>
      <c r="AH371" s="8">
        <f t="shared" si="98"/>
        <v>17.850000000000001</v>
      </c>
      <c r="AI371" s="6">
        <v>0</v>
      </c>
      <c r="AJ371" s="8">
        <f t="shared" si="87"/>
        <v>17.850000000000001</v>
      </c>
      <c r="AK371" s="188">
        <f t="shared" si="99"/>
        <v>0.16666666666666674</v>
      </c>
    </row>
    <row r="372" spans="1:37" x14ac:dyDescent="0.2">
      <c r="A372" s="496"/>
      <c r="C372" s="6">
        <v>7</v>
      </c>
      <c r="D372" s="8">
        <f t="shared" si="88"/>
        <v>111.16</v>
      </c>
      <c r="E372" s="6">
        <v>0</v>
      </c>
      <c r="F372" s="8">
        <f>Ec_1138[[#This Row],[V_av]]-Ec_1138[[#This Row],[V_prel]]</f>
        <v>111.16</v>
      </c>
      <c r="G372" s="188">
        <f t="shared" si="89"/>
        <v>0.14285714285714282</v>
      </c>
      <c r="I372" s="6">
        <v>7</v>
      </c>
      <c r="J372" s="8">
        <f t="shared" si="90"/>
        <v>62.440000000000005</v>
      </c>
      <c r="K372" s="6">
        <v>0</v>
      </c>
      <c r="L372" s="8">
        <f t="shared" si="83"/>
        <v>62.440000000000005</v>
      </c>
      <c r="M372" s="188">
        <f t="shared" si="91"/>
        <v>0.14285714285714288</v>
      </c>
      <c r="O372" s="6">
        <v>7</v>
      </c>
      <c r="P372" s="8">
        <f t="shared" si="92"/>
        <v>52.033333333333346</v>
      </c>
      <c r="Q372" s="6">
        <v>0</v>
      </c>
      <c r="R372" s="8">
        <f t="shared" si="84"/>
        <v>52.033333333333346</v>
      </c>
      <c r="S372" s="188">
        <f t="shared" si="93"/>
        <v>0.1428571428571429</v>
      </c>
      <c r="U372" s="6">
        <v>7</v>
      </c>
      <c r="V372" s="8">
        <f t="shared" si="94"/>
        <v>44.2</v>
      </c>
      <c r="W372" s="6">
        <v>0</v>
      </c>
      <c r="X372" s="8">
        <f t="shared" si="85"/>
        <v>44.2</v>
      </c>
      <c r="Y372" s="188">
        <f t="shared" si="95"/>
        <v>0.1428571428571429</v>
      </c>
      <c r="AA372" s="6">
        <v>7</v>
      </c>
      <c r="AB372" s="8">
        <f t="shared" si="96"/>
        <v>26.000000000000004</v>
      </c>
      <c r="AC372" s="6">
        <v>0</v>
      </c>
      <c r="AD372" s="8">
        <f t="shared" si="86"/>
        <v>26.000000000000004</v>
      </c>
      <c r="AE372" s="188">
        <f t="shared" si="97"/>
        <v>0.14285714285714288</v>
      </c>
      <c r="AG372" s="6">
        <v>7</v>
      </c>
      <c r="AH372" s="8">
        <f t="shared" si="98"/>
        <v>20.825000000000003</v>
      </c>
      <c r="AI372" s="6">
        <v>0</v>
      </c>
      <c r="AJ372" s="8">
        <f t="shared" si="87"/>
        <v>20.825000000000003</v>
      </c>
      <c r="AK372" s="188">
        <f t="shared" si="99"/>
        <v>0.1428571428571429</v>
      </c>
    </row>
    <row r="373" spans="1:37" x14ac:dyDescent="0.2">
      <c r="A373" s="496"/>
      <c r="C373" s="6">
        <v>8</v>
      </c>
      <c r="D373" s="8">
        <f t="shared" si="88"/>
        <v>127.03999999999999</v>
      </c>
      <c r="E373" s="6">
        <v>0</v>
      </c>
      <c r="F373" s="8">
        <f>Ec_1138[[#This Row],[V_av]]-Ec_1138[[#This Row],[V_prel]]</f>
        <v>127.03999999999999</v>
      </c>
      <c r="G373" s="188">
        <f t="shared" si="89"/>
        <v>0.12499999999999997</v>
      </c>
      <c r="I373" s="6">
        <v>8</v>
      </c>
      <c r="J373" s="8">
        <f t="shared" si="90"/>
        <v>71.36</v>
      </c>
      <c r="K373" s="6">
        <v>0</v>
      </c>
      <c r="L373" s="8">
        <f t="shared" si="83"/>
        <v>71.36</v>
      </c>
      <c r="M373" s="188">
        <f t="shared" si="91"/>
        <v>0.12499999999999993</v>
      </c>
      <c r="O373" s="6">
        <v>8</v>
      </c>
      <c r="P373" s="8">
        <f t="shared" si="92"/>
        <v>59.466666666666683</v>
      </c>
      <c r="Q373" s="6">
        <v>0</v>
      </c>
      <c r="R373" s="8">
        <f t="shared" si="84"/>
        <v>59.466666666666683</v>
      </c>
      <c r="S373" s="188">
        <f t="shared" si="93"/>
        <v>0.12500000000000003</v>
      </c>
      <c r="U373" s="6">
        <v>8</v>
      </c>
      <c r="V373" s="8">
        <f t="shared" si="94"/>
        <v>50.51428571428572</v>
      </c>
      <c r="W373" s="6">
        <v>0</v>
      </c>
      <c r="X373" s="8">
        <f t="shared" si="85"/>
        <v>50.51428571428572</v>
      </c>
      <c r="Y373" s="188">
        <f t="shared" si="95"/>
        <v>0.12500000000000003</v>
      </c>
      <c r="AA373" s="6">
        <v>8</v>
      </c>
      <c r="AB373" s="8">
        <f t="shared" si="96"/>
        <v>29.714285714285719</v>
      </c>
      <c r="AC373" s="6">
        <v>0</v>
      </c>
      <c r="AD373" s="8">
        <f t="shared" si="86"/>
        <v>29.714285714285719</v>
      </c>
      <c r="AE373" s="188">
        <f t="shared" si="97"/>
        <v>0.12500000000000003</v>
      </c>
      <c r="AG373" s="6">
        <v>8</v>
      </c>
      <c r="AH373" s="8">
        <f t="shared" si="98"/>
        <v>23.800000000000004</v>
      </c>
      <c r="AI373" s="6">
        <v>0</v>
      </c>
      <c r="AJ373" s="8">
        <f t="shared" si="87"/>
        <v>23.800000000000004</v>
      </c>
      <c r="AK373" s="188">
        <f t="shared" si="99"/>
        <v>0.12500000000000003</v>
      </c>
    </row>
    <row r="374" spans="1:37" x14ac:dyDescent="0.2">
      <c r="A374" s="496"/>
      <c r="C374" s="6">
        <v>9</v>
      </c>
      <c r="D374" s="8">
        <f t="shared" si="88"/>
        <v>142.91999999999999</v>
      </c>
      <c r="E374" s="6">
        <v>0</v>
      </c>
      <c r="F374" s="8">
        <f>Ec_1138[[#This Row],[V_av]]-Ec_1138[[#This Row],[V_prel]]</f>
        <v>142.91999999999999</v>
      </c>
      <c r="G374" s="188">
        <f t="shared" si="89"/>
        <v>0.11111111111111109</v>
      </c>
      <c r="I374" s="6">
        <v>9</v>
      </c>
      <c r="J374" s="8">
        <f t="shared" si="90"/>
        <v>80.28</v>
      </c>
      <c r="K374" s="6">
        <v>0</v>
      </c>
      <c r="L374" s="8">
        <f t="shared" si="83"/>
        <v>80.28</v>
      </c>
      <c r="M374" s="188">
        <f t="shared" si="91"/>
        <v>0.11111111111111113</v>
      </c>
      <c r="O374" s="6">
        <v>9</v>
      </c>
      <c r="P374" s="8">
        <f t="shared" si="92"/>
        <v>66.90000000000002</v>
      </c>
      <c r="Q374" s="6">
        <v>0</v>
      </c>
      <c r="R374" s="8">
        <f t="shared" si="84"/>
        <v>66.90000000000002</v>
      </c>
      <c r="S374" s="188">
        <f t="shared" si="93"/>
        <v>0.11111111111111113</v>
      </c>
      <c r="U374" s="6">
        <v>9</v>
      </c>
      <c r="V374" s="8">
        <f t="shared" si="94"/>
        <v>56.828571428571436</v>
      </c>
      <c r="W374" s="6">
        <v>0</v>
      </c>
      <c r="X374" s="8">
        <f t="shared" si="85"/>
        <v>56.828571428571436</v>
      </c>
      <c r="Y374" s="188">
        <f t="shared" si="95"/>
        <v>0.11111111111111113</v>
      </c>
      <c r="AA374" s="6">
        <v>9</v>
      </c>
      <c r="AB374" s="8">
        <f t="shared" si="96"/>
        <v>33.428571428571431</v>
      </c>
      <c r="AC374" s="6">
        <v>0</v>
      </c>
      <c r="AD374" s="8">
        <f t="shared" si="86"/>
        <v>33.428571428571431</v>
      </c>
      <c r="AE374" s="188">
        <f t="shared" si="97"/>
        <v>0.11111111111111102</v>
      </c>
      <c r="AG374" s="6">
        <v>9</v>
      </c>
      <c r="AH374" s="8">
        <f t="shared" si="98"/>
        <v>26.775000000000006</v>
      </c>
      <c r="AI374" s="6">
        <v>0</v>
      </c>
      <c r="AJ374" s="8">
        <f t="shared" si="87"/>
        <v>26.775000000000006</v>
      </c>
      <c r="AK374" s="188">
        <f t="shared" si="99"/>
        <v>0.11111111111111115</v>
      </c>
    </row>
    <row r="375" spans="1:37" x14ac:dyDescent="0.2">
      <c r="A375" s="496"/>
      <c r="C375" s="6">
        <v>10</v>
      </c>
      <c r="D375" s="8">
        <f t="shared" si="88"/>
        <v>158.79999999999998</v>
      </c>
      <c r="E375" s="6">
        <v>0</v>
      </c>
      <c r="F375" s="8">
        <f>Ec_1138[[#This Row],[V_av]]-Ec_1138[[#This Row],[V_prel]]</f>
        <v>158.79999999999998</v>
      </c>
      <c r="G375" s="188">
        <f t="shared" si="89"/>
        <v>9.9999999999999978E-2</v>
      </c>
      <c r="I375" s="6">
        <v>10</v>
      </c>
      <c r="J375" s="8">
        <f t="shared" si="90"/>
        <v>89.2</v>
      </c>
      <c r="K375" s="6">
        <v>0</v>
      </c>
      <c r="L375" s="8">
        <f t="shared" si="83"/>
        <v>89.2</v>
      </c>
      <c r="M375" s="188">
        <f t="shared" si="91"/>
        <v>0.10000000000000002</v>
      </c>
      <c r="O375" s="6">
        <v>10</v>
      </c>
      <c r="P375" s="8">
        <f t="shared" si="92"/>
        <v>74.333333333333357</v>
      </c>
      <c r="Q375" s="6">
        <v>0</v>
      </c>
      <c r="R375" s="8">
        <f t="shared" si="84"/>
        <v>74.333333333333357</v>
      </c>
      <c r="S375" s="188">
        <f t="shared" si="93"/>
        <v>0.10000000000000002</v>
      </c>
      <c r="U375" s="6">
        <v>10</v>
      </c>
      <c r="V375" s="8">
        <f t="shared" si="94"/>
        <v>63.142857142857153</v>
      </c>
      <c r="W375" s="6">
        <v>0</v>
      </c>
      <c r="X375" s="8">
        <f t="shared" si="85"/>
        <v>63.142857142857153</v>
      </c>
      <c r="Y375" s="188">
        <f t="shared" si="95"/>
        <v>0.10000000000000002</v>
      </c>
      <c r="AA375" s="6">
        <v>10</v>
      </c>
      <c r="AB375" s="8">
        <f t="shared" si="96"/>
        <v>37.142857142857146</v>
      </c>
      <c r="AC375" s="6">
        <v>0</v>
      </c>
      <c r="AD375" s="8">
        <f t="shared" si="86"/>
        <v>37.142857142857146</v>
      </c>
      <c r="AE375" s="188">
        <f t="shared" si="97"/>
        <v>0.10000000000000002</v>
      </c>
      <c r="AG375" s="6">
        <v>10</v>
      </c>
      <c r="AH375" s="8">
        <f t="shared" si="98"/>
        <v>29.750000000000007</v>
      </c>
      <c r="AI375" s="6">
        <v>0</v>
      </c>
      <c r="AJ375" s="8">
        <f t="shared" si="87"/>
        <v>29.750000000000007</v>
      </c>
      <c r="AK375" s="188">
        <f t="shared" si="99"/>
        <v>0.10000000000000002</v>
      </c>
    </row>
    <row r="376" spans="1:37" x14ac:dyDescent="0.2">
      <c r="A376" s="496"/>
      <c r="C376" s="6">
        <v>11</v>
      </c>
      <c r="D376" s="8">
        <f t="shared" si="88"/>
        <v>174.67999999999998</v>
      </c>
      <c r="E376" s="6">
        <v>0</v>
      </c>
      <c r="F376" s="8">
        <f>Ec_1138[[#This Row],[V_av]]-Ec_1138[[#This Row],[V_prel]]</f>
        <v>174.67999999999998</v>
      </c>
      <c r="G376" s="188">
        <f t="shared" si="89"/>
        <v>9.0909090909090898E-2</v>
      </c>
      <c r="I376" s="6">
        <v>11</v>
      </c>
      <c r="J376" s="8">
        <f t="shared" si="90"/>
        <v>98.12</v>
      </c>
      <c r="K376" s="6">
        <v>0</v>
      </c>
      <c r="L376" s="8">
        <f t="shared" si="83"/>
        <v>98.12</v>
      </c>
      <c r="M376" s="188">
        <f t="shared" si="91"/>
        <v>9.0909090909090925E-2</v>
      </c>
      <c r="O376" s="6">
        <v>11</v>
      </c>
      <c r="P376" s="8">
        <f t="shared" si="92"/>
        <v>81.766666666666694</v>
      </c>
      <c r="Q376" s="6">
        <v>0</v>
      </c>
      <c r="R376" s="8">
        <f t="shared" si="84"/>
        <v>81.766666666666694</v>
      </c>
      <c r="S376" s="188">
        <f t="shared" si="93"/>
        <v>9.0909090909090925E-2</v>
      </c>
      <c r="U376" s="6">
        <v>11</v>
      </c>
      <c r="V376" s="8">
        <f t="shared" si="94"/>
        <v>69.45714285714287</v>
      </c>
      <c r="W376" s="6">
        <v>0</v>
      </c>
      <c r="X376" s="8">
        <f t="shared" si="85"/>
        <v>69.45714285714287</v>
      </c>
      <c r="Y376" s="188">
        <f t="shared" si="95"/>
        <v>9.0909090909090925E-2</v>
      </c>
      <c r="AA376" s="6">
        <v>11</v>
      </c>
      <c r="AB376" s="8">
        <f t="shared" si="96"/>
        <v>40.857142857142861</v>
      </c>
      <c r="AC376" s="6">
        <v>0</v>
      </c>
      <c r="AD376" s="8">
        <f t="shared" si="86"/>
        <v>40.857142857142861</v>
      </c>
      <c r="AE376" s="188">
        <f t="shared" si="97"/>
        <v>9.0909090909090925E-2</v>
      </c>
      <c r="AG376" s="6">
        <v>11</v>
      </c>
      <c r="AH376" s="8">
        <f t="shared" si="98"/>
        <v>32.725000000000009</v>
      </c>
      <c r="AI376" s="6">
        <v>0</v>
      </c>
      <c r="AJ376" s="8">
        <f t="shared" si="87"/>
        <v>32.725000000000009</v>
      </c>
      <c r="AK376" s="188">
        <f t="shared" si="99"/>
        <v>9.0909090909090925E-2</v>
      </c>
    </row>
    <row r="377" spans="1:37" x14ac:dyDescent="0.2">
      <c r="A377" s="496"/>
      <c r="C377" s="6">
        <v>12</v>
      </c>
      <c r="D377" s="8">
        <f t="shared" si="88"/>
        <v>190.55999999999997</v>
      </c>
      <c r="E377" s="6">
        <v>0</v>
      </c>
      <c r="F377" s="8">
        <f>Ec_1138[[#This Row],[V_av]]-Ec_1138[[#This Row],[V_prel]]</f>
        <v>190.55999999999997</v>
      </c>
      <c r="G377" s="188">
        <f t="shared" si="89"/>
        <v>8.3333333333333315E-2</v>
      </c>
      <c r="I377" s="6">
        <v>12</v>
      </c>
      <c r="J377" s="8">
        <f t="shared" si="90"/>
        <v>107.04</v>
      </c>
      <c r="K377" s="6">
        <v>0</v>
      </c>
      <c r="L377" s="8">
        <f t="shared" si="83"/>
        <v>107.04</v>
      </c>
      <c r="M377" s="188">
        <f t="shared" si="91"/>
        <v>8.3333333333333343E-2</v>
      </c>
      <c r="O377" s="6">
        <v>12</v>
      </c>
      <c r="P377" s="8">
        <f t="shared" si="92"/>
        <v>89.200000000000031</v>
      </c>
      <c r="Q377" s="6">
        <v>0</v>
      </c>
      <c r="R377" s="8">
        <f t="shared" si="84"/>
        <v>89.200000000000031</v>
      </c>
      <c r="S377" s="188">
        <f t="shared" si="93"/>
        <v>8.3333333333333343E-2</v>
      </c>
      <c r="U377" s="6">
        <v>12</v>
      </c>
      <c r="V377" s="8">
        <f t="shared" si="94"/>
        <v>75.771428571428586</v>
      </c>
      <c r="W377" s="6">
        <v>0</v>
      </c>
      <c r="X377" s="8">
        <f t="shared" si="85"/>
        <v>75.771428571428586</v>
      </c>
      <c r="Y377" s="188">
        <f t="shared" si="95"/>
        <v>8.3333333333333343E-2</v>
      </c>
      <c r="AA377" s="6">
        <v>12</v>
      </c>
      <c r="AB377" s="8">
        <f t="shared" si="96"/>
        <v>44.571428571428577</v>
      </c>
      <c r="AC377" s="6">
        <v>0</v>
      </c>
      <c r="AD377" s="8">
        <f t="shared" si="86"/>
        <v>44.571428571428577</v>
      </c>
      <c r="AE377" s="188">
        <f t="shared" si="97"/>
        <v>8.3333333333333343E-2</v>
      </c>
      <c r="AG377" s="6">
        <v>12</v>
      </c>
      <c r="AH377" s="8">
        <f t="shared" si="98"/>
        <v>35.70000000000001</v>
      </c>
      <c r="AI377" s="6">
        <v>0</v>
      </c>
      <c r="AJ377" s="8">
        <f t="shared" si="87"/>
        <v>35.70000000000001</v>
      </c>
      <c r="AK377" s="188">
        <f t="shared" si="99"/>
        <v>8.3333333333333356E-2</v>
      </c>
    </row>
    <row r="378" spans="1:37" x14ac:dyDescent="0.2">
      <c r="A378" s="496"/>
      <c r="C378" s="6">
        <v>13</v>
      </c>
      <c r="D378" s="8">
        <f t="shared" si="88"/>
        <v>206.43999999999997</v>
      </c>
      <c r="E378" s="6">
        <v>0</v>
      </c>
      <c r="F378" s="8">
        <f>Ec_1138[[#This Row],[V_av]]-Ec_1138[[#This Row],[V_prel]]</f>
        <v>206.43999999999997</v>
      </c>
      <c r="G378" s="188">
        <f t="shared" si="89"/>
        <v>7.6923076923076913E-2</v>
      </c>
      <c r="I378" s="6">
        <v>13</v>
      </c>
      <c r="J378" s="8">
        <f t="shared" si="90"/>
        <v>115.96000000000001</v>
      </c>
      <c r="K378" s="6">
        <v>0</v>
      </c>
      <c r="L378" s="8">
        <f t="shared" si="83"/>
        <v>115.96000000000001</v>
      </c>
      <c r="M378" s="188">
        <f t="shared" si="91"/>
        <v>7.6923076923076927E-2</v>
      </c>
      <c r="O378" s="6">
        <v>13</v>
      </c>
      <c r="P378" s="8">
        <f t="shared" si="92"/>
        <v>96.633333333333368</v>
      </c>
      <c r="Q378" s="6">
        <v>0</v>
      </c>
      <c r="R378" s="8">
        <f t="shared" si="84"/>
        <v>96.633333333333368</v>
      </c>
      <c r="S378" s="188">
        <f t="shared" si="93"/>
        <v>7.6923076923076941E-2</v>
      </c>
      <c r="U378" s="6">
        <v>13</v>
      </c>
      <c r="V378" s="8">
        <f t="shared" si="94"/>
        <v>82.085714285714303</v>
      </c>
      <c r="W378" s="6">
        <v>0</v>
      </c>
      <c r="X378" s="8">
        <f t="shared" si="85"/>
        <v>82.085714285714303</v>
      </c>
      <c r="Y378" s="188">
        <f t="shared" si="95"/>
        <v>7.6923076923076941E-2</v>
      </c>
      <c r="AA378" s="6">
        <v>13</v>
      </c>
      <c r="AB378" s="8">
        <f t="shared" si="96"/>
        <v>48.285714285714292</v>
      </c>
      <c r="AC378" s="6">
        <v>0</v>
      </c>
      <c r="AD378" s="8">
        <f t="shared" si="86"/>
        <v>48.285714285714292</v>
      </c>
      <c r="AE378" s="188">
        <f t="shared" si="97"/>
        <v>7.6923076923076941E-2</v>
      </c>
      <c r="AG378" s="6">
        <v>13</v>
      </c>
      <c r="AH378" s="8">
        <f t="shared" si="98"/>
        <v>38.675000000000011</v>
      </c>
      <c r="AI378" s="6">
        <v>0</v>
      </c>
      <c r="AJ378" s="8">
        <f t="shared" si="87"/>
        <v>38.675000000000011</v>
      </c>
      <c r="AK378" s="188">
        <f t="shared" si="99"/>
        <v>7.6923076923076941E-2</v>
      </c>
    </row>
    <row r="379" spans="1:37" x14ac:dyDescent="0.2">
      <c r="A379" s="496"/>
      <c r="C379" s="6">
        <v>14</v>
      </c>
      <c r="D379" s="8">
        <f t="shared" si="88"/>
        <v>222.31999999999996</v>
      </c>
      <c r="E379" s="6">
        <v>0</v>
      </c>
      <c r="F379" s="8">
        <f>Ec_1138[[#This Row],[V_av]]-Ec_1138[[#This Row],[V_prel]]</f>
        <v>222.31999999999996</v>
      </c>
      <c r="G379" s="188">
        <f t="shared" si="89"/>
        <v>7.1428571428571425E-2</v>
      </c>
      <c r="I379" s="6">
        <v>14</v>
      </c>
      <c r="J379" s="8">
        <f t="shared" si="90"/>
        <v>124.88000000000001</v>
      </c>
      <c r="K379" s="6">
        <v>0</v>
      </c>
      <c r="L379" s="8">
        <f t="shared" si="83"/>
        <v>124.88000000000001</v>
      </c>
      <c r="M379" s="188">
        <f t="shared" si="91"/>
        <v>7.1428571428571438E-2</v>
      </c>
      <c r="O379" s="6">
        <v>14</v>
      </c>
      <c r="P379" s="8">
        <f t="shared" si="92"/>
        <v>104.06666666666671</v>
      </c>
      <c r="Q379" s="6">
        <v>0</v>
      </c>
      <c r="R379" s="8">
        <f t="shared" si="84"/>
        <v>104.06666666666671</v>
      </c>
      <c r="S379" s="188">
        <f t="shared" si="93"/>
        <v>7.1428571428571438E-2</v>
      </c>
      <c r="U379" s="6">
        <v>14</v>
      </c>
      <c r="V379" s="8">
        <f t="shared" si="94"/>
        <v>88.40000000000002</v>
      </c>
      <c r="W379" s="6">
        <v>0</v>
      </c>
      <c r="X379" s="8">
        <f t="shared" si="85"/>
        <v>88.40000000000002</v>
      </c>
      <c r="Y379" s="188">
        <f t="shared" si="95"/>
        <v>7.1428571428571438E-2</v>
      </c>
      <c r="AA379" s="6">
        <v>14</v>
      </c>
      <c r="AB379" s="8">
        <f t="shared" si="96"/>
        <v>52.000000000000007</v>
      </c>
      <c r="AC379" s="6">
        <v>0</v>
      </c>
      <c r="AD379" s="8">
        <f t="shared" si="86"/>
        <v>52.000000000000007</v>
      </c>
      <c r="AE379" s="188">
        <f t="shared" si="97"/>
        <v>7.1428571428571438E-2</v>
      </c>
      <c r="AG379" s="6">
        <v>14</v>
      </c>
      <c r="AH379" s="8">
        <f t="shared" si="98"/>
        <v>41.650000000000013</v>
      </c>
      <c r="AI379" s="6">
        <v>0</v>
      </c>
      <c r="AJ379" s="8">
        <f t="shared" si="87"/>
        <v>41.650000000000013</v>
      </c>
      <c r="AK379" s="188">
        <f t="shared" si="99"/>
        <v>7.1428571428571438E-2</v>
      </c>
    </row>
    <row r="380" spans="1:37" x14ac:dyDescent="0.2">
      <c r="A380" s="496"/>
      <c r="C380" s="6">
        <v>15</v>
      </c>
      <c r="D380" s="8">
        <f t="shared" si="88"/>
        <v>238.19999999999996</v>
      </c>
      <c r="E380" s="6">
        <v>0</v>
      </c>
      <c r="F380" s="8">
        <f>Ec_1138[[#This Row],[V_av]]-Ec_1138[[#This Row],[V_prel]]</f>
        <v>238.19999999999996</v>
      </c>
      <c r="G380" s="188">
        <f t="shared" si="89"/>
        <v>6.6666666666666652E-2</v>
      </c>
      <c r="I380" s="6">
        <v>15</v>
      </c>
      <c r="J380" s="8">
        <f t="shared" si="90"/>
        <v>133.80000000000001</v>
      </c>
      <c r="K380" s="6">
        <v>0</v>
      </c>
      <c r="L380" s="8">
        <f t="shared" si="83"/>
        <v>133.80000000000001</v>
      </c>
      <c r="M380" s="188">
        <f t="shared" si="91"/>
        <v>6.666666666666668E-2</v>
      </c>
      <c r="O380" s="6">
        <v>15</v>
      </c>
      <c r="P380" s="8">
        <f t="shared" si="92"/>
        <v>111.50000000000004</v>
      </c>
      <c r="Q380" s="6">
        <v>0</v>
      </c>
      <c r="R380" s="8">
        <f t="shared" si="84"/>
        <v>111.50000000000004</v>
      </c>
      <c r="S380" s="188">
        <f t="shared" si="93"/>
        <v>6.666666666666668E-2</v>
      </c>
      <c r="U380" s="6">
        <v>15</v>
      </c>
      <c r="V380" s="8">
        <f t="shared" si="94"/>
        <v>94.714285714285737</v>
      </c>
      <c r="W380" s="6">
        <v>0</v>
      </c>
      <c r="X380" s="8">
        <f t="shared" si="85"/>
        <v>94.714285714285737</v>
      </c>
      <c r="Y380" s="188">
        <f t="shared" si="95"/>
        <v>6.666666666666668E-2</v>
      </c>
      <c r="AA380" s="6">
        <v>15</v>
      </c>
      <c r="AB380" s="8">
        <f t="shared" si="96"/>
        <v>55.714285714285722</v>
      </c>
      <c r="AC380" s="6">
        <v>0</v>
      </c>
      <c r="AD380" s="8">
        <f t="shared" si="86"/>
        <v>55.714285714285722</v>
      </c>
      <c r="AE380" s="188">
        <f t="shared" si="97"/>
        <v>6.666666666666668E-2</v>
      </c>
      <c r="AG380" s="6">
        <v>15</v>
      </c>
      <c r="AH380" s="8">
        <f t="shared" si="98"/>
        <v>44.625000000000014</v>
      </c>
      <c r="AI380" s="6">
        <v>0</v>
      </c>
      <c r="AJ380" s="8">
        <f t="shared" si="87"/>
        <v>44.625000000000014</v>
      </c>
      <c r="AK380" s="188">
        <f t="shared" si="99"/>
        <v>6.666666666666668E-2</v>
      </c>
    </row>
    <row r="381" spans="1:37" x14ac:dyDescent="0.2">
      <c r="A381" s="496"/>
      <c r="C381" s="6">
        <v>16</v>
      </c>
      <c r="D381" s="8">
        <f t="shared" si="88"/>
        <v>254.07999999999996</v>
      </c>
      <c r="E381" s="6">
        <v>0</v>
      </c>
      <c r="F381" s="8">
        <f>Ec_1138[[#This Row],[V_av]]-Ec_1138[[#This Row],[V_prel]]</f>
        <v>254.07999999999996</v>
      </c>
      <c r="G381" s="188">
        <f t="shared" si="89"/>
        <v>6.2499999999999993E-2</v>
      </c>
      <c r="I381" s="6">
        <v>16</v>
      </c>
      <c r="J381" s="8">
        <f t="shared" si="90"/>
        <v>142.72</v>
      </c>
      <c r="K381" s="6">
        <v>0</v>
      </c>
      <c r="L381" s="8">
        <f t="shared" si="83"/>
        <v>142.72</v>
      </c>
      <c r="M381" s="188">
        <f t="shared" si="91"/>
        <v>6.249999999999991E-2</v>
      </c>
      <c r="O381" s="6">
        <v>16</v>
      </c>
      <c r="P381" s="8">
        <f t="shared" si="92"/>
        <v>118.93333333333338</v>
      </c>
      <c r="Q381" s="6">
        <v>0</v>
      </c>
      <c r="R381" s="8">
        <f t="shared" si="84"/>
        <v>118.93333333333338</v>
      </c>
      <c r="S381" s="188">
        <f t="shared" si="93"/>
        <v>6.2500000000000014E-2</v>
      </c>
      <c r="U381" s="6">
        <v>16</v>
      </c>
      <c r="V381" s="8">
        <f t="shared" si="94"/>
        <v>101.02857142857145</v>
      </c>
      <c r="W381" s="6">
        <v>0</v>
      </c>
      <c r="X381" s="8">
        <f t="shared" si="85"/>
        <v>101.02857142857145</v>
      </c>
      <c r="Y381" s="188">
        <f t="shared" si="95"/>
        <v>6.2500000000000014E-2</v>
      </c>
      <c r="AA381" s="6">
        <v>16</v>
      </c>
      <c r="AB381" s="8">
        <f t="shared" si="96"/>
        <v>59.428571428571438</v>
      </c>
      <c r="AC381" s="6">
        <v>0</v>
      </c>
      <c r="AD381" s="8">
        <f t="shared" si="86"/>
        <v>59.428571428571438</v>
      </c>
      <c r="AE381" s="188">
        <f t="shared" si="97"/>
        <v>6.2500000000000014E-2</v>
      </c>
      <c r="AG381" s="6">
        <v>16</v>
      </c>
      <c r="AH381" s="8">
        <f t="shared" si="98"/>
        <v>47.600000000000016</v>
      </c>
      <c r="AI381" s="6">
        <v>0</v>
      </c>
      <c r="AJ381" s="8">
        <f t="shared" si="87"/>
        <v>47.600000000000016</v>
      </c>
      <c r="AK381" s="188">
        <f t="shared" si="99"/>
        <v>6.2500000000000014E-2</v>
      </c>
    </row>
    <row r="382" spans="1:37" x14ac:dyDescent="0.2">
      <c r="A382" s="496"/>
      <c r="C382" s="6">
        <v>17</v>
      </c>
      <c r="D382" s="8">
        <f t="shared" si="88"/>
        <v>269.95999999999998</v>
      </c>
      <c r="E382" s="6">
        <v>0</v>
      </c>
      <c r="F382" s="8">
        <f>Ec_1138[[#This Row],[V_av]]-Ec_1138[[#This Row],[V_prel]]</f>
        <v>269.95999999999998</v>
      </c>
      <c r="G382" s="188">
        <f t="shared" si="89"/>
        <v>5.8823529411764802E-2</v>
      </c>
      <c r="I382" s="6">
        <v>17</v>
      </c>
      <c r="J382" s="8">
        <f t="shared" si="90"/>
        <v>151.63999999999999</v>
      </c>
      <c r="K382" s="6">
        <v>0</v>
      </c>
      <c r="L382" s="8">
        <f t="shared" si="83"/>
        <v>151.63999999999999</v>
      </c>
      <c r="M382" s="188">
        <f t="shared" si="91"/>
        <v>5.8823529411764629E-2</v>
      </c>
      <c r="O382" s="6">
        <v>17</v>
      </c>
      <c r="P382" s="8">
        <f t="shared" si="92"/>
        <v>126.36666666666672</v>
      </c>
      <c r="Q382" s="6">
        <v>0</v>
      </c>
      <c r="R382" s="8">
        <f t="shared" si="84"/>
        <v>126.36666666666672</v>
      </c>
      <c r="S382" s="188">
        <f t="shared" si="93"/>
        <v>5.8823529411764712E-2</v>
      </c>
      <c r="U382" s="6">
        <v>17</v>
      </c>
      <c r="V382" s="8">
        <f t="shared" si="94"/>
        <v>107.34285714285717</v>
      </c>
      <c r="W382" s="6">
        <v>0</v>
      </c>
      <c r="X382" s="8">
        <f t="shared" si="85"/>
        <v>107.34285714285717</v>
      </c>
      <c r="Y382" s="188">
        <f t="shared" si="95"/>
        <v>5.8823529411764712E-2</v>
      </c>
      <c r="AA382" s="6">
        <v>17</v>
      </c>
      <c r="AB382" s="8">
        <f t="shared" si="96"/>
        <v>63.142857142857153</v>
      </c>
      <c r="AC382" s="6">
        <v>0</v>
      </c>
      <c r="AD382" s="8">
        <f t="shared" si="86"/>
        <v>63.142857142857153</v>
      </c>
      <c r="AE382" s="188">
        <f t="shared" si="97"/>
        <v>5.8823529411764712E-2</v>
      </c>
      <c r="AG382" s="6">
        <v>17</v>
      </c>
      <c r="AH382" s="8">
        <f t="shared" si="98"/>
        <v>50.575000000000017</v>
      </c>
      <c r="AI382" s="6">
        <v>0</v>
      </c>
      <c r="AJ382" s="8">
        <f t="shared" si="87"/>
        <v>50.575000000000017</v>
      </c>
      <c r="AK382" s="188">
        <f t="shared" si="99"/>
        <v>5.8823529411764712E-2</v>
      </c>
    </row>
    <row r="383" spans="1:37" x14ac:dyDescent="0.2">
      <c r="A383" s="496"/>
      <c r="C383" s="6">
        <v>18</v>
      </c>
      <c r="D383" s="8">
        <f t="shared" si="88"/>
        <v>285.83999999999997</v>
      </c>
      <c r="E383" s="6">
        <v>0</v>
      </c>
      <c r="F383" s="8">
        <f>Ec_1138[[#This Row],[V_av]]-Ec_1138[[#This Row],[V_prel]]</f>
        <v>285.83999999999997</v>
      </c>
      <c r="G383" s="188">
        <f t="shared" si="89"/>
        <v>5.5555555555555546E-2</v>
      </c>
      <c r="I383" s="6">
        <v>18</v>
      </c>
      <c r="J383" s="8">
        <f t="shared" si="90"/>
        <v>160.55999999999997</v>
      </c>
      <c r="K383" s="6">
        <v>0</v>
      </c>
      <c r="L383" s="8">
        <f t="shared" si="83"/>
        <v>160.55999999999997</v>
      </c>
      <c r="M383" s="188">
        <f t="shared" si="91"/>
        <v>5.555555555555549E-2</v>
      </c>
      <c r="O383" s="6">
        <v>18</v>
      </c>
      <c r="P383" s="8">
        <f t="shared" si="92"/>
        <v>133.80000000000004</v>
      </c>
      <c r="Q383" s="6">
        <v>0</v>
      </c>
      <c r="R383" s="8">
        <f t="shared" si="84"/>
        <v>133.80000000000004</v>
      </c>
      <c r="S383" s="188">
        <f t="shared" si="93"/>
        <v>5.5555555555555462E-2</v>
      </c>
      <c r="U383" s="6">
        <v>18</v>
      </c>
      <c r="V383" s="8">
        <f t="shared" si="94"/>
        <v>113.65714285714289</v>
      </c>
      <c r="W383" s="6">
        <v>0</v>
      </c>
      <c r="X383" s="8">
        <f t="shared" si="85"/>
        <v>113.65714285714289</v>
      </c>
      <c r="Y383" s="188">
        <f t="shared" si="95"/>
        <v>5.5555555555555559E-2</v>
      </c>
      <c r="AA383" s="6">
        <v>18</v>
      </c>
      <c r="AB383" s="8">
        <f t="shared" si="96"/>
        <v>66.857142857142861</v>
      </c>
      <c r="AC383" s="6">
        <v>0</v>
      </c>
      <c r="AD383" s="8">
        <f t="shared" si="86"/>
        <v>66.857142857142861</v>
      </c>
      <c r="AE383" s="188">
        <f t="shared" si="97"/>
        <v>5.5555555555555462E-2</v>
      </c>
      <c r="AG383" s="6">
        <v>18</v>
      </c>
      <c r="AH383" s="8">
        <f t="shared" si="98"/>
        <v>53.550000000000018</v>
      </c>
      <c r="AI383" s="6">
        <v>0</v>
      </c>
      <c r="AJ383" s="8">
        <f t="shared" si="87"/>
        <v>53.550000000000018</v>
      </c>
      <c r="AK383" s="188">
        <f t="shared" si="99"/>
        <v>5.5555555555555566E-2</v>
      </c>
    </row>
    <row r="384" spans="1:37" x14ac:dyDescent="0.2">
      <c r="A384" s="496"/>
      <c r="C384" s="6">
        <v>19</v>
      </c>
      <c r="D384" s="8">
        <f t="shared" si="88"/>
        <v>301.71999999999997</v>
      </c>
      <c r="E384" s="6">
        <v>0</v>
      </c>
      <c r="F384" s="8">
        <f>Ec_1138[[#This Row],[V_av]]-Ec_1138[[#This Row],[V_prel]]</f>
        <v>301.71999999999997</v>
      </c>
      <c r="G384" s="188">
        <f t="shared" si="89"/>
        <v>5.2631578947368411E-2</v>
      </c>
      <c r="I384" s="6">
        <v>19</v>
      </c>
      <c r="J384" s="8">
        <f t="shared" si="90"/>
        <v>169.47999999999996</v>
      </c>
      <c r="K384" s="6">
        <v>0</v>
      </c>
      <c r="L384" s="8">
        <f t="shared" si="83"/>
        <v>169.47999999999996</v>
      </c>
      <c r="M384" s="188">
        <f t="shared" si="91"/>
        <v>5.2631578947368363E-2</v>
      </c>
      <c r="O384" s="6">
        <v>19</v>
      </c>
      <c r="P384" s="8">
        <f t="shared" si="92"/>
        <v>141.23333333333338</v>
      </c>
      <c r="Q384" s="6">
        <v>0</v>
      </c>
      <c r="R384" s="8">
        <f t="shared" si="84"/>
        <v>141.23333333333338</v>
      </c>
      <c r="S384" s="188">
        <f t="shared" si="93"/>
        <v>5.2631578947368432E-2</v>
      </c>
      <c r="U384" s="6">
        <v>19</v>
      </c>
      <c r="V384" s="8">
        <f t="shared" si="94"/>
        <v>119.9714285714286</v>
      </c>
      <c r="W384" s="6">
        <v>0</v>
      </c>
      <c r="X384" s="8">
        <f t="shared" si="85"/>
        <v>119.9714285714286</v>
      </c>
      <c r="Y384" s="188">
        <f t="shared" si="95"/>
        <v>5.2631578947368425E-2</v>
      </c>
      <c r="AA384" s="6">
        <v>19</v>
      </c>
      <c r="AB384" s="8">
        <f t="shared" si="96"/>
        <v>70.571428571428569</v>
      </c>
      <c r="AC384" s="6">
        <v>0</v>
      </c>
      <c r="AD384" s="8">
        <f t="shared" si="86"/>
        <v>70.571428571428569</v>
      </c>
      <c r="AE384" s="188">
        <f t="shared" si="97"/>
        <v>5.2631578947368335E-2</v>
      </c>
      <c r="AG384" s="6">
        <v>19</v>
      </c>
      <c r="AH384" s="8">
        <f t="shared" si="98"/>
        <v>56.52500000000002</v>
      </c>
      <c r="AI384" s="6">
        <v>0</v>
      </c>
      <c r="AJ384" s="8">
        <f t="shared" si="87"/>
        <v>56.52500000000002</v>
      </c>
      <c r="AK384" s="188">
        <f t="shared" si="99"/>
        <v>5.2631578947368425E-2</v>
      </c>
    </row>
    <row r="385" spans="1:37" x14ac:dyDescent="0.2">
      <c r="A385" s="496"/>
      <c r="C385" s="6">
        <v>20</v>
      </c>
      <c r="D385" s="8">
        <f t="shared" si="88"/>
        <v>317.59999999999997</v>
      </c>
      <c r="E385" s="6">
        <v>0</v>
      </c>
      <c r="F385" s="8">
        <f>Ec_1138[[#This Row],[V_av]]-Ec_1138[[#This Row],[V_prel]]</f>
        <v>317.59999999999997</v>
      </c>
      <c r="G385" s="188">
        <f t="shared" si="89"/>
        <v>4.9999999999999989E-2</v>
      </c>
      <c r="I385" s="6">
        <v>20</v>
      </c>
      <c r="J385" s="8">
        <f t="shared" si="90"/>
        <v>178.39999999999995</v>
      </c>
      <c r="K385" s="6">
        <v>0</v>
      </c>
      <c r="L385" s="8">
        <f t="shared" si="83"/>
        <v>178.39999999999995</v>
      </c>
      <c r="M385" s="188">
        <f t="shared" si="91"/>
        <v>4.9999999999999947E-2</v>
      </c>
      <c r="O385" s="6">
        <v>20</v>
      </c>
      <c r="P385" s="8">
        <f t="shared" si="92"/>
        <v>148.66666666666671</v>
      </c>
      <c r="Q385" s="6">
        <v>0</v>
      </c>
      <c r="R385" s="8">
        <f t="shared" si="84"/>
        <v>148.66666666666671</v>
      </c>
      <c r="S385" s="188">
        <f t="shared" si="93"/>
        <v>5.000000000000001E-2</v>
      </c>
      <c r="U385" s="6">
        <v>20</v>
      </c>
      <c r="V385" s="8">
        <f t="shared" si="94"/>
        <v>126.28571428571432</v>
      </c>
      <c r="W385" s="6">
        <v>0</v>
      </c>
      <c r="X385" s="8">
        <f t="shared" si="85"/>
        <v>126.28571428571432</v>
      </c>
      <c r="Y385" s="188">
        <f t="shared" si="95"/>
        <v>0.05</v>
      </c>
      <c r="AA385" s="6">
        <v>20</v>
      </c>
      <c r="AB385" s="8">
        <f t="shared" si="96"/>
        <v>74.285714285714278</v>
      </c>
      <c r="AC385" s="6">
        <v>0</v>
      </c>
      <c r="AD385" s="8">
        <f t="shared" si="86"/>
        <v>74.285714285714278</v>
      </c>
      <c r="AE385" s="188">
        <f t="shared" si="97"/>
        <v>4.9999999999999926E-2</v>
      </c>
      <c r="AG385" s="6">
        <v>20</v>
      </c>
      <c r="AH385" s="8">
        <f t="shared" si="98"/>
        <v>59.500000000000021</v>
      </c>
      <c r="AI385" s="6">
        <v>0</v>
      </c>
      <c r="AJ385" s="8">
        <f t="shared" si="87"/>
        <v>59.500000000000021</v>
      </c>
      <c r="AK385" s="188">
        <f t="shared" si="99"/>
        <v>0.05</v>
      </c>
    </row>
    <row r="386" spans="1:37" x14ac:dyDescent="0.2">
      <c r="A386" s="496"/>
      <c r="C386" s="6">
        <v>21</v>
      </c>
      <c r="D386" s="8">
        <f t="shared" si="88"/>
        <v>333.47999999999996</v>
      </c>
      <c r="E386" s="6">
        <v>0</v>
      </c>
      <c r="F386" s="8">
        <f>Ec_1138[[#This Row],[V_av]]-Ec_1138[[#This Row],[V_prel]]</f>
        <v>333.47999999999996</v>
      </c>
      <c r="G386" s="188">
        <f t="shared" si="89"/>
        <v>4.7619047619047609E-2</v>
      </c>
      <c r="I386" s="6">
        <v>21</v>
      </c>
      <c r="J386" s="8">
        <f t="shared" si="90"/>
        <v>187.31999999999994</v>
      </c>
      <c r="K386" s="6">
        <v>0</v>
      </c>
      <c r="L386" s="8">
        <f t="shared" si="83"/>
        <v>187.31999999999994</v>
      </c>
      <c r="M386" s="188">
        <f t="shared" si="91"/>
        <v>4.7619047619047568E-2</v>
      </c>
      <c r="O386" s="6">
        <v>21</v>
      </c>
      <c r="P386" s="8">
        <f t="shared" si="92"/>
        <v>156.10000000000005</v>
      </c>
      <c r="Q386" s="6">
        <v>0</v>
      </c>
      <c r="R386" s="8">
        <f t="shared" si="84"/>
        <v>156.10000000000005</v>
      </c>
      <c r="S386" s="188">
        <f t="shared" si="93"/>
        <v>4.761904761904763E-2</v>
      </c>
      <c r="U386" s="6">
        <v>21</v>
      </c>
      <c r="V386" s="8">
        <f t="shared" si="94"/>
        <v>132.60000000000002</v>
      </c>
      <c r="W386" s="6">
        <v>0</v>
      </c>
      <c r="X386" s="8">
        <f t="shared" si="85"/>
        <v>132.60000000000002</v>
      </c>
      <c r="Y386" s="188">
        <f t="shared" si="95"/>
        <v>4.7619047619047519E-2</v>
      </c>
      <c r="AA386" s="6">
        <v>21</v>
      </c>
      <c r="AB386" s="8">
        <f t="shared" si="96"/>
        <v>77.999999999999986</v>
      </c>
      <c r="AC386" s="6">
        <v>0</v>
      </c>
      <c r="AD386" s="8">
        <f t="shared" si="86"/>
        <v>77.999999999999986</v>
      </c>
      <c r="AE386" s="188">
        <f t="shared" si="97"/>
        <v>4.7619047619047547E-2</v>
      </c>
      <c r="AG386" s="6">
        <v>21</v>
      </c>
      <c r="AH386" s="8">
        <f t="shared" si="98"/>
        <v>62.475000000000023</v>
      </c>
      <c r="AI386" s="6">
        <v>0</v>
      </c>
      <c r="AJ386" s="8">
        <f t="shared" si="87"/>
        <v>62.475000000000023</v>
      </c>
      <c r="AK386" s="188">
        <f t="shared" si="99"/>
        <v>4.7619047619047623E-2</v>
      </c>
    </row>
    <row r="387" spans="1:37" x14ac:dyDescent="0.2">
      <c r="A387" s="496"/>
      <c r="C387" s="6">
        <v>22</v>
      </c>
      <c r="D387" s="8">
        <f t="shared" si="88"/>
        <v>349.35999999999996</v>
      </c>
      <c r="E387" s="6">
        <v>0</v>
      </c>
      <c r="F387" s="8">
        <f>Ec_1138[[#This Row],[V_av]]-Ec_1138[[#This Row],[V_prel]]</f>
        <v>349.35999999999996</v>
      </c>
      <c r="G387" s="188">
        <f t="shared" si="89"/>
        <v>4.5454545454545449E-2</v>
      </c>
      <c r="I387" s="6">
        <v>22</v>
      </c>
      <c r="J387" s="8">
        <f t="shared" si="90"/>
        <v>196.23999999999992</v>
      </c>
      <c r="K387" s="6">
        <v>0</v>
      </c>
      <c r="L387" s="8">
        <f t="shared" si="83"/>
        <v>196.23999999999992</v>
      </c>
      <c r="M387" s="188">
        <f t="shared" si="91"/>
        <v>4.5454545454545407E-2</v>
      </c>
      <c r="O387" s="6">
        <v>22</v>
      </c>
      <c r="P387" s="8">
        <f t="shared" si="92"/>
        <v>163.53333333333339</v>
      </c>
      <c r="Q387" s="6">
        <v>0</v>
      </c>
      <c r="R387" s="8">
        <f t="shared" si="84"/>
        <v>163.53333333333339</v>
      </c>
      <c r="S387" s="188">
        <f t="shared" si="93"/>
        <v>4.5454545454545463E-2</v>
      </c>
      <c r="U387" s="6">
        <v>22</v>
      </c>
      <c r="V387" s="8">
        <f t="shared" si="94"/>
        <v>138.91428571428574</v>
      </c>
      <c r="W387" s="6">
        <v>0</v>
      </c>
      <c r="X387" s="8">
        <f t="shared" si="85"/>
        <v>138.91428571428574</v>
      </c>
      <c r="Y387" s="188">
        <f t="shared" si="95"/>
        <v>4.5454545454545463E-2</v>
      </c>
      <c r="AA387" s="6">
        <v>22</v>
      </c>
      <c r="AB387" s="8">
        <f t="shared" si="96"/>
        <v>81.714285714285694</v>
      </c>
      <c r="AC387" s="6">
        <v>0</v>
      </c>
      <c r="AD387" s="8">
        <f t="shared" si="86"/>
        <v>81.714285714285694</v>
      </c>
      <c r="AE387" s="188">
        <f t="shared" si="97"/>
        <v>4.5454545454545393E-2</v>
      </c>
      <c r="AG387" s="6">
        <v>22</v>
      </c>
      <c r="AH387" s="8">
        <f t="shared" si="98"/>
        <v>65.450000000000017</v>
      </c>
      <c r="AI387" s="6">
        <v>0</v>
      </c>
      <c r="AJ387" s="8">
        <f t="shared" si="87"/>
        <v>65.450000000000017</v>
      </c>
      <c r="AK387" s="188">
        <f t="shared" si="99"/>
        <v>4.5454545454545359E-2</v>
      </c>
    </row>
    <row r="388" spans="1:37" x14ac:dyDescent="0.2">
      <c r="A388" s="496"/>
      <c r="C388" s="6">
        <v>23</v>
      </c>
      <c r="D388" s="8">
        <f t="shared" si="88"/>
        <v>365.23999999999995</v>
      </c>
      <c r="E388" s="6">
        <v>0</v>
      </c>
      <c r="F388" s="8">
        <f>Ec_1138[[#This Row],[V_av]]-Ec_1138[[#This Row],[V_prel]]</f>
        <v>365.23999999999995</v>
      </c>
      <c r="G388" s="188">
        <f t="shared" si="89"/>
        <v>4.3478260869565209E-2</v>
      </c>
      <c r="I388" s="6">
        <v>23</v>
      </c>
      <c r="J388" s="8">
        <f t="shared" si="90"/>
        <v>205.15999999999991</v>
      </c>
      <c r="K388" s="6">
        <v>0</v>
      </c>
      <c r="L388" s="8">
        <f t="shared" si="83"/>
        <v>205.15999999999991</v>
      </c>
      <c r="M388" s="188">
        <f t="shared" si="91"/>
        <v>4.3478260869565175E-2</v>
      </c>
      <c r="O388" s="6">
        <v>23</v>
      </c>
      <c r="P388" s="8">
        <f t="shared" si="92"/>
        <v>170.96666666666673</v>
      </c>
      <c r="Q388" s="6">
        <v>0</v>
      </c>
      <c r="R388" s="8">
        <f t="shared" si="84"/>
        <v>170.96666666666673</v>
      </c>
      <c r="S388" s="188">
        <f t="shared" si="93"/>
        <v>4.3478260869565223E-2</v>
      </c>
      <c r="U388" s="6">
        <v>23</v>
      </c>
      <c r="V388" s="8">
        <f t="shared" si="94"/>
        <v>145.22857142857146</v>
      </c>
      <c r="W388" s="6">
        <v>0</v>
      </c>
      <c r="X388" s="8">
        <f t="shared" si="85"/>
        <v>145.22857142857146</v>
      </c>
      <c r="Y388" s="188">
        <f t="shared" si="95"/>
        <v>4.3478260869565223E-2</v>
      </c>
      <c r="AA388" s="6">
        <v>23</v>
      </c>
      <c r="AB388" s="8">
        <f t="shared" si="96"/>
        <v>85.428571428571402</v>
      </c>
      <c r="AC388" s="6">
        <v>0</v>
      </c>
      <c r="AD388" s="8">
        <f t="shared" si="86"/>
        <v>85.428571428571402</v>
      </c>
      <c r="AE388" s="188">
        <f t="shared" si="97"/>
        <v>4.3478260869565161E-2</v>
      </c>
      <c r="AG388" s="6">
        <v>23</v>
      </c>
      <c r="AH388" s="8">
        <f t="shared" si="98"/>
        <v>68.425000000000011</v>
      </c>
      <c r="AI388" s="6">
        <v>0</v>
      </c>
      <c r="AJ388" s="8">
        <f t="shared" si="87"/>
        <v>68.425000000000011</v>
      </c>
      <c r="AK388" s="188">
        <f t="shared" si="99"/>
        <v>4.3478260869565126E-2</v>
      </c>
    </row>
    <row r="389" spans="1:37" x14ac:dyDescent="0.2">
      <c r="A389" s="496"/>
      <c r="C389" s="6">
        <v>24</v>
      </c>
      <c r="D389" s="8">
        <f t="shared" si="88"/>
        <v>381.11999999999995</v>
      </c>
      <c r="E389" s="6">
        <v>0</v>
      </c>
      <c r="F389" s="8">
        <f>Ec_1138[[#This Row],[V_av]]-Ec_1138[[#This Row],[V_prel]]</f>
        <v>381.11999999999995</v>
      </c>
      <c r="G389" s="188">
        <f t="shared" si="89"/>
        <v>4.1666666666666657E-2</v>
      </c>
      <c r="I389" s="6">
        <v>24</v>
      </c>
      <c r="J389" s="8">
        <f t="shared" si="90"/>
        <v>214.0799999999999</v>
      </c>
      <c r="K389" s="6">
        <v>0</v>
      </c>
      <c r="L389" s="8">
        <f t="shared" si="83"/>
        <v>214.0799999999999</v>
      </c>
      <c r="M389" s="188">
        <f t="shared" si="91"/>
        <v>4.166666666666663E-2</v>
      </c>
      <c r="O389" s="6">
        <v>24</v>
      </c>
      <c r="P389" s="8">
        <f t="shared" si="92"/>
        <v>178.40000000000006</v>
      </c>
      <c r="Q389" s="6">
        <v>0</v>
      </c>
      <c r="R389" s="8">
        <f t="shared" si="84"/>
        <v>178.40000000000006</v>
      </c>
      <c r="S389" s="188">
        <f t="shared" si="93"/>
        <v>4.1666666666666671E-2</v>
      </c>
      <c r="U389" s="6">
        <v>24</v>
      </c>
      <c r="V389" s="8">
        <f t="shared" si="94"/>
        <v>151.54285714285717</v>
      </c>
      <c r="W389" s="6">
        <v>0</v>
      </c>
      <c r="X389" s="8">
        <f t="shared" si="85"/>
        <v>151.54285714285717</v>
      </c>
      <c r="Y389" s="188">
        <f t="shared" si="95"/>
        <v>4.1666666666666671E-2</v>
      </c>
      <c r="AA389" s="6">
        <v>24</v>
      </c>
      <c r="AB389" s="8">
        <f t="shared" si="96"/>
        <v>89.14285714285711</v>
      </c>
      <c r="AC389" s="6">
        <v>0</v>
      </c>
      <c r="AD389" s="8">
        <f t="shared" si="86"/>
        <v>89.14285714285711</v>
      </c>
      <c r="AE389" s="188">
        <f t="shared" si="97"/>
        <v>4.1666666666666616E-2</v>
      </c>
      <c r="AG389" s="6">
        <v>24</v>
      </c>
      <c r="AH389" s="8">
        <f t="shared" si="98"/>
        <v>71.400000000000006</v>
      </c>
      <c r="AI389" s="6">
        <v>0</v>
      </c>
      <c r="AJ389" s="8">
        <f t="shared" si="87"/>
        <v>71.400000000000006</v>
      </c>
      <c r="AK389" s="188">
        <f t="shared" si="99"/>
        <v>4.1666666666666581E-2</v>
      </c>
    </row>
    <row r="390" spans="1:37" x14ac:dyDescent="0.2">
      <c r="A390" s="496"/>
      <c r="C390" s="7">
        <v>25</v>
      </c>
      <c r="D390" s="7">
        <v>397</v>
      </c>
      <c r="E390" s="7">
        <v>70</v>
      </c>
      <c r="F390" s="7">
        <v>327</v>
      </c>
      <c r="G390" s="188">
        <f t="shared" si="89"/>
        <v>4.0000000000000133E-2</v>
      </c>
      <c r="I390" s="7">
        <v>25</v>
      </c>
      <c r="J390" s="7">
        <v>223</v>
      </c>
      <c r="K390" s="7">
        <v>25</v>
      </c>
      <c r="L390" s="7">
        <v>198</v>
      </c>
      <c r="M390" s="188">
        <f t="shared" si="91"/>
        <v>4.0000000000000452E-2</v>
      </c>
      <c r="O390" s="6">
        <v>25</v>
      </c>
      <c r="P390" s="8">
        <f t="shared" si="92"/>
        <v>185.8333333333334</v>
      </c>
      <c r="Q390" s="6">
        <v>0</v>
      </c>
      <c r="R390" s="8">
        <f t="shared" si="84"/>
        <v>185.8333333333334</v>
      </c>
      <c r="S390" s="188">
        <f t="shared" si="93"/>
        <v>4.0000000000000008E-2</v>
      </c>
      <c r="U390" s="6">
        <v>25</v>
      </c>
      <c r="V390" s="8">
        <f t="shared" si="94"/>
        <v>157.85714285714289</v>
      </c>
      <c r="W390" s="6">
        <v>0</v>
      </c>
      <c r="X390" s="8">
        <f t="shared" si="85"/>
        <v>157.85714285714289</v>
      </c>
      <c r="Y390" s="188">
        <f t="shared" si="95"/>
        <v>4.0000000000000008E-2</v>
      </c>
      <c r="AA390" s="6">
        <v>25</v>
      </c>
      <c r="AB390" s="8">
        <f t="shared" si="96"/>
        <v>92.857142857142819</v>
      </c>
      <c r="AC390" s="6">
        <v>0</v>
      </c>
      <c r="AD390" s="8">
        <f t="shared" si="86"/>
        <v>92.857142857142819</v>
      </c>
      <c r="AE390" s="188">
        <f t="shared" si="97"/>
        <v>3.9999999999999952E-2</v>
      </c>
      <c r="AG390" s="6">
        <v>25</v>
      </c>
      <c r="AH390" s="8">
        <f t="shared" si="98"/>
        <v>74.375</v>
      </c>
      <c r="AI390" s="6">
        <v>0</v>
      </c>
      <c r="AJ390" s="8">
        <f t="shared" si="87"/>
        <v>74.375</v>
      </c>
      <c r="AK390" s="188">
        <f t="shared" si="99"/>
        <v>3.9999999999999925E-2</v>
      </c>
    </row>
    <row r="391" spans="1:37" x14ac:dyDescent="0.2">
      <c r="A391" s="496"/>
      <c r="C391" s="6">
        <v>26</v>
      </c>
      <c r="D391" s="8">
        <f>($D$395-$F$390)/($C$395-$C$390)+F390</f>
        <v>355.6</v>
      </c>
      <c r="E391" s="6">
        <v>0</v>
      </c>
      <c r="F391" s="8">
        <f>Ec_1138[[#This Row],[V_av]]-Ec_1138[[#This Row],[V_prel]]</f>
        <v>355.6</v>
      </c>
      <c r="G391" s="188">
        <f t="shared" si="89"/>
        <v>8.0427446569178912E-2</v>
      </c>
      <c r="I391" s="6">
        <v>26</v>
      </c>
      <c r="J391" s="8">
        <f>($J$395-$L$390)/($I$395-$I$390)+L390</f>
        <v>224.4</v>
      </c>
      <c r="K391" s="6">
        <v>0</v>
      </c>
      <c r="L391" s="8">
        <f>J391-K391</f>
        <v>224.4</v>
      </c>
      <c r="M391" s="188">
        <f t="shared" si="91"/>
        <v>0.11764705882352944</v>
      </c>
      <c r="O391" s="6">
        <v>26</v>
      </c>
      <c r="P391" s="8">
        <f t="shared" si="92"/>
        <v>193.26666666666674</v>
      </c>
      <c r="Q391" s="6">
        <v>0</v>
      </c>
      <c r="R391" s="8">
        <f t="shared" si="84"/>
        <v>193.26666666666674</v>
      </c>
      <c r="S391" s="188">
        <f t="shared" si="93"/>
        <v>3.8461538461538471E-2</v>
      </c>
      <c r="U391" s="6">
        <v>26</v>
      </c>
      <c r="V391" s="8">
        <f t="shared" si="94"/>
        <v>164.17142857142861</v>
      </c>
      <c r="W391" s="6">
        <v>0</v>
      </c>
      <c r="X391" s="8">
        <f t="shared" si="85"/>
        <v>164.17142857142861</v>
      </c>
      <c r="Y391" s="188">
        <f t="shared" si="95"/>
        <v>3.8461538461538471E-2</v>
      </c>
      <c r="AA391" s="6">
        <v>26</v>
      </c>
      <c r="AB391" s="8">
        <f t="shared" si="96"/>
        <v>96.571428571428527</v>
      </c>
      <c r="AC391" s="6">
        <v>0</v>
      </c>
      <c r="AD391" s="8">
        <f t="shared" si="86"/>
        <v>96.571428571428527</v>
      </c>
      <c r="AE391" s="188">
        <f t="shared" si="97"/>
        <v>3.8461538461538415E-2</v>
      </c>
      <c r="AG391" s="6">
        <v>26</v>
      </c>
      <c r="AH391" s="8">
        <f t="shared" si="98"/>
        <v>77.349999999999994</v>
      </c>
      <c r="AI391" s="6">
        <v>0</v>
      </c>
      <c r="AJ391" s="8">
        <f t="shared" si="87"/>
        <v>77.349999999999994</v>
      </c>
      <c r="AK391" s="188">
        <f t="shared" si="99"/>
        <v>3.8461538461538394E-2</v>
      </c>
    </row>
    <row r="392" spans="1:37" x14ac:dyDescent="0.2">
      <c r="A392" s="496"/>
      <c r="C392" s="6">
        <v>27</v>
      </c>
      <c r="D392" s="8">
        <f>($D$395-$F$390)/($C$395-$C$390)+D391</f>
        <v>384.20000000000005</v>
      </c>
      <c r="E392" s="6">
        <v>0</v>
      </c>
      <c r="F392" s="8">
        <f>Ec_1138[[#This Row],[V_av]]-Ec_1138[[#This Row],[V_prel]]</f>
        <v>384.20000000000005</v>
      </c>
      <c r="G392" s="188">
        <f t="shared" si="89"/>
        <v>7.4440395627277514E-2</v>
      </c>
      <c r="I392" s="6">
        <v>27</v>
      </c>
      <c r="J392" s="8">
        <f>($J$395-$L$390)/($I$395-$I$390)+J391</f>
        <v>250.8</v>
      </c>
      <c r="K392" s="6">
        <v>0</v>
      </c>
      <c r="L392" s="8">
        <f>J392-K392</f>
        <v>250.8</v>
      </c>
      <c r="M392" s="188">
        <f t="shared" si="91"/>
        <v>0.10526315789473686</v>
      </c>
      <c r="O392" s="6">
        <v>27</v>
      </c>
      <c r="P392" s="8">
        <f t="shared" si="92"/>
        <v>200.70000000000007</v>
      </c>
      <c r="Q392" s="6">
        <v>0</v>
      </c>
      <c r="R392" s="8">
        <f t="shared" si="84"/>
        <v>200.70000000000007</v>
      </c>
      <c r="S392" s="188">
        <f t="shared" si="93"/>
        <v>3.7037037037037042E-2</v>
      </c>
      <c r="U392" s="6">
        <v>27</v>
      </c>
      <c r="V392" s="8">
        <f t="shared" si="94"/>
        <v>170.48571428571432</v>
      </c>
      <c r="W392" s="6">
        <v>0</v>
      </c>
      <c r="X392" s="8">
        <f t="shared" si="85"/>
        <v>170.48571428571432</v>
      </c>
      <c r="Y392" s="188">
        <f t="shared" si="95"/>
        <v>3.7037037037037042E-2</v>
      </c>
      <c r="AA392" s="6">
        <v>27</v>
      </c>
      <c r="AB392" s="8">
        <f t="shared" si="96"/>
        <v>100.28571428571423</v>
      </c>
      <c r="AC392" s="6">
        <v>0</v>
      </c>
      <c r="AD392" s="8">
        <f t="shared" si="86"/>
        <v>100.28571428571423</v>
      </c>
      <c r="AE392" s="188">
        <f t="shared" si="97"/>
        <v>3.7037037037036993E-2</v>
      </c>
      <c r="AG392" s="6">
        <v>27</v>
      </c>
      <c r="AH392" s="8">
        <f t="shared" si="98"/>
        <v>80.324999999999989</v>
      </c>
      <c r="AI392" s="6">
        <v>0</v>
      </c>
      <c r="AJ392" s="8">
        <f t="shared" si="87"/>
        <v>80.324999999999989</v>
      </c>
      <c r="AK392" s="188">
        <f t="shared" si="99"/>
        <v>3.7037037037036973E-2</v>
      </c>
    </row>
    <row r="393" spans="1:37" x14ac:dyDescent="0.2">
      <c r="A393" s="496"/>
      <c r="C393" s="6">
        <v>28</v>
      </c>
      <c r="D393" s="8">
        <f t="shared" ref="D393:D394" si="100">($D$395-$F$390)/($C$395-$C$390)+D392</f>
        <v>412.80000000000007</v>
      </c>
      <c r="E393" s="6">
        <v>0</v>
      </c>
      <c r="F393" s="8">
        <f>Ec_1138[[#This Row],[V_av]]-Ec_1138[[#This Row],[V_prel]]</f>
        <v>412.80000000000007</v>
      </c>
      <c r="G393" s="188">
        <f t="shared" si="89"/>
        <v>6.9282945736434148E-2</v>
      </c>
      <c r="I393" s="6">
        <v>28</v>
      </c>
      <c r="J393" s="8">
        <f t="shared" ref="J393:J394" si="101">($J$395-$L$390)/($I$395-$I$390)+J392</f>
        <v>277.2</v>
      </c>
      <c r="K393" s="6">
        <v>0</v>
      </c>
      <c r="L393" s="8">
        <f>J393-K393</f>
        <v>277.2</v>
      </c>
      <c r="M393" s="188">
        <f t="shared" si="91"/>
        <v>9.5238095238095163E-2</v>
      </c>
      <c r="O393" s="6">
        <v>28</v>
      </c>
      <c r="P393" s="8">
        <f t="shared" si="92"/>
        <v>208.13333333333341</v>
      </c>
      <c r="Q393" s="6">
        <v>0</v>
      </c>
      <c r="R393" s="8">
        <f t="shared" si="84"/>
        <v>208.13333333333341</v>
      </c>
      <c r="S393" s="188">
        <f t="shared" si="93"/>
        <v>3.5714285714285719E-2</v>
      </c>
      <c r="U393" s="6">
        <v>28</v>
      </c>
      <c r="V393" s="8">
        <f t="shared" si="94"/>
        <v>176.80000000000004</v>
      </c>
      <c r="W393" s="6">
        <v>0</v>
      </c>
      <c r="X393" s="8">
        <f t="shared" si="85"/>
        <v>176.80000000000004</v>
      </c>
      <c r="Y393" s="188">
        <f t="shared" si="95"/>
        <v>3.5714285714285719E-2</v>
      </c>
      <c r="AA393" s="6">
        <v>28</v>
      </c>
      <c r="AB393" s="8">
        <f t="shared" si="96"/>
        <v>103.99999999999994</v>
      </c>
      <c r="AC393" s="6">
        <v>0</v>
      </c>
      <c r="AD393" s="8">
        <f t="shared" si="86"/>
        <v>103.99999999999994</v>
      </c>
      <c r="AE393" s="188">
        <f t="shared" si="97"/>
        <v>3.5714285714285678E-2</v>
      </c>
      <c r="AG393" s="6">
        <v>28</v>
      </c>
      <c r="AH393" s="8">
        <f t="shared" si="98"/>
        <v>83.299999999999983</v>
      </c>
      <c r="AI393" s="6">
        <v>0</v>
      </c>
      <c r="AJ393" s="8">
        <f t="shared" si="87"/>
        <v>83.299999999999983</v>
      </c>
      <c r="AK393" s="188">
        <f t="shared" si="99"/>
        <v>3.5714285714285657E-2</v>
      </c>
    </row>
    <row r="394" spans="1:37" x14ac:dyDescent="0.2">
      <c r="A394" s="496"/>
      <c r="C394" s="6">
        <v>29</v>
      </c>
      <c r="D394" s="8">
        <f t="shared" si="100"/>
        <v>441.40000000000009</v>
      </c>
      <c r="E394" s="6">
        <v>0</v>
      </c>
      <c r="F394" s="8">
        <f>Ec_1138[[#This Row],[V_av]]-Ec_1138[[#This Row],[V_prel]]</f>
        <v>441.40000000000009</v>
      </c>
      <c r="G394" s="188">
        <f t="shared" si="89"/>
        <v>6.4793837788853684E-2</v>
      </c>
      <c r="I394" s="6">
        <v>29</v>
      </c>
      <c r="J394" s="8">
        <f t="shared" si="101"/>
        <v>303.59999999999997</v>
      </c>
      <c r="K394" s="6">
        <v>0</v>
      </c>
      <c r="L394" s="8">
        <f>J394-K394</f>
        <v>303.59999999999997</v>
      </c>
      <c r="M394" s="188">
        <f t="shared" si="91"/>
        <v>8.6956521739130363E-2</v>
      </c>
      <c r="O394" s="6">
        <v>29</v>
      </c>
      <c r="P394" s="8">
        <f t="shared" si="92"/>
        <v>215.56666666666675</v>
      </c>
      <c r="Q394" s="6">
        <v>0</v>
      </c>
      <c r="R394" s="8">
        <f t="shared" si="84"/>
        <v>215.56666666666675</v>
      </c>
      <c r="S394" s="188">
        <f t="shared" si="93"/>
        <v>3.4482758620689662E-2</v>
      </c>
      <c r="U394" s="6">
        <v>29</v>
      </c>
      <c r="V394" s="8">
        <f t="shared" si="94"/>
        <v>183.11428571428576</v>
      </c>
      <c r="W394" s="6">
        <v>0</v>
      </c>
      <c r="X394" s="8">
        <f t="shared" si="85"/>
        <v>183.11428571428576</v>
      </c>
      <c r="Y394" s="188">
        <f t="shared" si="95"/>
        <v>3.4482758620689662E-2</v>
      </c>
      <c r="AA394" s="6">
        <v>29</v>
      </c>
      <c r="AB394" s="8">
        <f t="shared" si="96"/>
        <v>107.71428571428565</v>
      </c>
      <c r="AC394" s="6">
        <v>0</v>
      </c>
      <c r="AD394" s="8">
        <f t="shared" si="86"/>
        <v>107.71428571428565</v>
      </c>
      <c r="AE394" s="188">
        <f t="shared" si="97"/>
        <v>3.448275862068962E-2</v>
      </c>
      <c r="AG394" s="6">
        <v>29</v>
      </c>
      <c r="AH394" s="8">
        <f t="shared" si="98"/>
        <v>86.274999999999977</v>
      </c>
      <c r="AI394" s="6">
        <v>0</v>
      </c>
      <c r="AJ394" s="8">
        <f t="shared" si="87"/>
        <v>86.274999999999977</v>
      </c>
      <c r="AK394" s="188">
        <f t="shared" si="99"/>
        <v>3.4482758620689599E-2</v>
      </c>
    </row>
    <row r="395" spans="1:37" x14ac:dyDescent="0.2">
      <c r="A395" s="496"/>
      <c r="C395" s="7">
        <v>30</v>
      </c>
      <c r="D395" s="7">
        <v>470</v>
      </c>
      <c r="E395" s="7">
        <v>49</v>
      </c>
      <c r="F395" s="7">
        <v>421</v>
      </c>
      <c r="G395" s="188">
        <f t="shared" si="89"/>
        <v>6.0851063829787042E-2</v>
      </c>
      <c r="I395" s="7">
        <v>30</v>
      </c>
      <c r="J395" s="7">
        <v>330</v>
      </c>
      <c r="K395" s="7">
        <v>32</v>
      </c>
      <c r="L395" s="7">
        <v>298</v>
      </c>
      <c r="M395" s="188">
        <f t="shared" si="91"/>
        <v>8.0000000000000099E-2</v>
      </c>
      <c r="O395" s="7">
        <v>30</v>
      </c>
      <c r="P395" s="7">
        <v>223</v>
      </c>
      <c r="Q395" s="7">
        <v>25</v>
      </c>
      <c r="R395" s="7">
        <v>198</v>
      </c>
      <c r="S395" s="188">
        <f t="shared" si="93"/>
        <v>3.3333333333332965E-2</v>
      </c>
      <c r="U395" s="6">
        <v>30</v>
      </c>
      <c r="V395" s="8">
        <f t="shared" si="94"/>
        <v>189.42857142857147</v>
      </c>
      <c r="W395" s="6">
        <v>0</v>
      </c>
      <c r="X395" s="8">
        <f t="shared" si="85"/>
        <v>189.42857142857147</v>
      </c>
      <c r="Y395" s="188">
        <f t="shared" si="95"/>
        <v>3.333333333333334E-2</v>
      </c>
      <c r="AA395" s="6">
        <v>30</v>
      </c>
      <c r="AB395" s="8">
        <f t="shared" si="96"/>
        <v>111.42857142857136</v>
      </c>
      <c r="AC395" s="6">
        <v>0</v>
      </c>
      <c r="AD395" s="8">
        <f t="shared" si="86"/>
        <v>111.42857142857136</v>
      </c>
      <c r="AE395" s="188">
        <f t="shared" si="97"/>
        <v>3.3333333333333298E-2</v>
      </c>
      <c r="AG395" s="6">
        <v>30</v>
      </c>
      <c r="AH395" s="8">
        <f t="shared" si="98"/>
        <v>89.249999999999972</v>
      </c>
      <c r="AI395" s="6">
        <v>0</v>
      </c>
      <c r="AJ395" s="8">
        <f t="shared" si="87"/>
        <v>89.249999999999972</v>
      </c>
      <c r="AK395" s="188">
        <f t="shared" si="99"/>
        <v>3.3333333333333277E-2</v>
      </c>
    </row>
    <row r="396" spans="1:37" x14ac:dyDescent="0.2">
      <c r="A396" s="496"/>
      <c r="C396" s="7">
        <v>35</v>
      </c>
      <c r="D396" s="7">
        <v>550</v>
      </c>
      <c r="E396" s="7">
        <v>51</v>
      </c>
      <c r="F396" s="7">
        <v>499</v>
      </c>
      <c r="G396" s="188">
        <f t="shared" si="89"/>
        <v>4.6909090909090914E-2</v>
      </c>
      <c r="U396" s="6">
        <v>31</v>
      </c>
      <c r="V396" s="8">
        <f t="shared" si="94"/>
        <v>195.74285714285719</v>
      </c>
      <c r="W396" s="6">
        <v>0</v>
      </c>
      <c r="X396" s="8">
        <f t="shared" si="85"/>
        <v>195.74285714285719</v>
      </c>
      <c r="Y396" s="188">
        <f t="shared" si="95"/>
        <v>3.2258064516129038E-2</v>
      </c>
      <c r="AA396" s="6">
        <v>31</v>
      </c>
      <c r="AB396" s="8">
        <f t="shared" si="96"/>
        <v>115.14285714285707</v>
      </c>
      <c r="AC396" s="6">
        <v>0</v>
      </c>
      <c r="AD396" s="8">
        <f t="shared" si="86"/>
        <v>115.14285714285707</v>
      </c>
      <c r="AE396" s="188">
        <f t="shared" si="97"/>
        <v>3.2258064516129004E-2</v>
      </c>
      <c r="AG396" s="6">
        <v>31</v>
      </c>
      <c r="AH396" s="8">
        <f t="shared" si="98"/>
        <v>92.224999999999966</v>
      </c>
      <c r="AI396" s="6">
        <v>0</v>
      </c>
      <c r="AJ396" s="8">
        <f t="shared" si="87"/>
        <v>92.224999999999966</v>
      </c>
      <c r="AK396" s="188">
        <f t="shared" si="99"/>
        <v>3.2258064516128983E-2</v>
      </c>
    </row>
    <row r="397" spans="1:37" x14ac:dyDescent="0.2">
      <c r="A397" s="496"/>
      <c r="C397" s="7">
        <v>40</v>
      </c>
      <c r="D397" s="7">
        <v>613</v>
      </c>
      <c r="E397" s="7">
        <v>48</v>
      </c>
      <c r="F397" s="7">
        <v>565</v>
      </c>
      <c r="G397" s="188">
        <f t="shared" si="89"/>
        <v>3.719412724306688E-2</v>
      </c>
      <c r="U397" s="6">
        <v>32</v>
      </c>
      <c r="V397" s="8">
        <f t="shared" si="94"/>
        <v>202.05714285714291</v>
      </c>
      <c r="W397" s="6">
        <v>0</v>
      </c>
      <c r="X397" s="8">
        <f t="shared" si="85"/>
        <v>202.05714285714291</v>
      </c>
      <c r="Y397" s="188">
        <f t="shared" si="95"/>
        <v>3.1250000000000007E-2</v>
      </c>
      <c r="AA397" s="6">
        <v>32</v>
      </c>
      <c r="AB397" s="8">
        <f t="shared" si="96"/>
        <v>118.85714285714278</v>
      </c>
      <c r="AC397" s="6">
        <v>0</v>
      </c>
      <c r="AD397" s="8">
        <f t="shared" si="86"/>
        <v>118.85714285714278</v>
      </c>
      <c r="AE397" s="188">
        <f t="shared" si="97"/>
        <v>3.1249999999999969E-2</v>
      </c>
      <c r="AG397" s="6">
        <v>32</v>
      </c>
      <c r="AH397" s="8">
        <f t="shared" si="98"/>
        <v>95.19999999999996</v>
      </c>
      <c r="AI397" s="6">
        <v>0</v>
      </c>
      <c r="AJ397" s="8">
        <f t="shared" si="87"/>
        <v>95.19999999999996</v>
      </c>
      <c r="AK397" s="188">
        <f t="shared" si="99"/>
        <v>3.1249999999999955E-2</v>
      </c>
    </row>
    <row r="398" spans="1:37" x14ac:dyDescent="0.2">
      <c r="A398" s="496"/>
      <c r="C398" s="7">
        <v>45</v>
      </c>
      <c r="D398" s="7">
        <v>663</v>
      </c>
      <c r="E398" s="7">
        <v>44</v>
      </c>
      <c r="F398" s="7">
        <v>619</v>
      </c>
      <c r="G398" s="188">
        <f t="shared" si="89"/>
        <v>2.956259426847662E-2</v>
      </c>
      <c r="U398" s="6">
        <v>33</v>
      </c>
      <c r="V398" s="8">
        <f t="shared" si="94"/>
        <v>208.37142857142862</v>
      </c>
      <c r="W398" s="6">
        <v>0</v>
      </c>
      <c r="X398" s="8">
        <f t="shared" si="85"/>
        <v>208.37142857142862</v>
      </c>
      <c r="Y398" s="188">
        <f t="shared" si="95"/>
        <v>3.0303030303030307E-2</v>
      </c>
      <c r="AA398" s="6">
        <v>33</v>
      </c>
      <c r="AB398" s="8">
        <f t="shared" si="96"/>
        <v>122.57142857142848</v>
      </c>
      <c r="AC398" s="6">
        <v>0</v>
      </c>
      <c r="AD398" s="8">
        <f t="shared" si="86"/>
        <v>122.57142857142848</v>
      </c>
      <c r="AE398" s="188">
        <f t="shared" si="97"/>
        <v>3.0303030303030276E-2</v>
      </c>
      <c r="AG398" s="6">
        <v>33</v>
      </c>
      <c r="AH398" s="8">
        <f t="shared" si="98"/>
        <v>98.174999999999955</v>
      </c>
      <c r="AI398" s="6">
        <v>0</v>
      </c>
      <c r="AJ398" s="8">
        <f t="shared" si="87"/>
        <v>98.174999999999955</v>
      </c>
      <c r="AK398" s="188">
        <f t="shared" si="99"/>
        <v>3.0303030303030259E-2</v>
      </c>
    </row>
    <row r="399" spans="1:37" x14ac:dyDescent="0.2">
      <c r="A399" s="496"/>
      <c r="C399" s="7">
        <v>50</v>
      </c>
      <c r="D399" s="7">
        <v>705</v>
      </c>
      <c r="E399" s="7">
        <v>41</v>
      </c>
      <c r="F399" s="7">
        <v>664</v>
      </c>
      <c r="G399" s="188">
        <f t="shared" si="89"/>
        <v>2.4397163120567375E-2</v>
      </c>
      <c r="U399" s="6">
        <v>34</v>
      </c>
      <c r="V399" s="8">
        <f t="shared" si="94"/>
        <v>214.68571428571434</v>
      </c>
      <c r="W399" s="6">
        <v>0</v>
      </c>
      <c r="X399" s="8">
        <f t="shared" si="85"/>
        <v>214.68571428571434</v>
      </c>
      <c r="Y399" s="188">
        <f t="shared" si="95"/>
        <v>2.9411764705882356E-2</v>
      </c>
      <c r="AA399" s="6">
        <v>34</v>
      </c>
      <c r="AB399" s="8">
        <f t="shared" si="96"/>
        <v>126.28571428571419</v>
      </c>
      <c r="AC399" s="6">
        <v>0</v>
      </c>
      <c r="AD399" s="8">
        <f t="shared" si="86"/>
        <v>126.28571428571419</v>
      </c>
      <c r="AE399" s="188">
        <f t="shared" si="97"/>
        <v>2.9411764705882325E-2</v>
      </c>
      <c r="AG399" s="6">
        <v>34</v>
      </c>
      <c r="AH399" s="8">
        <f t="shared" si="98"/>
        <v>101.14999999999995</v>
      </c>
      <c r="AI399" s="6">
        <v>0</v>
      </c>
      <c r="AJ399" s="8">
        <f t="shared" si="87"/>
        <v>101.14999999999995</v>
      </c>
      <c r="AK399" s="188">
        <f t="shared" si="99"/>
        <v>2.9411764705882311E-2</v>
      </c>
    </row>
    <row r="400" spans="1:37" x14ac:dyDescent="0.2">
      <c r="A400" s="496"/>
      <c r="C400" s="7">
        <v>55</v>
      </c>
      <c r="D400" s="7">
        <v>736</v>
      </c>
      <c r="E400" s="7">
        <v>40</v>
      </c>
      <c r="F400" s="7">
        <v>696</v>
      </c>
      <c r="G400" s="188">
        <f t="shared" si="89"/>
        <v>1.9565217391304349E-2</v>
      </c>
      <c r="U400" s="7">
        <v>35</v>
      </c>
      <c r="V400" s="13">
        <v>221</v>
      </c>
      <c r="W400" s="7">
        <v>25</v>
      </c>
      <c r="X400" s="13">
        <v>196</v>
      </c>
      <c r="Y400" s="188">
        <f t="shared" si="95"/>
        <v>2.8571428571428324E-2</v>
      </c>
      <c r="AA400" s="7">
        <v>35</v>
      </c>
      <c r="AB400" s="7">
        <v>130</v>
      </c>
      <c r="AC400" s="7">
        <v>8</v>
      </c>
      <c r="AD400" s="7">
        <v>122</v>
      </c>
      <c r="AE400" s="188">
        <f t="shared" si="97"/>
        <v>2.8571428571429289E-2</v>
      </c>
      <c r="AG400" s="6">
        <v>35</v>
      </c>
      <c r="AH400" s="8">
        <f t="shared" si="98"/>
        <v>104.12499999999994</v>
      </c>
      <c r="AI400" s="6">
        <v>0</v>
      </c>
      <c r="AJ400" s="8">
        <f t="shared" si="87"/>
        <v>104.12499999999994</v>
      </c>
      <c r="AK400" s="188">
        <f t="shared" si="99"/>
        <v>2.8571428571428532E-2</v>
      </c>
    </row>
    <row r="401" spans="1:37" x14ac:dyDescent="0.2">
      <c r="A401" s="496"/>
      <c r="C401" s="7">
        <v>60</v>
      </c>
      <c r="D401" s="7">
        <v>759</v>
      </c>
      <c r="E401" s="7">
        <v>36</v>
      </c>
      <c r="F401" s="7">
        <v>723</v>
      </c>
      <c r="G401" s="188">
        <f t="shared" si="89"/>
        <v>1.6600790513833993E-2</v>
      </c>
      <c r="AG401" s="6">
        <v>36</v>
      </c>
      <c r="AH401" s="8">
        <f t="shared" si="98"/>
        <v>107.09999999999994</v>
      </c>
      <c r="AI401" s="6">
        <v>0</v>
      </c>
      <c r="AJ401" s="8">
        <f t="shared" si="87"/>
        <v>107.09999999999994</v>
      </c>
      <c r="AK401" s="188">
        <f t="shared" si="99"/>
        <v>2.7777777777777742E-2</v>
      </c>
    </row>
    <row r="402" spans="1:37" x14ac:dyDescent="0.2">
      <c r="A402" s="496"/>
      <c r="C402" s="7">
        <v>65</v>
      </c>
      <c r="D402" s="7">
        <v>774</v>
      </c>
      <c r="E402" s="7">
        <v>36</v>
      </c>
      <c r="F402" s="7">
        <v>738</v>
      </c>
      <c r="G402" s="188">
        <f t="shared" si="89"/>
        <v>1.3178294573643412E-2</v>
      </c>
      <c r="AG402" s="6">
        <v>37</v>
      </c>
      <c r="AH402" s="8">
        <f t="shared" si="98"/>
        <v>110.07499999999993</v>
      </c>
      <c r="AI402" s="6">
        <v>0</v>
      </c>
      <c r="AJ402" s="8">
        <f t="shared" si="87"/>
        <v>110.07499999999993</v>
      </c>
      <c r="AK402" s="188">
        <f t="shared" si="99"/>
        <v>2.7027027027026994E-2</v>
      </c>
    </row>
    <row r="403" spans="1:37" x14ac:dyDescent="0.2">
      <c r="A403" s="496"/>
      <c r="C403" s="7">
        <v>70</v>
      </c>
      <c r="D403" s="7">
        <v>783</v>
      </c>
      <c r="E403" s="7">
        <v>33</v>
      </c>
      <c r="F403" s="7">
        <v>750</v>
      </c>
      <c r="G403" s="188">
        <f t="shared" si="89"/>
        <v>1.1494252873563218E-2</v>
      </c>
      <c r="AG403" s="6">
        <v>38</v>
      </c>
      <c r="AH403" s="8">
        <f t="shared" si="98"/>
        <v>113.04999999999993</v>
      </c>
      <c r="AI403" s="6">
        <v>0</v>
      </c>
      <c r="AJ403" s="8">
        <f t="shared" si="87"/>
        <v>113.04999999999993</v>
      </c>
      <c r="AK403" s="188">
        <f t="shared" si="99"/>
        <v>2.6315789473684178E-2</v>
      </c>
    </row>
    <row r="404" spans="1:37" x14ac:dyDescent="0.2">
      <c r="A404" s="496"/>
      <c r="C404" s="7">
        <v>75</v>
      </c>
      <c r="D404" s="7">
        <v>790</v>
      </c>
      <c r="E404" s="7">
        <v>30</v>
      </c>
      <c r="F404" s="7">
        <v>760</v>
      </c>
      <c r="G404" s="188">
        <f t="shared" si="89"/>
        <v>1.0126582278481013E-2</v>
      </c>
      <c r="AG404" s="6">
        <v>39</v>
      </c>
      <c r="AH404" s="8">
        <f t="shared" si="98"/>
        <v>116.02499999999992</v>
      </c>
      <c r="AI404" s="6">
        <v>0</v>
      </c>
      <c r="AJ404" s="8">
        <f t="shared" si="87"/>
        <v>116.02499999999992</v>
      </c>
      <c r="AK404" s="188">
        <f t="shared" si="99"/>
        <v>2.5641025641025609E-2</v>
      </c>
    </row>
    <row r="405" spans="1:37" x14ac:dyDescent="0.2">
      <c r="A405" s="496"/>
      <c r="C405" s="7">
        <v>80</v>
      </c>
      <c r="D405" s="7">
        <v>795</v>
      </c>
      <c r="E405" s="7">
        <v>795</v>
      </c>
      <c r="F405" s="7">
        <v>0</v>
      </c>
      <c r="G405" s="188">
        <f t="shared" si="89"/>
        <v>8.8050314465408803E-3</v>
      </c>
      <c r="AG405" s="7">
        <v>40</v>
      </c>
      <c r="AH405" s="7">
        <v>119</v>
      </c>
      <c r="AI405" s="7">
        <v>7</v>
      </c>
      <c r="AJ405" s="7">
        <v>112</v>
      </c>
      <c r="AK405" s="188">
        <f t="shared" si="99"/>
        <v>2.5000000000000668E-2</v>
      </c>
    </row>
    <row r="408" spans="1:37" ht="15" customHeight="1" x14ac:dyDescent="0.2">
      <c r="A408" s="496" t="s">
        <v>708</v>
      </c>
      <c r="C408" s="7" t="s">
        <v>967</v>
      </c>
      <c r="D408" s="9" t="s">
        <v>133</v>
      </c>
      <c r="I408" s="7" t="s">
        <v>971</v>
      </c>
      <c r="O408" s="7" t="s">
        <v>970</v>
      </c>
      <c r="U408" s="7" t="s">
        <v>969</v>
      </c>
      <c r="AA408" s="7" t="s">
        <v>968</v>
      </c>
    </row>
    <row r="409" spans="1:37" x14ac:dyDescent="0.2">
      <c r="A409" s="496"/>
      <c r="C409" s="6" t="s">
        <v>125</v>
      </c>
      <c r="D409" s="6" t="s">
        <v>126</v>
      </c>
      <c r="E409" s="6" t="s">
        <v>127</v>
      </c>
      <c r="F409" s="6" t="s">
        <v>128</v>
      </c>
      <c r="G409" s="194" t="s">
        <v>699</v>
      </c>
      <c r="I409" s="176" t="s">
        <v>125</v>
      </c>
      <c r="J409" s="176" t="s">
        <v>126</v>
      </c>
      <c r="K409" s="176" t="s">
        <v>127</v>
      </c>
      <c r="L409" s="176" t="s">
        <v>128</v>
      </c>
      <c r="M409" s="202" t="s">
        <v>699</v>
      </c>
      <c r="O409" s="176" t="s">
        <v>125</v>
      </c>
      <c r="P409" s="176" t="s">
        <v>126</v>
      </c>
      <c r="Q409" s="176" t="s">
        <v>127</v>
      </c>
      <c r="R409" s="176" t="s">
        <v>128</v>
      </c>
      <c r="S409" s="196" t="s">
        <v>699</v>
      </c>
      <c r="U409" s="176" t="s">
        <v>125</v>
      </c>
      <c r="V409" s="176" t="s">
        <v>126</v>
      </c>
      <c r="W409" s="176" t="s">
        <v>127</v>
      </c>
      <c r="X409" s="176" t="s">
        <v>128</v>
      </c>
      <c r="Y409" s="196" t="s">
        <v>699</v>
      </c>
      <c r="AA409" s="176" t="s">
        <v>125</v>
      </c>
      <c r="AB409" s="176" t="s">
        <v>126</v>
      </c>
      <c r="AC409" s="176" t="s">
        <v>127</v>
      </c>
      <c r="AD409" s="176" t="s">
        <v>128</v>
      </c>
      <c r="AE409" s="196" t="s">
        <v>699</v>
      </c>
    </row>
    <row r="410" spans="1:37" x14ac:dyDescent="0.2">
      <c r="A410" s="496"/>
      <c r="C410" s="6">
        <v>1</v>
      </c>
      <c r="D410" s="14">
        <f>D421/C421</f>
        <v>3.85</v>
      </c>
      <c r="E410" s="6">
        <v>0</v>
      </c>
      <c r="F410" s="14">
        <f>Pm_1147[[#This Row],[V_av]]-Pm_1147[[#This Row],[V_prel]]</f>
        <v>3.85</v>
      </c>
      <c r="G410" s="194">
        <v>0</v>
      </c>
      <c r="I410" s="6">
        <v>1</v>
      </c>
      <c r="J410" s="14">
        <f>J421/I421</f>
        <v>2.9666666666666668</v>
      </c>
      <c r="K410" s="6">
        <v>0</v>
      </c>
      <c r="L410" s="14">
        <f>J410-K410</f>
        <v>2.9666666666666668</v>
      </c>
      <c r="M410" s="243">
        <v>0</v>
      </c>
      <c r="O410" s="6">
        <v>1</v>
      </c>
      <c r="P410" s="14">
        <f>P421/O421</f>
        <v>2.0833333333333335</v>
      </c>
      <c r="Q410" s="6">
        <v>0</v>
      </c>
      <c r="R410" s="14">
        <f>P410-Q410</f>
        <v>2.0833333333333335</v>
      </c>
      <c r="S410" s="193">
        <v>0</v>
      </c>
      <c r="U410" s="6">
        <v>1</v>
      </c>
      <c r="V410" s="14">
        <f>V421/U421</f>
        <v>1.3166666666666667</v>
      </c>
      <c r="W410" s="6">
        <v>0</v>
      </c>
      <c r="X410" s="14">
        <f>V410-W410</f>
        <v>1.3166666666666667</v>
      </c>
      <c r="Y410" s="193">
        <v>0</v>
      </c>
      <c r="AA410" s="6">
        <v>1</v>
      </c>
      <c r="AB410" s="14">
        <f>AB421/AA421</f>
        <v>0.78333333333333333</v>
      </c>
      <c r="AC410" s="6">
        <v>0</v>
      </c>
      <c r="AD410" s="14">
        <f>AB410-AC410</f>
        <v>0.78333333333333333</v>
      </c>
      <c r="AE410" s="193">
        <v>0</v>
      </c>
    </row>
    <row r="411" spans="1:37" x14ac:dyDescent="0.2">
      <c r="A411" s="496"/>
      <c r="C411" s="6">
        <v>2</v>
      </c>
      <c r="D411" s="14">
        <f>$D$421/$C$421+F410</f>
        <v>7.7</v>
      </c>
      <c r="E411" s="6">
        <v>0</v>
      </c>
      <c r="F411" s="14">
        <f>Pm_1147[[#This Row],[V_av]]-Pm_1147[[#This Row],[V_prel]]</f>
        <v>7.7</v>
      </c>
      <c r="G411" s="188">
        <f>((D411-F410)/D411)/(C411-C410)</f>
        <v>0.5</v>
      </c>
      <c r="I411" s="6">
        <v>2</v>
      </c>
      <c r="J411" s="14">
        <f>$J$421/$I$421+L410</f>
        <v>5.9333333333333336</v>
      </c>
      <c r="K411" s="6">
        <v>0</v>
      </c>
      <c r="L411" s="14">
        <f t="shared" ref="L411:L420" si="102">J411-K411</f>
        <v>5.9333333333333336</v>
      </c>
      <c r="M411" s="197">
        <f>((J411-L410)/J411)/(I411-I410)</f>
        <v>0.5</v>
      </c>
      <c r="O411" s="6">
        <v>2</v>
      </c>
      <c r="P411" s="14">
        <f>$P$421/$O$421+R410</f>
        <v>4.166666666666667</v>
      </c>
      <c r="Q411" s="6">
        <v>0</v>
      </c>
      <c r="R411" s="14">
        <f t="shared" ref="R411:R442" si="103">P411-Q411</f>
        <v>4.166666666666667</v>
      </c>
      <c r="S411" s="188">
        <f>((P411-R410)/P411)/(O411-O410)</f>
        <v>0.5</v>
      </c>
      <c r="U411" s="6">
        <v>2</v>
      </c>
      <c r="V411" s="14">
        <f>$V$421/$U$421+X410</f>
        <v>2.6333333333333333</v>
      </c>
      <c r="W411" s="6">
        <v>0</v>
      </c>
      <c r="X411" s="14">
        <f t="shared" ref="X411:X442" si="104">V411-W411</f>
        <v>2.6333333333333333</v>
      </c>
      <c r="Y411" s="188">
        <f>((V411-X410)/V411)/(U411-U410)</f>
        <v>0.5</v>
      </c>
      <c r="AA411" s="6">
        <v>2</v>
      </c>
      <c r="AB411" s="14">
        <f>$AB$421/$AA$421+AD410</f>
        <v>1.5666666666666667</v>
      </c>
      <c r="AC411" s="6">
        <v>0</v>
      </c>
      <c r="AD411" s="14">
        <f t="shared" ref="AD411:AD442" si="105">AB411-AC411</f>
        <v>1.5666666666666667</v>
      </c>
      <c r="AE411" s="188">
        <f>((AB411-AD410)/AB411)/(AA411-AA410)</f>
        <v>0.5</v>
      </c>
    </row>
    <row r="412" spans="1:37" x14ac:dyDescent="0.2">
      <c r="A412" s="496"/>
      <c r="C412" s="6">
        <v>3</v>
      </c>
      <c r="D412" s="14">
        <f t="shared" ref="D412:D420" si="106">$D$421/$C$421+F411</f>
        <v>11.55</v>
      </c>
      <c r="E412" s="6">
        <v>0</v>
      </c>
      <c r="F412" s="14">
        <f>Pm_1147[[#This Row],[V_av]]-Pm_1147[[#This Row],[V_prel]]</f>
        <v>11.55</v>
      </c>
      <c r="G412" s="188">
        <f t="shared" ref="G412:G448" si="107">((D412-F411)/D412)/(C412-C411)</f>
        <v>0.33333333333333337</v>
      </c>
      <c r="I412" s="6">
        <v>3</v>
      </c>
      <c r="J412" s="14">
        <f t="shared" ref="J412:J420" si="108">$J$421/$I$421+L411</f>
        <v>8.9</v>
      </c>
      <c r="K412" s="6">
        <v>0</v>
      </c>
      <c r="L412" s="14">
        <f t="shared" si="102"/>
        <v>8.9</v>
      </c>
      <c r="M412" s="197">
        <f t="shared" ref="M412:M443" si="109">((J412-L411)/J412)/(I412-I411)</f>
        <v>0.33333333333333331</v>
      </c>
      <c r="O412" s="6">
        <v>3</v>
      </c>
      <c r="P412" s="14">
        <f t="shared" ref="P412:P420" si="110">$P$421/$O$421+R411</f>
        <v>6.25</v>
      </c>
      <c r="Q412" s="6">
        <v>0</v>
      </c>
      <c r="R412" s="14">
        <f t="shared" si="103"/>
        <v>6.25</v>
      </c>
      <c r="S412" s="188">
        <f t="shared" ref="S412:S443" si="111">((P412-R411)/P412)/(O412-O411)</f>
        <v>0.33333333333333326</v>
      </c>
      <c r="U412" s="6">
        <v>3</v>
      </c>
      <c r="V412" s="14">
        <f t="shared" ref="V412:V420" si="112">$V$421/$U$421+X411</f>
        <v>3.95</v>
      </c>
      <c r="W412" s="6">
        <v>0</v>
      </c>
      <c r="X412" s="14">
        <f t="shared" si="104"/>
        <v>3.95</v>
      </c>
      <c r="Y412" s="188">
        <f t="shared" ref="Y412:Y443" si="113">((V412-X411)/V412)/(U412-U411)</f>
        <v>0.33333333333333337</v>
      </c>
      <c r="AA412" s="6">
        <v>3</v>
      </c>
      <c r="AB412" s="14">
        <f t="shared" ref="AB412:AB420" si="114">$AB$421/$AA$421+AD411</f>
        <v>2.35</v>
      </c>
      <c r="AC412" s="6">
        <v>0</v>
      </c>
      <c r="AD412" s="14">
        <f t="shared" si="105"/>
        <v>2.35</v>
      </c>
      <c r="AE412" s="188">
        <f t="shared" ref="AE412:AE443" si="115">((AB412-AD411)/AB412)/(AA412-AA411)</f>
        <v>0.33333333333333337</v>
      </c>
    </row>
    <row r="413" spans="1:37" x14ac:dyDescent="0.2">
      <c r="A413" s="496"/>
      <c r="C413" s="6">
        <v>4</v>
      </c>
      <c r="D413" s="14">
        <f t="shared" si="106"/>
        <v>15.4</v>
      </c>
      <c r="E413" s="6">
        <v>0</v>
      </c>
      <c r="F413" s="14">
        <f>Pm_1147[[#This Row],[V_av]]-Pm_1147[[#This Row],[V_prel]]</f>
        <v>15.4</v>
      </c>
      <c r="G413" s="188">
        <f t="shared" si="107"/>
        <v>0.24999999999999997</v>
      </c>
      <c r="I413" s="6">
        <v>4</v>
      </c>
      <c r="J413" s="14">
        <f t="shared" si="108"/>
        <v>11.866666666666667</v>
      </c>
      <c r="K413" s="6">
        <v>0</v>
      </c>
      <c r="L413" s="14">
        <f t="shared" si="102"/>
        <v>11.866666666666667</v>
      </c>
      <c r="M413" s="197">
        <f t="shared" si="109"/>
        <v>0.25</v>
      </c>
      <c r="O413" s="6">
        <v>4</v>
      </c>
      <c r="P413" s="14">
        <f t="shared" si="110"/>
        <v>8.3333333333333339</v>
      </c>
      <c r="Q413" s="6">
        <v>0</v>
      </c>
      <c r="R413" s="14">
        <f t="shared" si="103"/>
        <v>8.3333333333333339</v>
      </c>
      <c r="S413" s="188">
        <f t="shared" si="111"/>
        <v>0.25000000000000006</v>
      </c>
      <c r="U413" s="6">
        <v>4</v>
      </c>
      <c r="V413" s="14">
        <f t="shared" si="112"/>
        <v>5.2666666666666666</v>
      </c>
      <c r="W413" s="6">
        <v>0</v>
      </c>
      <c r="X413" s="14">
        <f t="shared" si="104"/>
        <v>5.2666666666666666</v>
      </c>
      <c r="Y413" s="188">
        <f t="shared" si="113"/>
        <v>0.24999999999999994</v>
      </c>
      <c r="AA413" s="6">
        <v>4</v>
      </c>
      <c r="AB413" s="14">
        <f t="shared" si="114"/>
        <v>3.1333333333333333</v>
      </c>
      <c r="AC413" s="6">
        <v>0</v>
      </c>
      <c r="AD413" s="14">
        <f t="shared" si="105"/>
        <v>3.1333333333333333</v>
      </c>
      <c r="AE413" s="188">
        <f t="shared" si="115"/>
        <v>0.24999999999999997</v>
      </c>
    </row>
    <row r="414" spans="1:37" x14ac:dyDescent="0.2">
      <c r="A414" s="496"/>
      <c r="C414" s="6">
        <v>5</v>
      </c>
      <c r="D414" s="14">
        <f t="shared" si="106"/>
        <v>19.25</v>
      </c>
      <c r="E414" s="6">
        <v>0</v>
      </c>
      <c r="F414" s="14">
        <f>Pm_1147[[#This Row],[V_av]]-Pm_1147[[#This Row],[V_prel]]</f>
        <v>19.25</v>
      </c>
      <c r="G414" s="188">
        <f t="shared" si="107"/>
        <v>0.19999999999999998</v>
      </c>
      <c r="I414" s="6">
        <v>5</v>
      </c>
      <c r="J414" s="14">
        <f t="shared" si="108"/>
        <v>14.833333333333334</v>
      </c>
      <c r="K414" s="6">
        <v>0</v>
      </c>
      <c r="L414" s="14">
        <f t="shared" si="102"/>
        <v>14.833333333333334</v>
      </c>
      <c r="M414" s="197">
        <f t="shared" si="109"/>
        <v>0.2</v>
      </c>
      <c r="O414" s="6">
        <v>5</v>
      </c>
      <c r="P414" s="14">
        <f t="shared" si="110"/>
        <v>10.416666666666668</v>
      </c>
      <c r="Q414" s="6">
        <v>0</v>
      </c>
      <c r="R414" s="14">
        <f t="shared" si="103"/>
        <v>10.416666666666668</v>
      </c>
      <c r="S414" s="188">
        <f t="shared" si="111"/>
        <v>0.20000000000000004</v>
      </c>
      <c r="U414" s="6">
        <v>5</v>
      </c>
      <c r="V414" s="14">
        <f t="shared" si="112"/>
        <v>6.583333333333333</v>
      </c>
      <c r="W414" s="6">
        <v>0</v>
      </c>
      <c r="X414" s="14">
        <f t="shared" si="104"/>
        <v>6.583333333333333</v>
      </c>
      <c r="Y414" s="188">
        <f t="shared" si="113"/>
        <v>0.19999999999999998</v>
      </c>
      <c r="AA414" s="6">
        <v>5</v>
      </c>
      <c r="AB414" s="14">
        <f t="shared" si="114"/>
        <v>3.9166666666666665</v>
      </c>
      <c r="AC414" s="6">
        <v>0</v>
      </c>
      <c r="AD414" s="14">
        <f t="shared" si="105"/>
        <v>3.9166666666666665</v>
      </c>
      <c r="AE414" s="188">
        <f t="shared" si="115"/>
        <v>0.19999999999999998</v>
      </c>
    </row>
    <row r="415" spans="1:37" x14ac:dyDescent="0.2">
      <c r="A415" s="496"/>
      <c r="C415" s="6">
        <v>6</v>
      </c>
      <c r="D415" s="14">
        <f t="shared" si="106"/>
        <v>23.1</v>
      </c>
      <c r="E415" s="6">
        <v>0</v>
      </c>
      <c r="F415" s="14">
        <f>Pm_1147[[#This Row],[V_av]]-Pm_1147[[#This Row],[V_prel]]</f>
        <v>23.1</v>
      </c>
      <c r="G415" s="188">
        <f t="shared" si="107"/>
        <v>0.16666666666666671</v>
      </c>
      <c r="I415" s="6">
        <v>6</v>
      </c>
      <c r="J415" s="14">
        <f t="shared" si="108"/>
        <v>17.8</v>
      </c>
      <c r="K415" s="6">
        <v>0</v>
      </c>
      <c r="L415" s="14">
        <f t="shared" si="102"/>
        <v>17.8</v>
      </c>
      <c r="M415" s="197">
        <f t="shared" si="109"/>
        <v>0.16666666666666666</v>
      </c>
      <c r="O415" s="6">
        <v>6</v>
      </c>
      <c r="P415" s="14">
        <f t="shared" si="110"/>
        <v>12.500000000000002</v>
      </c>
      <c r="Q415" s="6">
        <v>0</v>
      </c>
      <c r="R415" s="14">
        <f t="shared" si="103"/>
        <v>12.500000000000002</v>
      </c>
      <c r="S415" s="188">
        <f t="shared" si="111"/>
        <v>0.16666666666666669</v>
      </c>
      <c r="U415" s="6">
        <v>6</v>
      </c>
      <c r="V415" s="14">
        <f t="shared" si="112"/>
        <v>7.8999999999999995</v>
      </c>
      <c r="W415" s="6">
        <v>0</v>
      </c>
      <c r="X415" s="14">
        <f t="shared" si="104"/>
        <v>7.8999999999999995</v>
      </c>
      <c r="Y415" s="188">
        <f t="shared" si="113"/>
        <v>0.16666666666666666</v>
      </c>
      <c r="AA415" s="6">
        <v>6</v>
      </c>
      <c r="AB415" s="14">
        <f t="shared" si="114"/>
        <v>4.7</v>
      </c>
      <c r="AC415" s="6">
        <v>0</v>
      </c>
      <c r="AD415" s="14">
        <f t="shared" si="105"/>
        <v>4.7</v>
      </c>
      <c r="AE415" s="188">
        <f t="shared" si="115"/>
        <v>0.16666666666666674</v>
      </c>
    </row>
    <row r="416" spans="1:37" x14ac:dyDescent="0.2">
      <c r="A416" s="496"/>
      <c r="C416" s="6">
        <v>7</v>
      </c>
      <c r="D416" s="14">
        <f t="shared" si="106"/>
        <v>26.950000000000003</v>
      </c>
      <c r="E416" s="6">
        <v>0</v>
      </c>
      <c r="F416" s="14">
        <f>Pm_1147[[#This Row],[V_av]]-Pm_1147[[#This Row],[V_prel]]</f>
        <v>26.950000000000003</v>
      </c>
      <c r="G416" s="188">
        <f t="shared" si="107"/>
        <v>0.1428571428571429</v>
      </c>
      <c r="I416" s="6">
        <v>7</v>
      </c>
      <c r="J416" s="14">
        <f t="shared" si="108"/>
        <v>20.766666666666666</v>
      </c>
      <c r="K416" s="6">
        <v>0</v>
      </c>
      <c r="L416" s="14">
        <f t="shared" si="102"/>
        <v>20.766666666666666</v>
      </c>
      <c r="M416" s="197">
        <f t="shared" si="109"/>
        <v>0.14285714285714279</v>
      </c>
      <c r="O416" s="6">
        <v>7</v>
      </c>
      <c r="P416" s="14">
        <f t="shared" si="110"/>
        <v>14.583333333333336</v>
      </c>
      <c r="Q416" s="6">
        <v>0</v>
      </c>
      <c r="R416" s="14">
        <f>P416-Q416</f>
        <v>14.583333333333336</v>
      </c>
      <c r="S416" s="188">
        <f t="shared" si="111"/>
        <v>0.14285714285714288</v>
      </c>
      <c r="U416" s="6">
        <v>7</v>
      </c>
      <c r="V416" s="14">
        <f t="shared" si="112"/>
        <v>9.2166666666666668</v>
      </c>
      <c r="W416" s="6">
        <v>0</v>
      </c>
      <c r="X416" s="14">
        <f t="shared" si="104"/>
        <v>9.2166666666666668</v>
      </c>
      <c r="Y416" s="188">
        <f t="shared" si="113"/>
        <v>0.14285714285714293</v>
      </c>
      <c r="AA416" s="6">
        <v>7</v>
      </c>
      <c r="AB416" s="14">
        <f t="shared" si="114"/>
        <v>5.4833333333333334</v>
      </c>
      <c r="AC416" s="6">
        <v>0</v>
      </c>
      <c r="AD416" s="14">
        <f t="shared" si="105"/>
        <v>5.4833333333333334</v>
      </c>
      <c r="AE416" s="188">
        <f t="shared" si="115"/>
        <v>0.14285714285714282</v>
      </c>
    </row>
    <row r="417" spans="1:31" x14ac:dyDescent="0.2">
      <c r="A417" s="496"/>
      <c r="C417" s="6">
        <v>8</v>
      </c>
      <c r="D417" s="14">
        <f t="shared" si="106"/>
        <v>30.800000000000004</v>
      </c>
      <c r="E417" s="6">
        <v>0</v>
      </c>
      <c r="F417" s="14">
        <f>Pm_1147[[#This Row],[V_av]]-Pm_1147[[#This Row],[V_prel]]</f>
        <v>30.800000000000004</v>
      </c>
      <c r="G417" s="188">
        <f t="shared" si="107"/>
        <v>0.12500000000000003</v>
      </c>
      <c r="I417" s="6">
        <v>8</v>
      </c>
      <c r="J417" s="14">
        <f t="shared" si="108"/>
        <v>23.733333333333334</v>
      </c>
      <c r="K417" s="6">
        <v>0</v>
      </c>
      <c r="L417" s="14">
        <f t="shared" si="102"/>
        <v>23.733333333333334</v>
      </c>
      <c r="M417" s="197">
        <f t="shared" si="109"/>
        <v>0.12500000000000008</v>
      </c>
      <c r="O417" s="6">
        <v>8</v>
      </c>
      <c r="P417" s="14">
        <f t="shared" si="110"/>
        <v>16.666666666666668</v>
      </c>
      <c r="Q417" s="6">
        <v>0</v>
      </c>
      <c r="R417" s="14">
        <f t="shared" si="103"/>
        <v>16.666666666666668</v>
      </c>
      <c r="S417" s="188">
        <f t="shared" si="111"/>
        <v>0.12499999999999992</v>
      </c>
      <c r="U417" s="6">
        <v>8</v>
      </c>
      <c r="V417" s="14">
        <f t="shared" si="112"/>
        <v>10.533333333333333</v>
      </c>
      <c r="W417" s="6">
        <v>0</v>
      </c>
      <c r="X417" s="14">
        <f t="shared" si="104"/>
        <v>10.533333333333333</v>
      </c>
      <c r="Y417" s="188">
        <f t="shared" si="113"/>
        <v>0.12499999999999997</v>
      </c>
      <c r="AA417" s="6">
        <v>8</v>
      </c>
      <c r="AB417" s="14">
        <f t="shared" si="114"/>
        <v>6.2666666666666666</v>
      </c>
      <c r="AC417" s="6">
        <v>0</v>
      </c>
      <c r="AD417" s="14">
        <f t="shared" si="105"/>
        <v>6.2666666666666666</v>
      </c>
      <c r="AE417" s="188">
        <f t="shared" si="115"/>
        <v>0.12499999999999999</v>
      </c>
    </row>
    <row r="418" spans="1:31" x14ac:dyDescent="0.2">
      <c r="A418" s="496"/>
      <c r="C418" s="6">
        <v>9</v>
      </c>
      <c r="D418" s="14">
        <f t="shared" si="106"/>
        <v>34.650000000000006</v>
      </c>
      <c r="E418" s="6">
        <v>0</v>
      </c>
      <c r="F418" s="14">
        <f>Pm_1147[[#This Row],[V_av]]-Pm_1147[[#This Row],[V_prel]]</f>
        <v>34.650000000000006</v>
      </c>
      <c r="G418" s="188">
        <f t="shared" si="107"/>
        <v>0.11111111111111113</v>
      </c>
      <c r="I418" s="6">
        <v>9</v>
      </c>
      <c r="J418" s="14">
        <f t="shared" si="108"/>
        <v>26.700000000000003</v>
      </c>
      <c r="K418" s="6">
        <v>0</v>
      </c>
      <c r="L418" s="14">
        <f t="shared" si="102"/>
        <v>26.700000000000003</v>
      </c>
      <c r="M418" s="197">
        <f t="shared" si="109"/>
        <v>0.11111111111111117</v>
      </c>
      <c r="O418" s="6">
        <v>9</v>
      </c>
      <c r="P418" s="14">
        <f t="shared" si="110"/>
        <v>18.75</v>
      </c>
      <c r="Q418" s="6">
        <v>0</v>
      </c>
      <c r="R418" s="14">
        <f t="shared" si="103"/>
        <v>18.75</v>
      </c>
      <c r="S418" s="188">
        <f t="shared" si="111"/>
        <v>0.11111111111111105</v>
      </c>
      <c r="U418" s="6">
        <v>9</v>
      </c>
      <c r="V418" s="14">
        <f t="shared" si="112"/>
        <v>11.85</v>
      </c>
      <c r="W418" s="6">
        <v>0</v>
      </c>
      <c r="X418" s="14">
        <f t="shared" si="104"/>
        <v>11.85</v>
      </c>
      <c r="Y418" s="188">
        <f t="shared" si="113"/>
        <v>0.11111111111111109</v>
      </c>
      <c r="AA418" s="6">
        <v>9</v>
      </c>
      <c r="AB418" s="14">
        <f t="shared" si="114"/>
        <v>7.05</v>
      </c>
      <c r="AC418" s="6">
        <v>0</v>
      </c>
      <c r="AD418" s="14">
        <f t="shared" si="105"/>
        <v>7.05</v>
      </c>
      <c r="AE418" s="188">
        <f t="shared" si="115"/>
        <v>0.11111111111111109</v>
      </c>
    </row>
    <row r="419" spans="1:31" x14ac:dyDescent="0.2">
      <c r="A419" s="496"/>
      <c r="C419" s="6">
        <v>10</v>
      </c>
      <c r="D419" s="14">
        <f t="shared" si="106"/>
        <v>38.500000000000007</v>
      </c>
      <c r="E419" s="6">
        <v>0</v>
      </c>
      <c r="F419" s="14">
        <f>Pm_1147[[#This Row],[V_av]]-Pm_1147[[#This Row],[V_prel]]</f>
        <v>38.500000000000007</v>
      </c>
      <c r="G419" s="188">
        <f t="shared" si="107"/>
        <v>0.10000000000000002</v>
      </c>
      <c r="I419" s="6">
        <v>10</v>
      </c>
      <c r="J419" s="14">
        <f t="shared" si="108"/>
        <v>29.666666666666671</v>
      </c>
      <c r="K419" s="6">
        <v>0</v>
      </c>
      <c r="L419" s="14">
        <f t="shared" si="102"/>
        <v>29.666666666666671</v>
      </c>
      <c r="M419" s="197">
        <f t="shared" si="109"/>
        <v>0.10000000000000005</v>
      </c>
      <c r="O419" s="6">
        <v>10</v>
      </c>
      <c r="P419" s="14">
        <f t="shared" si="110"/>
        <v>20.833333333333332</v>
      </c>
      <c r="Q419" s="6">
        <v>0</v>
      </c>
      <c r="R419" s="14">
        <f t="shared" si="103"/>
        <v>20.833333333333332</v>
      </c>
      <c r="S419" s="188">
        <f t="shared" si="111"/>
        <v>9.999999999999995E-2</v>
      </c>
      <c r="U419" s="6">
        <v>10</v>
      </c>
      <c r="V419" s="14">
        <f t="shared" si="112"/>
        <v>13.166666666666666</v>
      </c>
      <c r="W419" s="6">
        <v>0</v>
      </c>
      <c r="X419" s="14">
        <f t="shared" si="104"/>
        <v>13.166666666666666</v>
      </c>
      <c r="Y419" s="188">
        <f t="shared" si="113"/>
        <v>9.9999999999999992E-2</v>
      </c>
      <c r="AA419" s="6">
        <v>10</v>
      </c>
      <c r="AB419" s="14">
        <f t="shared" si="114"/>
        <v>7.833333333333333</v>
      </c>
      <c r="AC419" s="6">
        <v>0</v>
      </c>
      <c r="AD419" s="14">
        <f t="shared" si="105"/>
        <v>7.833333333333333</v>
      </c>
      <c r="AE419" s="188">
        <f t="shared" si="115"/>
        <v>9.9999999999999992E-2</v>
      </c>
    </row>
    <row r="420" spans="1:31" x14ac:dyDescent="0.2">
      <c r="A420" s="496"/>
      <c r="C420" s="6">
        <v>11</v>
      </c>
      <c r="D420" s="14">
        <f t="shared" si="106"/>
        <v>42.350000000000009</v>
      </c>
      <c r="E420" s="6">
        <v>0</v>
      </c>
      <c r="F420" s="14">
        <f>Pm_1147[[#This Row],[V_av]]-Pm_1147[[#This Row],[V_prel]]</f>
        <v>42.350000000000009</v>
      </c>
      <c r="G420" s="188">
        <f t="shared" si="107"/>
        <v>9.0909090909090925E-2</v>
      </c>
      <c r="I420" s="6">
        <v>11</v>
      </c>
      <c r="J420" s="14">
        <f t="shared" si="108"/>
        <v>32.63333333333334</v>
      </c>
      <c r="K420" s="6">
        <v>0</v>
      </c>
      <c r="L420" s="14">
        <f t="shared" si="102"/>
        <v>32.63333333333334</v>
      </c>
      <c r="M420" s="197">
        <f t="shared" si="109"/>
        <v>9.0909090909090953E-2</v>
      </c>
      <c r="O420" s="6">
        <v>11</v>
      </c>
      <c r="P420" s="14">
        <f t="shared" si="110"/>
        <v>22.916666666666664</v>
      </c>
      <c r="Q420" s="6">
        <v>0</v>
      </c>
      <c r="R420" s="14">
        <f t="shared" si="103"/>
        <v>22.916666666666664</v>
      </c>
      <c r="S420" s="188">
        <f t="shared" si="111"/>
        <v>9.090909090909087E-2</v>
      </c>
      <c r="U420" s="6">
        <v>11</v>
      </c>
      <c r="V420" s="14">
        <f t="shared" si="112"/>
        <v>14.483333333333333</v>
      </c>
      <c r="W420" s="6">
        <v>0</v>
      </c>
      <c r="X420" s="14">
        <f t="shared" si="104"/>
        <v>14.483333333333333</v>
      </c>
      <c r="Y420" s="188">
        <f t="shared" si="113"/>
        <v>9.0909090909090898E-2</v>
      </c>
      <c r="AA420" s="6">
        <v>11</v>
      </c>
      <c r="AB420" s="14">
        <f t="shared" si="114"/>
        <v>8.6166666666666671</v>
      </c>
      <c r="AC420" s="6">
        <v>0</v>
      </c>
      <c r="AD420" s="14">
        <f t="shared" si="105"/>
        <v>8.6166666666666671</v>
      </c>
      <c r="AE420" s="188">
        <f t="shared" si="115"/>
        <v>9.0909090909090995E-2</v>
      </c>
    </row>
    <row r="421" spans="1:31" x14ac:dyDescent="0.2">
      <c r="A421" s="496"/>
      <c r="C421" s="7">
        <v>12</v>
      </c>
      <c r="D421" s="7">
        <v>46.2</v>
      </c>
      <c r="E421" s="7">
        <v>0</v>
      </c>
      <c r="F421" s="7">
        <v>46.2</v>
      </c>
      <c r="G421" s="188">
        <f t="shared" si="107"/>
        <v>8.3333333333333204E-2</v>
      </c>
      <c r="I421" s="7">
        <v>12</v>
      </c>
      <c r="J421" s="7">
        <v>35.6</v>
      </c>
      <c r="K421" s="7">
        <v>0</v>
      </c>
      <c r="L421" s="7">
        <v>35.6</v>
      </c>
      <c r="M421" s="197">
        <f t="shared" si="109"/>
        <v>8.333333333333319E-2</v>
      </c>
      <c r="O421" s="7">
        <v>12</v>
      </c>
      <c r="P421" s="7">
        <v>25</v>
      </c>
      <c r="Q421" s="7">
        <v>0</v>
      </c>
      <c r="R421" s="7">
        <v>25</v>
      </c>
      <c r="S421" s="188">
        <f t="shared" si="111"/>
        <v>8.3333333333333426E-2</v>
      </c>
      <c r="U421" s="7">
        <v>12</v>
      </c>
      <c r="V421" s="7">
        <v>15.8</v>
      </c>
      <c r="W421" s="7">
        <v>0</v>
      </c>
      <c r="X421" s="7">
        <v>15.8</v>
      </c>
      <c r="Y421" s="188">
        <f t="shared" si="113"/>
        <v>8.3333333333333426E-2</v>
      </c>
      <c r="AA421" s="7">
        <v>12</v>
      </c>
      <c r="AB421" s="7">
        <v>9.4</v>
      </c>
      <c r="AC421" s="7">
        <v>0</v>
      </c>
      <c r="AD421" s="7">
        <v>9.4</v>
      </c>
      <c r="AE421" s="188">
        <f t="shared" si="115"/>
        <v>8.3333333333333315E-2</v>
      </c>
    </row>
    <row r="422" spans="1:31" x14ac:dyDescent="0.2">
      <c r="A422" s="496"/>
      <c r="C422" s="6">
        <v>13</v>
      </c>
      <c r="D422" s="14">
        <f>($D$425-$F$421)/($C$425-$C$421)+F421</f>
        <v>61.5</v>
      </c>
      <c r="E422" s="6">
        <v>0</v>
      </c>
      <c r="F422" s="14">
        <f>Pm_1147[[#This Row],[V_av]]-Pm_1147[[#This Row],[V_prel]]</f>
        <v>61.5</v>
      </c>
      <c r="G422" s="188">
        <f t="shared" si="107"/>
        <v>0.24878048780487799</v>
      </c>
      <c r="I422" s="6">
        <v>13</v>
      </c>
      <c r="J422" s="14">
        <f>($J$425-$L$421)/($I$425-$I$421)+L421</f>
        <v>46.975000000000001</v>
      </c>
      <c r="K422" s="6">
        <v>0</v>
      </c>
      <c r="L422" s="14">
        <f>J422-K422</f>
        <v>46.975000000000001</v>
      </c>
      <c r="M422" s="197">
        <f t="shared" si="109"/>
        <v>0.24215007982969664</v>
      </c>
      <c r="O422" s="6">
        <v>13</v>
      </c>
      <c r="P422" s="14">
        <f>($P$425-$R$421)/($O$425-$O$421)+R421</f>
        <v>33.35</v>
      </c>
      <c r="Q422" s="6">
        <v>0</v>
      </c>
      <c r="R422" s="14">
        <f t="shared" si="103"/>
        <v>33.35</v>
      </c>
      <c r="S422" s="188">
        <f t="shared" si="111"/>
        <v>0.2503748125937032</v>
      </c>
      <c r="U422" s="6">
        <v>13</v>
      </c>
      <c r="V422" s="14">
        <f>($V$425-$X$421)/($U$425-$U$421)+X421</f>
        <v>21.85</v>
      </c>
      <c r="W422" s="6">
        <v>0</v>
      </c>
      <c r="X422" s="14">
        <f t="shared" si="104"/>
        <v>21.85</v>
      </c>
      <c r="Y422" s="188">
        <f t="shared" si="113"/>
        <v>0.27688787185354691</v>
      </c>
      <c r="AA422" s="6">
        <v>13</v>
      </c>
      <c r="AB422" s="14">
        <f>($AB$425-$AD$421)/($AA$425-$AA$421)+AD421</f>
        <v>12.475</v>
      </c>
      <c r="AC422" s="6">
        <v>0</v>
      </c>
      <c r="AD422" s="14">
        <f t="shared" si="105"/>
        <v>12.475</v>
      </c>
      <c r="AE422" s="188">
        <f t="shared" si="115"/>
        <v>0.24649298597194383</v>
      </c>
    </row>
    <row r="423" spans="1:31" x14ac:dyDescent="0.2">
      <c r="A423" s="496"/>
      <c r="C423" s="6">
        <v>14</v>
      </c>
      <c r="D423" s="14">
        <f>($D$425-$F$421)/($C$425-$C$421)+D422</f>
        <v>76.8</v>
      </c>
      <c r="E423" s="6">
        <v>0</v>
      </c>
      <c r="F423" s="14">
        <f>Pm_1147[[#This Row],[V_av]]-Pm_1147[[#This Row],[V_prel]]</f>
        <v>76.8</v>
      </c>
      <c r="G423" s="188">
        <f t="shared" si="107"/>
        <v>0.19921874999999997</v>
      </c>
      <c r="I423" s="6">
        <v>14</v>
      </c>
      <c r="J423" s="14">
        <f>($J$425-$L$421)/($I$425-$I$421)+J422</f>
        <v>58.35</v>
      </c>
      <c r="K423" s="6">
        <v>0</v>
      </c>
      <c r="L423" s="14">
        <f t="shared" ref="L423:L442" si="116">J423-K423</f>
        <v>58.35</v>
      </c>
      <c r="M423" s="197">
        <f t="shared" si="109"/>
        <v>0.19494430162810625</v>
      </c>
      <c r="O423" s="6">
        <v>14</v>
      </c>
      <c r="P423" s="14">
        <f>($P$425-$R$421)/($O$425-$O$421)+P422</f>
        <v>41.7</v>
      </c>
      <c r="Q423" s="6">
        <v>0</v>
      </c>
      <c r="R423" s="14">
        <f t="shared" si="103"/>
        <v>41.7</v>
      </c>
      <c r="S423" s="188">
        <f t="shared" si="111"/>
        <v>0.20023980815347725</v>
      </c>
      <c r="U423" s="6">
        <v>14</v>
      </c>
      <c r="V423" s="14">
        <f>($V$425-$X$421)/($U$425-$U$421)+V422</f>
        <v>27.900000000000002</v>
      </c>
      <c r="W423" s="6">
        <v>0</v>
      </c>
      <c r="X423" s="14">
        <f t="shared" si="104"/>
        <v>27.900000000000002</v>
      </c>
      <c r="Y423" s="188">
        <f t="shared" si="113"/>
        <v>0.21684587813620074</v>
      </c>
      <c r="AA423" s="6">
        <v>14</v>
      </c>
      <c r="AB423" s="14">
        <f>($AB$425-$AD$421)/($AA$425-$AA$421)+AB422</f>
        <v>15.549999999999999</v>
      </c>
      <c r="AC423" s="6">
        <v>0</v>
      </c>
      <c r="AD423" s="14">
        <f t="shared" si="105"/>
        <v>15.549999999999999</v>
      </c>
      <c r="AE423" s="188">
        <f t="shared" si="115"/>
        <v>0.19774919614147907</v>
      </c>
    </row>
    <row r="424" spans="1:31" x14ac:dyDescent="0.2">
      <c r="A424" s="496"/>
      <c r="C424" s="6">
        <v>15</v>
      </c>
      <c r="D424" s="14">
        <f>($D$425-$F$421)/($C$425-$C$421)+D423</f>
        <v>92.1</v>
      </c>
      <c r="E424" s="6">
        <v>0</v>
      </c>
      <c r="F424" s="14">
        <f>Pm_1147[[#This Row],[V_av]]-Pm_1147[[#This Row],[V_prel]]</f>
        <v>92.1</v>
      </c>
      <c r="G424" s="188">
        <f t="shared" si="107"/>
        <v>0.16612377850162866</v>
      </c>
      <c r="I424" s="6">
        <v>15</v>
      </c>
      <c r="J424" s="14">
        <f>($J$425-$L$421)/($I$425-$I$421)+J423</f>
        <v>69.724999999999994</v>
      </c>
      <c r="K424" s="6">
        <v>0</v>
      </c>
      <c r="L424" s="14">
        <f t="shared" si="116"/>
        <v>69.724999999999994</v>
      </c>
      <c r="M424" s="197">
        <f t="shared" si="109"/>
        <v>0.16314091072068834</v>
      </c>
      <c r="O424" s="6">
        <v>15</v>
      </c>
      <c r="P424" s="14">
        <f>($P$425-$R$421)/($O$425-$O$421)+P423</f>
        <v>50.050000000000004</v>
      </c>
      <c r="Q424" s="6">
        <v>0</v>
      </c>
      <c r="R424" s="14">
        <f t="shared" si="103"/>
        <v>50.050000000000004</v>
      </c>
      <c r="S424" s="188">
        <f t="shared" si="111"/>
        <v>0.16683316683316685</v>
      </c>
      <c r="U424" s="6">
        <v>15</v>
      </c>
      <c r="V424" s="14">
        <f>($V$425-$X$421)/($U$425-$U$421)+V423</f>
        <v>33.950000000000003</v>
      </c>
      <c r="W424" s="6">
        <v>0</v>
      </c>
      <c r="X424" s="14">
        <f t="shared" si="104"/>
        <v>33.950000000000003</v>
      </c>
      <c r="Y424" s="188">
        <f t="shared" si="113"/>
        <v>0.17820324005891017</v>
      </c>
      <c r="AA424" s="6">
        <v>15</v>
      </c>
      <c r="AB424" s="14">
        <f>($AB$425-$AD$421)/($AA$425-$AA$421)+AB423</f>
        <v>18.625</v>
      </c>
      <c r="AC424" s="6">
        <v>0</v>
      </c>
      <c r="AD424" s="14">
        <f t="shared" si="105"/>
        <v>18.625</v>
      </c>
      <c r="AE424" s="188">
        <f t="shared" si="115"/>
        <v>0.16510067114093965</v>
      </c>
    </row>
    <row r="425" spans="1:31" x14ac:dyDescent="0.2">
      <c r="A425" s="496"/>
      <c r="C425" s="7">
        <v>16</v>
      </c>
      <c r="D425" s="7">
        <v>107.4</v>
      </c>
      <c r="E425" s="7">
        <v>25</v>
      </c>
      <c r="F425" s="7">
        <v>82.4</v>
      </c>
      <c r="G425" s="188">
        <f t="shared" si="107"/>
        <v>0.14245810055865932</v>
      </c>
      <c r="I425" s="7">
        <v>16</v>
      </c>
      <c r="J425" s="7">
        <v>81.099999999999994</v>
      </c>
      <c r="K425" s="7">
        <v>14.8</v>
      </c>
      <c r="L425" s="7">
        <v>66.3</v>
      </c>
      <c r="M425" s="197">
        <f t="shared" si="109"/>
        <v>0.14025893958076449</v>
      </c>
      <c r="O425" s="7">
        <v>16</v>
      </c>
      <c r="P425" s="7">
        <v>58.4</v>
      </c>
      <c r="Q425" s="7">
        <v>7.6</v>
      </c>
      <c r="R425" s="7">
        <v>50.8</v>
      </c>
      <c r="S425" s="188">
        <f t="shared" si="111"/>
        <v>0.14297945205479443</v>
      </c>
      <c r="U425" s="7">
        <v>16</v>
      </c>
      <c r="V425" s="7">
        <v>40</v>
      </c>
      <c r="W425" s="7">
        <v>4.0999999999999996</v>
      </c>
      <c r="X425" s="7">
        <v>35.9</v>
      </c>
      <c r="Y425" s="188">
        <f t="shared" si="113"/>
        <v>0.15124999999999994</v>
      </c>
      <c r="AA425" s="7">
        <v>16</v>
      </c>
      <c r="AB425" s="7">
        <v>21.7</v>
      </c>
      <c r="AC425" s="7">
        <v>0.7</v>
      </c>
      <c r="AD425" s="7">
        <v>21</v>
      </c>
      <c r="AE425" s="188">
        <f t="shared" si="115"/>
        <v>0.14170506912442393</v>
      </c>
    </row>
    <row r="426" spans="1:31" x14ac:dyDescent="0.2">
      <c r="A426" s="496"/>
      <c r="C426" s="6">
        <v>17</v>
      </c>
      <c r="D426" s="14">
        <f>($D$429-$F$425)/($C$429-$C$425)+F425</f>
        <v>99.6</v>
      </c>
      <c r="E426" s="6">
        <v>0</v>
      </c>
      <c r="F426" s="14">
        <f>Pm_1147[[#This Row],[V_av]]-Pm_1147[[#This Row],[V_prel]]</f>
        <v>99.6</v>
      </c>
      <c r="G426" s="188">
        <f t="shared" si="107"/>
        <v>0.17269076305220873</v>
      </c>
      <c r="I426" s="6">
        <v>17</v>
      </c>
      <c r="J426" s="14">
        <f>($J$429-$L$425)/($I$429-$I$425)+L425</f>
        <v>79.55</v>
      </c>
      <c r="K426" s="6">
        <v>0</v>
      </c>
      <c r="L426" s="14">
        <f t="shared" si="116"/>
        <v>79.55</v>
      </c>
      <c r="M426" s="197">
        <f t="shared" si="109"/>
        <v>0.16656191074795726</v>
      </c>
      <c r="O426" s="6">
        <v>17</v>
      </c>
      <c r="P426" s="14">
        <f>($P$429-$R$425)/($O$429-$O$425)+R425</f>
        <v>60.75</v>
      </c>
      <c r="Q426" s="6">
        <v>0</v>
      </c>
      <c r="R426" s="14">
        <f t="shared" si="103"/>
        <v>60.75</v>
      </c>
      <c r="S426" s="188">
        <f t="shared" si="111"/>
        <v>0.16378600823045272</v>
      </c>
      <c r="U426" s="6">
        <v>17</v>
      </c>
      <c r="V426" s="14">
        <f>($V$429-$X$425)/($U$429-$U$425)+X425</f>
        <v>42.2</v>
      </c>
      <c r="W426" s="6">
        <v>0</v>
      </c>
      <c r="X426" s="14">
        <f t="shared" si="104"/>
        <v>42.2</v>
      </c>
      <c r="Y426" s="188">
        <f t="shared" si="113"/>
        <v>0.14928909952606645</v>
      </c>
      <c r="AA426" s="6">
        <v>17</v>
      </c>
      <c r="AB426" s="14">
        <f>($AB$429-$AD$425)/($AA$429-$AA$425)+AD425</f>
        <v>26.05</v>
      </c>
      <c r="AC426" s="6">
        <v>0</v>
      </c>
      <c r="AD426" s="14">
        <f t="shared" si="105"/>
        <v>26.05</v>
      </c>
      <c r="AE426" s="188">
        <f t="shared" si="115"/>
        <v>0.19385796545105569</v>
      </c>
    </row>
    <row r="427" spans="1:31" x14ac:dyDescent="0.2">
      <c r="A427" s="496"/>
      <c r="C427" s="6">
        <v>18</v>
      </c>
      <c r="D427" s="14">
        <f>($D$429-$F$425)/($C$429-$C$425)+D426</f>
        <v>116.79999999999998</v>
      </c>
      <c r="E427" s="6">
        <v>0</v>
      </c>
      <c r="F427" s="14">
        <f>Pm_1147[[#This Row],[V_av]]-Pm_1147[[#This Row],[V_prel]]</f>
        <v>116.79999999999998</v>
      </c>
      <c r="G427" s="188">
        <f t="shared" si="107"/>
        <v>0.14726027397260266</v>
      </c>
      <c r="I427" s="6">
        <v>18</v>
      </c>
      <c r="J427" s="14">
        <f>($J$429-$L$425)/($I$429-$I$425)+J426</f>
        <v>92.8</v>
      </c>
      <c r="K427" s="6">
        <v>0</v>
      </c>
      <c r="L427" s="14">
        <f t="shared" si="116"/>
        <v>92.8</v>
      </c>
      <c r="M427" s="197">
        <f t="shared" si="109"/>
        <v>0.14278017241379312</v>
      </c>
      <c r="O427" s="6">
        <v>18</v>
      </c>
      <c r="P427" s="14">
        <f>($P$429-$R$425)/($O$429-$O$425)+P426</f>
        <v>70.7</v>
      </c>
      <c r="Q427" s="6">
        <v>0</v>
      </c>
      <c r="R427" s="14">
        <f t="shared" si="103"/>
        <v>70.7</v>
      </c>
      <c r="S427" s="188">
        <f t="shared" si="111"/>
        <v>0.14073550212164077</v>
      </c>
      <c r="U427" s="6">
        <v>18</v>
      </c>
      <c r="V427" s="14">
        <f>($V$429-$X$425)/($U$429-$U$425)+V426</f>
        <v>48.5</v>
      </c>
      <c r="W427" s="6">
        <v>0</v>
      </c>
      <c r="X427" s="14">
        <f t="shared" si="104"/>
        <v>48.5</v>
      </c>
      <c r="Y427" s="188">
        <f t="shared" si="113"/>
        <v>0.1298969072164948</v>
      </c>
      <c r="AA427" s="6">
        <v>18</v>
      </c>
      <c r="AB427" s="14">
        <f>($AB$429-$AD$425)/($AA$429-$AA$425)+AB426</f>
        <v>31.1</v>
      </c>
      <c r="AC427" s="6">
        <v>0</v>
      </c>
      <c r="AD427" s="14">
        <f t="shared" si="105"/>
        <v>31.1</v>
      </c>
      <c r="AE427" s="188">
        <f t="shared" si="115"/>
        <v>0.16237942122186497</v>
      </c>
    </row>
    <row r="428" spans="1:31" x14ac:dyDescent="0.2">
      <c r="A428" s="496"/>
      <c r="C428" s="6">
        <v>19</v>
      </c>
      <c r="D428" s="14">
        <f>($D$429-$F$425)/($C$429-$C$425)+D427</f>
        <v>133.99999999999997</v>
      </c>
      <c r="E428" s="6">
        <v>0</v>
      </c>
      <c r="F428" s="14">
        <f>Pm_1147[[#This Row],[V_av]]-Pm_1147[[#This Row],[V_prel]]</f>
        <v>133.99999999999997</v>
      </c>
      <c r="G428" s="188">
        <f t="shared" si="107"/>
        <v>0.12835820895522382</v>
      </c>
      <c r="I428" s="6">
        <v>19</v>
      </c>
      <c r="J428" s="14">
        <f>($J$429-$L$425)/($I$429-$I$425)+J427</f>
        <v>106.05</v>
      </c>
      <c r="K428" s="6">
        <v>0</v>
      </c>
      <c r="L428" s="14">
        <f t="shared" si="116"/>
        <v>106.05</v>
      </c>
      <c r="M428" s="197">
        <f t="shared" si="109"/>
        <v>0.12494106553512495</v>
      </c>
      <c r="O428" s="6">
        <v>19</v>
      </c>
      <c r="P428" s="14">
        <f>($P$429-$R$425)/($O$429-$O$425)+P427</f>
        <v>80.650000000000006</v>
      </c>
      <c r="Q428" s="6">
        <v>0</v>
      </c>
      <c r="R428" s="14">
        <f t="shared" si="103"/>
        <v>80.650000000000006</v>
      </c>
      <c r="S428" s="188">
        <f t="shared" si="111"/>
        <v>0.12337259764414138</v>
      </c>
      <c r="U428" s="6">
        <v>19</v>
      </c>
      <c r="V428" s="14">
        <f>($V$429-$X$425)/($U$429-$U$425)+V427</f>
        <v>54.8</v>
      </c>
      <c r="W428" s="6">
        <v>0</v>
      </c>
      <c r="X428" s="14">
        <f t="shared" si="104"/>
        <v>54.8</v>
      </c>
      <c r="Y428" s="188">
        <f t="shared" si="113"/>
        <v>0.11496350364963499</v>
      </c>
      <c r="AA428" s="6">
        <v>19</v>
      </c>
      <c r="AB428" s="14">
        <f>($AB$429-$AD$425)/($AA$429-$AA$425)+AB427</f>
        <v>36.150000000000006</v>
      </c>
      <c r="AC428" s="6">
        <v>0</v>
      </c>
      <c r="AD428" s="14">
        <f t="shared" si="105"/>
        <v>36.150000000000006</v>
      </c>
      <c r="AE428" s="188">
        <f t="shared" si="115"/>
        <v>0.13969571230982028</v>
      </c>
    </row>
    <row r="429" spans="1:31" x14ac:dyDescent="0.2">
      <c r="A429" s="496"/>
      <c r="C429" s="7">
        <v>20</v>
      </c>
      <c r="D429" s="7">
        <v>151.19999999999999</v>
      </c>
      <c r="E429" s="7">
        <v>33.700000000000003</v>
      </c>
      <c r="F429" s="7">
        <v>117.5</v>
      </c>
      <c r="G429" s="188">
        <f t="shared" si="107"/>
        <v>0.11375661375661388</v>
      </c>
      <c r="I429" s="7">
        <v>20</v>
      </c>
      <c r="J429" s="7">
        <v>119.3</v>
      </c>
      <c r="K429" s="7">
        <v>22.1</v>
      </c>
      <c r="L429" s="7">
        <v>97.2</v>
      </c>
      <c r="M429" s="197">
        <f t="shared" si="109"/>
        <v>0.11106454316848281</v>
      </c>
      <c r="O429" s="7">
        <v>20</v>
      </c>
      <c r="P429" s="7">
        <v>90.6</v>
      </c>
      <c r="Q429" s="7">
        <v>13.8</v>
      </c>
      <c r="R429" s="7">
        <v>76.8</v>
      </c>
      <c r="S429" s="188">
        <f t="shared" si="111"/>
        <v>0.10982339955849878</v>
      </c>
      <c r="U429" s="7">
        <v>20</v>
      </c>
      <c r="V429" s="7">
        <v>61.1</v>
      </c>
      <c r="W429" s="7">
        <v>4.7</v>
      </c>
      <c r="X429" s="7">
        <v>56.4</v>
      </c>
      <c r="Y429" s="188">
        <f t="shared" si="113"/>
        <v>0.10310965630114573</v>
      </c>
      <c r="AA429" s="7">
        <v>20</v>
      </c>
      <c r="AB429" s="7">
        <v>41.2</v>
      </c>
      <c r="AC429" s="7">
        <v>3.8</v>
      </c>
      <c r="AD429" s="7">
        <v>37.4</v>
      </c>
      <c r="AE429" s="188">
        <f t="shared" si="115"/>
        <v>0.1225728155339805</v>
      </c>
    </row>
    <row r="430" spans="1:31" x14ac:dyDescent="0.2">
      <c r="A430" s="496"/>
      <c r="C430" s="6">
        <v>21</v>
      </c>
      <c r="D430" s="14">
        <f>($D$433-$F$429)/($C$433-$C$429)+F429</f>
        <v>137.4</v>
      </c>
      <c r="E430" s="6">
        <v>0</v>
      </c>
      <c r="F430" s="14">
        <f>Pm_1147[[#This Row],[V_av]]-Pm_1147[[#This Row],[V_prel]]</f>
        <v>137.4</v>
      </c>
      <c r="G430" s="188">
        <f t="shared" si="107"/>
        <v>0.14483260553129551</v>
      </c>
      <c r="I430" s="6">
        <v>21</v>
      </c>
      <c r="J430" s="14">
        <f>($J$433-$L$429)/($I$433-$I$429)+L429</f>
        <v>112.02500000000001</v>
      </c>
      <c r="K430" s="6">
        <v>0</v>
      </c>
      <c r="L430" s="14">
        <f t="shared" si="116"/>
        <v>112.02500000000001</v>
      </c>
      <c r="M430" s="197">
        <f t="shared" si="109"/>
        <v>0.13233653202410178</v>
      </c>
      <c r="O430" s="6">
        <v>21</v>
      </c>
      <c r="P430" s="14">
        <f>($P$433-$R$429)/($O$433-$O$429)+R429</f>
        <v>87.825000000000003</v>
      </c>
      <c r="Q430" s="6">
        <v>0</v>
      </c>
      <c r="R430" s="14">
        <f t="shared" si="103"/>
        <v>87.825000000000003</v>
      </c>
      <c r="S430" s="188">
        <f t="shared" si="111"/>
        <v>0.12553373185311706</v>
      </c>
      <c r="U430" s="6">
        <v>21</v>
      </c>
      <c r="V430" s="14">
        <f>($V$433-$X$429)/($U$433-$U$429)+X429</f>
        <v>64.599999999999994</v>
      </c>
      <c r="W430" s="6">
        <v>0</v>
      </c>
      <c r="X430" s="14">
        <f t="shared" si="104"/>
        <v>64.599999999999994</v>
      </c>
      <c r="Y430" s="188">
        <f t="shared" si="113"/>
        <v>0.12693498452012378</v>
      </c>
      <c r="AA430" s="6">
        <v>21</v>
      </c>
      <c r="AB430" s="14">
        <f>($AB$433-$AD$429)/($AA$433-$AA$429)+AD429</f>
        <v>42.075000000000003</v>
      </c>
      <c r="AC430" s="6">
        <v>0</v>
      </c>
      <c r="AD430" s="14">
        <f t="shared" si="105"/>
        <v>42.075000000000003</v>
      </c>
      <c r="AE430" s="188">
        <f t="shared" si="115"/>
        <v>0.1111111111111112</v>
      </c>
    </row>
    <row r="431" spans="1:31" x14ac:dyDescent="0.2">
      <c r="A431" s="496"/>
      <c r="C431" s="6">
        <v>22</v>
      </c>
      <c r="D431" s="14">
        <f>($D$433-$F$429)/($C$433-$C$429)+D430</f>
        <v>157.30000000000001</v>
      </c>
      <c r="E431" s="6">
        <v>0</v>
      </c>
      <c r="F431" s="14">
        <f>Pm_1147[[#This Row],[V_av]]-Pm_1147[[#This Row],[V_prel]]</f>
        <v>157.30000000000001</v>
      </c>
      <c r="G431" s="188">
        <f t="shared" si="107"/>
        <v>0.12650985378258109</v>
      </c>
      <c r="I431" s="6">
        <v>22</v>
      </c>
      <c r="J431" s="14">
        <f>($J$433-$L$429)/($I$433-$I$429)+J430</f>
        <v>126.85000000000001</v>
      </c>
      <c r="K431" s="6">
        <v>0</v>
      </c>
      <c r="L431" s="14">
        <f t="shared" si="116"/>
        <v>126.85000000000001</v>
      </c>
      <c r="M431" s="197">
        <f t="shared" si="109"/>
        <v>0.11687031927473396</v>
      </c>
      <c r="O431" s="6">
        <v>22</v>
      </c>
      <c r="P431" s="14">
        <f>($P$433-$R$429)/($O$433-$O$429)+P430</f>
        <v>98.850000000000009</v>
      </c>
      <c r="Q431" s="6">
        <v>0</v>
      </c>
      <c r="R431" s="14">
        <f t="shared" si="103"/>
        <v>98.850000000000009</v>
      </c>
      <c r="S431" s="188">
        <f t="shared" si="111"/>
        <v>0.11153262518968138</v>
      </c>
      <c r="U431" s="6">
        <v>22</v>
      </c>
      <c r="V431" s="14">
        <f>($V$433-$X$429)/($U$433-$U$429)+V430</f>
        <v>72.8</v>
      </c>
      <c r="W431" s="6">
        <v>0</v>
      </c>
      <c r="X431" s="14">
        <f t="shared" si="104"/>
        <v>72.8</v>
      </c>
      <c r="Y431" s="188">
        <f t="shared" si="113"/>
        <v>0.11263736263736268</v>
      </c>
      <c r="AA431" s="6">
        <v>22</v>
      </c>
      <c r="AB431" s="14">
        <f>($AB$433-$AD$429)/($AA$433-$AA$429)+AB430</f>
        <v>46.75</v>
      </c>
      <c r="AC431" s="6">
        <v>0</v>
      </c>
      <c r="AD431" s="14">
        <f t="shared" si="105"/>
        <v>46.75</v>
      </c>
      <c r="AE431" s="188">
        <f t="shared" si="115"/>
        <v>9.9999999999999936E-2</v>
      </c>
    </row>
    <row r="432" spans="1:31" ht="15" customHeight="1" x14ac:dyDescent="0.2">
      <c r="A432" s="496"/>
      <c r="C432" s="6">
        <v>23</v>
      </c>
      <c r="D432" s="14">
        <f>($D$433-$F$429)/($C$433-$C$429)+D431</f>
        <v>177.20000000000002</v>
      </c>
      <c r="E432" s="6">
        <v>0</v>
      </c>
      <c r="F432" s="14">
        <f>Pm_1147[[#This Row],[V_av]]-Pm_1147[[#This Row],[V_prel]]</f>
        <v>177.20000000000002</v>
      </c>
      <c r="G432" s="188">
        <f t="shared" si="107"/>
        <v>0.11230248306997745</v>
      </c>
      <c r="I432" s="6">
        <v>23</v>
      </c>
      <c r="J432" s="14">
        <f>($J$433-$L$429)/($I$433-$I$429)+J431</f>
        <v>141.67500000000001</v>
      </c>
      <c r="K432" s="6">
        <v>0</v>
      </c>
      <c r="L432" s="14">
        <f t="shared" si="116"/>
        <v>141.67500000000001</v>
      </c>
      <c r="M432" s="197">
        <f t="shared" si="109"/>
        <v>0.10464090347626612</v>
      </c>
      <c r="O432" s="6">
        <v>23</v>
      </c>
      <c r="P432" s="14">
        <f>($P$433-$R$429)/($O$433-$O$429)+P431</f>
        <v>109.87500000000001</v>
      </c>
      <c r="Q432" s="6">
        <v>0</v>
      </c>
      <c r="R432" s="14">
        <f t="shared" si="103"/>
        <v>109.87500000000001</v>
      </c>
      <c r="S432" s="188">
        <f t="shared" si="111"/>
        <v>0.10034129692832769</v>
      </c>
      <c r="U432" s="6">
        <v>23</v>
      </c>
      <c r="V432" s="14">
        <f>($V$433-$X$429)/($U$433-$U$429)+V431</f>
        <v>81</v>
      </c>
      <c r="W432" s="6">
        <v>0</v>
      </c>
      <c r="X432" s="14">
        <f t="shared" si="104"/>
        <v>81</v>
      </c>
      <c r="Y432" s="188">
        <f t="shared" si="113"/>
        <v>0.1012345679012346</v>
      </c>
      <c r="AA432" s="6">
        <v>23</v>
      </c>
      <c r="AB432" s="14">
        <f>($AB$433-$AD$429)/($AA$433-$AA$429)+AB431</f>
        <v>51.424999999999997</v>
      </c>
      <c r="AC432" s="6">
        <v>0</v>
      </c>
      <c r="AD432" s="14">
        <f t="shared" si="105"/>
        <v>51.424999999999997</v>
      </c>
      <c r="AE432" s="188">
        <f t="shared" si="115"/>
        <v>9.0909090909090856E-2</v>
      </c>
    </row>
    <row r="433" spans="1:32" x14ac:dyDescent="0.2">
      <c r="A433" s="496"/>
      <c r="C433" s="7">
        <v>24</v>
      </c>
      <c r="D433" s="7">
        <v>197.1</v>
      </c>
      <c r="E433" s="7">
        <v>42.9</v>
      </c>
      <c r="F433" s="7">
        <v>154.19999999999999</v>
      </c>
      <c r="G433" s="188">
        <f t="shared" si="107"/>
        <v>0.10096397767630633</v>
      </c>
      <c r="I433" s="7">
        <v>24</v>
      </c>
      <c r="J433" s="7">
        <v>156.5</v>
      </c>
      <c r="K433" s="7">
        <v>30.8</v>
      </c>
      <c r="L433" s="7">
        <v>125.7</v>
      </c>
      <c r="M433" s="197">
        <f t="shared" si="109"/>
        <v>9.4728434504792264E-2</v>
      </c>
      <c r="O433" s="7">
        <v>24</v>
      </c>
      <c r="P433" s="7">
        <v>120.9</v>
      </c>
      <c r="Q433" s="7">
        <v>19.7</v>
      </c>
      <c r="R433" s="7">
        <v>101.2</v>
      </c>
      <c r="S433" s="188">
        <f t="shared" si="111"/>
        <v>9.1191066997518541E-2</v>
      </c>
      <c r="U433" s="7">
        <v>24</v>
      </c>
      <c r="V433" s="7">
        <v>89.2</v>
      </c>
      <c r="W433" s="7">
        <v>12.5</v>
      </c>
      <c r="X433" s="7">
        <v>76.7</v>
      </c>
      <c r="Y433" s="188">
        <f t="shared" si="113"/>
        <v>9.1928251121076263E-2</v>
      </c>
      <c r="AA433" s="7">
        <v>24</v>
      </c>
      <c r="AB433" s="7">
        <v>56.1</v>
      </c>
      <c r="AC433" s="7">
        <v>3.5</v>
      </c>
      <c r="AD433" s="7">
        <v>52.6</v>
      </c>
      <c r="AE433" s="188">
        <f t="shared" si="115"/>
        <v>8.3333333333333412E-2</v>
      </c>
    </row>
    <row r="434" spans="1:32" x14ac:dyDescent="0.2">
      <c r="A434" s="496"/>
      <c r="C434" s="6">
        <v>25</v>
      </c>
      <c r="D434" s="14">
        <f>($D$437-$F$433)/($C$437-$C$433)+F433</f>
        <v>174.04999999999998</v>
      </c>
      <c r="E434" s="6">
        <v>0</v>
      </c>
      <c r="F434" s="14">
        <f>Pm_1147[[#This Row],[V_av]]-Pm_1147[[#This Row],[V_prel]]</f>
        <v>174.04999999999998</v>
      </c>
      <c r="G434" s="188">
        <f t="shared" si="107"/>
        <v>0.11404768744613615</v>
      </c>
      <c r="I434" s="6">
        <v>25</v>
      </c>
      <c r="J434" s="14">
        <f>($J$437-$L$433)/($I$437-$I$433)+L433</f>
        <v>142</v>
      </c>
      <c r="K434" s="6">
        <v>0</v>
      </c>
      <c r="L434" s="14">
        <f t="shared" si="116"/>
        <v>142</v>
      </c>
      <c r="M434" s="197">
        <f t="shared" si="109"/>
        <v>0.11478873239436618</v>
      </c>
      <c r="O434" s="6">
        <v>25</v>
      </c>
      <c r="P434" s="14">
        <f>($P$437-$R$433)/($O$437-$O$433)+R433</f>
        <v>112.5</v>
      </c>
      <c r="Q434" s="6">
        <v>0</v>
      </c>
      <c r="R434" s="14">
        <f t="shared" si="103"/>
        <v>112.5</v>
      </c>
      <c r="S434" s="188">
        <f t="shared" si="111"/>
        <v>0.10044444444444442</v>
      </c>
      <c r="U434" s="6">
        <v>25</v>
      </c>
      <c r="V434" s="14">
        <f>($V$437-$X$433)/($U$437-$U$433)+X433</f>
        <v>84.575000000000003</v>
      </c>
      <c r="W434" s="6">
        <v>0</v>
      </c>
      <c r="X434" s="14">
        <f t="shared" si="104"/>
        <v>84.575000000000003</v>
      </c>
      <c r="Y434" s="188">
        <f t="shared" si="113"/>
        <v>9.3112621933195389E-2</v>
      </c>
      <c r="AA434" s="6">
        <v>25</v>
      </c>
      <c r="AB434" s="14">
        <f>($AB$437-$AD$433)/($AA$437-$AA$433)+AD433</f>
        <v>57.95</v>
      </c>
      <c r="AC434" s="6">
        <v>0</v>
      </c>
      <c r="AD434" s="14">
        <f t="shared" si="105"/>
        <v>57.95</v>
      </c>
      <c r="AE434" s="188">
        <f t="shared" si="115"/>
        <v>9.2320966350302E-2</v>
      </c>
    </row>
    <row r="435" spans="1:32" x14ac:dyDescent="0.2">
      <c r="A435" s="496"/>
      <c r="C435" s="6">
        <v>26</v>
      </c>
      <c r="D435" s="14">
        <f>($D$437-$F$433)/($C$437-$C$433)+D434</f>
        <v>193.89999999999998</v>
      </c>
      <c r="E435" s="6">
        <v>0</v>
      </c>
      <c r="F435" s="14">
        <f>Pm_1147[[#This Row],[V_av]]-Pm_1147[[#This Row],[V_prel]]</f>
        <v>193.89999999999998</v>
      </c>
      <c r="G435" s="188">
        <f t="shared" si="107"/>
        <v>0.10237235688499224</v>
      </c>
      <c r="I435" s="6">
        <v>26</v>
      </c>
      <c r="J435" s="14">
        <f>($J$437-$L$433)/($I$437-$I$433)+J434</f>
        <v>158.30000000000001</v>
      </c>
      <c r="K435" s="6">
        <v>0</v>
      </c>
      <c r="L435" s="14">
        <f>J435-K435</f>
        <v>158.30000000000001</v>
      </c>
      <c r="M435" s="197">
        <f t="shared" si="109"/>
        <v>0.10296904611497164</v>
      </c>
      <c r="O435" s="6">
        <v>26</v>
      </c>
      <c r="P435" s="14">
        <f>($P$437-$R$433)/($O$437-$O$433)+P434</f>
        <v>123.8</v>
      </c>
      <c r="Q435" s="6">
        <v>0</v>
      </c>
      <c r="R435" s="14">
        <f t="shared" si="103"/>
        <v>123.8</v>
      </c>
      <c r="S435" s="188">
        <f t="shared" si="111"/>
        <v>9.1276252019386092E-2</v>
      </c>
      <c r="U435" s="6">
        <v>26</v>
      </c>
      <c r="V435" s="14">
        <f>($V$437-$X$433)/($U$437-$U$433)+V434</f>
        <v>92.45</v>
      </c>
      <c r="W435" s="6">
        <v>0</v>
      </c>
      <c r="X435" s="14">
        <f t="shared" si="104"/>
        <v>92.45</v>
      </c>
      <c r="Y435" s="188">
        <f t="shared" si="113"/>
        <v>8.5181179015684144E-2</v>
      </c>
      <c r="AA435" s="6">
        <v>26</v>
      </c>
      <c r="AB435" s="14">
        <f>($AB$437-$AD$433)/($AA$437-$AA$433)+AB434</f>
        <v>63.300000000000004</v>
      </c>
      <c r="AC435" s="6">
        <v>0</v>
      </c>
      <c r="AD435" s="14">
        <f t="shared" si="105"/>
        <v>63.300000000000004</v>
      </c>
      <c r="AE435" s="188">
        <f t="shared" si="115"/>
        <v>8.4518167456556104E-2</v>
      </c>
    </row>
    <row r="436" spans="1:32" x14ac:dyDescent="0.2">
      <c r="A436" s="496"/>
      <c r="C436" s="6">
        <v>27</v>
      </c>
      <c r="D436" s="14">
        <f>($D$437-$F$433)/($C$437-$C$433)+D435</f>
        <v>213.74999999999997</v>
      </c>
      <c r="E436" s="6">
        <v>0</v>
      </c>
      <c r="F436" s="14">
        <f>Pm_1147[[#This Row],[V_av]]-Pm_1147[[#This Row],[V_prel]]</f>
        <v>213.74999999999997</v>
      </c>
      <c r="G436" s="188">
        <f t="shared" si="107"/>
        <v>9.2865497076023373E-2</v>
      </c>
      <c r="I436" s="6">
        <v>27</v>
      </c>
      <c r="J436" s="14">
        <f>($J$437-$L$433)/($I$437-$I$433)+J435</f>
        <v>174.60000000000002</v>
      </c>
      <c r="K436" s="6">
        <v>0</v>
      </c>
      <c r="L436" s="14">
        <f t="shared" si="116"/>
        <v>174.60000000000002</v>
      </c>
      <c r="M436" s="197">
        <f t="shared" si="109"/>
        <v>9.335624284077898E-2</v>
      </c>
      <c r="O436" s="6">
        <v>27</v>
      </c>
      <c r="P436" s="14">
        <f>($P$437-$R$433)/($O$437-$O$433)+P435</f>
        <v>135.1</v>
      </c>
      <c r="Q436" s="6">
        <v>0</v>
      </c>
      <c r="R436" s="14">
        <f t="shared" si="103"/>
        <v>135.1</v>
      </c>
      <c r="S436" s="188">
        <f t="shared" si="111"/>
        <v>8.3641746854182075E-2</v>
      </c>
      <c r="U436" s="6">
        <v>27</v>
      </c>
      <c r="V436" s="14">
        <f>($V$437-$X$433)/($U$437-$U$433)+V435</f>
        <v>100.325</v>
      </c>
      <c r="W436" s="6">
        <v>0</v>
      </c>
      <c r="X436" s="14">
        <f t="shared" si="104"/>
        <v>100.325</v>
      </c>
      <c r="Y436" s="188">
        <f t="shared" si="113"/>
        <v>7.8494891602292546E-2</v>
      </c>
      <c r="AA436" s="6">
        <v>27</v>
      </c>
      <c r="AB436" s="14">
        <f>($AB$437-$AD$433)/($AA$437-$AA$433)+AB435</f>
        <v>68.650000000000006</v>
      </c>
      <c r="AC436" s="6">
        <v>0</v>
      </c>
      <c r="AD436" s="14">
        <f t="shared" si="105"/>
        <v>68.650000000000006</v>
      </c>
      <c r="AE436" s="188">
        <f t="shared" si="115"/>
        <v>7.793153678077204E-2</v>
      </c>
    </row>
    <row r="437" spans="1:32" ht="20" x14ac:dyDescent="0.25">
      <c r="A437" s="496"/>
      <c r="C437" s="7">
        <v>28</v>
      </c>
      <c r="D437" s="7">
        <v>233.6</v>
      </c>
      <c r="E437" s="7">
        <v>41.4</v>
      </c>
      <c r="F437" s="7">
        <v>192.2</v>
      </c>
      <c r="G437" s="188">
        <f t="shared" si="107"/>
        <v>8.4974315068493247E-2</v>
      </c>
      <c r="I437" s="7">
        <v>28</v>
      </c>
      <c r="J437" s="7">
        <v>190.9</v>
      </c>
      <c r="K437" s="7">
        <v>35.4</v>
      </c>
      <c r="L437" s="7">
        <v>155.5</v>
      </c>
      <c r="M437" s="197">
        <f t="shared" si="109"/>
        <v>8.5385018334206295E-2</v>
      </c>
      <c r="N437" s="177"/>
      <c r="O437" s="7">
        <v>28</v>
      </c>
      <c r="P437" s="7">
        <v>146.4</v>
      </c>
      <c r="Q437" s="7">
        <v>23.4</v>
      </c>
      <c r="R437" s="7">
        <v>123</v>
      </c>
      <c r="S437" s="188">
        <f t="shared" si="111"/>
        <v>7.7185792349726848E-2</v>
      </c>
      <c r="U437" s="7">
        <v>28</v>
      </c>
      <c r="V437" s="7">
        <v>108.2</v>
      </c>
      <c r="W437" s="7">
        <v>13.1</v>
      </c>
      <c r="X437" s="7">
        <v>95.1</v>
      </c>
      <c r="Y437" s="188">
        <f t="shared" si="113"/>
        <v>7.2781885397412191E-2</v>
      </c>
      <c r="AA437" s="7">
        <v>28</v>
      </c>
      <c r="AB437" s="7">
        <v>74</v>
      </c>
      <c r="AC437" s="7">
        <v>7.1</v>
      </c>
      <c r="AD437" s="7">
        <v>66.900000000000006</v>
      </c>
      <c r="AE437" s="188">
        <f t="shared" si="115"/>
        <v>7.2297297297297225E-2</v>
      </c>
    </row>
    <row r="438" spans="1:32" s="15" customFormat="1" ht="20" x14ac:dyDescent="0.25">
      <c r="A438" s="496"/>
      <c r="C438" s="6">
        <v>29</v>
      </c>
      <c r="D438" s="14">
        <f>($D$443-$F$437)/($C$443-$C$437)+F437</f>
        <v>210.89999999999998</v>
      </c>
      <c r="E438" s="6">
        <v>0</v>
      </c>
      <c r="F438" s="14">
        <f>Pm_1147[[#This Row],[V_av]]-Pm_1147[[#This Row],[V_prel]]</f>
        <v>210.89999999999998</v>
      </c>
      <c r="G438" s="188">
        <f t="shared" si="107"/>
        <v>8.8667614983404419E-2</v>
      </c>
      <c r="H438" s="177"/>
      <c r="I438" s="6">
        <v>29</v>
      </c>
      <c r="J438" s="14">
        <f>($J$443-$L$437)/($I$443-$I$437)+L437</f>
        <v>170.3</v>
      </c>
      <c r="K438" s="6">
        <v>0</v>
      </c>
      <c r="L438" s="14">
        <f t="shared" si="116"/>
        <v>170.3</v>
      </c>
      <c r="M438" s="197">
        <f t="shared" si="109"/>
        <v>8.6905460951262545E-2</v>
      </c>
      <c r="N438" s="6"/>
      <c r="O438" s="6">
        <v>29</v>
      </c>
      <c r="P438" s="14">
        <f>($P$443-$R$437)/($O$443-$O$437)+R437</f>
        <v>134.76666666666665</v>
      </c>
      <c r="Q438" s="6">
        <v>0</v>
      </c>
      <c r="R438" s="14">
        <f t="shared" si="103"/>
        <v>134.76666666666665</v>
      </c>
      <c r="S438" s="188">
        <f t="shared" si="111"/>
        <v>8.7311402423942516E-2</v>
      </c>
      <c r="T438" s="177"/>
      <c r="U438" s="6">
        <v>29</v>
      </c>
      <c r="V438" s="14">
        <f>($V$443-$X$437)/($U$443-$U$437)+X437</f>
        <v>103.08333333333333</v>
      </c>
      <c r="W438" s="6">
        <v>0</v>
      </c>
      <c r="X438" s="14">
        <f t="shared" si="104"/>
        <v>103.08333333333333</v>
      </c>
      <c r="Y438" s="188">
        <f t="shared" si="113"/>
        <v>7.7445432497979E-2</v>
      </c>
      <c r="Z438" s="177"/>
      <c r="AA438" s="6">
        <v>29</v>
      </c>
      <c r="AB438" s="14">
        <f>($AB$443-$AD$437)/($AA$443-$AA$437)+AD437</f>
        <v>72</v>
      </c>
      <c r="AC438" s="6">
        <v>0</v>
      </c>
      <c r="AD438" s="14">
        <f t="shared" si="105"/>
        <v>72</v>
      </c>
      <c r="AE438" s="188">
        <f t="shared" si="115"/>
        <v>7.0833333333333248E-2</v>
      </c>
      <c r="AF438" s="177"/>
    </row>
    <row r="439" spans="1:32" x14ac:dyDescent="0.2">
      <c r="A439" s="496"/>
      <c r="C439" s="6">
        <v>30</v>
      </c>
      <c r="D439" s="14">
        <f>($D$443-$F$437)/($C$443-$C$437)+D438</f>
        <v>229.59999999999997</v>
      </c>
      <c r="E439" s="6">
        <v>0</v>
      </c>
      <c r="F439" s="14">
        <f>Pm_1147[[#This Row],[V_av]]-Pm_1147[[#This Row],[V_prel]]</f>
        <v>229.59999999999997</v>
      </c>
      <c r="G439" s="188">
        <f t="shared" si="107"/>
        <v>8.1445993031358854E-2</v>
      </c>
      <c r="I439" s="6">
        <v>30</v>
      </c>
      <c r="J439" s="14">
        <f>($J$443-$L$437)/($I$443-$I$437)+J438</f>
        <v>185.10000000000002</v>
      </c>
      <c r="K439" s="6">
        <v>0</v>
      </c>
      <c r="L439" s="14">
        <f t="shared" si="116"/>
        <v>185.10000000000002</v>
      </c>
      <c r="M439" s="197">
        <f t="shared" si="109"/>
        <v>7.9956780118854723E-2</v>
      </c>
      <c r="O439" s="6">
        <v>30</v>
      </c>
      <c r="P439" s="14">
        <f>($P$443-$R$437)/($O$443-$O$437)+P438</f>
        <v>146.5333333333333</v>
      </c>
      <c r="Q439" s="6">
        <v>0</v>
      </c>
      <c r="R439" s="14">
        <f t="shared" si="103"/>
        <v>146.5333333333333</v>
      </c>
      <c r="S439" s="188">
        <f t="shared" si="111"/>
        <v>8.030027297543213E-2</v>
      </c>
      <c r="U439" s="6">
        <v>30</v>
      </c>
      <c r="V439" s="14">
        <f>($V$443-$X$437)/($U$443-$U$437)+V438</f>
        <v>111.06666666666666</v>
      </c>
      <c r="W439" s="6">
        <v>0</v>
      </c>
      <c r="X439" s="14">
        <f t="shared" si="104"/>
        <v>111.06666666666666</v>
      </c>
      <c r="Y439" s="188">
        <f t="shared" si="113"/>
        <v>7.1878751500600246E-2</v>
      </c>
      <c r="AA439" s="6">
        <v>30</v>
      </c>
      <c r="AB439" s="14">
        <f>($AB$443-$AD$437)/($AA$443-$AA$437)+AB438</f>
        <v>77.099999999999994</v>
      </c>
      <c r="AC439" s="6">
        <v>0</v>
      </c>
      <c r="AD439" s="14">
        <f t="shared" si="105"/>
        <v>77.099999999999994</v>
      </c>
      <c r="AE439" s="188">
        <f t="shared" si="115"/>
        <v>6.614785992217892E-2</v>
      </c>
    </row>
    <row r="440" spans="1:32" x14ac:dyDescent="0.2">
      <c r="A440" s="496"/>
      <c r="C440" s="6">
        <v>31</v>
      </c>
      <c r="D440" s="14">
        <f t="shared" ref="D440:D442" si="117">($D$443-$F$437)/($C$443-$C$437)+D439</f>
        <v>248.29999999999995</v>
      </c>
      <c r="E440" s="6">
        <v>0</v>
      </c>
      <c r="F440" s="14">
        <f>Pm_1147[[#This Row],[V_av]]-Pm_1147[[#This Row],[V_prel]]</f>
        <v>248.29999999999995</v>
      </c>
      <c r="G440" s="188">
        <f t="shared" si="107"/>
        <v>7.5312122432541248E-2</v>
      </c>
      <c r="I440" s="6">
        <v>31</v>
      </c>
      <c r="J440" s="14">
        <f t="shared" ref="J440:J442" si="118">($J$443-$L$437)/($I$443-$I$437)+J439</f>
        <v>199.90000000000003</v>
      </c>
      <c r="K440" s="6">
        <v>0</v>
      </c>
      <c r="L440" s="14">
        <f t="shared" si="116"/>
        <v>199.90000000000003</v>
      </c>
      <c r="M440" s="197">
        <f t="shared" si="109"/>
        <v>7.4037018509254676E-2</v>
      </c>
      <c r="O440" s="6">
        <v>31</v>
      </c>
      <c r="P440" s="14">
        <f t="shared" ref="P440:P442" si="119">($P$443-$R$437)/($O$443-$O$437)+P439</f>
        <v>158.29999999999995</v>
      </c>
      <c r="Q440" s="6">
        <v>0</v>
      </c>
      <c r="R440" s="14">
        <f t="shared" si="103"/>
        <v>158.29999999999995</v>
      </c>
      <c r="S440" s="188">
        <f t="shared" si="111"/>
        <v>7.4331438197515198E-2</v>
      </c>
      <c r="U440" s="6">
        <v>31</v>
      </c>
      <c r="V440" s="14">
        <f t="shared" ref="V440:V442" si="120">($V$443-$X$437)/($U$443-$U$437)+V439</f>
        <v>119.05</v>
      </c>
      <c r="W440" s="6">
        <v>0</v>
      </c>
      <c r="X440" s="14">
        <f t="shared" si="104"/>
        <v>119.05</v>
      </c>
      <c r="Y440" s="188">
        <f t="shared" si="113"/>
        <v>6.7058658826823478E-2</v>
      </c>
      <c r="AA440" s="6">
        <v>31</v>
      </c>
      <c r="AB440" s="14">
        <f t="shared" ref="AB440:AB442" si="121">($AB$443-$AD$437)/($AA$443-$AA$437)+AB439</f>
        <v>82.199999999999989</v>
      </c>
      <c r="AC440" s="6">
        <v>0</v>
      </c>
      <c r="AD440" s="14">
        <f t="shared" si="105"/>
        <v>82.199999999999989</v>
      </c>
      <c r="AE440" s="188">
        <f t="shared" si="115"/>
        <v>6.2043795620437894E-2</v>
      </c>
    </row>
    <row r="441" spans="1:32" x14ac:dyDescent="0.2">
      <c r="A441" s="496"/>
      <c r="C441" s="6">
        <v>32</v>
      </c>
      <c r="D441" s="14">
        <f t="shared" si="117"/>
        <v>266.99999999999994</v>
      </c>
      <c r="E441" s="6">
        <v>0</v>
      </c>
      <c r="F441" s="14">
        <f>Pm_1147[[#This Row],[V_av]]-Pm_1147[[#This Row],[V_prel]]</f>
        <v>266.99999999999994</v>
      </c>
      <c r="G441" s="188">
        <f t="shared" si="107"/>
        <v>7.0037453183520573E-2</v>
      </c>
      <c r="I441" s="6">
        <v>32</v>
      </c>
      <c r="J441" s="14">
        <f t="shared" si="118"/>
        <v>214.70000000000005</v>
      </c>
      <c r="K441" s="6">
        <v>0</v>
      </c>
      <c r="L441" s="14">
        <f t="shared" si="116"/>
        <v>214.70000000000005</v>
      </c>
      <c r="M441" s="197">
        <f t="shared" si="109"/>
        <v>6.8933395435491415E-2</v>
      </c>
      <c r="O441" s="6">
        <v>32</v>
      </c>
      <c r="P441" s="14">
        <f t="shared" si="119"/>
        <v>170.06666666666661</v>
      </c>
      <c r="Q441" s="6">
        <v>0</v>
      </c>
      <c r="R441" s="14">
        <f t="shared" si="103"/>
        <v>170.06666666666661</v>
      </c>
      <c r="S441" s="188">
        <f t="shared" si="111"/>
        <v>6.9188553508428008E-2</v>
      </c>
      <c r="U441" s="6">
        <v>32</v>
      </c>
      <c r="V441" s="14">
        <f t="shared" si="120"/>
        <v>127.03333333333333</v>
      </c>
      <c r="W441" s="6">
        <v>0</v>
      </c>
      <c r="X441" s="14">
        <f t="shared" si="104"/>
        <v>127.03333333333333</v>
      </c>
      <c r="Y441" s="188">
        <f t="shared" si="113"/>
        <v>6.2844397795854115E-2</v>
      </c>
      <c r="AA441" s="6">
        <v>32</v>
      </c>
      <c r="AB441" s="14">
        <f t="shared" si="121"/>
        <v>87.299999999999983</v>
      </c>
      <c r="AC441" s="6">
        <v>0</v>
      </c>
      <c r="AD441" s="14">
        <f t="shared" si="105"/>
        <v>87.299999999999983</v>
      </c>
      <c r="AE441" s="188">
        <f t="shared" si="115"/>
        <v>5.8419243986254241E-2</v>
      </c>
    </row>
    <row r="442" spans="1:32" x14ac:dyDescent="0.2">
      <c r="A442" s="496"/>
      <c r="C442" s="6">
        <v>33</v>
      </c>
      <c r="D442" s="14">
        <f t="shared" si="117"/>
        <v>285.69999999999993</v>
      </c>
      <c r="E442" s="6">
        <v>0</v>
      </c>
      <c r="F442" s="14">
        <f>Pm_1147[[#This Row],[V_av]]-Pm_1147[[#This Row],[V_prel]]</f>
        <v>285.69999999999993</v>
      </c>
      <c r="G442" s="188">
        <f t="shared" si="107"/>
        <v>6.5453272663633155E-2</v>
      </c>
      <c r="I442" s="6">
        <v>33</v>
      </c>
      <c r="J442" s="14">
        <f t="shared" si="118"/>
        <v>229.50000000000006</v>
      </c>
      <c r="K442" s="6">
        <v>0</v>
      </c>
      <c r="L442" s="14">
        <f t="shared" si="116"/>
        <v>229.50000000000006</v>
      </c>
      <c r="M442" s="197">
        <f t="shared" si="109"/>
        <v>6.4488017429193939E-2</v>
      </c>
      <c r="O442" s="6">
        <v>33</v>
      </c>
      <c r="P442" s="14">
        <f t="shared" si="119"/>
        <v>181.83333333333326</v>
      </c>
      <c r="Q442" s="6">
        <v>0</v>
      </c>
      <c r="R442" s="14">
        <f t="shared" si="103"/>
        <v>181.83333333333326</v>
      </c>
      <c r="S442" s="188">
        <f t="shared" si="111"/>
        <v>6.47112740604949E-2</v>
      </c>
      <c r="U442" s="6">
        <v>33</v>
      </c>
      <c r="V442" s="14">
        <f t="shared" si="120"/>
        <v>135.01666666666665</v>
      </c>
      <c r="W442" s="6">
        <v>0</v>
      </c>
      <c r="X442" s="14">
        <f t="shared" si="104"/>
        <v>135.01666666666665</v>
      </c>
      <c r="Y442" s="188">
        <f t="shared" si="113"/>
        <v>5.9128502653993241E-2</v>
      </c>
      <c r="AA442" s="6">
        <v>33</v>
      </c>
      <c r="AB442" s="14">
        <f t="shared" si="121"/>
        <v>92.399999999999977</v>
      </c>
      <c r="AC442" s="6">
        <v>0</v>
      </c>
      <c r="AD442" s="14">
        <f t="shared" si="105"/>
        <v>92.399999999999977</v>
      </c>
      <c r="AE442" s="188">
        <f t="shared" si="115"/>
        <v>5.5194805194805144E-2</v>
      </c>
    </row>
    <row r="443" spans="1:32" x14ac:dyDescent="0.2">
      <c r="A443" s="496"/>
      <c r="C443" s="7">
        <v>34</v>
      </c>
      <c r="D443" s="7">
        <v>304.39999999999998</v>
      </c>
      <c r="E443" s="7">
        <v>59.9</v>
      </c>
      <c r="F443" s="7">
        <v>244.5</v>
      </c>
      <c r="G443" s="188">
        <f t="shared" si="107"/>
        <v>6.1432325886990956E-2</v>
      </c>
      <c r="I443" s="7">
        <v>34</v>
      </c>
      <c r="J443" s="7">
        <v>244.3</v>
      </c>
      <c r="K443" s="7">
        <v>46.2</v>
      </c>
      <c r="L443" s="7">
        <v>198.1</v>
      </c>
      <c r="M443" s="197">
        <f t="shared" si="109"/>
        <v>6.0581252558329732E-2</v>
      </c>
      <c r="O443" s="6">
        <v>34</v>
      </c>
      <c r="P443" s="7">
        <v>193.6</v>
      </c>
      <c r="Q443" s="7">
        <v>38.299999999999997</v>
      </c>
      <c r="R443" s="7">
        <v>155.30000000000001</v>
      </c>
      <c r="S443" s="188">
        <f t="shared" si="111"/>
        <v>6.0778236914600915E-2</v>
      </c>
      <c r="U443" s="7">
        <v>34</v>
      </c>
      <c r="V443" s="7">
        <v>143</v>
      </c>
      <c r="W443" s="7">
        <v>24.8</v>
      </c>
      <c r="X443" s="7">
        <v>118.2</v>
      </c>
      <c r="Y443" s="188">
        <f t="shared" si="113"/>
        <v>5.5827505827505931E-2</v>
      </c>
      <c r="AA443" s="7">
        <v>34</v>
      </c>
      <c r="AB443" s="7">
        <v>97.5</v>
      </c>
      <c r="AC443" s="7">
        <v>11.9</v>
      </c>
      <c r="AD443" s="7">
        <v>85.6</v>
      </c>
      <c r="AE443" s="188">
        <f t="shared" si="115"/>
        <v>5.2307692307692541E-2</v>
      </c>
    </row>
    <row r="444" spans="1:32" x14ac:dyDescent="0.2">
      <c r="A444" s="496"/>
      <c r="C444" s="7">
        <v>40</v>
      </c>
      <c r="D444" s="7">
        <v>333.5</v>
      </c>
      <c r="E444" s="7">
        <v>34.1</v>
      </c>
      <c r="F444" s="7">
        <v>299.39999999999998</v>
      </c>
      <c r="G444" s="188">
        <f t="shared" si="107"/>
        <v>4.4477761119440275E-2</v>
      </c>
    </row>
    <row r="445" spans="1:32" x14ac:dyDescent="0.2">
      <c r="A445" s="496"/>
      <c r="C445" s="7">
        <v>46</v>
      </c>
      <c r="D445" s="7">
        <v>365.63</v>
      </c>
      <c r="E445" s="7">
        <v>21.3</v>
      </c>
      <c r="F445" s="7">
        <v>344.33</v>
      </c>
      <c r="G445" s="188">
        <f t="shared" si="107"/>
        <v>3.0189900536972722E-2</v>
      </c>
    </row>
    <row r="446" spans="1:32" x14ac:dyDescent="0.2">
      <c r="A446" s="496"/>
      <c r="C446" s="7">
        <v>54</v>
      </c>
      <c r="D446" s="7">
        <v>402.6</v>
      </c>
      <c r="E446" s="7">
        <v>17.399999999999999</v>
      </c>
      <c r="F446" s="7">
        <v>385.2</v>
      </c>
      <c r="G446" s="188">
        <f t="shared" si="107"/>
        <v>1.8091778440139109E-2</v>
      </c>
    </row>
    <row r="447" spans="1:32" x14ac:dyDescent="0.2">
      <c r="A447" s="496"/>
      <c r="C447" s="7">
        <v>62</v>
      </c>
      <c r="D447" s="7">
        <v>409.5</v>
      </c>
      <c r="E447" s="7">
        <v>7.2</v>
      </c>
      <c r="F447" s="7">
        <v>402.3</v>
      </c>
      <c r="G447" s="188">
        <f t="shared" si="107"/>
        <v>7.4175824175824207E-3</v>
      </c>
    </row>
    <row r="448" spans="1:32" x14ac:dyDescent="0.2">
      <c r="A448" s="496"/>
      <c r="C448" s="7">
        <v>70</v>
      </c>
      <c r="D448" s="7">
        <v>443.1</v>
      </c>
      <c r="E448" s="7">
        <v>443.1</v>
      </c>
      <c r="F448" s="7">
        <v>0</v>
      </c>
      <c r="G448" s="188">
        <f t="shared" si="107"/>
        <v>1.1509817197020992E-2</v>
      </c>
    </row>
    <row r="450" spans="1:25" x14ac:dyDescent="0.2">
      <c r="A450" s="494" t="s">
        <v>707</v>
      </c>
      <c r="C450" s="7" t="s">
        <v>972</v>
      </c>
      <c r="D450" s="9" t="s">
        <v>134</v>
      </c>
      <c r="I450" s="7" t="s">
        <v>973</v>
      </c>
      <c r="O450" s="7" t="s">
        <v>974</v>
      </c>
      <c r="U450" s="7" t="s">
        <v>975</v>
      </c>
    </row>
    <row r="451" spans="1:25" x14ac:dyDescent="0.2">
      <c r="A451" s="494"/>
      <c r="C451" s="6" t="s">
        <v>125</v>
      </c>
      <c r="D451" s="6" t="s">
        <v>126</v>
      </c>
      <c r="E451" s="6" t="s">
        <v>127</v>
      </c>
      <c r="F451" s="6" t="s">
        <v>128</v>
      </c>
      <c r="G451" s="194" t="s">
        <v>699</v>
      </c>
      <c r="I451" s="176" t="s">
        <v>125</v>
      </c>
      <c r="J451" s="176" t="s">
        <v>126</v>
      </c>
      <c r="K451" s="176" t="s">
        <v>127</v>
      </c>
      <c r="L451" s="176" t="s">
        <v>128</v>
      </c>
      <c r="M451" s="196" t="s">
        <v>699</v>
      </c>
      <c r="O451" s="176" t="s">
        <v>125</v>
      </c>
      <c r="P451" s="176" t="s">
        <v>126</v>
      </c>
      <c r="Q451" s="176" t="s">
        <v>127</v>
      </c>
      <c r="R451" s="176" t="s">
        <v>128</v>
      </c>
      <c r="S451" s="196" t="s">
        <v>699</v>
      </c>
      <c r="U451" s="176" t="s">
        <v>125</v>
      </c>
      <c r="V451" s="176" t="s">
        <v>126</v>
      </c>
      <c r="W451" s="176" t="s">
        <v>127</v>
      </c>
      <c r="X451" s="176" t="s">
        <v>128</v>
      </c>
      <c r="Y451" s="196" t="s">
        <v>699</v>
      </c>
    </row>
    <row r="452" spans="1:25" x14ac:dyDescent="0.2">
      <c r="A452" s="494"/>
      <c r="C452" s="6">
        <v>1</v>
      </c>
      <c r="D452" s="8">
        <f>D471/C471</f>
        <v>1.4</v>
      </c>
      <c r="E452" s="8">
        <v>0</v>
      </c>
      <c r="F452" s="8">
        <f>Ce_1152[[#This Row],[V_av]]-Ce_1152[[#This Row],[V_prel]]</f>
        <v>1.4</v>
      </c>
      <c r="G452" s="194">
        <v>0</v>
      </c>
      <c r="I452" s="6">
        <v>1</v>
      </c>
      <c r="J452" s="8">
        <f>J481/I481</f>
        <v>2.9333333333333331</v>
      </c>
      <c r="K452" s="6">
        <v>0</v>
      </c>
      <c r="L452" s="8">
        <f>J452-K452</f>
        <v>2.9333333333333331</v>
      </c>
      <c r="M452" s="187">
        <v>0</v>
      </c>
      <c r="O452" s="6">
        <v>1</v>
      </c>
      <c r="P452" s="8">
        <f>P482/O482</f>
        <v>4.92</v>
      </c>
      <c r="Q452" s="6">
        <v>0</v>
      </c>
      <c r="R452" s="8">
        <f>P452-Q452</f>
        <v>4.92</v>
      </c>
      <c r="S452" s="194">
        <v>0</v>
      </c>
      <c r="U452" s="6">
        <v>1</v>
      </c>
      <c r="V452" s="8">
        <f>V482/U482</f>
        <v>3.25</v>
      </c>
      <c r="W452" s="6">
        <v>0</v>
      </c>
      <c r="X452" s="8">
        <f>V452-W452</f>
        <v>3.25</v>
      </c>
      <c r="Y452" s="194">
        <v>0</v>
      </c>
    </row>
    <row r="453" spans="1:25" x14ac:dyDescent="0.2">
      <c r="A453" s="494"/>
      <c r="C453" s="6">
        <v>2</v>
      </c>
      <c r="D453" s="8">
        <f>$D$471/$C$471+F452</f>
        <v>2.8</v>
      </c>
      <c r="E453" s="8">
        <v>0</v>
      </c>
      <c r="F453" s="8">
        <f>Ce_1152[[#This Row],[V_av]]-Ce_1152[[#This Row],[V_prel]]</f>
        <v>2.8</v>
      </c>
      <c r="G453" s="188">
        <f>((D453-F452)/D453)/(C453-C452)</f>
        <v>0.5</v>
      </c>
      <c r="I453" s="6">
        <v>2</v>
      </c>
      <c r="J453" s="8">
        <f>$J$481/$I$481+L452</f>
        <v>5.8666666666666663</v>
      </c>
      <c r="K453" s="6">
        <v>0</v>
      </c>
      <c r="L453" s="8">
        <f t="shared" ref="L453:L480" si="122">J453-K453</f>
        <v>5.8666666666666663</v>
      </c>
      <c r="M453" s="188">
        <f>((J453-L452)/J453)/(I453-I452)</f>
        <v>0.5</v>
      </c>
      <c r="O453" s="6">
        <v>2</v>
      </c>
      <c r="P453" s="8">
        <f>$P$482/$O$482+R452</f>
        <v>9.84</v>
      </c>
      <c r="Q453" s="6">
        <v>0</v>
      </c>
      <c r="R453" s="8">
        <f t="shared" ref="R453:R481" si="123">P453-Q453</f>
        <v>9.84</v>
      </c>
      <c r="S453" s="188">
        <f>((P453-R452)/P453)/(O453-O452)</f>
        <v>0.5</v>
      </c>
      <c r="U453" s="6">
        <v>2</v>
      </c>
      <c r="V453" s="8">
        <f>$V$482/$U$482+X452</f>
        <v>6.5</v>
      </c>
      <c r="W453" s="6">
        <v>0</v>
      </c>
      <c r="X453" s="8">
        <f t="shared" ref="X453:X481" si="124">V453-W453</f>
        <v>6.5</v>
      </c>
      <c r="Y453" s="188">
        <f>((V453-X452)/V453)/(U453-U452)</f>
        <v>0.5</v>
      </c>
    </row>
    <row r="454" spans="1:25" x14ac:dyDescent="0.2">
      <c r="A454" s="494"/>
      <c r="C454" s="6">
        <v>3</v>
      </c>
      <c r="D454" s="8">
        <f t="shared" ref="D454:D470" si="125">$D$471/$C$471+F453</f>
        <v>4.1999999999999993</v>
      </c>
      <c r="E454" s="8">
        <v>0</v>
      </c>
      <c r="F454" s="8">
        <f>Ce_1152[[#This Row],[V_av]]-Ce_1152[[#This Row],[V_prel]]</f>
        <v>4.1999999999999993</v>
      </c>
      <c r="G454" s="188">
        <f t="shared" ref="G454:G488" si="126">((D454-F453)/D454)/(C454-C453)</f>
        <v>0.33333333333333326</v>
      </c>
      <c r="I454" s="6">
        <v>3</v>
      </c>
      <c r="J454" s="8">
        <f t="shared" ref="J454:J480" si="127">$J$481/$I$481+L453</f>
        <v>8.7999999999999989</v>
      </c>
      <c r="K454" s="6">
        <v>0</v>
      </c>
      <c r="L454" s="8">
        <f t="shared" si="122"/>
        <v>8.7999999999999989</v>
      </c>
      <c r="M454" s="188">
        <f t="shared" ref="M454:M481" si="128">((J454-L453)/J454)/(I454-I453)</f>
        <v>0.33333333333333331</v>
      </c>
      <c r="O454" s="6">
        <v>3</v>
      </c>
      <c r="P454" s="8">
        <f t="shared" ref="P454:P481" si="129">$P$482/$O$482+R453</f>
        <v>14.76</v>
      </c>
      <c r="Q454" s="6">
        <v>0</v>
      </c>
      <c r="R454" s="8">
        <f t="shared" si="123"/>
        <v>14.76</v>
      </c>
      <c r="S454" s="188">
        <f t="shared" ref="S454:S482" si="130">((P454-R453)/P454)/(O454-O453)</f>
        <v>0.33333333333333331</v>
      </c>
      <c r="U454" s="6">
        <v>3</v>
      </c>
      <c r="V454" s="8">
        <f t="shared" ref="V454:V481" si="131">$V$482/$U$482+X453</f>
        <v>9.75</v>
      </c>
      <c r="W454" s="6">
        <v>0</v>
      </c>
      <c r="X454" s="8">
        <f t="shared" si="124"/>
        <v>9.75</v>
      </c>
      <c r="Y454" s="188">
        <f t="shared" ref="Y454:Y482" si="132">((V454-X453)/V454)/(U454-U453)</f>
        <v>0.33333333333333331</v>
      </c>
    </row>
    <row r="455" spans="1:25" x14ac:dyDescent="0.2">
      <c r="A455" s="494"/>
      <c r="C455" s="6">
        <v>4</v>
      </c>
      <c r="D455" s="8">
        <f t="shared" si="125"/>
        <v>5.6</v>
      </c>
      <c r="E455" s="8">
        <v>0</v>
      </c>
      <c r="F455" s="8">
        <f>Ce_1152[[#This Row],[V_av]]-Ce_1152[[#This Row],[V_prel]]</f>
        <v>5.6</v>
      </c>
      <c r="G455" s="188">
        <f t="shared" si="126"/>
        <v>0.25000000000000006</v>
      </c>
      <c r="I455" s="6">
        <v>4</v>
      </c>
      <c r="J455" s="8">
        <f t="shared" si="127"/>
        <v>11.733333333333333</v>
      </c>
      <c r="K455" s="6">
        <v>0</v>
      </c>
      <c r="L455" s="8">
        <f t="shared" si="122"/>
        <v>11.733333333333333</v>
      </c>
      <c r="M455" s="188">
        <f t="shared" si="128"/>
        <v>0.25000000000000006</v>
      </c>
      <c r="O455" s="6">
        <v>4</v>
      </c>
      <c r="P455" s="8">
        <f t="shared" si="129"/>
        <v>19.68</v>
      </c>
      <c r="Q455" s="6">
        <v>0</v>
      </c>
      <c r="R455" s="8">
        <f t="shared" si="123"/>
        <v>19.68</v>
      </c>
      <c r="S455" s="188">
        <f t="shared" si="130"/>
        <v>0.25</v>
      </c>
      <c r="U455" s="6">
        <v>4</v>
      </c>
      <c r="V455" s="8">
        <f t="shared" si="131"/>
        <v>13</v>
      </c>
      <c r="W455" s="6">
        <v>0</v>
      </c>
      <c r="X455" s="8">
        <f t="shared" si="124"/>
        <v>13</v>
      </c>
      <c r="Y455" s="188">
        <f t="shared" si="132"/>
        <v>0.25</v>
      </c>
    </row>
    <row r="456" spans="1:25" x14ac:dyDescent="0.2">
      <c r="A456" s="494"/>
      <c r="C456" s="6">
        <v>5</v>
      </c>
      <c r="D456" s="8">
        <f t="shared" si="125"/>
        <v>7</v>
      </c>
      <c r="E456" s="8">
        <v>0</v>
      </c>
      <c r="F456" s="8">
        <f>Ce_1152[[#This Row],[V_av]]-Ce_1152[[#This Row],[V_prel]]</f>
        <v>7</v>
      </c>
      <c r="G456" s="188">
        <f t="shared" si="126"/>
        <v>0.20000000000000004</v>
      </c>
      <c r="I456" s="6">
        <v>5</v>
      </c>
      <c r="J456" s="8">
        <f t="shared" si="127"/>
        <v>14.666666666666666</v>
      </c>
      <c r="K456" s="6">
        <v>0</v>
      </c>
      <c r="L456" s="8">
        <f t="shared" si="122"/>
        <v>14.666666666666666</v>
      </c>
      <c r="M456" s="188">
        <f t="shared" si="128"/>
        <v>0.2</v>
      </c>
      <c r="O456" s="6">
        <v>5</v>
      </c>
      <c r="P456" s="8">
        <f t="shared" si="129"/>
        <v>24.6</v>
      </c>
      <c r="Q456" s="6">
        <v>0</v>
      </c>
      <c r="R456" s="8">
        <f t="shared" si="123"/>
        <v>24.6</v>
      </c>
      <c r="S456" s="188">
        <f t="shared" si="130"/>
        <v>0.20000000000000007</v>
      </c>
      <c r="U456" s="6">
        <v>5</v>
      </c>
      <c r="V456" s="8">
        <f t="shared" si="131"/>
        <v>16.25</v>
      </c>
      <c r="W456" s="6">
        <v>0</v>
      </c>
      <c r="X456" s="8">
        <f t="shared" si="124"/>
        <v>16.25</v>
      </c>
      <c r="Y456" s="188">
        <f t="shared" si="132"/>
        <v>0.2</v>
      </c>
    </row>
    <row r="457" spans="1:25" x14ac:dyDescent="0.2">
      <c r="A457" s="494"/>
      <c r="C457" s="6">
        <v>6</v>
      </c>
      <c r="D457" s="8">
        <f t="shared" si="125"/>
        <v>8.4</v>
      </c>
      <c r="E457" s="8">
        <v>0</v>
      </c>
      <c r="F457" s="8">
        <f>Ce_1152[[#This Row],[V_av]]-Ce_1152[[#This Row],[V_prel]]</f>
        <v>8.4</v>
      </c>
      <c r="G457" s="188">
        <f t="shared" si="126"/>
        <v>0.16666666666666671</v>
      </c>
      <c r="I457" s="6">
        <v>6</v>
      </c>
      <c r="J457" s="8">
        <f t="shared" si="127"/>
        <v>17.599999999999998</v>
      </c>
      <c r="K457" s="6">
        <v>0</v>
      </c>
      <c r="L457" s="8">
        <f t="shared" si="122"/>
        <v>17.599999999999998</v>
      </c>
      <c r="M457" s="188">
        <f t="shared" si="128"/>
        <v>0.1666666666666666</v>
      </c>
      <c r="O457" s="6">
        <v>6</v>
      </c>
      <c r="P457" s="8">
        <f t="shared" si="129"/>
        <v>29.520000000000003</v>
      </c>
      <c r="Q457" s="6">
        <v>0</v>
      </c>
      <c r="R457" s="8">
        <f t="shared" si="123"/>
        <v>29.520000000000003</v>
      </c>
      <c r="S457" s="188">
        <f t="shared" si="130"/>
        <v>0.16666666666666671</v>
      </c>
      <c r="U457" s="6">
        <v>6</v>
      </c>
      <c r="V457" s="8">
        <f t="shared" si="131"/>
        <v>19.5</v>
      </c>
      <c r="W457" s="6">
        <v>0</v>
      </c>
      <c r="X457" s="8">
        <f t="shared" si="124"/>
        <v>19.5</v>
      </c>
      <c r="Y457" s="188">
        <f t="shared" si="132"/>
        <v>0.16666666666666666</v>
      </c>
    </row>
    <row r="458" spans="1:25" x14ac:dyDescent="0.2">
      <c r="A458" s="494"/>
      <c r="C458" s="6">
        <v>7</v>
      </c>
      <c r="D458" s="8">
        <f t="shared" si="125"/>
        <v>9.8000000000000007</v>
      </c>
      <c r="E458" s="8">
        <v>0</v>
      </c>
      <c r="F458" s="8">
        <f>Ce_1152[[#This Row],[V_av]]-Ce_1152[[#This Row],[V_prel]]</f>
        <v>9.8000000000000007</v>
      </c>
      <c r="G458" s="188">
        <f t="shared" si="126"/>
        <v>0.14285714285714288</v>
      </c>
      <c r="I458" s="6">
        <v>7</v>
      </c>
      <c r="J458" s="8">
        <f t="shared" si="127"/>
        <v>20.533333333333331</v>
      </c>
      <c r="K458" s="6">
        <v>0</v>
      </c>
      <c r="L458" s="8">
        <f t="shared" si="122"/>
        <v>20.533333333333331</v>
      </c>
      <c r="M458" s="188">
        <f t="shared" si="128"/>
        <v>0.14285714285714288</v>
      </c>
      <c r="O458" s="6">
        <v>7</v>
      </c>
      <c r="P458" s="8">
        <f t="shared" si="129"/>
        <v>34.440000000000005</v>
      </c>
      <c r="Q458" s="6">
        <v>0</v>
      </c>
      <c r="R458" s="8">
        <f t="shared" si="123"/>
        <v>34.440000000000005</v>
      </c>
      <c r="S458" s="188">
        <f t="shared" si="130"/>
        <v>0.14285714285714288</v>
      </c>
      <c r="U458" s="6">
        <v>7</v>
      </c>
      <c r="V458" s="8">
        <f t="shared" si="131"/>
        <v>22.75</v>
      </c>
      <c r="W458" s="6">
        <v>0</v>
      </c>
      <c r="X458" s="8">
        <f t="shared" si="124"/>
        <v>22.75</v>
      </c>
      <c r="Y458" s="188">
        <f t="shared" si="132"/>
        <v>0.14285714285714285</v>
      </c>
    </row>
    <row r="459" spans="1:25" x14ac:dyDescent="0.2">
      <c r="A459" s="494"/>
      <c r="C459" s="6">
        <v>8</v>
      </c>
      <c r="D459" s="8">
        <f t="shared" si="125"/>
        <v>11.200000000000001</v>
      </c>
      <c r="E459" s="8">
        <v>0</v>
      </c>
      <c r="F459" s="8">
        <f>Ce_1152[[#This Row],[V_av]]-Ce_1152[[#This Row],[V_prel]]</f>
        <v>11.200000000000001</v>
      </c>
      <c r="G459" s="188">
        <f t="shared" si="126"/>
        <v>0.12500000000000003</v>
      </c>
      <c r="I459" s="6">
        <v>8</v>
      </c>
      <c r="J459" s="8">
        <f t="shared" si="127"/>
        <v>23.466666666666665</v>
      </c>
      <c r="K459" s="6">
        <v>0</v>
      </c>
      <c r="L459" s="8">
        <f t="shared" si="122"/>
        <v>23.466666666666665</v>
      </c>
      <c r="M459" s="188">
        <f t="shared" si="128"/>
        <v>0.12500000000000003</v>
      </c>
      <c r="O459" s="6">
        <v>8</v>
      </c>
      <c r="P459" s="8">
        <f t="shared" si="129"/>
        <v>39.360000000000007</v>
      </c>
      <c r="Q459" s="6">
        <v>0</v>
      </c>
      <c r="R459" s="8">
        <f t="shared" si="123"/>
        <v>39.360000000000007</v>
      </c>
      <c r="S459" s="188">
        <f t="shared" si="130"/>
        <v>0.12500000000000003</v>
      </c>
      <c r="U459" s="6">
        <v>8</v>
      </c>
      <c r="V459" s="8">
        <f t="shared" si="131"/>
        <v>26</v>
      </c>
      <c r="W459" s="6">
        <v>0</v>
      </c>
      <c r="X459" s="8">
        <f t="shared" si="124"/>
        <v>26</v>
      </c>
      <c r="Y459" s="188">
        <f t="shared" si="132"/>
        <v>0.125</v>
      </c>
    </row>
    <row r="460" spans="1:25" x14ac:dyDescent="0.2">
      <c r="A460" s="494"/>
      <c r="C460" s="6">
        <v>9</v>
      </c>
      <c r="D460" s="8">
        <f t="shared" si="125"/>
        <v>12.600000000000001</v>
      </c>
      <c r="E460" s="8">
        <v>0</v>
      </c>
      <c r="F460" s="8">
        <f>Ce_1152[[#This Row],[V_av]]-Ce_1152[[#This Row],[V_prel]]</f>
        <v>12.600000000000001</v>
      </c>
      <c r="G460" s="188">
        <f t="shared" si="126"/>
        <v>0.11111111111111113</v>
      </c>
      <c r="I460" s="6">
        <v>9</v>
      </c>
      <c r="J460" s="8">
        <f t="shared" si="127"/>
        <v>26.4</v>
      </c>
      <c r="K460" s="6">
        <v>0</v>
      </c>
      <c r="L460" s="8">
        <f t="shared" si="122"/>
        <v>26.4</v>
      </c>
      <c r="M460" s="188">
        <f t="shared" si="128"/>
        <v>0.11111111111111113</v>
      </c>
      <c r="O460" s="6">
        <v>9</v>
      </c>
      <c r="P460" s="8">
        <f t="shared" si="129"/>
        <v>44.280000000000008</v>
      </c>
      <c r="Q460" s="6">
        <v>0</v>
      </c>
      <c r="R460" s="8">
        <f t="shared" si="123"/>
        <v>44.280000000000008</v>
      </c>
      <c r="S460" s="188">
        <f t="shared" si="130"/>
        <v>0.11111111111111113</v>
      </c>
      <c r="U460" s="6">
        <v>9</v>
      </c>
      <c r="V460" s="8">
        <f t="shared" si="131"/>
        <v>29.25</v>
      </c>
      <c r="W460" s="6">
        <v>0</v>
      </c>
      <c r="X460" s="8">
        <f t="shared" si="124"/>
        <v>29.25</v>
      </c>
      <c r="Y460" s="188">
        <f t="shared" si="132"/>
        <v>0.1111111111111111</v>
      </c>
    </row>
    <row r="461" spans="1:25" x14ac:dyDescent="0.2">
      <c r="A461" s="494"/>
      <c r="C461" s="6">
        <v>10</v>
      </c>
      <c r="D461" s="8">
        <f t="shared" si="125"/>
        <v>14.000000000000002</v>
      </c>
      <c r="E461" s="8">
        <v>0</v>
      </c>
      <c r="F461" s="8">
        <f>Ce_1152[[#This Row],[V_av]]-Ce_1152[[#This Row],[V_prel]]</f>
        <v>14.000000000000002</v>
      </c>
      <c r="G461" s="188">
        <f t="shared" si="126"/>
        <v>0.10000000000000002</v>
      </c>
      <c r="I461" s="6">
        <v>10</v>
      </c>
      <c r="J461" s="8">
        <f t="shared" si="127"/>
        <v>29.333333333333332</v>
      </c>
      <c r="K461" s="6">
        <v>0</v>
      </c>
      <c r="L461" s="8">
        <f t="shared" si="122"/>
        <v>29.333333333333332</v>
      </c>
      <c r="M461" s="188">
        <f t="shared" si="128"/>
        <v>0.1</v>
      </c>
      <c r="O461" s="6">
        <v>10</v>
      </c>
      <c r="P461" s="8">
        <f t="shared" si="129"/>
        <v>49.20000000000001</v>
      </c>
      <c r="Q461" s="6">
        <v>0</v>
      </c>
      <c r="R461" s="8">
        <f t="shared" si="123"/>
        <v>49.20000000000001</v>
      </c>
      <c r="S461" s="188">
        <f t="shared" si="130"/>
        <v>0.10000000000000002</v>
      </c>
      <c r="U461" s="6">
        <v>10</v>
      </c>
      <c r="V461" s="8">
        <f t="shared" si="131"/>
        <v>32.5</v>
      </c>
      <c r="W461" s="6">
        <v>0</v>
      </c>
      <c r="X461" s="8">
        <f t="shared" si="124"/>
        <v>32.5</v>
      </c>
      <c r="Y461" s="188">
        <f t="shared" si="132"/>
        <v>0.1</v>
      </c>
    </row>
    <row r="462" spans="1:25" x14ac:dyDescent="0.2">
      <c r="A462" s="494"/>
      <c r="C462" s="6">
        <v>11</v>
      </c>
      <c r="D462" s="8">
        <f t="shared" si="125"/>
        <v>15.400000000000002</v>
      </c>
      <c r="E462" s="8">
        <v>0</v>
      </c>
      <c r="F462" s="8">
        <f>Ce_1152[[#This Row],[V_av]]-Ce_1152[[#This Row],[V_prel]]</f>
        <v>15.400000000000002</v>
      </c>
      <c r="G462" s="188">
        <f t="shared" si="126"/>
        <v>9.0909090909090925E-2</v>
      </c>
      <c r="I462" s="6">
        <v>11</v>
      </c>
      <c r="J462" s="8">
        <f t="shared" si="127"/>
        <v>32.266666666666666</v>
      </c>
      <c r="K462" s="6">
        <v>0</v>
      </c>
      <c r="L462" s="8">
        <f t="shared" si="122"/>
        <v>32.266666666666666</v>
      </c>
      <c r="M462" s="188">
        <f t="shared" si="128"/>
        <v>9.0909090909090925E-2</v>
      </c>
      <c r="O462" s="6">
        <v>11</v>
      </c>
      <c r="P462" s="8">
        <f t="shared" si="129"/>
        <v>54.120000000000012</v>
      </c>
      <c r="Q462" s="6">
        <v>0</v>
      </c>
      <c r="R462" s="8">
        <f t="shared" si="123"/>
        <v>54.120000000000012</v>
      </c>
      <c r="S462" s="188">
        <f t="shared" si="130"/>
        <v>9.0909090909090925E-2</v>
      </c>
      <c r="U462" s="6">
        <v>11</v>
      </c>
      <c r="V462" s="8">
        <f t="shared" si="131"/>
        <v>35.75</v>
      </c>
      <c r="W462" s="6">
        <v>0</v>
      </c>
      <c r="X462" s="8">
        <f t="shared" si="124"/>
        <v>35.75</v>
      </c>
      <c r="Y462" s="188">
        <f t="shared" si="132"/>
        <v>9.0909090909090912E-2</v>
      </c>
    </row>
    <row r="463" spans="1:25" x14ac:dyDescent="0.2">
      <c r="A463" s="494"/>
      <c r="C463" s="6">
        <v>12</v>
      </c>
      <c r="D463" s="8">
        <f t="shared" si="125"/>
        <v>16.8</v>
      </c>
      <c r="E463" s="8">
        <v>0</v>
      </c>
      <c r="F463" s="8">
        <f>Ce_1152[[#This Row],[V_av]]-Ce_1152[[#This Row],[V_prel]]</f>
        <v>16.8</v>
      </c>
      <c r="G463" s="188">
        <f t="shared" si="126"/>
        <v>8.3333333333333245E-2</v>
      </c>
      <c r="I463" s="6">
        <v>12</v>
      </c>
      <c r="J463" s="8">
        <f t="shared" si="127"/>
        <v>35.199999999999996</v>
      </c>
      <c r="K463" s="6">
        <v>0</v>
      </c>
      <c r="L463" s="8">
        <f t="shared" si="122"/>
        <v>35.199999999999996</v>
      </c>
      <c r="M463" s="188">
        <f t="shared" si="128"/>
        <v>8.3333333333333245E-2</v>
      </c>
      <c r="O463" s="6">
        <v>12</v>
      </c>
      <c r="P463" s="8">
        <f t="shared" si="129"/>
        <v>59.040000000000013</v>
      </c>
      <c r="Q463" s="6">
        <v>0</v>
      </c>
      <c r="R463" s="8">
        <f t="shared" si="123"/>
        <v>59.040000000000013</v>
      </c>
      <c r="S463" s="188">
        <f t="shared" si="130"/>
        <v>8.3333333333333343E-2</v>
      </c>
      <c r="U463" s="6">
        <v>12</v>
      </c>
      <c r="V463" s="8">
        <f t="shared" si="131"/>
        <v>39</v>
      </c>
      <c r="W463" s="6">
        <v>0</v>
      </c>
      <c r="X463" s="8">
        <f t="shared" si="124"/>
        <v>39</v>
      </c>
      <c r="Y463" s="188">
        <f t="shared" si="132"/>
        <v>8.3333333333333329E-2</v>
      </c>
    </row>
    <row r="464" spans="1:25" x14ac:dyDescent="0.2">
      <c r="A464" s="494"/>
      <c r="C464" s="6">
        <v>13</v>
      </c>
      <c r="D464" s="8">
        <f t="shared" si="125"/>
        <v>18.2</v>
      </c>
      <c r="E464" s="8">
        <v>0</v>
      </c>
      <c r="F464" s="8">
        <f>Ce_1152[[#This Row],[V_av]]-Ce_1152[[#This Row],[V_prel]]</f>
        <v>18.2</v>
      </c>
      <c r="G464" s="188">
        <f t="shared" si="126"/>
        <v>7.6923076923076844E-2</v>
      </c>
      <c r="I464" s="6">
        <v>13</v>
      </c>
      <c r="J464" s="8">
        <f t="shared" si="127"/>
        <v>38.133333333333326</v>
      </c>
      <c r="K464" s="6">
        <v>0</v>
      </c>
      <c r="L464" s="8">
        <f t="shared" si="122"/>
        <v>38.133333333333326</v>
      </c>
      <c r="M464" s="188">
        <f t="shared" si="128"/>
        <v>7.6923076923076858E-2</v>
      </c>
      <c r="O464" s="6">
        <v>13</v>
      </c>
      <c r="P464" s="8">
        <f t="shared" si="129"/>
        <v>63.960000000000015</v>
      </c>
      <c r="Q464" s="6">
        <v>0</v>
      </c>
      <c r="R464" s="8">
        <f t="shared" si="123"/>
        <v>63.960000000000015</v>
      </c>
      <c r="S464" s="188">
        <f t="shared" si="130"/>
        <v>7.6923076923076927E-2</v>
      </c>
      <c r="U464" s="6">
        <v>13</v>
      </c>
      <c r="V464" s="8">
        <f t="shared" si="131"/>
        <v>42.25</v>
      </c>
      <c r="W464" s="6">
        <v>0</v>
      </c>
      <c r="X464" s="8">
        <f t="shared" si="124"/>
        <v>42.25</v>
      </c>
      <c r="Y464" s="188">
        <f t="shared" si="132"/>
        <v>7.6923076923076927E-2</v>
      </c>
    </row>
    <row r="465" spans="1:25" x14ac:dyDescent="0.2">
      <c r="A465" s="494"/>
      <c r="C465" s="6">
        <v>14</v>
      </c>
      <c r="D465" s="8">
        <f t="shared" si="125"/>
        <v>19.599999999999998</v>
      </c>
      <c r="E465" s="8">
        <v>0</v>
      </c>
      <c r="F465" s="8">
        <f>Ce_1152[[#This Row],[V_av]]-Ce_1152[[#This Row],[V_prel]]</f>
        <v>19.599999999999998</v>
      </c>
      <c r="G465" s="188">
        <f t="shared" si="126"/>
        <v>7.1428571428571369E-2</v>
      </c>
      <c r="I465" s="6">
        <v>14</v>
      </c>
      <c r="J465" s="8">
        <f t="shared" si="127"/>
        <v>41.066666666666656</v>
      </c>
      <c r="K465" s="6">
        <v>0</v>
      </c>
      <c r="L465" s="8">
        <f t="shared" si="122"/>
        <v>41.066666666666656</v>
      </c>
      <c r="M465" s="188">
        <f t="shared" si="128"/>
        <v>7.1428571428571369E-2</v>
      </c>
      <c r="O465" s="6">
        <v>14</v>
      </c>
      <c r="P465" s="8">
        <f t="shared" si="129"/>
        <v>68.88000000000001</v>
      </c>
      <c r="Q465" s="6">
        <v>0</v>
      </c>
      <c r="R465" s="8">
        <f t="shared" si="123"/>
        <v>68.88000000000001</v>
      </c>
      <c r="S465" s="188">
        <f t="shared" si="130"/>
        <v>7.1428571428571341E-2</v>
      </c>
      <c r="U465" s="6">
        <v>14</v>
      </c>
      <c r="V465" s="8">
        <f t="shared" si="131"/>
        <v>45.5</v>
      </c>
      <c r="W465" s="6">
        <v>0</v>
      </c>
      <c r="X465" s="8">
        <f t="shared" si="124"/>
        <v>45.5</v>
      </c>
      <c r="Y465" s="188">
        <f t="shared" si="132"/>
        <v>7.1428571428571425E-2</v>
      </c>
    </row>
    <row r="466" spans="1:25" x14ac:dyDescent="0.2">
      <c r="A466" s="206"/>
      <c r="C466" s="6">
        <v>15</v>
      </c>
      <c r="D466" s="8">
        <f t="shared" si="125"/>
        <v>20.999999999999996</v>
      </c>
      <c r="E466" s="8">
        <v>0</v>
      </c>
      <c r="F466" s="8">
        <f>Ce_1152[[#This Row],[V_av]]-Ce_1152[[#This Row],[V_prel]]</f>
        <v>20.999999999999996</v>
      </c>
      <c r="G466" s="188">
        <f t="shared" si="126"/>
        <v>6.666666666666661E-2</v>
      </c>
      <c r="I466" s="6">
        <v>15</v>
      </c>
      <c r="J466" s="8">
        <f t="shared" si="127"/>
        <v>43.999999999999986</v>
      </c>
      <c r="K466" s="6">
        <v>0</v>
      </c>
      <c r="L466" s="8">
        <f t="shared" si="122"/>
        <v>43.999999999999986</v>
      </c>
      <c r="M466" s="188">
        <f t="shared" si="128"/>
        <v>6.666666666666661E-2</v>
      </c>
      <c r="O466" s="6">
        <v>15</v>
      </c>
      <c r="P466" s="8">
        <f t="shared" si="129"/>
        <v>73.800000000000011</v>
      </c>
      <c r="Q466" s="6">
        <v>0</v>
      </c>
      <c r="R466" s="8">
        <f t="shared" si="123"/>
        <v>73.800000000000011</v>
      </c>
      <c r="S466" s="188">
        <f t="shared" si="130"/>
        <v>6.666666666666668E-2</v>
      </c>
      <c r="U466" s="6">
        <v>15</v>
      </c>
      <c r="V466" s="8">
        <f t="shared" si="131"/>
        <v>48.75</v>
      </c>
      <c r="W466" s="6">
        <v>0</v>
      </c>
      <c r="X466" s="8">
        <f t="shared" si="124"/>
        <v>48.75</v>
      </c>
      <c r="Y466" s="188">
        <f t="shared" si="132"/>
        <v>6.6666666666666666E-2</v>
      </c>
    </row>
    <row r="467" spans="1:25" x14ac:dyDescent="0.2">
      <c r="A467" s="206"/>
      <c r="C467" s="6">
        <v>16</v>
      </c>
      <c r="D467" s="8">
        <f t="shared" si="125"/>
        <v>22.399999999999995</v>
      </c>
      <c r="E467" s="8">
        <v>0</v>
      </c>
      <c r="F467" s="8">
        <f>Ce_1152[[#This Row],[V_av]]-Ce_1152[[#This Row],[V_prel]]</f>
        <v>22.399999999999995</v>
      </c>
      <c r="G467" s="188">
        <f t="shared" si="126"/>
        <v>6.2499999999999951E-2</v>
      </c>
      <c r="I467" s="6">
        <v>16</v>
      </c>
      <c r="J467" s="8">
        <f t="shared" si="127"/>
        <v>46.933333333333316</v>
      </c>
      <c r="K467" s="6">
        <v>0</v>
      </c>
      <c r="L467" s="8">
        <f t="shared" si="122"/>
        <v>46.933333333333316</v>
      </c>
      <c r="M467" s="188">
        <f t="shared" si="128"/>
        <v>6.2499999999999951E-2</v>
      </c>
      <c r="O467" s="6">
        <v>16</v>
      </c>
      <c r="P467" s="8">
        <f t="shared" si="129"/>
        <v>78.720000000000013</v>
      </c>
      <c r="Q467" s="6">
        <v>0</v>
      </c>
      <c r="R467" s="8">
        <f t="shared" si="123"/>
        <v>78.720000000000013</v>
      </c>
      <c r="S467" s="188">
        <f t="shared" si="130"/>
        <v>6.2500000000000014E-2</v>
      </c>
      <c r="U467" s="6">
        <v>16</v>
      </c>
      <c r="V467" s="8">
        <f t="shared" si="131"/>
        <v>52</v>
      </c>
      <c r="W467" s="6">
        <v>0</v>
      </c>
      <c r="X467" s="8">
        <f t="shared" si="124"/>
        <v>52</v>
      </c>
      <c r="Y467" s="188">
        <f t="shared" si="132"/>
        <v>6.25E-2</v>
      </c>
    </row>
    <row r="468" spans="1:25" x14ac:dyDescent="0.2">
      <c r="A468" s="206"/>
      <c r="C468" s="6">
        <v>17</v>
      </c>
      <c r="D468" s="8">
        <f t="shared" si="125"/>
        <v>23.799999999999994</v>
      </c>
      <c r="E468" s="8">
        <v>0</v>
      </c>
      <c r="F468" s="8">
        <f>Ce_1152[[#This Row],[V_av]]-Ce_1152[[#This Row],[V_prel]]</f>
        <v>23.799999999999994</v>
      </c>
      <c r="G468" s="188">
        <f t="shared" si="126"/>
        <v>5.8823529411764663E-2</v>
      </c>
      <c r="I468" s="6">
        <v>17</v>
      </c>
      <c r="J468" s="8">
        <f t="shared" si="127"/>
        <v>49.866666666666646</v>
      </c>
      <c r="K468" s="6">
        <v>0</v>
      </c>
      <c r="L468" s="8">
        <f t="shared" si="122"/>
        <v>49.866666666666646</v>
      </c>
      <c r="M468" s="188">
        <f t="shared" si="128"/>
        <v>5.8823529411764663E-2</v>
      </c>
      <c r="O468" s="6">
        <v>17</v>
      </c>
      <c r="P468" s="8">
        <f t="shared" si="129"/>
        <v>83.640000000000015</v>
      </c>
      <c r="Q468" s="6">
        <v>0</v>
      </c>
      <c r="R468" s="8">
        <f t="shared" si="123"/>
        <v>83.640000000000015</v>
      </c>
      <c r="S468" s="188">
        <f t="shared" si="130"/>
        <v>5.8823529411764719E-2</v>
      </c>
      <c r="U468" s="6">
        <v>17</v>
      </c>
      <c r="V468" s="8">
        <f t="shared" si="131"/>
        <v>55.25</v>
      </c>
      <c r="W468" s="6">
        <v>0</v>
      </c>
      <c r="X468" s="8">
        <f t="shared" si="124"/>
        <v>55.25</v>
      </c>
      <c r="Y468" s="188">
        <f t="shared" si="132"/>
        <v>5.8823529411764705E-2</v>
      </c>
    </row>
    <row r="469" spans="1:25" x14ac:dyDescent="0.2">
      <c r="A469" s="206"/>
      <c r="C469" s="6">
        <v>18</v>
      </c>
      <c r="D469" s="8">
        <f t="shared" si="125"/>
        <v>25.199999999999992</v>
      </c>
      <c r="E469" s="8">
        <v>0</v>
      </c>
      <c r="F469" s="8">
        <f>Ce_1152[[#This Row],[V_av]]-Ce_1152[[#This Row],[V_prel]]</f>
        <v>25.199999999999992</v>
      </c>
      <c r="G469" s="188">
        <f t="shared" si="126"/>
        <v>5.5555555555555518E-2</v>
      </c>
      <c r="I469" s="6">
        <v>18</v>
      </c>
      <c r="J469" s="8">
        <f t="shared" si="127"/>
        <v>52.799999999999976</v>
      </c>
      <c r="K469" s="6">
        <v>0</v>
      </c>
      <c r="L469" s="8">
        <f t="shared" si="122"/>
        <v>52.799999999999976</v>
      </c>
      <c r="M469" s="188">
        <f t="shared" si="128"/>
        <v>5.5555555555555518E-2</v>
      </c>
      <c r="O469" s="6">
        <v>18</v>
      </c>
      <c r="P469" s="8">
        <f t="shared" si="129"/>
        <v>88.560000000000016</v>
      </c>
      <c r="Q469" s="6">
        <v>0</v>
      </c>
      <c r="R469" s="8">
        <f t="shared" si="123"/>
        <v>88.560000000000016</v>
      </c>
      <c r="S469" s="188">
        <f t="shared" si="130"/>
        <v>5.5555555555555566E-2</v>
      </c>
      <c r="U469" s="6">
        <v>18</v>
      </c>
      <c r="V469" s="8">
        <f t="shared" si="131"/>
        <v>58.5</v>
      </c>
      <c r="W469" s="6">
        <v>0</v>
      </c>
      <c r="X469" s="8">
        <f t="shared" si="124"/>
        <v>58.5</v>
      </c>
      <c r="Y469" s="188">
        <f t="shared" si="132"/>
        <v>5.5555555555555552E-2</v>
      </c>
    </row>
    <row r="470" spans="1:25" x14ac:dyDescent="0.2">
      <c r="A470" s="206"/>
      <c r="C470" s="6">
        <v>19</v>
      </c>
      <c r="D470" s="8">
        <f t="shared" si="125"/>
        <v>26.599999999999991</v>
      </c>
      <c r="E470" s="8">
        <v>0</v>
      </c>
      <c r="F470" s="8">
        <f>Ce_1152[[#This Row],[V_av]]-Ce_1152[[#This Row],[V_prel]]</f>
        <v>26.599999999999991</v>
      </c>
      <c r="G470" s="188">
        <f t="shared" si="126"/>
        <v>5.2631578947368383E-2</v>
      </c>
      <c r="I470" s="6">
        <v>19</v>
      </c>
      <c r="J470" s="8">
        <f t="shared" si="127"/>
        <v>55.733333333333306</v>
      </c>
      <c r="K470" s="6">
        <v>0</v>
      </c>
      <c r="L470" s="8">
        <f t="shared" si="122"/>
        <v>55.733333333333306</v>
      </c>
      <c r="M470" s="188">
        <f t="shared" si="128"/>
        <v>5.263157894736839E-2</v>
      </c>
      <c r="O470" s="6">
        <v>19</v>
      </c>
      <c r="P470" s="8">
        <f t="shared" si="129"/>
        <v>93.480000000000018</v>
      </c>
      <c r="Q470" s="6">
        <v>0</v>
      </c>
      <c r="R470" s="8">
        <f t="shared" si="123"/>
        <v>93.480000000000018</v>
      </c>
      <c r="S470" s="188">
        <f t="shared" si="130"/>
        <v>5.2631578947368432E-2</v>
      </c>
      <c r="U470" s="6">
        <v>19</v>
      </c>
      <c r="V470" s="8">
        <f t="shared" si="131"/>
        <v>61.75</v>
      </c>
      <c r="W470" s="6">
        <v>0</v>
      </c>
      <c r="X470" s="8">
        <f t="shared" si="124"/>
        <v>61.75</v>
      </c>
      <c r="Y470" s="188">
        <f t="shared" si="132"/>
        <v>5.2631578947368418E-2</v>
      </c>
    </row>
    <row r="471" spans="1:25" ht="16" customHeight="1" x14ac:dyDescent="0.2">
      <c r="A471" s="495" t="s">
        <v>707</v>
      </c>
      <c r="C471" s="7">
        <v>20</v>
      </c>
      <c r="D471" s="13">
        <v>28</v>
      </c>
      <c r="E471" s="13">
        <v>0</v>
      </c>
      <c r="F471" s="13">
        <v>28</v>
      </c>
      <c r="G471" s="188">
        <f t="shared" si="126"/>
        <v>5.0000000000000329E-2</v>
      </c>
      <c r="I471" s="6">
        <v>20</v>
      </c>
      <c r="J471" s="8">
        <f t="shared" si="127"/>
        <v>58.666666666666636</v>
      </c>
      <c r="K471" s="6">
        <v>0</v>
      </c>
      <c r="L471" s="8">
        <f t="shared" si="122"/>
        <v>58.666666666666636</v>
      </c>
      <c r="M471" s="188">
        <f t="shared" si="128"/>
        <v>4.9999999999999968E-2</v>
      </c>
      <c r="O471" s="6">
        <v>20</v>
      </c>
      <c r="P471" s="8">
        <f t="shared" si="129"/>
        <v>98.40000000000002</v>
      </c>
      <c r="Q471" s="6">
        <v>0</v>
      </c>
      <c r="R471" s="8">
        <f t="shared" si="123"/>
        <v>98.40000000000002</v>
      </c>
      <c r="S471" s="188">
        <f t="shared" si="130"/>
        <v>5.000000000000001E-2</v>
      </c>
      <c r="U471" s="6">
        <v>20</v>
      </c>
      <c r="V471" s="8">
        <f t="shared" si="131"/>
        <v>65</v>
      </c>
      <c r="W471" s="6">
        <v>0</v>
      </c>
      <c r="X471" s="8">
        <f t="shared" si="124"/>
        <v>65</v>
      </c>
      <c r="Y471" s="188">
        <f t="shared" si="132"/>
        <v>0.05</v>
      </c>
    </row>
    <row r="472" spans="1:25" x14ac:dyDescent="0.2">
      <c r="A472" s="495"/>
      <c r="C472" s="6">
        <v>21</v>
      </c>
      <c r="D472" s="8">
        <f>($D$481-$F$471)/($C$481-$C$471)+F471</f>
        <v>37.299999999999997</v>
      </c>
      <c r="E472" s="8">
        <v>0</v>
      </c>
      <c r="F472" s="8">
        <f>Ce_1152[[#This Row],[V_av]]-Ce_1152[[#This Row],[V_prel]]</f>
        <v>37.299999999999997</v>
      </c>
      <c r="G472" s="188">
        <f t="shared" si="126"/>
        <v>0.24932975871313667</v>
      </c>
      <c r="I472" s="6">
        <v>21</v>
      </c>
      <c r="J472" s="8">
        <f t="shared" si="127"/>
        <v>61.599999999999966</v>
      </c>
      <c r="K472" s="6">
        <v>0</v>
      </c>
      <c r="L472" s="8">
        <f t="shared" si="122"/>
        <v>61.599999999999966</v>
      </c>
      <c r="M472" s="188">
        <f t="shared" si="128"/>
        <v>4.7619047619047589E-2</v>
      </c>
      <c r="O472" s="6">
        <v>21</v>
      </c>
      <c r="P472" s="8">
        <f t="shared" si="129"/>
        <v>103.32000000000002</v>
      </c>
      <c r="Q472" s="6">
        <v>0</v>
      </c>
      <c r="R472" s="8">
        <f t="shared" si="123"/>
        <v>103.32000000000002</v>
      </c>
      <c r="S472" s="188">
        <f t="shared" si="130"/>
        <v>4.7619047619047623E-2</v>
      </c>
      <c r="U472" s="6">
        <v>21</v>
      </c>
      <c r="V472" s="8">
        <f t="shared" si="131"/>
        <v>68.25</v>
      </c>
      <c r="W472" s="6">
        <v>0</v>
      </c>
      <c r="X472" s="8">
        <f t="shared" si="124"/>
        <v>68.25</v>
      </c>
      <c r="Y472" s="188">
        <f t="shared" si="132"/>
        <v>4.7619047619047616E-2</v>
      </c>
    </row>
    <row r="473" spans="1:25" x14ac:dyDescent="0.2">
      <c r="A473" s="495"/>
      <c r="C473" s="6">
        <v>22</v>
      </c>
      <c r="D473" s="8">
        <f>($D$481-$F$471)/($C$481-$C$471)+D472</f>
        <v>46.599999999999994</v>
      </c>
      <c r="E473" s="8">
        <v>0</v>
      </c>
      <c r="F473" s="8">
        <f>Ce_1152[[#This Row],[V_av]]-Ce_1152[[#This Row],[V_prel]]</f>
        <v>46.599999999999994</v>
      </c>
      <c r="G473" s="188">
        <f t="shared" si="126"/>
        <v>0.19957081545064373</v>
      </c>
      <c r="I473" s="6">
        <v>22</v>
      </c>
      <c r="J473" s="8">
        <f t="shared" si="127"/>
        <v>64.533333333333303</v>
      </c>
      <c r="K473" s="6">
        <v>0</v>
      </c>
      <c r="L473" s="8">
        <f t="shared" si="122"/>
        <v>64.533333333333303</v>
      </c>
      <c r="M473" s="188">
        <f t="shared" si="128"/>
        <v>4.5454545454545532E-2</v>
      </c>
      <c r="O473" s="6">
        <v>22</v>
      </c>
      <c r="P473" s="8">
        <f t="shared" si="129"/>
        <v>108.24000000000002</v>
      </c>
      <c r="Q473" s="6">
        <v>0</v>
      </c>
      <c r="R473" s="8">
        <f t="shared" si="123"/>
        <v>108.24000000000002</v>
      </c>
      <c r="S473" s="188">
        <f t="shared" si="130"/>
        <v>4.5454545454545463E-2</v>
      </c>
      <c r="U473" s="6">
        <v>22</v>
      </c>
      <c r="V473" s="8">
        <f t="shared" si="131"/>
        <v>71.5</v>
      </c>
      <c r="W473" s="6">
        <v>0</v>
      </c>
      <c r="X473" s="8">
        <f t="shared" si="124"/>
        <v>71.5</v>
      </c>
      <c r="Y473" s="188">
        <f t="shared" si="132"/>
        <v>4.5454545454545456E-2</v>
      </c>
    </row>
    <row r="474" spans="1:25" ht="15" customHeight="1" x14ac:dyDescent="0.2">
      <c r="A474" s="495"/>
      <c r="C474" s="6">
        <v>23</v>
      </c>
      <c r="D474" s="8">
        <f t="shared" ref="D474:D480" si="133">($D$481-$F$471)/($C$481-$C$471)+D473</f>
        <v>55.899999999999991</v>
      </c>
      <c r="E474" s="8">
        <v>0</v>
      </c>
      <c r="F474" s="8">
        <f>Ce_1152[[#This Row],[V_av]]-Ce_1152[[#This Row],[V_prel]]</f>
        <v>55.899999999999991</v>
      </c>
      <c r="G474" s="188">
        <f t="shared" si="126"/>
        <v>0.16636851520572449</v>
      </c>
      <c r="I474" s="6">
        <v>23</v>
      </c>
      <c r="J474" s="8">
        <f t="shared" si="127"/>
        <v>67.46666666666664</v>
      </c>
      <c r="K474" s="6">
        <v>0</v>
      </c>
      <c r="L474" s="8">
        <f t="shared" si="122"/>
        <v>67.46666666666664</v>
      </c>
      <c r="M474" s="188">
        <f t="shared" si="128"/>
        <v>4.3478260869565293E-2</v>
      </c>
      <c r="O474" s="6">
        <v>23</v>
      </c>
      <c r="P474" s="8">
        <f t="shared" si="129"/>
        <v>113.16000000000003</v>
      </c>
      <c r="Q474" s="6">
        <v>0</v>
      </c>
      <c r="R474" s="8">
        <f t="shared" si="123"/>
        <v>113.16000000000003</v>
      </c>
      <c r="S474" s="188">
        <f t="shared" si="130"/>
        <v>4.3478260869565223E-2</v>
      </c>
      <c r="U474" s="6">
        <v>23</v>
      </c>
      <c r="V474" s="8">
        <f t="shared" si="131"/>
        <v>74.75</v>
      </c>
      <c r="W474" s="6">
        <v>0</v>
      </c>
      <c r="X474" s="8">
        <f t="shared" si="124"/>
        <v>74.75</v>
      </c>
      <c r="Y474" s="188">
        <f t="shared" si="132"/>
        <v>4.3478260869565216E-2</v>
      </c>
    </row>
    <row r="475" spans="1:25" x14ac:dyDescent="0.2">
      <c r="A475" s="495"/>
      <c r="C475" s="6">
        <v>24</v>
      </c>
      <c r="D475" s="8">
        <f t="shared" si="133"/>
        <v>65.199999999999989</v>
      </c>
      <c r="E475" s="8">
        <v>0</v>
      </c>
      <c r="F475" s="8">
        <f>Ce_1152[[#This Row],[V_av]]-Ce_1152[[#This Row],[V_prel]]</f>
        <v>65.199999999999989</v>
      </c>
      <c r="G475" s="188">
        <f t="shared" si="126"/>
        <v>0.14263803680981593</v>
      </c>
      <c r="I475" s="6">
        <v>24</v>
      </c>
      <c r="J475" s="8">
        <f t="shared" si="127"/>
        <v>70.399999999999977</v>
      </c>
      <c r="K475" s="6">
        <v>0</v>
      </c>
      <c r="L475" s="8">
        <f t="shared" si="122"/>
        <v>70.399999999999977</v>
      </c>
      <c r="M475" s="188">
        <f t="shared" si="128"/>
        <v>4.1666666666666734E-2</v>
      </c>
      <c r="O475" s="6">
        <v>24</v>
      </c>
      <c r="P475" s="8">
        <f t="shared" si="129"/>
        <v>118.08000000000003</v>
      </c>
      <c r="Q475" s="6">
        <v>0</v>
      </c>
      <c r="R475" s="8">
        <f t="shared" si="123"/>
        <v>118.08000000000003</v>
      </c>
      <c r="S475" s="188">
        <f t="shared" si="130"/>
        <v>4.1666666666666671E-2</v>
      </c>
      <c r="U475" s="6">
        <v>24</v>
      </c>
      <c r="V475" s="8">
        <f t="shared" si="131"/>
        <v>78</v>
      </c>
      <c r="W475" s="6">
        <v>0</v>
      </c>
      <c r="X475" s="8">
        <f t="shared" si="124"/>
        <v>78</v>
      </c>
      <c r="Y475" s="188">
        <f t="shared" si="132"/>
        <v>4.1666666666666664E-2</v>
      </c>
    </row>
    <row r="476" spans="1:25" x14ac:dyDescent="0.2">
      <c r="A476" s="495"/>
      <c r="C476" s="6">
        <v>25</v>
      </c>
      <c r="D476" s="8">
        <f t="shared" si="133"/>
        <v>74.499999999999986</v>
      </c>
      <c r="E476" s="8">
        <v>0</v>
      </c>
      <c r="F476" s="8">
        <f>Ce_1152[[#This Row],[V_av]]-Ce_1152[[#This Row],[V_prel]]</f>
        <v>74.499999999999986</v>
      </c>
      <c r="G476" s="188">
        <f t="shared" si="126"/>
        <v>0.12483221476510066</v>
      </c>
      <c r="I476" s="6">
        <v>25</v>
      </c>
      <c r="J476" s="8">
        <f t="shared" si="127"/>
        <v>73.333333333333314</v>
      </c>
      <c r="K476" s="6">
        <v>0</v>
      </c>
      <c r="L476" s="8">
        <f t="shared" si="122"/>
        <v>73.333333333333314</v>
      </c>
      <c r="M476" s="188">
        <f t="shared" si="128"/>
        <v>4.0000000000000063E-2</v>
      </c>
      <c r="O476" s="6">
        <v>25</v>
      </c>
      <c r="P476" s="8">
        <f t="shared" si="129"/>
        <v>123.00000000000003</v>
      </c>
      <c r="Q476" s="6">
        <v>0</v>
      </c>
      <c r="R476" s="8">
        <f t="shared" si="123"/>
        <v>123.00000000000003</v>
      </c>
      <c r="S476" s="188">
        <f t="shared" si="130"/>
        <v>4.0000000000000008E-2</v>
      </c>
      <c r="U476" s="6">
        <v>25</v>
      </c>
      <c r="V476" s="8">
        <f t="shared" si="131"/>
        <v>81.25</v>
      </c>
      <c r="W476" s="6">
        <v>0</v>
      </c>
      <c r="X476" s="8">
        <f t="shared" si="124"/>
        <v>81.25</v>
      </c>
      <c r="Y476" s="188">
        <f t="shared" si="132"/>
        <v>0.04</v>
      </c>
    </row>
    <row r="477" spans="1:25" x14ac:dyDescent="0.2">
      <c r="A477" s="495"/>
      <c r="C477" s="6">
        <v>26</v>
      </c>
      <c r="D477" s="8">
        <f t="shared" si="133"/>
        <v>83.799999999999983</v>
      </c>
      <c r="E477" s="8">
        <v>0</v>
      </c>
      <c r="F477" s="8">
        <f>Ce_1152[[#This Row],[V_av]]-Ce_1152[[#This Row],[V_prel]]</f>
        <v>83.799999999999983</v>
      </c>
      <c r="G477" s="188">
        <f t="shared" si="126"/>
        <v>0.11097852028639617</v>
      </c>
      <c r="I477" s="6">
        <v>26</v>
      </c>
      <c r="J477" s="8">
        <f t="shared" si="127"/>
        <v>76.266666666666652</v>
      </c>
      <c r="K477" s="6">
        <v>0</v>
      </c>
      <c r="L477" s="8">
        <f t="shared" si="122"/>
        <v>76.266666666666652</v>
      </c>
      <c r="M477" s="188">
        <f t="shared" si="128"/>
        <v>3.8461538461538519E-2</v>
      </c>
      <c r="O477" s="6">
        <v>26</v>
      </c>
      <c r="P477" s="8">
        <f t="shared" si="129"/>
        <v>127.92000000000003</v>
      </c>
      <c r="Q477" s="6">
        <v>0</v>
      </c>
      <c r="R477" s="8">
        <f t="shared" si="123"/>
        <v>127.92000000000003</v>
      </c>
      <c r="S477" s="188">
        <f t="shared" si="130"/>
        <v>3.8461538461538464E-2</v>
      </c>
      <c r="U477" s="6">
        <v>26</v>
      </c>
      <c r="V477" s="8">
        <f t="shared" si="131"/>
        <v>84.5</v>
      </c>
      <c r="W477" s="6">
        <v>0</v>
      </c>
      <c r="X477" s="8">
        <f t="shared" si="124"/>
        <v>84.5</v>
      </c>
      <c r="Y477" s="188">
        <f t="shared" si="132"/>
        <v>3.8461538461538464E-2</v>
      </c>
    </row>
    <row r="478" spans="1:25" x14ac:dyDescent="0.2">
      <c r="A478" s="495"/>
      <c r="C478" s="6">
        <v>27</v>
      </c>
      <c r="D478" s="8">
        <f t="shared" si="133"/>
        <v>93.09999999999998</v>
      </c>
      <c r="E478" s="8">
        <v>0</v>
      </c>
      <c r="F478" s="8">
        <f>Ce_1152[[#This Row],[V_av]]-Ce_1152[[#This Row],[V_prel]]</f>
        <v>93.09999999999998</v>
      </c>
      <c r="G478" s="188">
        <f t="shared" si="126"/>
        <v>9.989258861439311E-2</v>
      </c>
      <c r="I478" s="6">
        <v>27</v>
      </c>
      <c r="J478" s="8">
        <f t="shared" si="127"/>
        <v>79.199999999999989</v>
      </c>
      <c r="K478" s="6">
        <v>0</v>
      </c>
      <c r="L478" s="8">
        <f t="shared" si="122"/>
        <v>79.199999999999989</v>
      </c>
      <c r="M478" s="188">
        <f t="shared" si="128"/>
        <v>3.703703703703709E-2</v>
      </c>
      <c r="O478" s="6">
        <v>27</v>
      </c>
      <c r="P478" s="8">
        <f t="shared" si="129"/>
        <v>132.84000000000003</v>
      </c>
      <c r="Q478" s="6">
        <v>0</v>
      </c>
      <c r="R478" s="8">
        <f t="shared" si="123"/>
        <v>132.84000000000003</v>
      </c>
      <c r="S478" s="188">
        <f t="shared" si="130"/>
        <v>3.7037037037037042E-2</v>
      </c>
      <c r="U478" s="6">
        <v>27</v>
      </c>
      <c r="V478" s="8">
        <f t="shared" si="131"/>
        <v>87.75</v>
      </c>
      <c r="W478" s="6">
        <v>0</v>
      </c>
      <c r="X478" s="8">
        <f t="shared" si="124"/>
        <v>87.75</v>
      </c>
      <c r="Y478" s="188">
        <f t="shared" si="132"/>
        <v>3.7037037037037035E-2</v>
      </c>
    </row>
    <row r="479" spans="1:25" x14ac:dyDescent="0.2">
      <c r="A479" s="495"/>
      <c r="C479" s="6">
        <v>28</v>
      </c>
      <c r="D479" s="8">
        <f t="shared" si="133"/>
        <v>102.39999999999998</v>
      </c>
      <c r="E479" s="8">
        <v>0</v>
      </c>
      <c r="F479" s="8">
        <f>Ce_1152[[#This Row],[V_av]]-Ce_1152[[#This Row],[V_prel]]</f>
        <v>102.39999999999998</v>
      </c>
      <c r="G479" s="188">
        <f t="shared" si="126"/>
        <v>9.0820312499999986E-2</v>
      </c>
      <c r="I479" s="6">
        <v>28</v>
      </c>
      <c r="J479" s="8">
        <f t="shared" si="127"/>
        <v>82.133333333333326</v>
      </c>
      <c r="K479" s="6">
        <v>0</v>
      </c>
      <c r="L479" s="8">
        <f t="shared" si="122"/>
        <v>82.133333333333326</v>
      </c>
      <c r="M479" s="188">
        <f t="shared" si="128"/>
        <v>3.5714285714285761E-2</v>
      </c>
      <c r="O479" s="6">
        <v>28</v>
      </c>
      <c r="P479" s="8">
        <f t="shared" si="129"/>
        <v>137.76000000000002</v>
      </c>
      <c r="Q479" s="6">
        <v>0</v>
      </c>
      <c r="R479" s="8">
        <f t="shared" si="123"/>
        <v>137.76000000000002</v>
      </c>
      <c r="S479" s="188">
        <f t="shared" si="130"/>
        <v>3.5714285714285615E-2</v>
      </c>
      <c r="U479" s="6">
        <v>28</v>
      </c>
      <c r="V479" s="8">
        <f t="shared" si="131"/>
        <v>91</v>
      </c>
      <c r="W479" s="6">
        <v>0</v>
      </c>
      <c r="X479" s="8">
        <f t="shared" si="124"/>
        <v>91</v>
      </c>
      <c r="Y479" s="188">
        <f t="shared" si="132"/>
        <v>3.5714285714285712E-2</v>
      </c>
    </row>
    <row r="480" spans="1:25" x14ac:dyDescent="0.2">
      <c r="A480" s="495"/>
      <c r="C480" s="6">
        <v>29</v>
      </c>
      <c r="D480" s="8">
        <f t="shared" si="133"/>
        <v>111.69999999999997</v>
      </c>
      <c r="E480" s="8">
        <v>0</v>
      </c>
      <c r="F480" s="8">
        <f>Ce_1152[[#This Row],[V_av]]-Ce_1152[[#This Row],[V_prel]]</f>
        <v>111.69999999999997</v>
      </c>
      <c r="G480" s="188">
        <f t="shared" si="126"/>
        <v>8.3258728737690232E-2</v>
      </c>
      <c r="I480" s="6">
        <v>29</v>
      </c>
      <c r="J480" s="8">
        <f t="shared" si="127"/>
        <v>85.066666666666663</v>
      </c>
      <c r="K480" s="6">
        <v>0</v>
      </c>
      <c r="L480" s="8">
        <f t="shared" si="122"/>
        <v>85.066666666666663</v>
      </c>
      <c r="M480" s="188">
        <f t="shared" si="128"/>
        <v>3.4482758620689703E-2</v>
      </c>
      <c r="O480" s="6">
        <v>29</v>
      </c>
      <c r="P480" s="8">
        <f t="shared" si="129"/>
        <v>142.68</v>
      </c>
      <c r="Q480" s="6">
        <v>0</v>
      </c>
      <c r="R480" s="8">
        <f t="shared" si="123"/>
        <v>142.68</v>
      </c>
      <c r="S480" s="188">
        <f t="shared" si="130"/>
        <v>3.4482758620689564E-2</v>
      </c>
      <c r="U480" s="6">
        <v>29</v>
      </c>
      <c r="V480" s="8">
        <f t="shared" si="131"/>
        <v>94.25</v>
      </c>
      <c r="W480" s="6">
        <v>0</v>
      </c>
      <c r="X480" s="8">
        <f t="shared" si="124"/>
        <v>94.25</v>
      </c>
      <c r="Y480" s="188">
        <f t="shared" si="132"/>
        <v>3.4482758620689655E-2</v>
      </c>
    </row>
    <row r="481" spans="1:33" x14ac:dyDescent="0.2">
      <c r="A481" s="495"/>
      <c r="C481" s="7">
        <v>30</v>
      </c>
      <c r="D481" s="13">
        <v>121</v>
      </c>
      <c r="E481" s="13">
        <v>0</v>
      </c>
      <c r="F481" s="13">
        <v>121</v>
      </c>
      <c r="G481" s="188">
        <f t="shared" si="126"/>
        <v>7.685950413223161E-2</v>
      </c>
      <c r="I481" s="7">
        <v>30</v>
      </c>
      <c r="J481" s="7">
        <v>88</v>
      </c>
      <c r="K481" s="7">
        <v>0</v>
      </c>
      <c r="L481" s="7">
        <v>88</v>
      </c>
      <c r="M481" s="188">
        <f t="shared" si="128"/>
        <v>3.3333333333333375E-2</v>
      </c>
      <c r="O481" s="6">
        <v>30</v>
      </c>
      <c r="P481" s="8">
        <f t="shared" si="129"/>
        <v>147.6</v>
      </c>
      <c r="Q481" s="6">
        <v>0</v>
      </c>
      <c r="R481" s="8">
        <f t="shared" si="123"/>
        <v>147.6</v>
      </c>
      <c r="S481" s="188">
        <f t="shared" si="130"/>
        <v>3.333333333333325E-2</v>
      </c>
      <c r="U481" s="6">
        <v>30</v>
      </c>
      <c r="V481" s="8">
        <f t="shared" si="131"/>
        <v>97.5</v>
      </c>
      <c r="W481" s="6">
        <v>0</v>
      </c>
      <c r="X481" s="8">
        <f t="shared" si="124"/>
        <v>97.5</v>
      </c>
      <c r="Y481" s="188">
        <f t="shared" si="132"/>
        <v>3.3333333333333333E-2</v>
      </c>
    </row>
    <row r="482" spans="1:33" x14ac:dyDescent="0.2">
      <c r="A482" s="495"/>
      <c r="C482" s="7">
        <v>40</v>
      </c>
      <c r="D482" s="13">
        <v>267</v>
      </c>
      <c r="E482" s="13">
        <v>91</v>
      </c>
      <c r="F482" s="13">
        <v>176</v>
      </c>
      <c r="G482" s="188">
        <f t="shared" si="126"/>
        <v>5.4681647940074907E-2</v>
      </c>
      <c r="O482" s="7">
        <v>50</v>
      </c>
      <c r="P482" s="13">
        <v>246</v>
      </c>
      <c r="Q482" s="7">
        <v>84</v>
      </c>
      <c r="R482" s="7">
        <v>162</v>
      </c>
      <c r="S482" s="188">
        <f t="shared" si="130"/>
        <v>0.02</v>
      </c>
      <c r="U482" s="7">
        <v>60</v>
      </c>
      <c r="V482" s="13">
        <v>195</v>
      </c>
      <c r="W482" s="7">
        <v>66</v>
      </c>
      <c r="X482" s="7">
        <v>129</v>
      </c>
      <c r="Y482" s="188">
        <f t="shared" si="132"/>
        <v>1.6666666666666666E-2</v>
      </c>
    </row>
    <row r="483" spans="1:33" x14ac:dyDescent="0.2">
      <c r="A483" s="495"/>
      <c r="C483" s="7">
        <v>50</v>
      </c>
      <c r="D483" s="13">
        <v>380</v>
      </c>
      <c r="E483" s="13">
        <v>91</v>
      </c>
      <c r="F483" s="13">
        <v>289</v>
      </c>
      <c r="G483" s="188">
        <f t="shared" si="126"/>
        <v>5.3684210526315793E-2</v>
      </c>
    </row>
    <row r="484" spans="1:33" x14ac:dyDescent="0.2">
      <c r="A484" s="495"/>
      <c r="C484" s="7">
        <v>60</v>
      </c>
      <c r="D484" s="13">
        <v>516</v>
      </c>
      <c r="E484" s="13">
        <v>112</v>
      </c>
      <c r="F484" s="13">
        <v>404</v>
      </c>
      <c r="G484" s="188">
        <f t="shared" si="126"/>
        <v>4.3992248062015502E-2</v>
      </c>
      <c r="I484" s="7"/>
      <c r="J484" s="7"/>
      <c r="K484" s="7"/>
      <c r="L484" s="7"/>
    </row>
    <row r="485" spans="1:33" x14ac:dyDescent="0.2">
      <c r="A485" s="495"/>
      <c r="C485" s="7">
        <v>70</v>
      </c>
      <c r="D485" s="13">
        <v>631</v>
      </c>
      <c r="E485" s="13">
        <v>109</v>
      </c>
      <c r="F485" s="13">
        <v>522</v>
      </c>
      <c r="G485" s="188">
        <f t="shared" si="126"/>
        <v>3.5974643423137873E-2</v>
      </c>
    </row>
    <row r="486" spans="1:33" x14ac:dyDescent="0.2">
      <c r="A486" s="495"/>
      <c r="C486" s="7">
        <v>80</v>
      </c>
      <c r="D486" s="13">
        <v>734</v>
      </c>
      <c r="E486" s="13">
        <v>110</v>
      </c>
      <c r="F486" s="13">
        <v>624</v>
      </c>
      <c r="G486" s="188">
        <f t="shared" si="126"/>
        <v>2.888283378746594E-2</v>
      </c>
    </row>
    <row r="487" spans="1:33" x14ac:dyDescent="0.2">
      <c r="A487" s="495"/>
      <c r="C487" s="7">
        <v>90</v>
      </c>
      <c r="D487" s="13">
        <v>802</v>
      </c>
      <c r="E487" s="13">
        <v>97</v>
      </c>
      <c r="F487" s="13">
        <v>705</v>
      </c>
      <c r="G487" s="188">
        <f t="shared" si="126"/>
        <v>2.2194513715710722E-2</v>
      </c>
    </row>
    <row r="488" spans="1:33" x14ac:dyDescent="0.2">
      <c r="A488" s="495"/>
      <c r="C488" s="7">
        <v>100</v>
      </c>
      <c r="D488" s="13">
        <v>855</v>
      </c>
      <c r="E488" s="13">
        <v>855</v>
      </c>
      <c r="F488" s="13">
        <v>0</v>
      </c>
      <c r="G488" s="188">
        <f t="shared" si="126"/>
        <v>1.7543859649122806E-2</v>
      </c>
    </row>
    <row r="489" spans="1:33" x14ac:dyDescent="0.2">
      <c r="A489" s="207"/>
    </row>
    <row r="490" spans="1:33" x14ac:dyDescent="0.2">
      <c r="A490" s="207"/>
    </row>
    <row r="491" spans="1:33" ht="29" x14ac:dyDescent="0.35">
      <c r="A491" s="182" t="s">
        <v>119</v>
      </c>
      <c r="B491" s="182"/>
      <c r="C491" s="182"/>
      <c r="D491" s="182"/>
      <c r="E491" s="182"/>
      <c r="F491" s="182"/>
      <c r="G491" s="185"/>
      <c r="H491" s="182"/>
      <c r="I491" s="182"/>
      <c r="J491" s="182"/>
      <c r="K491" s="182"/>
      <c r="L491" s="182"/>
      <c r="M491" s="185"/>
      <c r="N491" s="182"/>
      <c r="O491" s="182"/>
      <c r="P491" s="182"/>
      <c r="Q491" s="182"/>
      <c r="R491" s="182"/>
      <c r="S491" s="185"/>
      <c r="T491" s="182"/>
      <c r="U491" s="182"/>
      <c r="V491" s="182"/>
      <c r="W491" s="182"/>
      <c r="X491" s="182"/>
      <c r="Y491" s="185"/>
      <c r="Z491" s="182"/>
      <c r="AA491" s="182"/>
      <c r="AB491" s="182"/>
      <c r="AC491" s="182"/>
      <c r="AD491" s="182"/>
      <c r="AE491" s="185"/>
      <c r="AF491" s="182"/>
      <c r="AG491" s="182"/>
    </row>
    <row r="493" spans="1:33" x14ac:dyDescent="0.2">
      <c r="A493" s="494" t="s">
        <v>709</v>
      </c>
      <c r="C493" s="7" t="s">
        <v>979</v>
      </c>
      <c r="D493" s="9" t="s">
        <v>135</v>
      </c>
      <c r="I493" s="7" t="s">
        <v>976</v>
      </c>
      <c r="O493" s="7" t="s">
        <v>978</v>
      </c>
      <c r="U493" s="7" t="s">
        <v>977</v>
      </c>
    </row>
    <row r="494" spans="1:33" x14ac:dyDescent="0.2">
      <c r="A494" s="494"/>
      <c r="C494" s="6" t="s">
        <v>125</v>
      </c>
      <c r="D494" s="6" t="s">
        <v>126</v>
      </c>
      <c r="E494" s="6" t="s">
        <v>127</v>
      </c>
      <c r="F494" s="6" t="s">
        <v>128</v>
      </c>
      <c r="G494" s="194" t="s">
        <v>699</v>
      </c>
      <c r="I494" s="176" t="s">
        <v>125</v>
      </c>
      <c r="J494" s="176" t="s">
        <v>126</v>
      </c>
      <c r="K494" s="176" t="s">
        <v>127</v>
      </c>
      <c r="L494" s="176" t="s">
        <v>128</v>
      </c>
      <c r="M494" s="196" t="s">
        <v>699</v>
      </c>
      <c r="O494" s="176" t="s">
        <v>125</v>
      </c>
      <c r="P494" s="176" t="s">
        <v>126</v>
      </c>
      <c r="Q494" s="176" t="s">
        <v>127</v>
      </c>
      <c r="R494" s="176" t="s">
        <v>128</v>
      </c>
      <c r="S494" s="196" t="s">
        <v>699</v>
      </c>
      <c r="U494" s="176" t="s">
        <v>125</v>
      </c>
      <c r="V494" s="176" t="s">
        <v>126</v>
      </c>
      <c r="W494" s="176" t="s">
        <v>127</v>
      </c>
      <c r="X494" s="176" t="s">
        <v>128</v>
      </c>
      <c r="Y494" s="196" t="s">
        <v>699</v>
      </c>
    </row>
    <row r="495" spans="1:33" x14ac:dyDescent="0.2">
      <c r="A495" s="494"/>
      <c r="C495" s="6">
        <v>1</v>
      </c>
      <c r="D495" s="6">
        <f>D524/C524</f>
        <v>1.6</v>
      </c>
      <c r="E495" s="6">
        <v>0</v>
      </c>
      <c r="F495" s="6">
        <f>He_9156[[#This Row],[V_av]]-He_9156[[#This Row],[V_prel]]</f>
        <v>1.6</v>
      </c>
      <c r="G495" s="194">
        <v>0</v>
      </c>
      <c r="I495" s="6">
        <v>1</v>
      </c>
      <c r="J495" s="6">
        <f>J524/I524</f>
        <v>0</v>
      </c>
      <c r="K495" s="6">
        <v>0</v>
      </c>
      <c r="L495" s="6">
        <v>0</v>
      </c>
      <c r="M495" s="194">
        <v>0</v>
      </c>
      <c r="O495" s="6">
        <v>1</v>
      </c>
      <c r="P495" s="6">
        <v>0</v>
      </c>
      <c r="Q495" s="6">
        <v>0</v>
      </c>
      <c r="R495" s="6">
        <v>0</v>
      </c>
      <c r="S495" s="194">
        <v>0</v>
      </c>
      <c r="U495" s="6">
        <v>1</v>
      </c>
      <c r="V495" s="6">
        <v>0</v>
      </c>
      <c r="W495" s="6">
        <v>0</v>
      </c>
      <c r="X495" s="6">
        <v>0</v>
      </c>
      <c r="Y495" s="194">
        <v>0</v>
      </c>
    </row>
    <row r="496" spans="1:33" x14ac:dyDescent="0.2">
      <c r="A496" s="494"/>
      <c r="C496" s="6">
        <v>2</v>
      </c>
      <c r="D496" s="6">
        <f>$D$524/$C$524+F495</f>
        <v>3.2</v>
      </c>
      <c r="E496" s="6">
        <v>0</v>
      </c>
      <c r="F496" s="6">
        <f>He_9156[[#This Row],[V_av]]-He_9156[[#This Row],[V_prel]]</f>
        <v>3.2</v>
      </c>
      <c r="G496" s="188">
        <f>((D496-F495)/D496)/(C496-C495)</f>
        <v>0.5</v>
      </c>
      <c r="I496" s="6">
        <v>2</v>
      </c>
      <c r="J496" s="6">
        <f t="shared" ref="J496:J523" si="134">$J$524/$I$524+J495</f>
        <v>0</v>
      </c>
      <c r="K496" s="6">
        <v>0</v>
      </c>
      <c r="L496" s="6">
        <v>0</v>
      </c>
      <c r="M496" s="194">
        <v>0</v>
      </c>
      <c r="O496" s="6">
        <v>2</v>
      </c>
      <c r="P496" s="6">
        <v>0</v>
      </c>
      <c r="Q496" s="6">
        <v>0</v>
      </c>
      <c r="R496" s="6">
        <v>0</v>
      </c>
      <c r="S496" s="194">
        <v>0</v>
      </c>
      <c r="U496" s="6">
        <v>2</v>
      </c>
      <c r="V496" s="6">
        <v>0</v>
      </c>
      <c r="W496" s="6">
        <v>0</v>
      </c>
      <c r="X496" s="6">
        <v>0</v>
      </c>
      <c r="Y496" s="194">
        <v>0</v>
      </c>
    </row>
    <row r="497" spans="1:25" x14ac:dyDescent="0.2">
      <c r="A497" s="494"/>
      <c r="C497" s="6">
        <v>3</v>
      </c>
      <c r="D497" s="6">
        <f t="shared" ref="D497:D523" si="135">$D$524/$C$524+F496</f>
        <v>4.8000000000000007</v>
      </c>
      <c r="E497" s="6">
        <v>0</v>
      </c>
      <c r="F497" s="6">
        <f>He_9156[[#This Row],[V_av]]-He_9156[[#This Row],[V_prel]]</f>
        <v>4.8000000000000007</v>
      </c>
      <c r="G497" s="188">
        <f t="shared" ref="G497:G549" si="136">((D497-F496)/D497)/(C497-C496)</f>
        <v>0.33333333333333337</v>
      </c>
      <c r="I497" s="6">
        <v>3</v>
      </c>
      <c r="J497" s="6">
        <f t="shared" si="134"/>
        <v>0</v>
      </c>
      <c r="K497" s="6">
        <v>0</v>
      </c>
      <c r="L497" s="6">
        <v>0</v>
      </c>
      <c r="M497" s="194">
        <v>0</v>
      </c>
      <c r="O497" s="6">
        <v>3</v>
      </c>
      <c r="P497" s="6">
        <v>0</v>
      </c>
      <c r="Q497" s="6">
        <v>0</v>
      </c>
      <c r="R497" s="6">
        <v>0</v>
      </c>
      <c r="S497" s="194">
        <v>0</v>
      </c>
      <c r="U497" s="6">
        <v>3</v>
      </c>
      <c r="V497" s="6">
        <v>0</v>
      </c>
      <c r="W497" s="6">
        <v>0</v>
      </c>
      <c r="X497" s="6">
        <v>0</v>
      </c>
      <c r="Y497" s="194">
        <v>0</v>
      </c>
    </row>
    <row r="498" spans="1:25" x14ac:dyDescent="0.2">
      <c r="A498" s="494"/>
      <c r="C498" s="6">
        <v>4</v>
      </c>
      <c r="D498" s="6">
        <f t="shared" si="135"/>
        <v>6.4</v>
      </c>
      <c r="E498" s="6">
        <v>0</v>
      </c>
      <c r="F498" s="6">
        <f>He_9156[[#This Row],[V_av]]-He_9156[[#This Row],[V_prel]]</f>
        <v>6.4</v>
      </c>
      <c r="G498" s="188">
        <f t="shared" si="136"/>
        <v>0.24999999999999994</v>
      </c>
      <c r="I498" s="6">
        <v>4</v>
      </c>
      <c r="J498" s="6">
        <f t="shared" si="134"/>
        <v>0</v>
      </c>
      <c r="K498" s="6">
        <v>0</v>
      </c>
      <c r="L498" s="6">
        <v>0</v>
      </c>
      <c r="M498" s="194">
        <v>0</v>
      </c>
      <c r="O498" s="6">
        <v>4</v>
      </c>
      <c r="P498" s="6">
        <v>0</v>
      </c>
      <c r="Q498" s="6">
        <v>0</v>
      </c>
      <c r="R498" s="6">
        <v>0</v>
      </c>
      <c r="S498" s="194">
        <v>0</v>
      </c>
      <c r="U498" s="6">
        <v>4</v>
      </c>
      <c r="V498" s="6">
        <v>0</v>
      </c>
      <c r="W498" s="6">
        <v>0</v>
      </c>
      <c r="X498" s="6">
        <v>0</v>
      </c>
      <c r="Y498" s="194">
        <v>0</v>
      </c>
    </row>
    <row r="499" spans="1:25" x14ac:dyDescent="0.2">
      <c r="A499" s="494"/>
      <c r="C499" s="6">
        <v>5</v>
      </c>
      <c r="D499" s="6">
        <f t="shared" si="135"/>
        <v>8</v>
      </c>
      <c r="E499" s="6">
        <v>0</v>
      </c>
      <c r="F499" s="6">
        <f>He_9156[[#This Row],[V_av]]-He_9156[[#This Row],[V_prel]]</f>
        <v>8</v>
      </c>
      <c r="G499" s="188">
        <f t="shared" si="136"/>
        <v>0.19999999999999996</v>
      </c>
      <c r="I499" s="6">
        <v>5</v>
      </c>
      <c r="J499" s="6">
        <f t="shared" si="134"/>
        <v>0</v>
      </c>
      <c r="K499" s="6">
        <v>0</v>
      </c>
      <c r="L499" s="6">
        <v>0</v>
      </c>
      <c r="M499" s="194">
        <v>0</v>
      </c>
      <c r="O499" s="6">
        <v>5</v>
      </c>
      <c r="P499" s="6">
        <v>0</v>
      </c>
      <c r="Q499" s="6">
        <v>0</v>
      </c>
      <c r="R499" s="6">
        <v>0</v>
      </c>
      <c r="S499" s="194">
        <v>0</v>
      </c>
      <c r="U499" s="6">
        <v>5</v>
      </c>
      <c r="V499" s="6">
        <v>0</v>
      </c>
      <c r="W499" s="6">
        <v>0</v>
      </c>
      <c r="X499" s="6">
        <v>0</v>
      </c>
      <c r="Y499" s="194">
        <v>0</v>
      </c>
    </row>
    <row r="500" spans="1:25" x14ac:dyDescent="0.2">
      <c r="A500" s="494"/>
      <c r="C500" s="6">
        <v>6</v>
      </c>
      <c r="D500" s="6">
        <f t="shared" si="135"/>
        <v>9.6</v>
      </c>
      <c r="E500" s="6">
        <v>0</v>
      </c>
      <c r="F500" s="6">
        <f>He_9156[[#This Row],[V_av]]-He_9156[[#This Row],[V_prel]]</f>
        <v>9.6</v>
      </c>
      <c r="G500" s="188">
        <f t="shared" si="136"/>
        <v>0.16666666666666663</v>
      </c>
      <c r="I500" s="6">
        <v>6</v>
      </c>
      <c r="J500" s="6">
        <f t="shared" si="134"/>
        <v>0</v>
      </c>
      <c r="K500" s="6">
        <v>0</v>
      </c>
      <c r="L500" s="6">
        <v>0</v>
      </c>
      <c r="M500" s="194">
        <v>0</v>
      </c>
      <c r="O500" s="6">
        <v>6</v>
      </c>
      <c r="P500" s="6">
        <v>0</v>
      </c>
      <c r="Q500" s="6">
        <v>0</v>
      </c>
      <c r="R500" s="6">
        <v>0</v>
      </c>
      <c r="S500" s="194">
        <v>0</v>
      </c>
      <c r="U500" s="6">
        <v>6</v>
      </c>
      <c r="V500" s="6">
        <v>0</v>
      </c>
      <c r="W500" s="6">
        <v>0</v>
      </c>
      <c r="X500" s="6">
        <v>0</v>
      </c>
      <c r="Y500" s="194">
        <v>0</v>
      </c>
    </row>
    <row r="501" spans="1:25" x14ac:dyDescent="0.2">
      <c r="A501" s="494"/>
      <c r="C501" s="6">
        <v>7</v>
      </c>
      <c r="D501" s="6">
        <f t="shared" si="135"/>
        <v>11.2</v>
      </c>
      <c r="E501" s="6">
        <v>0</v>
      </c>
      <c r="F501" s="6">
        <f>He_9156[[#This Row],[V_av]]-He_9156[[#This Row],[V_prel]]</f>
        <v>11.2</v>
      </c>
      <c r="G501" s="188">
        <f t="shared" si="136"/>
        <v>0.14285714285714282</v>
      </c>
      <c r="I501" s="6">
        <v>7</v>
      </c>
      <c r="J501" s="6">
        <f t="shared" si="134"/>
        <v>0</v>
      </c>
      <c r="K501" s="6">
        <v>0</v>
      </c>
      <c r="L501" s="6">
        <v>0</v>
      </c>
      <c r="M501" s="194">
        <v>0</v>
      </c>
      <c r="O501" s="6">
        <v>7</v>
      </c>
      <c r="P501" s="6">
        <v>0</v>
      </c>
      <c r="Q501" s="6">
        <v>0</v>
      </c>
      <c r="R501" s="6">
        <v>0</v>
      </c>
      <c r="S501" s="194">
        <v>0</v>
      </c>
      <c r="U501" s="6">
        <v>7</v>
      </c>
      <c r="V501" s="6">
        <v>0</v>
      </c>
      <c r="W501" s="6">
        <v>0</v>
      </c>
      <c r="X501" s="6">
        <v>0</v>
      </c>
      <c r="Y501" s="194">
        <v>0</v>
      </c>
    </row>
    <row r="502" spans="1:25" x14ac:dyDescent="0.2">
      <c r="A502" s="494"/>
      <c r="C502" s="6">
        <v>8</v>
      </c>
      <c r="D502" s="6">
        <f t="shared" si="135"/>
        <v>12.799999999999999</v>
      </c>
      <c r="E502" s="6">
        <v>0</v>
      </c>
      <c r="F502" s="6">
        <f>He_9156[[#This Row],[V_av]]-He_9156[[#This Row],[V_prel]]</f>
        <v>12.799999999999999</v>
      </c>
      <c r="G502" s="188">
        <f t="shared" si="136"/>
        <v>0.12499999999999999</v>
      </c>
      <c r="I502" s="6">
        <v>8</v>
      </c>
      <c r="J502" s="6">
        <f t="shared" si="134"/>
        <v>0</v>
      </c>
      <c r="K502" s="6">
        <v>0</v>
      </c>
      <c r="L502" s="6">
        <v>0</v>
      </c>
      <c r="M502" s="194">
        <v>0</v>
      </c>
      <c r="O502" s="6">
        <v>8</v>
      </c>
      <c r="P502" s="6">
        <v>0</v>
      </c>
      <c r="Q502" s="6">
        <v>0</v>
      </c>
      <c r="R502" s="6">
        <v>0</v>
      </c>
      <c r="S502" s="194">
        <v>0</v>
      </c>
      <c r="U502" s="6">
        <v>8</v>
      </c>
      <c r="V502" s="6">
        <v>0</v>
      </c>
      <c r="W502" s="6">
        <v>0</v>
      </c>
      <c r="X502" s="6">
        <v>0</v>
      </c>
      <c r="Y502" s="194">
        <v>0</v>
      </c>
    </row>
    <row r="503" spans="1:25" x14ac:dyDescent="0.2">
      <c r="A503" s="494"/>
      <c r="C503" s="6">
        <v>9</v>
      </c>
      <c r="D503" s="6">
        <f t="shared" si="135"/>
        <v>14.399999999999999</v>
      </c>
      <c r="E503" s="6">
        <v>0</v>
      </c>
      <c r="F503" s="6">
        <f>He_9156[[#This Row],[V_av]]-He_9156[[#This Row],[V_prel]]</f>
        <v>14.399999999999999</v>
      </c>
      <c r="G503" s="188">
        <f t="shared" si="136"/>
        <v>0.11111111111111109</v>
      </c>
      <c r="I503" s="6">
        <v>9</v>
      </c>
      <c r="J503" s="6">
        <f t="shared" si="134"/>
        <v>0</v>
      </c>
      <c r="K503" s="6">
        <v>0</v>
      </c>
      <c r="L503" s="6">
        <v>0</v>
      </c>
      <c r="M503" s="194">
        <v>0</v>
      </c>
      <c r="O503" s="6">
        <v>9</v>
      </c>
      <c r="P503" s="6">
        <v>0</v>
      </c>
      <c r="Q503" s="6">
        <v>0</v>
      </c>
      <c r="R503" s="6">
        <v>0</v>
      </c>
      <c r="S503" s="194">
        <v>0</v>
      </c>
      <c r="U503" s="6">
        <v>9</v>
      </c>
      <c r="V503" s="6">
        <v>0</v>
      </c>
      <c r="W503" s="6">
        <v>0</v>
      </c>
      <c r="X503" s="6">
        <v>0</v>
      </c>
      <c r="Y503" s="194">
        <v>0</v>
      </c>
    </row>
    <row r="504" spans="1:25" x14ac:dyDescent="0.2">
      <c r="A504" s="494"/>
      <c r="C504" s="6">
        <v>10</v>
      </c>
      <c r="D504" s="6">
        <f t="shared" si="135"/>
        <v>15.999999999999998</v>
      </c>
      <c r="E504" s="6">
        <v>0</v>
      </c>
      <c r="F504" s="6">
        <f>He_9156[[#This Row],[V_av]]-He_9156[[#This Row],[V_prel]]</f>
        <v>15.999999999999998</v>
      </c>
      <c r="G504" s="188">
        <f t="shared" si="136"/>
        <v>9.9999999999999992E-2</v>
      </c>
      <c r="I504" s="6">
        <v>10</v>
      </c>
      <c r="J504" s="6">
        <f t="shared" si="134"/>
        <v>0</v>
      </c>
      <c r="K504" s="6">
        <v>0</v>
      </c>
      <c r="L504" s="6">
        <v>0</v>
      </c>
      <c r="M504" s="194">
        <v>0</v>
      </c>
      <c r="O504" s="6">
        <v>10</v>
      </c>
      <c r="P504" s="6">
        <v>0</v>
      </c>
      <c r="Q504" s="6">
        <v>0</v>
      </c>
      <c r="R504" s="6">
        <v>0</v>
      </c>
      <c r="S504" s="194">
        <v>0</v>
      </c>
      <c r="U504" s="6">
        <v>10</v>
      </c>
      <c r="V504" s="6">
        <v>0</v>
      </c>
      <c r="W504" s="6">
        <v>0</v>
      </c>
      <c r="X504" s="6">
        <v>0</v>
      </c>
      <c r="Y504" s="194">
        <v>0</v>
      </c>
    </row>
    <row r="505" spans="1:25" x14ac:dyDescent="0.2">
      <c r="A505" s="494"/>
      <c r="C505" s="6">
        <v>11</v>
      </c>
      <c r="D505" s="6">
        <f t="shared" si="135"/>
        <v>17.599999999999998</v>
      </c>
      <c r="E505" s="6">
        <v>0</v>
      </c>
      <c r="F505" s="6">
        <f>He_9156[[#This Row],[V_av]]-He_9156[[#This Row],[V_prel]]</f>
        <v>17.599999999999998</v>
      </c>
      <c r="G505" s="188">
        <f t="shared" si="136"/>
        <v>9.0909090909090898E-2</v>
      </c>
      <c r="I505" s="6">
        <v>11</v>
      </c>
      <c r="J505" s="6">
        <f t="shared" si="134"/>
        <v>0</v>
      </c>
      <c r="K505" s="6">
        <v>0</v>
      </c>
      <c r="L505" s="6">
        <v>0</v>
      </c>
      <c r="M505" s="194">
        <v>0</v>
      </c>
      <c r="O505" s="6">
        <v>11</v>
      </c>
      <c r="P505" s="6">
        <v>0</v>
      </c>
      <c r="Q505" s="6">
        <v>0</v>
      </c>
      <c r="R505" s="6">
        <v>0</v>
      </c>
      <c r="S505" s="194">
        <v>0</v>
      </c>
      <c r="U505" s="6">
        <v>11</v>
      </c>
      <c r="V505" s="6">
        <v>0</v>
      </c>
      <c r="W505" s="6">
        <v>0</v>
      </c>
      <c r="X505" s="6">
        <v>0</v>
      </c>
      <c r="Y505" s="194">
        <v>0</v>
      </c>
    </row>
    <row r="506" spans="1:25" x14ac:dyDescent="0.2">
      <c r="A506" s="494"/>
      <c r="C506" s="6">
        <v>12</v>
      </c>
      <c r="D506" s="6">
        <f t="shared" si="135"/>
        <v>19.2</v>
      </c>
      <c r="E506" s="6">
        <v>0</v>
      </c>
      <c r="F506" s="6">
        <f>He_9156[[#This Row],[V_av]]-He_9156[[#This Row],[V_prel]]</f>
        <v>19.2</v>
      </c>
      <c r="G506" s="188">
        <f t="shared" si="136"/>
        <v>8.3333333333333412E-2</v>
      </c>
      <c r="I506" s="6">
        <v>12</v>
      </c>
      <c r="J506" s="6">
        <f t="shared" si="134"/>
        <v>0</v>
      </c>
      <c r="K506" s="6">
        <v>0</v>
      </c>
      <c r="L506" s="6">
        <v>0</v>
      </c>
      <c r="M506" s="194">
        <v>0</v>
      </c>
      <c r="O506" s="6">
        <v>12</v>
      </c>
      <c r="P506" s="6">
        <v>0</v>
      </c>
      <c r="Q506" s="6">
        <v>0</v>
      </c>
      <c r="R506" s="6">
        <v>0</v>
      </c>
      <c r="S506" s="194">
        <v>0</v>
      </c>
      <c r="U506" s="6">
        <v>12</v>
      </c>
      <c r="V506" s="6">
        <v>0</v>
      </c>
      <c r="W506" s="6">
        <v>0</v>
      </c>
      <c r="X506" s="6">
        <v>0</v>
      </c>
      <c r="Y506" s="194">
        <v>0</v>
      </c>
    </row>
    <row r="507" spans="1:25" x14ac:dyDescent="0.2">
      <c r="A507" s="494"/>
      <c r="C507" s="6">
        <v>13</v>
      </c>
      <c r="D507" s="6">
        <f t="shared" si="135"/>
        <v>20.8</v>
      </c>
      <c r="E507" s="6">
        <v>0</v>
      </c>
      <c r="F507" s="6">
        <f>He_9156[[#This Row],[V_av]]-He_9156[[#This Row],[V_prel]]</f>
        <v>20.8</v>
      </c>
      <c r="G507" s="188">
        <f t="shared" si="136"/>
        <v>7.6923076923076983E-2</v>
      </c>
      <c r="I507" s="6">
        <v>13</v>
      </c>
      <c r="J507" s="6">
        <f t="shared" si="134"/>
        <v>0</v>
      </c>
      <c r="K507" s="6">
        <v>0</v>
      </c>
      <c r="L507" s="6">
        <v>0</v>
      </c>
      <c r="M507" s="194">
        <v>0</v>
      </c>
      <c r="O507" s="6">
        <v>13</v>
      </c>
      <c r="P507" s="6">
        <v>0</v>
      </c>
      <c r="Q507" s="6">
        <v>0</v>
      </c>
      <c r="R507" s="6">
        <v>0</v>
      </c>
      <c r="S507" s="194">
        <v>0</v>
      </c>
      <c r="U507" s="6">
        <v>13</v>
      </c>
      <c r="V507" s="6">
        <v>0</v>
      </c>
      <c r="W507" s="6">
        <v>0</v>
      </c>
      <c r="X507" s="6">
        <v>0</v>
      </c>
      <c r="Y507" s="194">
        <v>0</v>
      </c>
    </row>
    <row r="508" spans="1:25" x14ac:dyDescent="0.2">
      <c r="A508" s="494"/>
      <c r="C508" s="6">
        <v>14</v>
      </c>
      <c r="D508" s="6">
        <f t="shared" si="135"/>
        <v>22.400000000000002</v>
      </c>
      <c r="E508" s="6">
        <v>0</v>
      </c>
      <c r="F508" s="6">
        <f>He_9156[[#This Row],[V_av]]-He_9156[[#This Row],[V_prel]]</f>
        <v>22.400000000000002</v>
      </c>
      <c r="G508" s="188">
        <f t="shared" si="136"/>
        <v>7.142857142857148E-2</v>
      </c>
      <c r="I508" s="6">
        <v>14</v>
      </c>
      <c r="J508" s="6">
        <f t="shared" si="134"/>
        <v>0</v>
      </c>
      <c r="K508" s="6">
        <v>0</v>
      </c>
      <c r="L508" s="6">
        <v>0</v>
      </c>
      <c r="M508" s="194">
        <v>0</v>
      </c>
      <c r="O508" s="6">
        <v>14</v>
      </c>
      <c r="P508" s="6">
        <v>0</v>
      </c>
      <c r="Q508" s="6">
        <v>0</v>
      </c>
      <c r="R508" s="6">
        <v>0</v>
      </c>
      <c r="S508" s="194">
        <v>0</v>
      </c>
      <c r="U508" s="6">
        <v>14</v>
      </c>
      <c r="V508" s="6">
        <v>0</v>
      </c>
      <c r="W508" s="6">
        <v>0</v>
      </c>
      <c r="X508" s="6">
        <v>0</v>
      </c>
      <c r="Y508" s="194">
        <v>0</v>
      </c>
    </row>
    <row r="509" spans="1:25" x14ac:dyDescent="0.2">
      <c r="A509" s="206"/>
      <c r="C509" s="6">
        <v>15</v>
      </c>
      <c r="D509" s="6">
        <f t="shared" si="135"/>
        <v>24.000000000000004</v>
      </c>
      <c r="E509" s="6">
        <v>0</v>
      </c>
      <c r="F509" s="6">
        <f>He_9156[[#This Row],[V_av]]-He_9156[[#This Row],[V_prel]]</f>
        <v>24.000000000000004</v>
      </c>
      <c r="G509" s="188">
        <f t="shared" si="136"/>
        <v>6.6666666666666721E-2</v>
      </c>
      <c r="I509" s="6">
        <v>15</v>
      </c>
      <c r="J509" s="6">
        <f t="shared" si="134"/>
        <v>0</v>
      </c>
      <c r="K509" s="6">
        <v>0</v>
      </c>
      <c r="L509" s="6">
        <v>0</v>
      </c>
      <c r="M509" s="194">
        <v>0</v>
      </c>
      <c r="O509" s="6">
        <v>15</v>
      </c>
      <c r="P509" s="6">
        <v>0</v>
      </c>
      <c r="Q509" s="6">
        <v>0</v>
      </c>
      <c r="R509" s="6">
        <v>0</v>
      </c>
      <c r="S509" s="194">
        <v>0</v>
      </c>
      <c r="U509" s="6">
        <v>15</v>
      </c>
      <c r="V509" s="6">
        <v>0</v>
      </c>
      <c r="W509" s="6">
        <v>0</v>
      </c>
      <c r="X509" s="6">
        <v>0</v>
      </c>
      <c r="Y509" s="194">
        <v>0</v>
      </c>
    </row>
    <row r="510" spans="1:25" x14ac:dyDescent="0.2">
      <c r="A510" s="206"/>
      <c r="C510" s="6">
        <v>16</v>
      </c>
      <c r="D510" s="6">
        <f t="shared" si="135"/>
        <v>25.600000000000005</v>
      </c>
      <c r="E510" s="6">
        <v>0</v>
      </c>
      <c r="F510" s="6">
        <f>He_9156[[#This Row],[V_av]]-He_9156[[#This Row],[V_prel]]</f>
        <v>25.600000000000005</v>
      </c>
      <c r="G510" s="188">
        <f t="shared" si="136"/>
        <v>6.2500000000000042E-2</v>
      </c>
      <c r="I510" s="6">
        <v>16</v>
      </c>
      <c r="J510" s="6">
        <f t="shared" si="134"/>
        <v>0</v>
      </c>
      <c r="K510" s="6">
        <v>0</v>
      </c>
      <c r="L510" s="6">
        <v>0</v>
      </c>
      <c r="M510" s="194">
        <v>0</v>
      </c>
      <c r="O510" s="6">
        <v>16</v>
      </c>
      <c r="P510" s="6">
        <v>0</v>
      </c>
      <c r="Q510" s="6">
        <v>0</v>
      </c>
      <c r="R510" s="6">
        <v>0</v>
      </c>
      <c r="S510" s="194">
        <v>0</v>
      </c>
      <c r="U510" s="6">
        <v>16</v>
      </c>
      <c r="V510" s="6">
        <v>0</v>
      </c>
      <c r="W510" s="6">
        <v>0</v>
      </c>
      <c r="X510" s="6">
        <v>0</v>
      </c>
      <c r="Y510" s="194">
        <v>0</v>
      </c>
    </row>
    <row r="511" spans="1:25" x14ac:dyDescent="0.2">
      <c r="A511" s="206"/>
      <c r="C511" s="6">
        <v>17</v>
      </c>
      <c r="D511" s="6">
        <f t="shared" si="135"/>
        <v>27.200000000000006</v>
      </c>
      <c r="E511" s="6">
        <v>0</v>
      </c>
      <c r="F511" s="6">
        <f>He_9156[[#This Row],[V_av]]-He_9156[[#This Row],[V_prel]]</f>
        <v>27.200000000000006</v>
      </c>
      <c r="G511" s="188">
        <f t="shared" si="136"/>
        <v>5.8823529411764747E-2</v>
      </c>
      <c r="I511" s="6">
        <v>17</v>
      </c>
      <c r="J511" s="6">
        <f t="shared" si="134"/>
        <v>0</v>
      </c>
      <c r="K511" s="6">
        <v>0</v>
      </c>
      <c r="L511" s="6">
        <v>0</v>
      </c>
      <c r="M511" s="194">
        <v>0</v>
      </c>
      <c r="O511" s="6">
        <v>17</v>
      </c>
      <c r="P511" s="6">
        <v>0</v>
      </c>
      <c r="Q511" s="6">
        <v>0</v>
      </c>
      <c r="R511" s="6">
        <v>0</v>
      </c>
      <c r="S511" s="194">
        <v>0</v>
      </c>
      <c r="U511" s="6">
        <v>17</v>
      </c>
      <c r="V511" s="6">
        <v>0</v>
      </c>
      <c r="W511" s="6">
        <v>0</v>
      </c>
      <c r="X511" s="6">
        <v>0</v>
      </c>
      <c r="Y511" s="194">
        <v>0</v>
      </c>
    </row>
    <row r="512" spans="1:25" x14ac:dyDescent="0.2">
      <c r="A512" s="206"/>
      <c r="C512" s="6">
        <v>18</v>
      </c>
      <c r="D512" s="6">
        <f t="shared" si="135"/>
        <v>28.800000000000008</v>
      </c>
      <c r="E512" s="6">
        <v>0</v>
      </c>
      <c r="F512" s="6">
        <f>He_9156[[#This Row],[V_av]]-He_9156[[#This Row],[V_prel]]</f>
        <v>28.800000000000008</v>
      </c>
      <c r="G512" s="188">
        <f t="shared" si="136"/>
        <v>5.5555555555555587E-2</v>
      </c>
      <c r="I512" s="6">
        <v>18</v>
      </c>
      <c r="J512" s="6">
        <f t="shared" si="134"/>
        <v>0</v>
      </c>
      <c r="K512" s="6">
        <v>0</v>
      </c>
      <c r="L512" s="6">
        <v>0</v>
      </c>
      <c r="M512" s="194">
        <v>0</v>
      </c>
      <c r="O512" s="6">
        <v>18</v>
      </c>
      <c r="P512" s="6">
        <v>0</v>
      </c>
      <c r="Q512" s="6">
        <v>0</v>
      </c>
      <c r="R512" s="6">
        <v>0</v>
      </c>
      <c r="S512" s="194">
        <v>0</v>
      </c>
      <c r="U512" s="6">
        <v>18</v>
      </c>
      <c r="V512" s="6">
        <v>0</v>
      </c>
      <c r="W512" s="6">
        <v>0</v>
      </c>
      <c r="X512" s="6">
        <v>0</v>
      </c>
      <c r="Y512" s="194">
        <v>0</v>
      </c>
    </row>
    <row r="513" spans="1:25" x14ac:dyDescent="0.2">
      <c r="A513" s="206"/>
      <c r="C513" s="6">
        <v>19</v>
      </c>
      <c r="D513" s="6">
        <f t="shared" si="135"/>
        <v>30.400000000000009</v>
      </c>
      <c r="E513" s="6">
        <v>0</v>
      </c>
      <c r="F513" s="6">
        <f>He_9156[[#This Row],[V_av]]-He_9156[[#This Row],[V_prel]]</f>
        <v>30.400000000000009</v>
      </c>
      <c r="G513" s="188">
        <f t="shared" si="136"/>
        <v>5.2631578947368453E-2</v>
      </c>
      <c r="I513" s="6">
        <v>19</v>
      </c>
      <c r="J513" s="6">
        <f t="shared" si="134"/>
        <v>0</v>
      </c>
      <c r="K513" s="6">
        <v>0</v>
      </c>
      <c r="L513" s="6">
        <v>0</v>
      </c>
      <c r="M513" s="194">
        <v>0</v>
      </c>
      <c r="O513" s="6">
        <v>19</v>
      </c>
      <c r="P513" s="6">
        <v>0</v>
      </c>
      <c r="Q513" s="6">
        <v>0</v>
      </c>
      <c r="R513" s="6">
        <v>0</v>
      </c>
      <c r="S513" s="194">
        <v>0</v>
      </c>
      <c r="U513" s="6">
        <v>19</v>
      </c>
      <c r="V513" s="6">
        <v>0</v>
      </c>
      <c r="W513" s="6">
        <v>0</v>
      </c>
      <c r="X513" s="6">
        <v>0</v>
      </c>
      <c r="Y513" s="194">
        <v>0</v>
      </c>
    </row>
    <row r="514" spans="1:25" ht="15" customHeight="1" x14ac:dyDescent="0.2">
      <c r="A514" s="204"/>
      <c r="C514" s="6">
        <v>20</v>
      </c>
      <c r="D514" s="6">
        <f t="shared" si="135"/>
        <v>32.000000000000007</v>
      </c>
      <c r="E514" s="6">
        <v>0</v>
      </c>
      <c r="F514" s="6">
        <f>He_9156[[#This Row],[V_av]]-He_9156[[#This Row],[V_prel]]</f>
        <v>32.000000000000007</v>
      </c>
      <c r="G514" s="188">
        <f t="shared" si="136"/>
        <v>4.999999999999992E-2</v>
      </c>
      <c r="I514" s="6">
        <v>20</v>
      </c>
      <c r="J514" s="6">
        <f t="shared" si="134"/>
        <v>0</v>
      </c>
      <c r="K514" s="6">
        <v>0</v>
      </c>
      <c r="L514" s="6">
        <v>0</v>
      </c>
      <c r="M514" s="194">
        <v>0</v>
      </c>
      <c r="O514" s="6">
        <v>20</v>
      </c>
      <c r="P514" s="6">
        <v>0</v>
      </c>
      <c r="Q514" s="6">
        <v>0</v>
      </c>
      <c r="R514" s="6">
        <v>0</v>
      </c>
      <c r="S514" s="194">
        <v>0</v>
      </c>
      <c r="U514" s="6">
        <v>20</v>
      </c>
      <c r="V514" s="6">
        <v>0</v>
      </c>
      <c r="W514" s="6">
        <v>0</v>
      </c>
      <c r="X514" s="6">
        <v>0</v>
      </c>
      <c r="Y514" s="194">
        <v>0</v>
      </c>
    </row>
    <row r="515" spans="1:25" x14ac:dyDescent="0.2">
      <c r="A515" s="204"/>
      <c r="C515" s="6">
        <v>21</v>
      </c>
      <c r="D515" s="6">
        <f t="shared" si="135"/>
        <v>33.600000000000009</v>
      </c>
      <c r="E515" s="6">
        <v>0</v>
      </c>
      <c r="F515" s="6">
        <f>He_9156[[#This Row],[V_av]]-He_9156[[#This Row],[V_prel]]</f>
        <v>33.600000000000009</v>
      </c>
      <c r="G515" s="188">
        <f t="shared" si="136"/>
        <v>4.7619047619047651E-2</v>
      </c>
      <c r="I515" s="6">
        <v>21</v>
      </c>
      <c r="J515" s="6">
        <f t="shared" si="134"/>
        <v>0</v>
      </c>
      <c r="K515" s="6">
        <v>0</v>
      </c>
      <c r="L515" s="6">
        <v>0</v>
      </c>
      <c r="M515" s="194">
        <v>0</v>
      </c>
      <c r="O515" s="6">
        <v>21</v>
      </c>
      <c r="P515" s="6">
        <v>0</v>
      </c>
      <c r="Q515" s="6">
        <v>0</v>
      </c>
      <c r="R515" s="6">
        <v>0</v>
      </c>
      <c r="S515" s="194">
        <v>0</v>
      </c>
      <c r="U515" s="6">
        <v>21</v>
      </c>
      <c r="V515" s="6">
        <v>0</v>
      </c>
      <c r="W515" s="6">
        <v>0</v>
      </c>
      <c r="X515" s="6">
        <v>0</v>
      </c>
      <c r="Y515" s="194">
        <v>0</v>
      </c>
    </row>
    <row r="516" spans="1:25" x14ac:dyDescent="0.2">
      <c r="A516" s="204"/>
      <c r="C516" s="6">
        <v>22</v>
      </c>
      <c r="D516" s="6">
        <f t="shared" si="135"/>
        <v>35.20000000000001</v>
      </c>
      <c r="E516" s="6">
        <v>0</v>
      </c>
      <c r="F516" s="6">
        <f>He_9156[[#This Row],[V_av]]-He_9156[[#This Row],[V_prel]]</f>
        <v>35.20000000000001</v>
      </c>
      <c r="G516" s="188">
        <f t="shared" si="136"/>
        <v>4.5454545454545484E-2</v>
      </c>
      <c r="I516" s="6">
        <v>22</v>
      </c>
      <c r="J516" s="6">
        <f t="shared" si="134"/>
        <v>0</v>
      </c>
      <c r="K516" s="6">
        <v>0</v>
      </c>
      <c r="L516" s="6">
        <v>0</v>
      </c>
      <c r="M516" s="194">
        <v>0</v>
      </c>
      <c r="O516" s="6">
        <v>22</v>
      </c>
      <c r="P516" s="6">
        <v>0</v>
      </c>
      <c r="Q516" s="6">
        <v>0</v>
      </c>
      <c r="R516" s="6">
        <v>0</v>
      </c>
      <c r="S516" s="194">
        <v>0</v>
      </c>
      <c r="U516" s="6">
        <v>22</v>
      </c>
      <c r="V516" s="6">
        <v>0</v>
      </c>
      <c r="W516" s="6">
        <v>0</v>
      </c>
      <c r="X516" s="6">
        <v>0</v>
      </c>
      <c r="Y516" s="194">
        <v>0</v>
      </c>
    </row>
    <row r="517" spans="1:25" x14ac:dyDescent="0.2">
      <c r="A517" s="204"/>
      <c r="C517" s="6">
        <v>23</v>
      </c>
      <c r="D517" s="6">
        <f t="shared" si="135"/>
        <v>36.800000000000011</v>
      </c>
      <c r="E517" s="6">
        <v>0</v>
      </c>
      <c r="F517" s="6">
        <f>He_9156[[#This Row],[V_av]]-He_9156[[#This Row],[V_prel]]</f>
        <v>36.800000000000011</v>
      </c>
      <c r="G517" s="188">
        <f t="shared" si="136"/>
        <v>4.3478260869565244E-2</v>
      </c>
      <c r="I517" s="6">
        <v>23</v>
      </c>
      <c r="J517" s="6">
        <f t="shared" si="134"/>
        <v>0</v>
      </c>
      <c r="K517" s="6">
        <v>0</v>
      </c>
      <c r="L517" s="6">
        <v>0</v>
      </c>
      <c r="M517" s="194">
        <v>0</v>
      </c>
      <c r="O517" s="6">
        <v>23</v>
      </c>
      <c r="P517" s="6">
        <v>0</v>
      </c>
      <c r="Q517" s="6">
        <v>0</v>
      </c>
      <c r="R517" s="6">
        <v>0</v>
      </c>
      <c r="S517" s="194">
        <v>0</v>
      </c>
      <c r="U517" s="6">
        <v>23</v>
      </c>
      <c r="V517" s="6">
        <v>0</v>
      </c>
      <c r="W517" s="6">
        <v>0</v>
      </c>
      <c r="X517" s="6">
        <v>0</v>
      </c>
      <c r="Y517" s="194">
        <v>0</v>
      </c>
    </row>
    <row r="518" spans="1:25" x14ac:dyDescent="0.2">
      <c r="A518" s="204"/>
      <c r="C518" s="6">
        <v>24</v>
      </c>
      <c r="D518" s="6">
        <f t="shared" si="135"/>
        <v>38.400000000000013</v>
      </c>
      <c r="E518" s="6">
        <v>0</v>
      </c>
      <c r="F518" s="6">
        <f>He_9156[[#This Row],[V_av]]-He_9156[[#This Row],[V_prel]]</f>
        <v>38.400000000000013</v>
      </c>
      <c r="G518" s="188">
        <f t="shared" si="136"/>
        <v>4.1666666666666692E-2</v>
      </c>
      <c r="I518" s="6">
        <v>24</v>
      </c>
      <c r="J518" s="6">
        <f t="shared" si="134"/>
        <v>0</v>
      </c>
      <c r="K518" s="6">
        <v>0</v>
      </c>
      <c r="L518" s="6">
        <v>0</v>
      </c>
      <c r="M518" s="194">
        <v>0</v>
      </c>
      <c r="O518" s="6">
        <v>24</v>
      </c>
      <c r="P518" s="6">
        <v>0</v>
      </c>
      <c r="Q518" s="6">
        <v>0</v>
      </c>
      <c r="R518" s="6">
        <v>0</v>
      </c>
      <c r="S518" s="194">
        <v>0</v>
      </c>
      <c r="U518" s="6">
        <v>24</v>
      </c>
      <c r="V518" s="6">
        <v>0</v>
      </c>
      <c r="W518" s="6">
        <v>0</v>
      </c>
      <c r="X518" s="6">
        <v>0</v>
      </c>
      <c r="Y518" s="194">
        <v>0</v>
      </c>
    </row>
    <row r="519" spans="1:25" x14ac:dyDescent="0.2">
      <c r="A519" s="204"/>
      <c r="C519" s="6">
        <v>25</v>
      </c>
      <c r="D519" s="6">
        <f t="shared" si="135"/>
        <v>40.000000000000014</v>
      </c>
      <c r="E519" s="6">
        <v>0</v>
      </c>
      <c r="F519" s="6">
        <f>He_9156[[#This Row],[V_av]]-He_9156[[#This Row],[V_prel]]</f>
        <v>40.000000000000014</v>
      </c>
      <c r="G519" s="188">
        <f t="shared" si="136"/>
        <v>4.0000000000000022E-2</v>
      </c>
      <c r="I519" s="6">
        <v>25</v>
      </c>
      <c r="J519" s="6">
        <f t="shared" si="134"/>
        <v>0</v>
      </c>
      <c r="K519" s="6">
        <v>0</v>
      </c>
      <c r="L519" s="6">
        <v>0</v>
      </c>
      <c r="M519" s="194">
        <v>0</v>
      </c>
      <c r="O519" s="6">
        <v>25</v>
      </c>
      <c r="P519" s="6">
        <v>0</v>
      </c>
      <c r="Q519" s="6">
        <v>0</v>
      </c>
      <c r="R519" s="6">
        <v>0</v>
      </c>
      <c r="S519" s="194">
        <v>0</v>
      </c>
      <c r="U519" s="6">
        <v>25</v>
      </c>
      <c r="V519" s="6">
        <v>0</v>
      </c>
      <c r="W519" s="6">
        <v>0</v>
      </c>
      <c r="X519" s="6">
        <v>0</v>
      </c>
      <c r="Y519" s="194">
        <v>0</v>
      </c>
    </row>
    <row r="520" spans="1:25" x14ac:dyDescent="0.2">
      <c r="A520" s="204"/>
      <c r="C520" s="6">
        <v>26</v>
      </c>
      <c r="D520" s="6">
        <f t="shared" si="135"/>
        <v>41.600000000000016</v>
      </c>
      <c r="E520" s="6">
        <v>0</v>
      </c>
      <c r="F520" s="6">
        <f>He_9156[[#This Row],[V_av]]-He_9156[[#This Row],[V_prel]]</f>
        <v>41.600000000000016</v>
      </c>
      <c r="G520" s="188">
        <f t="shared" si="136"/>
        <v>3.8461538461538484E-2</v>
      </c>
      <c r="I520" s="6">
        <v>26</v>
      </c>
      <c r="J520" s="6">
        <f t="shared" si="134"/>
        <v>0</v>
      </c>
      <c r="K520" s="6">
        <v>0</v>
      </c>
      <c r="L520" s="6">
        <v>0</v>
      </c>
      <c r="M520" s="194">
        <v>0</v>
      </c>
      <c r="O520" s="6">
        <v>26</v>
      </c>
      <c r="P520" s="6">
        <v>0</v>
      </c>
      <c r="Q520" s="6">
        <v>0</v>
      </c>
      <c r="R520" s="6">
        <v>0</v>
      </c>
      <c r="S520" s="194">
        <v>0</v>
      </c>
      <c r="U520" s="6">
        <v>26</v>
      </c>
      <c r="V520" s="6">
        <v>0</v>
      </c>
      <c r="W520" s="6">
        <v>0</v>
      </c>
      <c r="X520" s="6">
        <v>0</v>
      </c>
      <c r="Y520" s="194">
        <v>0</v>
      </c>
    </row>
    <row r="521" spans="1:25" x14ac:dyDescent="0.2">
      <c r="A521" s="204"/>
      <c r="C521" s="6">
        <v>27</v>
      </c>
      <c r="D521" s="6">
        <f t="shared" si="135"/>
        <v>43.200000000000017</v>
      </c>
      <c r="E521" s="6">
        <v>0</v>
      </c>
      <c r="F521" s="6">
        <f>He_9156[[#This Row],[V_av]]-He_9156[[#This Row],[V_prel]]</f>
        <v>43.200000000000017</v>
      </c>
      <c r="G521" s="188">
        <f t="shared" si="136"/>
        <v>3.7037037037037056E-2</v>
      </c>
      <c r="I521" s="6">
        <v>27</v>
      </c>
      <c r="J521" s="6">
        <f t="shared" si="134"/>
        <v>0</v>
      </c>
      <c r="K521" s="6">
        <v>0</v>
      </c>
      <c r="L521" s="6">
        <v>0</v>
      </c>
      <c r="M521" s="194">
        <v>0</v>
      </c>
      <c r="O521" s="6">
        <v>27</v>
      </c>
      <c r="P521" s="6">
        <v>0</v>
      </c>
      <c r="Q521" s="6">
        <v>0</v>
      </c>
      <c r="R521" s="6">
        <v>0</v>
      </c>
      <c r="S521" s="194">
        <v>0</v>
      </c>
      <c r="U521" s="6">
        <v>27</v>
      </c>
      <c r="V521" s="6">
        <v>0</v>
      </c>
      <c r="W521" s="6">
        <v>0</v>
      </c>
      <c r="X521" s="6">
        <v>0</v>
      </c>
      <c r="Y521" s="194">
        <v>0</v>
      </c>
    </row>
    <row r="522" spans="1:25" x14ac:dyDescent="0.2">
      <c r="A522" s="204"/>
      <c r="C522" s="6">
        <v>28</v>
      </c>
      <c r="D522" s="6">
        <f t="shared" si="135"/>
        <v>44.800000000000018</v>
      </c>
      <c r="E522" s="6">
        <v>0</v>
      </c>
      <c r="F522" s="6">
        <f>He_9156[[#This Row],[V_av]]-He_9156[[#This Row],[V_prel]]</f>
        <v>44.800000000000018</v>
      </c>
      <c r="G522" s="188">
        <f t="shared" si="136"/>
        <v>3.5714285714285733E-2</v>
      </c>
      <c r="I522" s="6">
        <v>28</v>
      </c>
      <c r="J522" s="6">
        <f t="shared" si="134"/>
        <v>0</v>
      </c>
      <c r="K522" s="6">
        <v>0</v>
      </c>
      <c r="L522" s="6">
        <v>0</v>
      </c>
      <c r="M522" s="194">
        <v>0</v>
      </c>
      <c r="O522" s="6">
        <v>28</v>
      </c>
      <c r="P522" s="6">
        <v>0</v>
      </c>
      <c r="Q522" s="6">
        <v>0</v>
      </c>
      <c r="R522" s="6">
        <v>0</v>
      </c>
      <c r="S522" s="194">
        <v>0</v>
      </c>
      <c r="U522" s="6">
        <v>28</v>
      </c>
      <c r="V522" s="6">
        <v>0</v>
      </c>
      <c r="W522" s="6">
        <v>0</v>
      </c>
      <c r="X522" s="6">
        <v>0</v>
      </c>
      <c r="Y522" s="194">
        <v>0</v>
      </c>
    </row>
    <row r="523" spans="1:25" x14ac:dyDescent="0.2">
      <c r="A523" s="204"/>
      <c r="C523" s="6">
        <v>29</v>
      </c>
      <c r="D523" s="6">
        <f t="shared" si="135"/>
        <v>46.40000000000002</v>
      </c>
      <c r="E523" s="6">
        <v>0</v>
      </c>
      <c r="F523" s="6">
        <f>He_9156[[#This Row],[V_av]]-He_9156[[#This Row],[V_prel]]</f>
        <v>46.40000000000002</v>
      </c>
      <c r="G523" s="188">
        <f t="shared" si="136"/>
        <v>3.4482758620689669E-2</v>
      </c>
      <c r="I523" s="6">
        <v>29</v>
      </c>
      <c r="J523" s="6">
        <f t="shared" si="134"/>
        <v>0</v>
      </c>
      <c r="K523" s="6">
        <v>0</v>
      </c>
      <c r="L523" s="6">
        <v>0</v>
      </c>
      <c r="M523" s="194">
        <v>0</v>
      </c>
      <c r="O523" s="6">
        <v>29</v>
      </c>
      <c r="P523" s="6">
        <v>0</v>
      </c>
      <c r="Q523" s="6">
        <v>0</v>
      </c>
      <c r="R523" s="6">
        <v>0</v>
      </c>
      <c r="S523" s="194">
        <v>0</v>
      </c>
      <c r="U523" s="6">
        <v>29</v>
      </c>
      <c r="V523" s="6">
        <v>0</v>
      </c>
      <c r="W523" s="6">
        <v>0</v>
      </c>
      <c r="X523" s="6">
        <v>0</v>
      </c>
      <c r="Y523" s="194">
        <v>0</v>
      </c>
    </row>
    <row r="524" spans="1:25" x14ac:dyDescent="0.2">
      <c r="A524" s="204"/>
      <c r="C524" s="7">
        <v>30</v>
      </c>
      <c r="D524" s="7">
        <v>48</v>
      </c>
      <c r="E524" s="7">
        <v>0</v>
      </c>
      <c r="F524" s="7">
        <v>48</v>
      </c>
      <c r="G524" s="188">
        <f t="shared" si="136"/>
        <v>3.3333333333332917E-2</v>
      </c>
      <c r="I524" s="7">
        <v>30</v>
      </c>
      <c r="J524" s="7">
        <v>0</v>
      </c>
      <c r="K524" s="7">
        <v>0</v>
      </c>
      <c r="L524" s="7">
        <v>0</v>
      </c>
      <c r="M524" s="194">
        <v>0</v>
      </c>
      <c r="N524" s="7"/>
      <c r="O524" s="7">
        <v>30</v>
      </c>
      <c r="P524" s="7">
        <v>0</v>
      </c>
      <c r="Q524" s="7">
        <v>0</v>
      </c>
      <c r="R524" s="7">
        <v>0</v>
      </c>
      <c r="S524" s="194">
        <v>0</v>
      </c>
      <c r="T524" s="7"/>
      <c r="U524" s="7">
        <v>30</v>
      </c>
      <c r="V524" s="7">
        <v>0</v>
      </c>
      <c r="W524" s="7">
        <v>0</v>
      </c>
      <c r="X524" s="7">
        <v>0</v>
      </c>
      <c r="Y524" s="194">
        <v>0</v>
      </c>
    </row>
    <row r="525" spans="1:25" x14ac:dyDescent="0.2">
      <c r="A525" s="204"/>
      <c r="C525" s="7">
        <v>35</v>
      </c>
      <c r="D525" s="7">
        <v>82</v>
      </c>
      <c r="E525" s="7">
        <v>0</v>
      </c>
      <c r="F525" s="7">
        <v>82</v>
      </c>
      <c r="G525" s="188">
        <f t="shared" si="136"/>
        <v>8.2926829268292673E-2</v>
      </c>
    </row>
    <row r="526" spans="1:25" x14ac:dyDescent="0.2">
      <c r="A526" s="204"/>
      <c r="C526" s="7">
        <v>40</v>
      </c>
      <c r="D526" s="7">
        <v>129</v>
      </c>
      <c r="E526" s="7">
        <v>10</v>
      </c>
      <c r="F526" s="7">
        <v>119</v>
      </c>
      <c r="G526" s="188">
        <f t="shared" si="136"/>
        <v>7.2868217054263565E-2</v>
      </c>
    </row>
    <row r="527" spans="1:25" x14ac:dyDescent="0.2">
      <c r="A527" s="204"/>
      <c r="C527" s="7">
        <v>45</v>
      </c>
      <c r="D527" s="7">
        <v>175</v>
      </c>
      <c r="E527" s="7">
        <v>17</v>
      </c>
      <c r="F527" s="7">
        <v>158</v>
      </c>
      <c r="G527" s="188">
        <f t="shared" si="136"/>
        <v>6.4000000000000001E-2</v>
      </c>
    </row>
    <row r="528" spans="1:25" x14ac:dyDescent="0.2">
      <c r="A528" s="204"/>
      <c r="C528" s="7">
        <v>50</v>
      </c>
      <c r="D528" s="7">
        <v>220</v>
      </c>
      <c r="E528" s="7">
        <v>24</v>
      </c>
      <c r="F528" s="7">
        <v>196</v>
      </c>
      <c r="G528" s="188">
        <f t="shared" si="136"/>
        <v>5.6363636363636359E-2</v>
      </c>
    </row>
    <row r="529" spans="1:7" x14ac:dyDescent="0.2">
      <c r="A529" s="204"/>
      <c r="C529" s="7">
        <v>55</v>
      </c>
      <c r="D529" s="7">
        <v>260</v>
      </c>
      <c r="E529" s="7">
        <v>29</v>
      </c>
      <c r="F529" s="7">
        <v>231</v>
      </c>
      <c r="G529" s="188">
        <f t="shared" si="136"/>
        <v>4.9230769230769231E-2</v>
      </c>
    </row>
    <row r="530" spans="1:7" x14ac:dyDescent="0.2">
      <c r="A530" s="204"/>
      <c r="C530" s="7">
        <v>60</v>
      </c>
      <c r="D530" s="7">
        <v>298</v>
      </c>
      <c r="E530" s="7">
        <v>33</v>
      </c>
      <c r="F530" s="7">
        <v>265</v>
      </c>
      <c r="G530" s="188">
        <f t="shared" si="136"/>
        <v>4.4966442953020137E-2</v>
      </c>
    </row>
    <row r="531" spans="1:7" x14ac:dyDescent="0.2">
      <c r="A531" s="204"/>
      <c r="C531" s="7">
        <v>65</v>
      </c>
      <c r="D531" s="7">
        <v>332</v>
      </c>
      <c r="E531" s="7">
        <v>36</v>
      </c>
      <c r="F531" s="7">
        <v>296</v>
      </c>
      <c r="G531" s="188">
        <f t="shared" si="136"/>
        <v>4.0361445783132534E-2</v>
      </c>
    </row>
    <row r="532" spans="1:7" x14ac:dyDescent="0.2">
      <c r="A532" s="204"/>
      <c r="C532" s="7">
        <v>70</v>
      </c>
      <c r="D532" s="7">
        <v>362</v>
      </c>
      <c r="E532" s="7">
        <v>38</v>
      </c>
      <c r="F532" s="7">
        <v>324</v>
      </c>
      <c r="G532" s="188">
        <f t="shared" si="136"/>
        <v>3.6464088397790057E-2</v>
      </c>
    </row>
    <row r="533" spans="1:7" x14ac:dyDescent="0.2">
      <c r="A533" s="204"/>
      <c r="C533" s="7">
        <v>75</v>
      </c>
      <c r="D533" s="7">
        <v>390</v>
      </c>
      <c r="E533" s="7">
        <v>41</v>
      </c>
      <c r="F533" s="7">
        <v>349</v>
      </c>
      <c r="G533" s="188">
        <f t="shared" si="136"/>
        <v>3.3846153846153845E-2</v>
      </c>
    </row>
    <row r="534" spans="1:7" x14ac:dyDescent="0.2">
      <c r="A534" s="204"/>
      <c r="C534" s="7">
        <v>80</v>
      </c>
      <c r="D534" s="7">
        <v>415</v>
      </c>
      <c r="E534" s="7">
        <v>43</v>
      </c>
      <c r="F534" s="7">
        <v>372</v>
      </c>
      <c r="G534" s="188">
        <f t="shared" si="136"/>
        <v>3.180722891566265E-2</v>
      </c>
    </row>
    <row r="535" spans="1:7" x14ac:dyDescent="0.2">
      <c r="A535" s="204"/>
      <c r="C535" s="7">
        <v>85</v>
      </c>
      <c r="D535" s="7">
        <v>437</v>
      </c>
      <c r="E535" s="7">
        <v>45</v>
      </c>
      <c r="F535" s="7">
        <v>392</v>
      </c>
      <c r="G535" s="188">
        <f t="shared" si="136"/>
        <v>2.974828375286041E-2</v>
      </c>
    </row>
    <row r="536" spans="1:7" x14ac:dyDescent="0.2">
      <c r="A536" s="204"/>
      <c r="C536" s="7">
        <v>90</v>
      </c>
      <c r="D536" s="7">
        <v>456</v>
      </c>
      <c r="E536" s="7">
        <v>46</v>
      </c>
      <c r="F536" s="7">
        <v>410</v>
      </c>
      <c r="G536" s="188">
        <f t="shared" si="136"/>
        <v>2.8070175438596488E-2</v>
      </c>
    </row>
    <row r="537" spans="1:7" x14ac:dyDescent="0.2">
      <c r="A537" s="204"/>
      <c r="C537" s="7">
        <v>95</v>
      </c>
      <c r="D537" s="7">
        <v>474</v>
      </c>
      <c r="E537" s="7">
        <v>45</v>
      </c>
      <c r="F537" s="7">
        <v>429</v>
      </c>
      <c r="G537" s="188">
        <f t="shared" si="136"/>
        <v>2.7004219409282697E-2</v>
      </c>
    </row>
    <row r="538" spans="1:7" x14ac:dyDescent="0.2">
      <c r="A538" s="204"/>
      <c r="C538" s="7">
        <v>100</v>
      </c>
      <c r="D538" s="7">
        <v>491</v>
      </c>
      <c r="E538" s="7">
        <v>44</v>
      </c>
      <c r="F538" s="7">
        <v>447</v>
      </c>
      <c r="G538" s="188">
        <f t="shared" si="136"/>
        <v>2.5254582484725053E-2</v>
      </c>
    </row>
    <row r="539" spans="1:7" x14ac:dyDescent="0.2">
      <c r="A539" s="204"/>
      <c r="C539" s="7">
        <v>105</v>
      </c>
      <c r="D539" s="7">
        <v>507</v>
      </c>
      <c r="E539" s="7">
        <v>44</v>
      </c>
      <c r="F539" s="7">
        <v>463</v>
      </c>
      <c r="G539" s="188">
        <f t="shared" si="136"/>
        <v>2.3668639053254437E-2</v>
      </c>
    </row>
    <row r="540" spans="1:7" x14ac:dyDescent="0.2">
      <c r="A540" s="204"/>
      <c r="C540" s="7">
        <v>110</v>
      </c>
      <c r="D540" s="7">
        <v>522</v>
      </c>
      <c r="E540" s="7">
        <v>44</v>
      </c>
      <c r="F540" s="7">
        <v>478</v>
      </c>
      <c r="G540" s="188">
        <f t="shared" si="136"/>
        <v>2.2605363984674328E-2</v>
      </c>
    </row>
    <row r="541" spans="1:7" x14ac:dyDescent="0.2">
      <c r="A541" s="204"/>
      <c r="C541" s="7">
        <v>115</v>
      </c>
      <c r="D541" s="7">
        <v>536</v>
      </c>
      <c r="E541" s="7">
        <v>44</v>
      </c>
      <c r="F541" s="7">
        <v>492</v>
      </c>
      <c r="G541" s="188">
        <f t="shared" si="136"/>
        <v>2.1641791044776117E-2</v>
      </c>
    </row>
    <row r="542" spans="1:7" x14ac:dyDescent="0.2">
      <c r="A542" s="204"/>
      <c r="C542" s="7">
        <v>120</v>
      </c>
      <c r="D542" s="7">
        <v>550</v>
      </c>
      <c r="E542" s="7">
        <v>44</v>
      </c>
      <c r="F542" s="7">
        <v>506</v>
      </c>
      <c r="G542" s="188">
        <f t="shared" si="136"/>
        <v>2.1090909090909091E-2</v>
      </c>
    </row>
    <row r="543" spans="1:7" x14ac:dyDescent="0.2">
      <c r="A543" s="496" t="s">
        <v>709</v>
      </c>
      <c r="C543" s="7">
        <v>125</v>
      </c>
      <c r="D543" s="7">
        <v>562</v>
      </c>
      <c r="E543" s="7">
        <v>43</v>
      </c>
      <c r="F543" s="7">
        <v>519</v>
      </c>
      <c r="G543" s="188">
        <f t="shared" si="136"/>
        <v>1.99288256227758E-2</v>
      </c>
    </row>
    <row r="544" spans="1:7" x14ac:dyDescent="0.2">
      <c r="A544" s="496"/>
      <c r="C544" s="7">
        <v>130</v>
      </c>
      <c r="D544" s="7">
        <v>574</v>
      </c>
      <c r="E544" s="7">
        <v>43</v>
      </c>
      <c r="F544" s="7">
        <v>531</v>
      </c>
      <c r="G544" s="188">
        <f t="shared" si="136"/>
        <v>1.9163763066202093E-2</v>
      </c>
    </row>
    <row r="545" spans="1:25" x14ac:dyDescent="0.2">
      <c r="A545" s="496"/>
      <c r="C545" s="7">
        <v>135</v>
      </c>
      <c r="D545" s="7">
        <v>585</v>
      </c>
      <c r="E545" s="7">
        <v>42</v>
      </c>
      <c r="F545" s="7">
        <v>543</v>
      </c>
      <c r="G545" s="188">
        <f t="shared" si="136"/>
        <v>1.8461538461538463E-2</v>
      </c>
    </row>
    <row r="546" spans="1:25" x14ac:dyDescent="0.2">
      <c r="A546" s="496"/>
      <c r="C546" s="7">
        <v>140</v>
      </c>
      <c r="D546" s="7">
        <v>595</v>
      </c>
      <c r="E546" s="7">
        <v>41</v>
      </c>
      <c r="F546" s="7">
        <v>554</v>
      </c>
      <c r="G546" s="188">
        <f t="shared" si="136"/>
        <v>1.7478991596638654E-2</v>
      </c>
    </row>
    <row r="547" spans="1:25" x14ac:dyDescent="0.2">
      <c r="A547" s="496"/>
      <c r="C547" s="7">
        <v>145</v>
      </c>
      <c r="D547" s="7">
        <v>605</v>
      </c>
      <c r="E547" s="7">
        <v>40</v>
      </c>
      <c r="F547" s="7">
        <v>565</v>
      </c>
      <c r="G547" s="188">
        <f t="shared" si="136"/>
        <v>1.6859504132231404E-2</v>
      </c>
    </row>
    <row r="548" spans="1:25" x14ac:dyDescent="0.2">
      <c r="A548" s="496"/>
      <c r="C548" s="7">
        <v>150</v>
      </c>
      <c r="D548" s="7">
        <v>615</v>
      </c>
      <c r="E548" s="7">
        <v>39</v>
      </c>
      <c r="F548" s="7">
        <v>576</v>
      </c>
      <c r="G548" s="188">
        <f t="shared" si="136"/>
        <v>1.6260162601626015E-2</v>
      </c>
    </row>
    <row r="549" spans="1:25" x14ac:dyDescent="0.2">
      <c r="A549" s="496"/>
      <c r="C549" s="7">
        <v>155</v>
      </c>
      <c r="D549" s="7">
        <v>626</v>
      </c>
      <c r="E549" s="7">
        <v>626</v>
      </c>
      <c r="F549" s="7">
        <v>0</v>
      </c>
      <c r="G549" s="188">
        <f t="shared" si="136"/>
        <v>1.5974440894568689E-2</v>
      </c>
    </row>
    <row r="550" spans="1:25" x14ac:dyDescent="0.2">
      <c r="A550" s="496"/>
    </row>
    <row r="551" spans="1:25" x14ac:dyDescent="0.2">
      <c r="A551" s="496"/>
      <c r="C551" s="7" t="s">
        <v>980</v>
      </c>
      <c r="D551" s="9" t="s">
        <v>136</v>
      </c>
      <c r="I551" s="7" t="s">
        <v>981</v>
      </c>
      <c r="O551" s="7" t="s">
        <v>982</v>
      </c>
      <c r="U551" s="7" t="s">
        <v>983</v>
      </c>
    </row>
    <row r="552" spans="1:25" x14ac:dyDescent="0.2">
      <c r="A552" s="496"/>
      <c r="C552" s="6" t="s">
        <v>125</v>
      </c>
      <c r="D552" s="6" t="s">
        <v>126</v>
      </c>
      <c r="E552" s="6" t="s">
        <v>127</v>
      </c>
      <c r="F552" s="6" t="s">
        <v>128</v>
      </c>
      <c r="G552" s="194" t="s">
        <v>699</v>
      </c>
      <c r="I552" s="176" t="s">
        <v>125</v>
      </c>
      <c r="J552" s="176" t="s">
        <v>126</v>
      </c>
      <c r="K552" s="176" t="s">
        <v>127</v>
      </c>
      <c r="L552" s="176" t="s">
        <v>128</v>
      </c>
      <c r="M552" s="196" t="s">
        <v>699</v>
      </c>
      <c r="O552" s="176" t="s">
        <v>125</v>
      </c>
      <c r="P552" s="176" t="s">
        <v>126</v>
      </c>
      <c r="Q552" s="176" t="s">
        <v>127</v>
      </c>
      <c r="R552" s="176" t="s">
        <v>128</v>
      </c>
      <c r="S552" s="196" t="s">
        <v>699</v>
      </c>
      <c r="U552" s="176" t="s">
        <v>125</v>
      </c>
      <c r="V552" s="176" t="s">
        <v>126</v>
      </c>
      <c r="W552" s="176" t="s">
        <v>127</v>
      </c>
      <c r="X552" s="176" t="s">
        <v>128</v>
      </c>
      <c r="Y552" s="196" t="s">
        <v>699</v>
      </c>
    </row>
    <row r="553" spans="1:25" x14ac:dyDescent="0.2">
      <c r="A553" s="496"/>
      <c r="C553" s="6">
        <v>1</v>
      </c>
      <c r="D553" s="6">
        <f>D572/C572</f>
        <v>2.8</v>
      </c>
      <c r="E553" s="6">
        <v>0</v>
      </c>
      <c r="F553" s="6">
        <f>He_10160[[#This Row],[V_av]]-He_10160[[#This Row],[V_prel]]</f>
        <v>2.8</v>
      </c>
      <c r="G553" s="194">
        <v>0</v>
      </c>
      <c r="I553" s="6">
        <v>1</v>
      </c>
      <c r="J553" s="6">
        <f>J572/I572</f>
        <v>1.6</v>
      </c>
      <c r="K553" s="6">
        <v>0</v>
      </c>
      <c r="L553" s="6">
        <f>J553-K553</f>
        <v>1.6</v>
      </c>
      <c r="M553" s="187">
        <v>0</v>
      </c>
      <c r="O553" s="6">
        <v>1</v>
      </c>
      <c r="P553" s="6">
        <f>P577/O577</f>
        <v>1.6</v>
      </c>
      <c r="Q553" s="6">
        <v>0</v>
      </c>
      <c r="R553" s="6">
        <f>P553-Q553</f>
        <v>1.6</v>
      </c>
      <c r="S553" s="194">
        <v>0</v>
      </c>
      <c r="U553" s="6">
        <v>1</v>
      </c>
      <c r="V553" s="14">
        <f>V582/U582</f>
        <v>0.8666666666666667</v>
      </c>
      <c r="W553" s="6">
        <v>0</v>
      </c>
      <c r="X553" s="14">
        <f>Tableau265[[#This Row],[V_av]]-Tableau265[[#This Row],[V_prel]]</f>
        <v>0.8666666666666667</v>
      </c>
      <c r="Y553" s="194">
        <v>0</v>
      </c>
    </row>
    <row r="554" spans="1:25" x14ac:dyDescent="0.2">
      <c r="A554" s="496"/>
      <c r="C554" s="6">
        <v>2</v>
      </c>
      <c r="D554" s="6">
        <f>$D$572/$C$572+F553</f>
        <v>5.6</v>
      </c>
      <c r="E554" s="6">
        <v>0</v>
      </c>
      <c r="F554" s="6">
        <f>He_10160[[#This Row],[V_av]]-He_10160[[#This Row],[V_prel]]</f>
        <v>5.6</v>
      </c>
      <c r="G554" s="188">
        <f>((D554-F553)/D554)/(C554-C553)</f>
        <v>0.5</v>
      </c>
      <c r="I554" s="6">
        <v>2</v>
      </c>
      <c r="J554" s="6">
        <f>$J$572/$I$572+L553</f>
        <v>3.2</v>
      </c>
      <c r="K554" s="6">
        <v>0</v>
      </c>
      <c r="L554" s="6">
        <f t="shared" ref="L554:L580" si="137">J554-K554</f>
        <v>3.2</v>
      </c>
      <c r="M554" s="188">
        <f>((J554-L553)/J554)/(I554-I553)</f>
        <v>0.5</v>
      </c>
      <c r="O554" s="6">
        <v>2</v>
      </c>
      <c r="P554" s="6">
        <f>$P$577/$O$577+R553</f>
        <v>3.2</v>
      </c>
      <c r="Q554" s="6">
        <v>0</v>
      </c>
      <c r="R554" s="6">
        <f t="shared" ref="R554:R581" si="138">P554-Q554</f>
        <v>3.2</v>
      </c>
      <c r="S554" s="188">
        <f>((P554-R553)/P554)/(O554-O553)</f>
        <v>0.5</v>
      </c>
      <c r="U554" s="6">
        <v>2</v>
      </c>
      <c r="V554" s="14">
        <f>$V$582/$U$582+X553</f>
        <v>1.7333333333333334</v>
      </c>
      <c r="W554" s="6">
        <v>0</v>
      </c>
      <c r="X554" s="14">
        <f>Tableau265[[#This Row],[V_av]]-Tableau265[[#This Row],[V_prel]]</f>
        <v>1.7333333333333334</v>
      </c>
      <c r="Y554" s="188">
        <f>((V554-X553)/V554)/(U554-U553)</f>
        <v>0.5</v>
      </c>
    </row>
    <row r="555" spans="1:25" x14ac:dyDescent="0.2">
      <c r="A555" s="496"/>
      <c r="C555" s="6">
        <v>3</v>
      </c>
      <c r="D555" s="6">
        <f t="shared" ref="D555:D571" si="139">$D$572/$C$572+F554</f>
        <v>8.3999999999999986</v>
      </c>
      <c r="E555" s="6">
        <v>0</v>
      </c>
      <c r="F555" s="6">
        <f>He_10160[[#This Row],[V_av]]-He_10160[[#This Row],[V_prel]]</f>
        <v>8.3999999999999986</v>
      </c>
      <c r="G555" s="188">
        <f t="shared" ref="G555:G607" si="140">((D555-F554)/D555)/(C555-C554)</f>
        <v>0.33333333333333326</v>
      </c>
      <c r="I555" s="6">
        <v>3</v>
      </c>
      <c r="J555" s="6">
        <f t="shared" ref="J555:J571" si="141">$J$572/$I$572+L554</f>
        <v>4.8000000000000007</v>
      </c>
      <c r="K555" s="6">
        <v>0</v>
      </c>
      <c r="L555" s="6">
        <f t="shared" si="137"/>
        <v>4.8000000000000007</v>
      </c>
      <c r="M555" s="188">
        <f t="shared" ref="M555:M582" si="142">((J555-L554)/J555)/(I555-I554)</f>
        <v>0.33333333333333337</v>
      </c>
      <c r="O555" s="6">
        <v>3</v>
      </c>
      <c r="P555" s="6">
        <f t="shared" ref="P555:P576" si="143">$P$577/$O$577+R554</f>
        <v>4.8000000000000007</v>
      </c>
      <c r="Q555" s="6">
        <v>0</v>
      </c>
      <c r="R555" s="6">
        <f t="shared" si="138"/>
        <v>4.8000000000000007</v>
      </c>
      <c r="S555" s="188">
        <f t="shared" ref="S555:S582" si="144">((P555-R554)/P555)/(O555-O554)</f>
        <v>0.33333333333333337</v>
      </c>
      <c r="U555" s="6">
        <v>3</v>
      </c>
      <c r="V555" s="14">
        <f t="shared" ref="V555:V581" si="145">$V$582/$U$582+X554</f>
        <v>2.6</v>
      </c>
      <c r="W555" s="6">
        <v>0</v>
      </c>
      <c r="X555" s="14">
        <f>Tableau265[[#This Row],[V_av]]-Tableau265[[#This Row],[V_prel]]</f>
        <v>2.6</v>
      </c>
      <c r="Y555" s="188">
        <f t="shared" ref="Y555:Y582" si="146">((V555-X554)/V555)/(U555-U554)</f>
        <v>0.33333333333333331</v>
      </c>
    </row>
    <row r="556" spans="1:25" x14ac:dyDescent="0.2">
      <c r="A556" s="496"/>
      <c r="C556" s="6">
        <v>4</v>
      </c>
      <c r="D556" s="6">
        <f t="shared" si="139"/>
        <v>11.2</v>
      </c>
      <c r="E556" s="6">
        <v>0</v>
      </c>
      <c r="F556" s="6">
        <f>He_10160[[#This Row],[V_av]]-He_10160[[#This Row],[V_prel]]</f>
        <v>11.2</v>
      </c>
      <c r="G556" s="188">
        <f t="shared" si="140"/>
        <v>0.25000000000000006</v>
      </c>
      <c r="I556" s="6">
        <v>4</v>
      </c>
      <c r="J556" s="6">
        <f t="shared" si="141"/>
        <v>6.4</v>
      </c>
      <c r="K556" s="6">
        <v>0</v>
      </c>
      <c r="L556" s="6">
        <f t="shared" si="137"/>
        <v>6.4</v>
      </c>
      <c r="M556" s="188">
        <f t="shared" si="142"/>
        <v>0.24999999999999994</v>
      </c>
      <c r="O556" s="6">
        <v>4</v>
      </c>
      <c r="P556" s="6">
        <f t="shared" si="143"/>
        <v>6.4</v>
      </c>
      <c r="Q556" s="6">
        <v>0</v>
      </c>
      <c r="R556" s="6">
        <f t="shared" si="138"/>
        <v>6.4</v>
      </c>
      <c r="S556" s="188">
        <f t="shared" si="144"/>
        <v>0.24999999999999994</v>
      </c>
      <c r="U556" s="6">
        <v>4</v>
      </c>
      <c r="V556" s="14">
        <f t="shared" si="145"/>
        <v>3.4666666666666668</v>
      </c>
      <c r="W556" s="6">
        <v>0</v>
      </c>
      <c r="X556" s="14">
        <f>Tableau265[[#This Row],[V_av]]-Tableau265[[#This Row],[V_prel]]</f>
        <v>3.4666666666666668</v>
      </c>
      <c r="Y556" s="188">
        <f t="shared" si="146"/>
        <v>0.25</v>
      </c>
    </row>
    <row r="557" spans="1:25" x14ac:dyDescent="0.2">
      <c r="A557" s="496"/>
      <c r="C557" s="6">
        <v>5</v>
      </c>
      <c r="D557" s="6">
        <f t="shared" si="139"/>
        <v>14</v>
      </c>
      <c r="E557" s="6">
        <v>0</v>
      </c>
      <c r="F557" s="6">
        <f>He_10160[[#This Row],[V_av]]-He_10160[[#This Row],[V_prel]]</f>
        <v>14</v>
      </c>
      <c r="G557" s="188">
        <f t="shared" si="140"/>
        <v>0.20000000000000004</v>
      </c>
      <c r="I557" s="6">
        <v>5</v>
      </c>
      <c r="J557" s="6">
        <f t="shared" si="141"/>
        <v>8</v>
      </c>
      <c r="K557" s="6">
        <v>0</v>
      </c>
      <c r="L557" s="6">
        <f t="shared" si="137"/>
        <v>8</v>
      </c>
      <c r="M557" s="188">
        <f t="shared" si="142"/>
        <v>0.19999999999999996</v>
      </c>
      <c r="O557" s="6">
        <v>5</v>
      </c>
      <c r="P557" s="6">
        <f t="shared" si="143"/>
        <v>8</v>
      </c>
      <c r="Q557" s="6">
        <v>0</v>
      </c>
      <c r="R557" s="6">
        <f t="shared" si="138"/>
        <v>8</v>
      </c>
      <c r="S557" s="188">
        <f t="shared" si="144"/>
        <v>0.19999999999999996</v>
      </c>
      <c r="U557" s="6">
        <v>5</v>
      </c>
      <c r="V557" s="14">
        <f t="shared" si="145"/>
        <v>4.3333333333333339</v>
      </c>
      <c r="W557" s="6">
        <v>0</v>
      </c>
      <c r="X557" s="14">
        <f>Tableau265[[#This Row],[V_av]]-Tableau265[[#This Row],[V_prel]]</f>
        <v>4.3333333333333339</v>
      </c>
      <c r="Y557" s="188">
        <f t="shared" si="146"/>
        <v>0.20000000000000009</v>
      </c>
    </row>
    <row r="558" spans="1:25" x14ac:dyDescent="0.2">
      <c r="A558" s="496"/>
      <c r="C558" s="6">
        <v>6</v>
      </c>
      <c r="D558" s="6">
        <f t="shared" si="139"/>
        <v>16.8</v>
      </c>
      <c r="E558" s="6">
        <v>0</v>
      </c>
      <c r="F558" s="6">
        <f>He_10160[[#This Row],[V_av]]-He_10160[[#This Row],[V_prel]]</f>
        <v>16.8</v>
      </c>
      <c r="G558" s="188">
        <f t="shared" si="140"/>
        <v>0.16666666666666671</v>
      </c>
      <c r="I558" s="6">
        <v>6</v>
      </c>
      <c r="J558" s="6">
        <f t="shared" si="141"/>
        <v>9.6</v>
      </c>
      <c r="K558" s="6">
        <v>0</v>
      </c>
      <c r="L558" s="6">
        <f t="shared" si="137"/>
        <v>9.6</v>
      </c>
      <c r="M558" s="188">
        <f t="shared" si="142"/>
        <v>0.16666666666666663</v>
      </c>
      <c r="O558" s="6">
        <v>6</v>
      </c>
      <c r="P558" s="6">
        <f t="shared" si="143"/>
        <v>9.6</v>
      </c>
      <c r="Q558" s="6">
        <v>0</v>
      </c>
      <c r="R558" s="6">
        <f t="shared" si="138"/>
        <v>9.6</v>
      </c>
      <c r="S558" s="188">
        <f t="shared" si="144"/>
        <v>0.16666666666666663</v>
      </c>
      <c r="U558" s="6">
        <v>6</v>
      </c>
      <c r="V558" s="14">
        <f t="shared" si="145"/>
        <v>5.2000000000000011</v>
      </c>
      <c r="W558" s="6">
        <v>0</v>
      </c>
      <c r="X558" s="14">
        <f>Tableau265[[#This Row],[V_av]]-Tableau265[[#This Row],[V_prel]]</f>
        <v>5.2000000000000011</v>
      </c>
      <c r="Y558" s="188">
        <f t="shared" si="146"/>
        <v>0.16666666666666671</v>
      </c>
    </row>
    <row r="559" spans="1:25" x14ac:dyDescent="0.2">
      <c r="A559" s="496"/>
      <c r="C559" s="6">
        <v>7</v>
      </c>
      <c r="D559" s="6">
        <f t="shared" si="139"/>
        <v>19.600000000000001</v>
      </c>
      <c r="E559" s="6">
        <v>0</v>
      </c>
      <c r="F559" s="6">
        <f>He_10160[[#This Row],[V_av]]-He_10160[[#This Row],[V_prel]]</f>
        <v>19.600000000000001</v>
      </c>
      <c r="G559" s="188">
        <f t="shared" si="140"/>
        <v>0.14285714285714288</v>
      </c>
      <c r="I559" s="6">
        <v>7</v>
      </c>
      <c r="J559" s="6">
        <f t="shared" si="141"/>
        <v>11.2</v>
      </c>
      <c r="K559" s="6">
        <v>0</v>
      </c>
      <c r="L559" s="6">
        <f t="shared" si="137"/>
        <v>11.2</v>
      </c>
      <c r="M559" s="188">
        <f t="shared" si="142"/>
        <v>0.14285714285714282</v>
      </c>
      <c r="O559" s="6">
        <v>7</v>
      </c>
      <c r="P559" s="6">
        <f t="shared" si="143"/>
        <v>11.2</v>
      </c>
      <c r="Q559" s="6">
        <v>0</v>
      </c>
      <c r="R559" s="6">
        <f t="shared" si="138"/>
        <v>11.2</v>
      </c>
      <c r="S559" s="188">
        <f t="shared" si="144"/>
        <v>0.14285714285714282</v>
      </c>
      <c r="U559" s="6">
        <v>7</v>
      </c>
      <c r="V559" s="14">
        <f t="shared" si="145"/>
        <v>6.0666666666666682</v>
      </c>
      <c r="W559" s="6">
        <v>0</v>
      </c>
      <c r="X559" s="14">
        <f>Tableau265[[#This Row],[V_av]]-Tableau265[[#This Row],[V_prel]]</f>
        <v>6.0666666666666682</v>
      </c>
      <c r="Y559" s="188">
        <f t="shared" si="146"/>
        <v>0.1428571428571429</v>
      </c>
    </row>
    <row r="560" spans="1:25" x14ac:dyDescent="0.2">
      <c r="A560" s="496"/>
      <c r="C560" s="6">
        <v>8</v>
      </c>
      <c r="D560" s="6">
        <f t="shared" si="139"/>
        <v>22.400000000000002</v>
      </c>
      <c r="E560" s="6">
        <v>0</v>
      </c>
      <c r="F560" s="6">
        <f>He_10160[[#This Row],[V_av]]-He_10160[[#This Row],[V_prel]]</f>
        <v>22.400000000000002</v>
      </c>
      <c r="G560" s="188">
        <f t="shared" si="140"/>
        <v>0.12500000000000003</v>
      </c>
      <c r="I560" s="6">
        <v>8</v>
      </c>
      <c r="J560" s="6">
        <f t="shared" si="141"/>
        <v>12.799999999999999</v>
      </c>
      <c r="K560" s="6">
        <v>0</v>
      </c>
      <c r="L560" s="6">
        <f t="shared" si="137"/>
        <v>12.799999999999999</v>
      </c>
      <c r="M560" s="188">
        <f t="shared" si="142"/>
        <v>0.12499999999999999</v>
      </c>
      <c r="O560" s="6">
        <v>8</v>
      </c>
      <c r="P560" s="6">
        <f t="shared" si="143"/>
        <v>12.799999999999999</v>
      </c>
      <c r="Q560" s="6">
        <v>0</v>
      </c>
      <c r="R560" s="6">
        <f t="shared" si="138"/>
        <v>12.799999999999999</v>
      </c>
      <c r="S560" s="188">
        <f t="shared" si="144"/>
        <v>0.12499999999999999</v>
      </c>
      <c r="U560" s="6">
        <v>8</v>
      </c>
      <c r="V560" s="14">
        <f t="shared" si="145"/>
        <v>6.9333333333333353</v>
      </c>
      <c r="W560" s="6">
        <v>0</v>
      </c>
      <c r="X560" s="14">
        <f>Tableau265[[#This Row],[V_av]]-Tableau265[[#This Row],[V_prel]]</f>
        <v>6.9333333333333353</v>
      </c>
      <c r="Y560" s="188">
        <f t="shared" si="146"/>
        <v>0.12500000000000003</v>
      </c>
    </row>
    <row r="561" spans="1:25" x14ac:dyDescent="0.2">
      <c r="A561" s="496"/>
      <c r="C561" s="6">
        <v>9</v>
      </c>
      <c r="D561" s="6">
        <f t="shared" si="139"/>
        <v>25.200000000000003</v>
      </c>
      <c r="E561" s="6">
        <v>0</v>
      </c>
      <c r="F561" s="6">
        <f>He_10160[[#This Row],[V_av]]-He_10160[[#This Row],[V_prel]]</f>
        <v>25.200000000000003</v>
      </c>
      <c r="G561" s="188">
        <f t="shared" si="140"/>
        <v>0.11111111111111113</v>
      </c>
      <c r="I561" s="6">
        <v>9</v>
      </c>
      <c r="J561" s="6">
        <f t="shared" si="141"/>
        <v>14.399999999999999</v>
      </c>
      <c r="K561" s="6">
        <v>0</v>
      </c>
      <c r="L561" s="6">
        <f t="shared" si="137"/>
        <v>14.399999999999999</v>
      </c>
      <c r="M561" s="188">
        <f t="shared" si="142"/>
        <v>0.11111111111111109</v>
      </c>
      <c r="O561" s="6">
        <v>9</v>
      </c>
      <c r="P561" s="6">
        <f t="shared" si="143"/>
        <v>14.399999999999999</v>
      </c>
      <c r="Q561" s="6">
        <v>0</v>
      </c>
      <c r="R561" s="6">
        <f t="shared" si="138"/>
        <v>14.399999999999999</v>
      </c>
      <c r="S561" s="188">
        <f t="shared" si="144"/>
        <v>0.11111111111111109</v>
      </c>
      <c r="U561" s="6">
        <v>9</v>
      </c>
      <c r="V561" s="14">
        <f t="shared" si="145"/>
        <v>7.8000000000000025</v>
      </c>
      <c r="W561" s="6">
        <v>0</v>
      </c>
      <c r="X561" s="14">
        <f>Tableau265[[#This Row],[V_av]]-Tableau265[[#This Row],[V_prel]]</f>
        <v>7.8000000000000025</v>
      </c>
      <c r="Y561" s="188">
        <f t="shared" si="146"/>
        <v>0.11111111111111113</v>
      </c>
    </row>
    <row r="562" spans="1:25" x14ac:dyDescent="0.2">
      <c r="A562" s="496"/>
      <c r="C562" s="6">
        <v>10</v>
      </c>
      <c r="D562" s="6">
        <f t="shared" si="139"/>
        <v>28.000000000000004</v>
      </c>
      <c r="E562" s="6">
        <v>0</v>
      </c>
      <c r="F562" s="6">
        <f>He_10160[[#This Row],[V_av]]-He_10160[[#This Row],[V_prel]]</f>
        <v>28.000000000000004</v>
      </c>
      <c r="G562" s="188">
        <f t="shared" si="140"/>
        <v>0.10000000000000002</v>
      </c>
      <c r="I562" s="6">
        <v>10</v>
      </c>
      <c r="J562" s="6">
        <f t="shared" si="141"/>
        <v>15.999999999999998</v>
      </c>
      <c r="K562" s="6">
        <v>0</v>
      </c>
      <c r="L562" s="6">
        <f t="shared" si="137"/>
        <v>15.999999999999998</v>
      </c>
      <c r="M562" s="188">
        <f t="shared" si="142"/>
        <v>9.9999999999999992E-2</v>
      </c>
      <c r="O562" s="6">
        <v>10</v>
      </c>
      <c r="P562" s="6">
        <f t="shared" si="143"/>
        <v>15.999999999999998</v>
      </c>
      <c r="Q562" s="6">
        <v>0</v>
      </c>
      <c r="R562" s="6">
        <f t="shared" si="138"/>
        <v>15.999999999999998</v>
      </c>
      <c r="S562" s="188">
        <f t="shared" si="144"/>
        <v>9.9999999999999992E-2</v>
      </c>
      <c r="U562" s="6">
        <v>10</v>
      </c>
      <c r="V562" s="14">
        <f t="shared" si="145"/>
        <v>8.6666666666666696</v>
      </c>
      <c r="W562" s="6">
        <v>0</v>
      </c>
      <c r="X562" s="14">
        <f>Tableau265[[#This Row],[V_av]]-Tableau265[[#This Row],[V_prel]]</f>
        <v>8.6666666666666696</v>
      </c>
      <c r="Y562" s="188">
        <f t="shared" si="146"/>
        <v>0.10000000000000002</v>
      </c>
    </row>
    <row r="563" spans="1:25" x14ac:dyDescent="0.2">
      <c r="A563" s="204"/>
      <c r="C563" s="6">
        <v>11</v>
      </c>
      <c r="D563" s="6">
        <f t="shared" si="139"/>
        <v>30.800000000000004</v>
      </c>
      <c r="E563" s="6">
        <v>0</v>
      </c>
      <c r="F563" s="6">
        <f>He_10160[[#This Row],[V_av]]-He_10160[[#This Row],[V_prel]]</f>
        <v>30.800000000000004</v>
      </c>
      <c r="G563" s="188">
        <f t="shared" si="140"/>
        <v>9.0909090909090925E-2</v>
      </c>
      <c r="I563" s="6">
        <v>11</v>
      </c>
      <c r="J563" s="6">
        <f t="shared" si="141"/>
        <v>17.599999999999998</v>
      </c>
      <c r="K563" s="6">
        <v>0</v>
      </c>
      <c r="L563" s="6">
        <f t="shared" si="137"/>
        <v>17.599999999999998</v>
      </c>
      <c r="M563" s="188">
        <f t="shared" si="142"/>
        <v>9.0909090909090898E-2</v>
      </c>
      <c r="O563" s="6">
        <v>11</v>
      </c>
      <c r="P563" s="6">
        <f t="shared" si="143"/>
        <v>17.599999999999998</v>
      </c>
      <c r="Q563" s="6">
        <v>0</v>
      </c>
      <c r="R563" s="6">
        <f t="shared" si="138"/>
        <v>17.599999999999998</v>
      </c>
      <c r="S563" s="188">
        <f t="shared" si="144"/>
        <v>9.0909090909090898E-2</v>
      </c>
      <c r="U563" s="6">
        <v>11</v>
      </c>
      <c r="V563" s="14">
        <f t="shared" si="145"/>
        <v>9.5333333333333368</v>
      </c>
      <c r="W563" s="6">
        <v>0</v>
      </c>
      <c r="X563" s="14">
        <f>Tableau265[[#This Row],[V_av]]-Tableau265[[#This Row],[V_prel]]</f>
        <v>9.5333333333333368</v>
      </c>
      <c r="Y563" s="188">
        <f t="shared" si="146"/>
        <v>9.0909090909090925E-2</v>
      </c>
    </row>
    <row r="564" spans="1:25" x14ac:dyDescent="0.2">
      <c r="A564" s="204"/>
      <c r="C564" s="6">
        <v>12</v>
      </c>
      <c r="D564" s="6">
        <f t="shared" si="139"/>
        <v>33.6</v>
      </c>
      <c r="E564" s="6">
        <v>0</v>
      </c>
      <c r="F564" s="6">
        <f>He_10160[[#This Row],[V_av]]-He_10160[[#This Row],[V_prel]]</f>
        <v>33.6</v>
      </c>
      <c r="G564" s="188">
        <f t="shared" si="140"/>
        <v>8.3333333333333245E-2</v>
      </c>
      <c r="I564" s="6">
        <v>12</v>
      </c>
      <c r="J564" s="6">
        <f t="shared" si="141"/>
        <v>19.2</v>
      </c>
      <c r="K564" s="6">
        <v>0</v>
      </c>
      <c r="L564" s="6">
        <f t="shared" si="137"/>
        <v>19.2</v>
      </c>
      <c r="M564" s="188">
        <f t="shared" si="142"/>
        <v>8.3333333333333412E-2</v>
      </c>
      <c r="O564" s="6">
        <v>12</v>
      </c>
      <c r="P564" s="6">
        <f t="shared" si="143"/>
        <v>19.2</v>
      </c>
      <c r="Q564" s="6">
        <v>0</v>
      </c>
      <c r="R564" s="6">
        <f t="shared" si="138"/>
        <v>19.2</v>
      </c>
      <c r="S564" s="188">
        <f t="shared" si="144"/>
        <v>8.3333333333333412E-2</v>
      </c>
      <c r="U564" s="6">
        <v>12</v>
      </c>
      <c r="V564" s="14">
        <f t="shared" si="145"/>
        <v>10.400000000000004</v>
      </c>
      <c r="W564" s="6">
        <v>0</v>
      </c>
      <c r="X564" s="14">
        <f>Tableau265[[#This Row],[V_av]]-Tableau265[[#This Row],[V_prel]]</f>
        <v>10.400000000000004</v>
      </c>
      <c r="Y564" s="188">
        <f t="shared" si="146"/>
        <v>8.3333333333333343E-2</v>
      </c>
    </row>
    <row r="565" spans="1:25" x14ac:dyDescent="0.2">
      <c r="A565" s="204"/>
      <c r="C565" s="6">
        <v>13</v>
      </c>
      <c r="D565" s="6">
        <f t="shared" si="139"/>
        <v>36.4</v>
      </c>
      <c r="E565" s="6">
        <v>0</v>
      </c>
      <c r="F565" s="6">
        <f>He_10160[[#This Row],[V_av]]-He_10160[[#This Row],[V_prel]]</f>
        <v>36.4</v>
      </c>
      <c r="G565" s="188">
        <f t="shared" si="140"/>
        <v>7.6923076923076844E-2</v>
      </c>
      <c r="I565" s="6">
        <v>13</v>
      </c>
      <c r="J565" s="6">
        <f t="shared" si="141"/>
        <v>20.8</v>
      </c>
      <c r="K565" s="6">
        <v>0</v>
      </c>
      <c r="L565" s="6">
        <f t="shared" si="137"/>
        <v>20.8</v>
      </c>
      <c r="M565" s="188">
        <f t="shared" si="142"/>
        <v>7.6923076923076983E-2</v>
      </c>
      <c r="O565" s="6">
        <v>13</v>
      </c>
      <c r="P565" s="6">
        <f t="shared" si="143"/>
        <v>20.8</v>
      </c>
      <c r="Q565" s="6">
        <v>0</v>
      </c>
      <c r="R565" s="6">
        <f t="shared" si="138"/>
        <v>20.8</v>
      </c>
      <c r="S565" s="188">
        <f t="shared" si="144"/>
        <v>7.6923076923076983E-2</v>
      </c>
      <c r="U565" s="6">
        <v>13</v>
      </c>
      <c r="V565" s="14">
        <f t="shared" si="145"/>
        <v>11.266666666666671</v>
      </c>
      <c r="W565" s="6">
        <v>0</v>
      </c>
      <c r="X565" s="14">
        <f>Tableau265[[#This Row],[V_av]]-Tableau265[[#This Row],[V_prel]]</f>
        <v>11.266666666666671</v>
      </c>
      <c r="Y565" s="188">
        <f t="shared" si="146"/>
        <v>7.6923076923076941E-2</v>
      </c>
    </row>
    <row r="566" spans="1:25" x14ac:dyDescent="0.2">
      <c r="A566" s="204"/>
      <c r="C566" s="6">
        <v>14</v>
      </c>
      <c r="D566" s="6">
        <f t="shared" si="139"/>
        <v>39.199999999999996</v>
      </c>
      <c r="E566" s="6">
        <v>0</v>
      </c>
      <c r="F566" s="6">
        <f>He_10160[[#This Row],[V_av]]-He_10160[[#This Row],[V_prel]]</f>
        <v>39.199999999999996</v>
      </c>
      <c r="G566" s="188">
        <f t="shared" si="140"/>
        <v>7.1428571428571369E-2</v>
      </c>
      <c r="I566" s="6">
        <v>14</v>
      </c>
      <c r="J566" s="6">
        <f t="shared" si="141"/>
        <v>22.400000000000002</v>
      </c>
      <c r="K566" s="6">
        <v>0</v>
      </c>
      <c r="L566" s="6">
        <f t="shared" si="137"/>
        <v>22.400000000000002</v>
      </c>
      <c r="M566" s="188">
        <f t="shared" si="142"/>
        <v>7.142857142857148E-2</v>
      </c>
      <c r="O566" s="6">
        <v>14</v>
      </c>
      <c r="P566" s="6">
        <f t="shared" si="143"/>
        <v>22.400000000000002</v>
      </c>
      <c r="Q566" s="6">
        <v>0</v>
      </c>
      <c r="R566" s="6">
        <f t="shared" si="138"/>
        <v>22.400000000000002</v>
      </c>
      <c r="S566" s="188">
        <f t="shared" si="144"/>
        <v>7.142857142857148E-2</v>
      </c>
      <c r="U566" s="6">
        <v>14</v>
      </c>
      <c r="V566" s="14">
        <f t="shared" si="145"/>
        <v>12.133333333333338</v>
      </c>
      <c r="W566" s="6">
        <v>0</v>
      </c>
      <c r="X566" s="14">
        <f>Tableau265[[#This Row],[V_av]]-Tableau265[[#This Row],[V_prel]]</f>
        <v>12.133333333333338</v>
      </c>
      <c r="Y566" s="188">
        <f t="shared" si="146"/>
        <v>7.1428571428571438E-2</v>
      </c>
    </row>
    <row r="567" spans="1:25" x14ac:dyDescent="0.2">
      <c r="A567" s="204"/>
      <c r="C567" s="6">
        <v>15</v>
      </c>
      <c r="D567" s="6">
        <f t="shared" si="139"/>
        <v>41.999999999999993</v>
      </c>
      <c r="E567" s="6">
        <v>0</v>
      </c>
      <c r="F567" s="6">
        <f>He_10160[[#This Row],[V_av]]-He_10160[[#This Row],[V_prel]]</f>
        <v>41.999999999999993</v>
      </c>
      <c r="G567" s="188">
        <f t="shared" si="140"/>
        <v>6.666666666666661E-2</v>
      </c>
      <c r="I567" s="6">
        <v>15</v>
      </c>
      <c r="J567" s="6">
        <f t="shared" si="141"/>
        <v>24.000000000000004</v>
      </c>
      <c r="K567" s="6">
        <v>0</v>
      </c>
      <c r="L567" s="6">
        <f t="shared" si="137"/>
        <v>24.000000000000004</v>
      </c>
      <c r="M567" s="188">
        <f t="shared" si="142"/>
        <v>6.6666666666666721E-2</v>
      </c>
      <c r="O567" s="6">
        <v>15</v>
      </c>
      <c r="P567" s="6">
        <f t="shared" si="143"/>
        <v>24.000000000000004</v>
      </c>
      <c r="Q567" s="6">
        <v>0</v>
      </c>
      <c r="R567" s="6">
        <f t="shared" si="138"/>
        <v>24.000000000000004</v>
      </c>
      <c r="S567" s="188">
        <f t="shared" si="144"/>
        <v>6.6666666666666721E-2</v>
      </c>
      <c r="U567" s="6">
        <v>15</v>
      </c>
      <c r="V567" s="14">
        <f t="shared" si="145"/>
        <v>13.000000000000005</v>
      </c>
      <c r="W567" s="6">
        <v>0</v>
      </c>
      <c r="X567" s="14">
        <f>Tableau265[[#This Row],[V_av]]-Tableau265[[#This Row],[V_prel]]</f>
        <v>13.000000000000005</v>
      </c>
      <c r="Y567" s="188">
        <f t="shared" si="146"/>
        <v>6.666666666666668E-2</v>
      </c>
    </row>
    <row r="568" spans="1:25" x14ac:dyDescent="0.2">
      <c r="A568" s="204"/>
      <c r="C568" s="6">
        <v>16</v>
      </c>
      <c r="D568" s="6">
        <f t="shared" si="139"/>
        <v>44.79999999999999</v>
      </c>
      <c r="E568" s="6">
        <v>0</v>
      </c>
      <c r="F568" s="6">
        <f>He_10160[[#This Row],[V_av]]-He_10160[[#This Row],[V_prel]]</f>
        <v>44.79999999999999</v>
      </c>
      <c r="G568" s="188">
        <f t="shared" si="140"/>
        <v>6.2499999999999951E-2</v>
      </c>
      <c r="I568" s="6">
        <v>16</v>
      </c>
      <c r="J568" s="6">
        <f t="shared" si="141"/>
        <v>25.600000000000005</v>
      </c>
      <c r="K568" s="6">
        <v>0</v>
      </c>
      <c r="L568" s="6">
        <f t="shared" si="137"/>
        <v>25.600000000000005</v>
      </c>
      <c r="M568" s="188">
        <f t="shared" si="142"/>
        <v>6.2500000000000042E-2</v>
      </c>
      <c r="O568" s="6">
        <v>16</v>
      </c>
      <c r="P568" s="6">
        <f t="shared" si="143"/>
        <v>25.600000000000005</v>
      </c>
      <c r="Q568" s="6">
        <v>0</v>
      </c>
      <c r="R568" s="6">
        <f t="shared" si="138"/>
        <v>25.600000000000005</v>
      </c>
      <c r="S568" s="188">
        <f t="shared" si="144"/>
        <v>6.2500000000000042E-2</v>
      </c>
      <c r="U568" s="6">
        <v>16</v>
      </c>
      <c r="V568" s="14">
        <f t="shared" si="145"/>
        <v>13.866666666666672</v>
      </c>
      <c r="W568" s="6">
        <v>0</v>
      </c>
      <c r="X568" s="14">
        <f>Tableau265[[#This Row],[V_av]]-Tableau265[[#This Row],[V_prel]]</f>
        <v>13.866666666666672</v>
      </c>
      <c r="Y568" s="188">
        <f t="shared" si="146"/>
        <v>6.2500000000000014E-2</v>
      </c>
    </row>
    <row r="569" spans="1:25" x14ac:dyDescent="0.2">
      <c r="A569" s="204"/>
      <c r="C569" s="6">
        <v>17</v>
      </c>
      <c r="D569" s="6">
        <f t="shared" si="139"/>
        <v>47.599999999999987</v>
      </c>
      <c r="E569" s="6">
        <v>0</v>
      </c>
      <c r="F569" s="6">
        <f>He_10160[[#This Row],[V_av]]-He_10160[[#This Row],[V_prel]]</f>
        <v>47.599999999999987</v>
      </c>
      <c r="G569" s="188">
        <f t="shared" si="140"/>
        <v>5.8823529411764663E-2</v>
      </c>
      <c r="I569" s="6">
        <v>17</v>
      </c>
      <c r="J569" s="6">
        <f t="shared" si="141"/>
        <v>27.200000000000006</v>
      </c>
      <c r="K569" s="6">
        <v>0</v>
      </c>
      <c r="L569" s="6">
        <f t="shared" si="137"/>
        <v>27.200000000000006</v>
      </c>
      <c r="M569" s="188">
        <f t="shared" si="142"/>
        <v>5.8823529411764747E-2</v>
      </c>
      <c r="O569" s="6">
        <v>17</v>
      </c>
      <c r="P569" s="6">
        <f t="shared" si="143"/>
        <v>27.200000000000006</v>
      </c>
      <c r="Q569" s="6">
        <v>0</v>
      </c>
      <c r="R569" s="6">
        <f t="shared" si="138"/>
        <v>27.200000000000006</v>
      </c>
      <c r="S569" s="188">
        <f t="shared" si="144"/>
        <v>5.8823529411764747E-2</v>
      </c>
      <c r="U569" s="6">
        <v>17</v>
      </c>
      <c r="V569" s="14">
        <f t="shared" si="145"/>
        <v>14.73333333333334</v>
      </c>
      <c r="W569" s="6">
        <v>0</v>
      </c>
      <c r="X569" s="14">
        <f>Tableau265[[#This Row],[V_av]]-Tableau265[[#This Row],[V_prel]]</f>
        <v>14.73333333333334</v>
      </c>
      <c r="Y569" s="188">
        <f t="shared" si="146"/>
        <v>5.8823529411764712E-2</v>
      </c>
    </row>
    <row r="570" spans="1:25" x14ac:dyDescent="0.2">
      <c r="A570" s="204"/>
      <c r="C570" s="6">
        <v>18</v>
      </c>
      <c r="D570" s="6">
        <f t="shared" si="139"/>
        <v>50.399999999999984</v>
      </c>
      <c r="E570" s="6">
        <v>0</v>
      </c>
      <c r="F570" s="6">
        <f>He_10160[[#This Row],[V_av]]-He_10160[[#This Row],[V_prel]]</f>
        <v>50.399999999999984</v>
      </c>
      <c r="G570" s="188">
        <f t="shared" si="140"/>
        <v>5.5555555555555518E-2</v>
      </c>
      <c r="I570" s="6">
        <v>18</v>
      </c>
      <c r="J570" s="6">
        <f t="shared" si="141"/>
        <v>28.800000000000008</v>
      </c>
      <c r="K570" s="6">
        <v>0</v>
      </c>
      <c r="L570" s="6">
        <f t="shared" si="137"/>
        <v>28.800000000000008</v>
      </c>
      <c r="M570" s="188">
        <f t="shared" si="142"/>
        <v>5.5555555555555587E-2</v>
      </c>
      <c r="O570" s="6">
        <v>18</v>
      </c>
      <c r="P570" s="6">
        <f t="shared" si="143"/>
        <v>28.800000000000008</v>
      </c>
      <c r="Q570" s="6">
        <v>0</v>
      </c>
      <c r="R570" s="6">
        <f t="shared" si="138"/>
        <v>28.800000000000008</v>
      </c>
      <c r="S570" s="188">
        <f t="shared" si="144"/>
        <v>5.5555555555555587E-2</v>
      </c>
      <c r="U570" s="6">
        <v>18</v>
      </c>
      <c r="V570" s="14">
        <f t="shared" si="145"/>
        <v>15.600000000000007</v>
      </c>
      <c r="W570" s="6">
        <v>0</v>
      </c>
      <c r="X570" s="14">
        <f>Tableau265[[#This Row],[V_av]]-Tableau265[[#This Row],[V_prel]]</f>
        <v>15.600000000000007</v>
      </c>
      <c r="Y570" s="188">
        <f t="shared" si="146"/>
        <v>5.5555555555555559E-2</v>
      </c>
    </row>
    <row r="571" spans="1:25" x14ac:dyDescent="0.2">
      <c r="A571" s="204"/>
      <c r="C571" s="6">
        <v>19</v>
      </c>
      <c r="D571" s="6">
        <f t="shared" si="139"/>
        <v>53.199999999999982</v>
      </c>
      <c r="E571" s="6">
        <v>0</v>
      </c>
      <c r="F571" s="6">
        <f>He_10160[[#This Row],[V_av]]-He_10160[[#This Row],[V_prel]]</f>
        <v>53.199999999999982</v>
      </c>
      <c r="G571" s="188">
        <f t="shared" si="140"/>
        <v>5.2631578947368383E-2</v>
      </c>
      <c r="I571" s="6">
        <v>19</v>
      </c>
      <c r="J571" s="6">
        <f t="shared" si="141"/>
        <v>30.400000000000009</v>
      </c>
      <c r="K571" s="6">
        <v>0</v>
      </c>
      <c r="L571" s="6">
        <f t="shared" si="137"/>
        <v>30.400000000000009</v>
      </c>
      <c r="M571" s="188">
        <f t="shared" si="142"/>
        <v>5.2631578947368453E-2</v>
      </c>
      <c r="O571" s="6">
        <v>19</v>
      </c>
      <c r="P571" s="6">
        <f t="shared" si="143"/>
        <v>30.400000000000009</v>
      </c>
      <c r="Q571" s="6">
        <v>0</v>
      </c>
      <c r="R571" s="6">
        <f t="shared" si="138"/>
        <v>30.400000000000009</v>
      </c>
      <c r="S571" s="188">
        <f t="shared" si="144"/>
        <v>5.2631578947368453E-2</v>
      </c>
      <c r="U571" s="6">
        <v>19</v>
      </c>
      <c r="V571" s="14">
        <f t="shared" si="145"/>
        <v>16.466666666666672</v>
      </c>
      <c r="W571" s="6">
        <v>0</v>
      </c>
      <c r="X571" s="14">
        <f>Tableau265[[#This Row],[V_av]]-Tableau265[[#This Row],[V_prel]]</f>
        <v>16.466666666666672</v>
      </c>
      <c r="Y571" s="188">
        <f t="shared" si="146"/>
        <v>5.2631578947368328E-2</v>
      </c>
    </row>
    <row r="572" spans="1:25" x14ac:dyDescent="0.2">
      <c r="A572" s="204"/>
      <c r="C572" s="7">
        <v>20</v>
      </c>
      <c r="D572" s="7">
        <v>56</v>
      </c>
      <c r="E572" s="7">
        <v>0</v>
      </c>
      <c r="F572" s="7">
        <v>56</v>
      </c>
      <c r="G572" s="188">
        <f t="shared" si="140"/>
        <v>5.0000000000000329E-2</v>
      </c>
      <c r="I572" s="7">
        <v>20</v>
      </c>
      <c r="J572" s="7">
        <v>32</v>
      </c>
      <c r="K572" s="7">
        <v>0</v>
      </c>
      <c r="L572" s="7">
        <v>32</v>
      </c>
      <c r="M572" s="188">
        <f t="shared" si="142"/>
        <v>4.9999999999999711E-2</v>
      </c>
      <c r="O572" s="6">
        <v>20</v>
      </c>
      <c r="P572" s="6">
        <f t="shared" si="143"/>
        <v>32.000000000000007</v>
      </c>
      <c r="Q572" s="6">
        <v>0</v>
      </c>
      <c r="R572" s="6">
        <f>P572-Q572</f>
        <v>32.000000000000007</v>
      </c>
      <c r="S572" s="188">
        <f t="shared" si="144"/>
        <v>4.999999999999992E-2</v>
      </c>
      <c r="U572" s="6">
        <v>20</v>
      </c>
      <c r="V572" s="14">
        <f t="shared" si="145"/>
        <v>17.333333333333339</v>
      </c>
      <c r="W572" s="6">
        <v>0</v>
      </c>
      <c r="X572" s="14">
        <f>Tableau265[[#This Row],[V_av]]-Tableau265[[#This Row],[V_prel]]</f>
        <v>17.333333333333339</v>
      </c>
      <c r="Y572" s="188">
        <f t="shared" si="146"/>
        <v>5.000000000000001E-2</v>
      </c>
    </row>
    <row r="573" spans="1:25" x14ac:dyDescent="0.2">
      <c r="A573" s="204"/>
      <c r="C573" s="6">
        <v>21</v>
      </c>
      <c r="D573" s="14">
        <f>($D$577-$F$572)/($C$577-$C$572)+F572</f>
        <v>67</v>
      </c>
      <c r="E573" s="6">
        <v>0</v>
      </c>
      <c r="F573" s="6">
        <f>He_10160[[#This Row],[V_av]]-He_10160[[#This Row],[V_prel]]</f>
        <v>67</v>
      </c>
      <c r="G573" s="188">
        <f t="shared" si="140"/>
        <v>0.16417910447761194</v>
      </c>
      <c r="I573" s="6">
        <v>21</v>
      </c>
      <c r="J573" s="14">
        <f>($J$577-$L$572)/($I$577-$I$572)+L572</f>
        <v>40.799999999999997</v>
      </c>
      <c r="K573" s="6">
        <v>0</v>
      </c>
      <c r="L573" s="6">
        <f t="shared" si="137"/>
        <v>40.799999999999997</v>
      </c>
      <c r="M573" s="188">
        <f t="shared" si="142"/>
        <v>0.21568627450980388</v>
      </c>
      <c r="O573" s="6">
        <v>21</v>
      </c>
      <c r="P573" s="6">
        <f t="shared" si="143"/>
        <v>33.600000000000009</v>
      </c>
      <c r="Q573" s="6">
        <v>0</v>
      </c>
      <c r="R573" s="6">
        <f t="shared" si="138"/>
        <v>33.600000000000009</v>
      </c>
      <c r="S573" s="188">
        <f t="shared" si="144"/>
        <v>4.7619047619047651E-2</v>
      </c>
      <c r="U573" s="6">
        <v>21</v>
      </c>
      <c r="V573" s="14">
        <f t="shared" si="145"/>
        <v>18.200000000000006</v>
      </c>
      <c r="W573" s="6">
        <v>0</v>
      </c>
      <c r="X573" s="14">
        <f>Tableau265[[#This Row],[V_av]]-Tableau265[[#This Row],[V_prel]]</f>
        <v>18.200000000000006</v>
      </c>
      <c r="Y573" s="188">
        <f t="shared" si="146"/>
        <v>4.761904761904763E-2</v>
      </c>
    </row>
    <row r="574" spans="1:25" x14ac:dyDescent="0.2">
      <c r="A574" s="204"/>
      <c r="C574" s="6">
        <v>22</v>
      </c>
      <c r="D574" s="14">
        <f>($D$577-$F$572)/($C$577-$C$572)+D573</f>
        <v>78</v>
      </c>
      <c r="E574" s="6">
        <v>0</v>
      </c>
      <c r="F574" s="6">
        <f>He_10160[[#This Row],[V_av]]-He_10160[[#This Row],[V_prel]]</f>
        <v>78</v>
      </c>
      <c r="G574" s="188">
        <f t="shared" si="140"/>
        <v>0.14102564102564102</v>
      </c>
      <c r="I574" s="6">
        <v>22</v>
      </c>
      <c r="J574" s="14">
        <f>($J$577-$L$572)/($I$577-$I$572)+J573</f>
        <v>49.599999999999994</v>
      </c>
      <c r="K574" s="6">
        <v>0</v>
      </c>
      <c r="L574" s="6">
        <f t="shared" si="137"/>
        <v>49.599999999999994</v>
      </c>
      <c r="M574" s="188">
        <f t="shared" si="142"/>
        <v>0.17741935483870963</v>
      </c>
      <c r="O574" s="6">
        <v>22</v>
      </c>
      <c r="P574" s="6">
        <f t="shared" si="143"/>
        <v>35.20000000000001</v>
      </c>
      <c r="Q574" s="6">
        <v>0</v>
      </c>
      <c r="R574" s="6">
        <f t="shared" si="138"/>
        <v>35.20000000000001</v>
      </c>
      <c r="S574" s="188">
        <f t="shared" si="144"/>
        <v>4.5454545454545484E-2</v>
      </c>
      <c r="U574" s="6">
        <v>22</v>
      </c>
      <c r="V574" s="14">
        <f t="shared" si="145"/>
        <v>19.066666666666674</v>
      </c>
      <c r="W574" s="6">
        <v>0</v>
      </c>
      <c r="X574" s="14">
        <f>Tableau265[[#This Row],[V_av]]-Tableau265[[#This Row],[V_prel]]</f>
        <v>19.066666666666674</v>
      </c>
      <c r="Y574" s="188">
        <f t="shared" si="146"/>
        <v>4.5454545454545463E-2</v>
      </c>
    </row>
    <row r="575" spans="1:25" x14ac:dyDescent="0.2">
      <c r="A575" s="204"/>
      <c r="C575" s="6">
        <v>23</v>
      </c>
      <c r="D575" s="14">
        <f t="shared" ref="D575:D576" si="147">($D$577-$F$572)/($C$577-$C$572)+D574</f>
        <v>89</v>
      </c>
      <c r="E575" s="6">
        <v>0</v>
      </c>
      <c r="F575" s="6">
        <f>He_10160[[#This Row],[V_av]]-He_10160[[#This Row],[V_prel]]</f>
        <v>89</v>
      </c>
      <c r="G575" s="188">
        <f t="shared" si="140"/>
        <v>0.12359550561797752</v>
      </c>
      <c r="I575" s="6">
        <v>23</v>
      </c>
      <c r="J575" s="14">
        <f t="shared" ref="J575:J576" si="148">($J$577-$L$572)/($I$577-$I$572)+J574</f>
        <v>58.399999999999991</v>
      </c>
      <c r="K575" s="6">
        <v>0</v>
      </c>
      <c r="L575" s="6">
        <f t="shared" si="137"/>
        <v>58.399999999999991</v>
      </c>
      <c r="M575" s="188">
        <f t="shared" si="142"/>
        <v>0.15068493150684928</v>
      </c>
      <c r="O575" s="6">
        <v>23</v>
      </c>
      <c r="P575" s="6">
        <f t="shared" si="143"/>
        <v>36.800000000000011</v>
      </c>
      <c r="Q575" s="6">
        <v>0</v>
      </c>
      <c r="R575" s="6">
        <f t="shared" si="138"/>
        <v>36.800000000000011</v>
      </c>
      <c r="S575" s="188">
        <f t="shared" si="144"/>
        <v>4.3478260869565244E-2</v>
      </c>
      <c r="U575" s="6">
        <v>23</v>
      </c>
      <c r="V575" s="14">
        <f t="shared" si="145"/>
        <v>19.933333333333341</v>
      </c>
      <c r="W575" s="6">
        <v>0</v>
      </c>
      <c r="X575" s="14">
        <f>Tableau265[[#This Row],[V_av]]-Tableau265[[#This Row],[V_prel]]</f>
        <v>19.933333333333341</v>
      </c>
      <c r="Y575" s="188">
        <f t="shared" si="146"/>
        <v>4.3478260869565223E-2</v>
      </c>
    </row>
    <row r="576" spans="1:25" x14ac:dyDescent="0.2">
      <c r="A576" s="204"/>
      <c r="C576" s="6">
        <v>24</v>
      </c>
      <c r="D576" s="14">
        <f t="shared" si="147"/>
        <v>100</v>
      </c>
      <c r="E576" s="6">
        <v>0</v>
      </c>
      <c r="F576" s="6">
        <f>He_10160[[#This Row],[V_av]]-He_10160[[#This Row],[V_prel]]</f>
        <v>100</v>
      </c>
      <c r="G576" s="188">
        <f t="shared" si="140"/>
        <v>0.11</v>
      </c>
      <c r="I576" s="6">
        <v>24</v>
      </c>
      <c r="J576" s="14">
        <f t="shared" si="148"/>
        <v>67.199999999999989</v>
      </c>
      <c r="K576" s="6">
        <v>0</v>
      </c>
      <c r="L576" s="6">
        <f t="shared" si="137"/>
        <v>67.199999999999989</v>
      </c>
      <c r="M576" s="188">
        <f t="shared" si="142"/>
        <v>0.13095238095238093</v>
      </c>
      <c r="O576" s="6">
        <v>24</v>
      </c>
      <c r="P576" s="6">
        <f t="shared" si="143"/>
        <v>38.400000000000013</v>
      </c>
      <c r="Q576" s="6">
        <v>0</v>
      </c>
      <c r="R576" s="6">
        <f t="shared" si="138"/>
        <v>38.400000000000013</v>
      </c>
      <c r="S576" s="188">
        <f t="shared" si="144"/>
        <v>4.1666666666666692E-2</v>
      </c>
      <c r="U576" s="6">
        <v>24</v>
      </c>
      <c r="V576" s="14">
        <f t="shared" si="145"/>
        <v>20.800000000000008</v>
      </c>
      <c r="W576" s="6">
        <v>0</v>
      </c>
      <c r="X576" s="14">
        <f>Tableau265[[#This Row],[V_av]]-Tableau265[[#This Row],[V_prel]]</f>
        <v>20.800000000000008</v>
      </c>
      <c r="Y576" s="188">
        <f t="shared" si="146"/>
        <v>4.1666666666666671E-2</v>
      </c>
    </row>
    <row r="577" spans="1:25" x14ac:dyDescent="0.2">
      <c r="A577" s="204"/>
      <c r="C577" s="7">
        <v>25</v>
      </c>
      <c r="D577" s="7">
        <v>111</v>
      </c>
      <c r="E577" s="7">
        <v>26</v>
      </c>
      <c r="F577" s="7">
        <v>85</v>
      </c>
      <c r="G577" s="188">
        <f t="shared" si="140"/>
        <v>9.90990990990991E-2</v>
      </c>
      <c r="I577" s="7">
        <v>25</v>
      </c>
      <c r="J577" s="7">
        <v>76</v>
      </c>
      <c r="K577" s="7">
        <v>7</v>
      </c>
      <c r="L577" s="7">
        <v>69</v>
      </c>
      <c r="M577" s="188">
        <f t="shared" si="142"/>
        <v>0.11578947368421068</v>
      </c>
      <c r="O577" s="7">
        <v>25</v>
      </c>
      <c r="P577" s="7">
        <v>40</v>
      </c>
      <c r="Q577" s="7">
        <v>0</v>
      </c>
      <c r="R577" s="7">
        <v>40</v>
      </c>
      <c r="S577" s="188">
        <f t="shared" si="144"/>
        <v>3.9999999999999682E-2</v>
      </c>
      <c r="U577" s="6">
        <v>25</v>
      </c>
      <c r="V577" s="14">
        <f t="shared" si="145"/>
        <v>21.666666666666675</v>
      </c>
      <c r="W577" s="6">
        <v>0</v>
      </c>
      <c r="X577" s="14">
        <f>Tableau265[[#This Row],[V_av]]-Tableau265[[#This Row],[V_prel]]</f>
        <v>21.666666666666675</v>
      </c>
      <c r="Y577" s="188">
        <f t="shared" si="146"/>
        <v>4.0000000000000008E-2</v>
      </c>
    </row>
    <row r="578" spans="1:25" x14ac:dyDescent="0.2">
      <c r="A578" s="204"/>
      <c r="C578" s="6">
        <v>26</v>
      </c>
      <c r="D578" s="14">
        <f>($D$582-$F$577)/($C$582-$C$577)+F577</f>
        <v>97.2</v>
      </c>
      <c r="E578" s="6">
        <v>0</v>
      </c>
      <c r="F578" s="6">
        <f>He_10160[[#This Row],[V_av]]-He_10160[[#This Row],[V_prel]]</f>
        <v>97.2</v>
      </c>
      <c r="G578" s="188">
        <f t="shared" si="140"/>
        <v>0.12551440329218111</v>
      </c>
      <c r="I578" s="6">
        <v>26</v>
      </c>
      <c r="J578" s="14">
        <f>($J$582-$L$577)/($I$582-$I$577)+L577</f>
        <v>78.400000000000006</v>
      </c>
      <c r="K578" s="6">
        <v>0</v>
      </c>
      <c r="L578" s="6">
        <f t="shared" si="137"/>
        <v>78.400000000000006</v>
      </c>
      <c r="M578" s="188">
        <f t="shared" si="142"/>
        <v>0.11989795918367353</v>
      </c>
      <c r="O578" s="6">
        <v>26</v>
      </c>
      <c r="P578" s="14">
        <f>($P$582-$R$577)/($O$582-$O$577)+R577</f>
        <v>46.6</v>
      </c>
      <c r="Q578" s="6">
        <v>0</v>
      </c>
      <c r="R578" s="6">
        <f t="shared" si="138"/>
        <v>46.6</v>
      </c>
      <c r="S578" s="188">
        <f t="shared" si="144"/>
        <v>0.14163090128755368</v>
      </c>
      <c r="U578" s="6">
        <v>26</v>
      </c>
      <c r="V578" s="14">
        <f t="shared" si="145"/>
        <v>22.533333333333342</v>
      </c>
      <c r="W578" s="6">
        <v>0</v>
      </c>
      <c r="X578" s="14">
        <f>Tableau265[[#This Row],[V_av]]-Tableau265[[#This Row],[V_prel]]</f>
        <v>22.533333333333342</v>
      </c>
      <c r="Y578" s="188">
        <f t="shared" si="146"/>
        <v>3.8461538461538471E-2</v>
      </c>
    </row>
    <row r="579" spans="1:25" x14ac:dyDescent="0.2">
      <c r="A579" s="204"/>
      <c r="C579" s="6">
        <v>27</v>
      </c>
      <c r="D579" s="14">
        <f>($D$582-$F$577)/($C$582-$C$577)+D578</f>
        <v>109.4</v>
      </c>
      <c r="E579" s="6">
        <v>0</v>
      </c>
      <c r="F579" s="6">
        <f>He_10160[[#This Row],[V_av]]-He_10160[[#This Row],[V_prel]]</f>
        <v>109.4</v>
      </c>
      <c r="G579" s="188">
        <f t="shared" si="140"/>
        <v>0.11151736745886656</v>
      </c>
      <c r="I579" s="6">
        <v>27</v>
      </c>
      <c r="J579" s="14">
        <f>($J$582-$L$577)/($I$582-$I$577)+J578</f>
        <v>87.800000000000011</v>
      </c>
      <c r="K579" s="6">
        <v>0</v>
      </c>
      <c r="L579" s="14">
        <f>J579-K579</f>
        <v>87.800000000000011</v>
      </c>
      <c r="M579" s="188">
        <f t="shared" si="142"/>
        <v>0.10706150341685654</v>
      </c>
      <c r="O579" s="6">
        <v>27</v>
      </c>
      <c r="P579" s="14">
        <f>($P$582-$R$577)/($O$582-$O$577)+P578</f>
        <v>53.2</v>
      </c>
      <c r="Q579" s="6">
        <v>0</v>
      </c>
      <c r="R579" s="6">
        <f t="shared" si="138"/>
        <v>53.2</v>
      </c>
      <c r="S579" s="188">
        <f t="shared" si="144"/>
        <v>0.12406015037593987</v>
      </c>
      <c r="U579" s="6">
        <v>27</v>
      </c>
      <c r="V579" s="14">
        <f t="shared" si="145"/>
        <v>23.400000000000009</v>
      </c>
      <c r="W579" s="6">
        <v>0</v>
      </c>
      <c r="X579" s="14">
        <f>Tableau265[[#This Row],[V_av]]-Tableau265[[#This Row],[V_prel]]</f>
        <v>23.400000000000009</v>
      </c>
      <c r="Y579" s="188">
        <f t="shared" si="146"/>
        <v>3.7037037037037042E-2</v>
      </c>
    </row>
    <row r="580" spans="1:25" x14ac:dyDescent="0.2">
      <c r="A580" s="204"/>
      <c r="C580" s="6">
        <v>28</v>
      </c>
      <c r="D580" s="14">
        <f t="shared" ref="D580:D581" si="149">($D$582-$F$577)/($C$582-$C$577)+D579</f>
        <v>121.60000000000001</v>
      </c>
      <c r="E580" s="6">
        <v>0</v>
      </c>
      <c r="F580" s="6">
        <f>He_10160[[#This Row],[V_av]]-He_10160[[#This Row],[V_prel]]</f>
        <v>121.60000000000001</v>
      </c>
      <c r="G580" s="188">
        <f t="shared" si="140"/>
        <v>0.10032894736842107</v>
      </c>
      <c r="I580" s="6">
        <v>28</v>
      </c>
      <c r="J580" s="14">
        <f t="shared" ref="J580:J581" si="150">($J$582-$L$577)/($I$582-$I$577)+J579</f>
        <v>97.200000000000017</v>
      </c>
      <c r="K580" s="6">
        <v>0</v>
      </c>
      <c r="L580" s="6">
        <f t="shared" si="137"/>
        <v>97.200000000000017</v>
      </c>
      <c r="M580" s="188">
        <f t="shared" si="142"/>
        <v>9.6707818930041198E-2</v>
      </c>
      <c r="O580" s="6">
        <v>28</v>
      </c>
      <c r="P580" s="14">
        <f t="shared" ref="P580:P581" si="151">($P$582-$R$577)/($O$582-$O$577)+P579</f>
        <v>59.800000000000004</v>
      </c>
      <c r="Q580" s="6">
        <v>0</v>
      </c>
      <c r="R580" s="6">
        <f t="shared" si="138"/>
        <v>59.800000000000004</v>
      </c>
      <c r="S580" s="188">
        <f t="shared" si="144"/>
        <v>0.11036789297658864</v>
      </c>
      <c r="U580" s="6">
        <v>28</v>
      </c>
      <c r="V580" s="14">
        <f t="shared" si="145"/>
        <v>24.266666666666676</v>
      </c>
      <c r="W580" s="6">
        <v>0</v>
      </c>
      <c r="X580" s="14">
        <f>Tableau265[[#This Row],[V_av]]-Tableau265[[#This Row],[V_prel]]</f>
        <v>24.266666666666676</v>
      </c>
      <c r="Y580" s="188">
        <f t="shared" si="146"/>
        <v>3.5714285714285719E-2</v>
      </c>
    </row>
    <row r="581" spans="1:25" x14ac:dyDescent="0.2">
      <c r="A581" s="204"/>
      <c r="C581" s="6">
        <v>29</v>
      </c>
      <c r="D581" s="14">
        <f t="shared" si="149"/>
        <v>133.80000000000001</v>
      </c>
      <c r="E581" s="6">
        <v>0</v>
      </c>
      <c r="F581" s="6">
        <f>He_10160[[#This Row],[V_av]]-He_10160[[#This Row],[V_prel]]</f>
        <v>133.80000000000001</v>
      </c>
      <c r="G581" s="188">
        <f t="shared" si="140"/>
        <v>9.1180866965620347E-2</v>
      </c>
      <c r="I581" s="6">
        <v>29</v>
      </c>
      <c r="J581" s="14">
        <f t="shared" si="150"/>
        <v>106.60000000000002</v>
      </c>
      <c r="K581" s="6">
        <v>0</v>
      </c>
      <c r="L581" s="14">
        <f>J581-K581</f>
        <v>106.60000000000002</v>
      </c>
      <c r="M581" s="188">
        <f t="shared" si="142"/>
        <v>8.8180112570356503E-2</v>
      </c>
      <c r="O581" s="6">
        <v>29</v>
      </c>
      <c r="P581" s="14">
        <f t="shared" si="151"/>
        <v>66.400000000000006</v>
      </c>
      <c r="Q581" s="6">
        <v>0</v>
      </c>
      <c r="R581" s="6">
        <f t="shared" si="138"/>
        <v>66.400000000000006</v>
      </c>
      <c r="S581" s="188">
        <f t="shared" si="144"/>
        <v>9.9397590361445798E-2</v>
      </c>
      <c r="U581" s="6">
        <v>29</v>
      </c>
      <c r="V581" s="14">
        <f t="shared" si="145"/>
        <v>25.133333333333344</v>
      </c>
      <c r="W581" s="6">
        <v>0</v>
      </c>
      <c r="X581" s="14">
        <f>Tableau265[[#This Row],[V_av]]-Tableau265[[#This Row],[V_prel]]</f>
        <v>25.133333333333344</v>
      </c>
      <c r="Y581" s="188">
        <f t="shared" si="146"/>
        <v>3.4482758620689662E-2</v>
      </c>
    </row>
    <row r="582" spans="1:25" x14ac:dyDescent="0.2">
      <c r="A582" s="204"/>
      <c r="C582" s="7">
        <v>30</v>
      </c>
      <c r="D582" s="7">
        <v>146</v>
      </c>
      <c r="E582" s="7">
        <v>35</v>
      </c>
      <c r="F582" s="7">
        <v>111</v>
      </c>
      <c r="G582" s="188">
        <f t="shared" si="140"/>
        <v>8.3561643835616359E-2</v>
      </c>
      <c r="I582" s="7">
        <v>30</v>
      </c>
      <c r="J582" s="7">
        <v>116</v>
      </c>
      <c r="K582" s="7">
        <v>28</v>
      </c>
      <c r="L582" s="7">
        <v>88</v>
      </c>
      <c r="M582" s="188">
        <f t="shared" si="142"/>
        <v>8.1034482758620491E-2</v>
      </c>
      <c r="O582" s="7">
        <v>30</v>
      </c>
      <c r="P582" s="7">
        <v>73</v>
      </c>
      <c r="Q582" s="7">
        <v>12</v>
      </c>
      <c r="R582" s="7">
        <v>61</v>
      </c>
      <c r="S582" s="188">
        <f t="shared" si="144"/>
        <v>9.0410958904109509E-2</v>
      </c>
      <c r="U582" s="7">
        <v>30</v>
      </c>
      <c r="V582" s="7">
        <v>26</v>
      </c>
      <c r="W582" s="7">
        <v>0</v>
      </c>
      <c r="X582" s="7">
        <v>26</v>
      </c>
      <c r="Y582" s="188">
        <f t="shared" si="146"/>
        <v>3.3333333333332944E-2</v>
      </c>
    </row>
    <row r="583" spans="1:25" x14ac:dyDescent="0.2">
      <c r="A583" s="204"/>
      <c r="C583" s="7">
        <v>35</v>
      </c>
      <c r="D583" s="7">
        <v>175</v>
      </c>
      <c r="E583" s="7">
        <v>35</v>
      </c>
      <c r="F583" s="7">
        <v>140</v>
      </c>
      <c r="G583" s="188">
        <f t="shared" si="140"/>
        <v>7.3142857142857148E-2</v>
      </c>
    </row>
    <row r="584" spans="1:25" x14ac:dyDescent="0.2">
      <c r="A584" s="204"/>
      <c r="C584" s="7">
        <v>40</v>
      </c>
      <c r="D584" s="7">
        <v>207</v>
      </c>
      <c r="E584" s="7">
        <v>35</v>
      </c>
      <c r="F584" s="7">
        <v>172</v>
      </c>
      <c r="G584" s="188">
        <f t="shared" si="140"/>
        <v>6.4734299516908206E-2</v>
      </c>
    </row>
    <row r="585" spans="1:25" x14ac:dyDescent="0.2">
      <c r="A585" s="204"/>
      <c r="C585" s="7">
        <v>45</v>
      </c>
      <c r="D585" s="7">
        <v>241</v>
      </c>
      <c r="E585" s="7">
        <v>35</v>
      </c>
      <c r="F585" s="7">
        <v>206</v>
      </c>
      <c r="G585" s="188">
        <f t="shared" si="140"/>
        <v>5.7261410788381741E-2</v>
      </c>
    </row>
    <row r="586" spans="1:25" x14ac:dyDescent="0.2">
      <c r="A586" s="204"/>
      <c r="C586" s="7">
        <v>50</v>
      </c>
      <c r="D586" s="7">
        <v>274</v>
      </c>
      <c r="E586" s="7">
        <v>35</v>
      </c>
      <c r="F586" s="7">
        <v>239</v>
      </c>
      <c r="G586" s="188">
        <f t="shared" si="140"/>
        <v>4.9635036496350364E-2</v>
      </c>
    </row>
    <row r="587" spans="1:25" x14ac:dyDescent="0.2">
      <c r="A587" s="204"/>
      <c r="C587" s="7">
        <v>55</v>
      </c>
      <c r="D587" s="7">
        <v>306</v>
      </c>
      <c r="E587" s="7">
        <v>35</v>
      </c>
      <c r="F587" s="7">
        <v>271</v>
      </c>
      <c r="G587" s="188">
        <f t="shared" si="140"/>
        <v>4.3790849673202611E-2</v>
      </c>
    </row>
    <row r="588" spans="1:25" x14ac:dyDescent="0.2">
      <c r="A588" s="204"/>
      <c r="C588" s="7">
        <v>60</v>
      </c>
      <c r="D588" s="7">
        <v>336</v>
      </c>
      <c r="E588" s="7">
        <v>35</v>
      </c>
      <c r="F588" s="7">
        <v>301</v>
      </c>
      <c r="G588" s="188">
        <f t="shared" si="140"/>
        <v>3.8690476190476192E-2</v>
      </c>
    </row>
    <row r="589" spans="1:25" x14ac:dyDescent="0.2">
      <c r="A589" s="204"/>
      <c r="C589" s="7">
        <v>65</v>
      </c>
      <c r="D589" s="7">
        <v>363</v>
      </c>
      <c r="E589" s="7">
        <v>35</v>
      </c>
      <c r="F589" s="7">
        <v>328</v>
      </c>
      <c r="G589" s="188">
        <f t="shared" si="140"/>
        <v>3.4159779614325071E-2</v>
      </c>
    </row>
    <row r="590" spans="1:25" x14ac:dyDescent="0.2">
      <c r="A590" s="495" t="s">
        <v>709</v>
      </c>
      <c r="C590" s="7">
        <v>70</v>
      </c>
      <c r="D590" s="7">
        <v>387</v>
      </c>
      <c r="E590" s="7">
        <v>35</v>
      </c>
      <c r="F590" s="7">
        <v>352</v>
      </c>
      <c r="G590" s="188">
        <f t="shared" si="140"/>
        <v>3.0490956072351423E-2</v>
      </c>
    </row>
    <row r="591" spans="1:25" x14ac:dyDescent="0.2">
      <c r="A591" s="495"/>
      <c r="C591" s="7">
        <v>75</v>
      </c>
      <c r="D591" s="7">
        <v>407</v>
      </c>
      <c r="E591" s="7">
        <v>35</v>
      </c>
      <c r="F591" s="7">
        <v>372</v>
      </c>
      <c r="G591" s="188">
        <f t="shared" si="140"/>
        <v>2.7027027027027029E-2</v>
      </c>
    </row>
    <row r="592" spans="1:25" x14ac:dyDescent="0.2">
      <c r="A592" s="495"/>
      <c r="C592" s="7">
        <v>80</v>
      </c>
      <c r="D592" s="7">
        <v>424</v>
      </c>
      <c r="E592" s="7">
        <v>34</v>
      </c>
      <c r="F592" s="7">
        <v>390</v>
      </c>
      <c r="G592" s="188">
        <f t="shared" si="140"/>
        <v>2.4528301886792454E-2</v>
      </c>
    </row>
    <row r="593" spans="1:7" x14ac:dyDescent="0.2">
      <c r="A593" s="495"/>
      <c r="C593" s="7">
        <v>85</v>
      </c>
      <c r="D593" s="7">
        <v>438</v>
      </c>
      <c r="E593" s="7">
        <v>33</v>
      </c>
      <c r="F593" s="7">
        <v>405</v>
      </c>
      <c r="G593" s="188">
        <f t="shared" si="140"/>
        <v>2.1917808219178082E-2</v>
      </c>
    </row>
    <row r="594" spans="1:7" x14ac:dyDescent="0.2">
      <c r="A594" s="495"/>
      <c r="C594" s="7">
        <v>90</v>
      </c>
      <c r="D594" s="7">
        <v>451</v>
      </c>
      <c r="E594" s="7">
        <v>31</v>
      </c>
      <c r="F594" s="7">
        <v>420</v>
      </c>
      <c r="G594" s="188">
        <f t="shared" si="140"/>
        <v>2.039911308203991E-2</v>
      </c>
    </row>
    <row r="595" spans="1:7" x14ac:dyDescent="0.2">
      <c r="A595" s="495"/>
      <c r="C595" s="7">
        <v>95</v>
      </c>
      <c r="D595" s="7">
        <v>463</v>
      </c>
      <c r="E595" s="7">
        <v>30</v>
      </c>
      <c r="F595" s="7">
        <v>433</v>
      </c>
      <c r="G595" s="188">
        <f t="shared" si="140"/>
        <v>1.8574514038876892E-2</v>
      </c>
    </row>
    <row r="596" spans="1:7" x14ac:dyDescent="0.2">
      <c r="A596" s="495"/>
      <c r="C596" s="7">
        <v>100</v>
      </c>
      <c r="D596" s="7">
        <v>474</v>
      </c>
      <c r="E596" s="7">
        <v>29</v>
      </c>
      <c r="F596" s="7">
        <v>445</v>
      </c>
      <c r="G596" s="188">
        <f t="shared" si="140"/>
        <v>1.729957805907173E-2</v>
      </c>
    </row>
    <row r="597" spans="1:7" x14ac:dyDescent="0.2">
      <c r="A597" s="495"/>
      <c r="C597" s="7">
        <v>105</v>
      </c>
      <c r="D597" s="7">
        <v>484</v>
      </c>
      <c r="E597" s="7">
        <v>28</v>
      </c>
      <c r="F597" s="7">
        <v>456</v>
      </c>
      <c r="G597" s="188">
        <f t="shared" si="140"/>
        <v>1.6115702479338842E-2</v>
      </c>
    </row>
    <row r="598" spans="1:7" x14ac:dyDescent="0.2">
      <c r="A598" s="495"/>
      <c r="C598" s="7">
        <v>110</v>
      </c>
      <c r="D598" s="7">
        <v>493</v>
      </c>
      <c r="E598" s="7">
        <v>27</v>
      </c>
      <c r="F598" s="7">
        <v>466</v>
      </c>
      <c r="G598" s="188">
        <f t="shared" si="140"/>
        <v>1.5010141987829614E-2</v>
      </c>
    </row>
    <row r="599" spans="1:7" x14ac:dyDescent="0.2">
      <c r="A599" s="495"/>
      <c r="C599" s="7">
        <v>115</v>
      </c>
      <c r="D599" s="7">
        <v>501</v>
      </c>
      <c r="E599" s="7">
        <v>26</v>
      </c>
      <c r="F599" s="7">
        <v>475</v>
      </c>
      <c r="G599" s="188">
        <f t="shared" si="140"/>
        <v>1.3972055888223553E-2</v>
      </c>
    </row>
    <row r="600" spans="1:7" x14ac:dyDescent="0.2">
      <c r="A600" s="495"/>
      <c r="C600" s="7">
        <v>120</v>
      </c>
      <c r="D600" s="7">
        <v>508</v>
      </c>
      <c r="E600" s="7">
        <v>26</v>
      </c>
      <c r="F600" s="7">
        <v>482</v>
      </c>
      <c r="G600" s="188">
        <f t="shared" si="140"/>
        <v>1.2992125984251968E-2</v>
      </c>
    </row>
    <row r="601" spans="1:7" x14ac:dyDescent="0.2">
      <c r="A601" s="495"/>
      <c r="C601" s="7">
        <v>125</v>
      </c>
      <c r="D601" s="7">
        <v>513</v>
      </c>
      <c r="E601" s="7">
        <v>25</v>
      </c>
      <c r="F601" s="7">
        <v>488</v>
      </c>
      <c r="G601" s="188">
        <f t="shared" si="140"/>
        <v>1.2085769980506821E-2</v>
      </c>
    </row>
    <row r="602" spans="1:7" x14ac:dyDescent="0.2">
      <c r="A602" s="495"/>
      <c r="C602" s="7">
        <v>130</v>
      </c>
      <c r="D602" s="7">
        <v>518</v>
      </c>
      <c r="E602" s="7">
        <v>25</v>
      </c>
      <c r="F602" s="7">
        <v>493</v>
      </c>
      <c r="G602" s="188">
        <f t="shared" si="140"/>
        <v>1.1583011583011584E-2</v>
      </c>
    </row>
    <row r="603" spans="1:7" x14ac:dyDescent="0.2">
      <c r="A603" s="495"/>
      <c r="C603" s="7">
        <v>135</v>
      </c>
      <c r="D603" s="7">
        <v>521</v>
      </c>
      <c r="E603" s="7">
        <v>24</v>
      </c>
      <c r="F603" s="7">
        <v>497</v>
      </c>
      <c r="G603" s="188">
        <f t="shared" si="140"/>
        <v>1.0748560460652591E-2</v>
      </c>
    </row>
    <row r="604" spans="1:7" x14ac:dyDescent="0.2">
      <c r="A604" s="495"/>
      <c r="C604" s="7">
        <v>140</v>
      </c>
      <c r="D604" s="7">
        <v>524</v>
      </c>
      <c r="E604" s="7">
        <v>24</v>
      </c>
      <c r="F604" s="7">
        <v>500</v>
      </c>
      <c r="G604" s="188">
        <f t="shared" si="140"/>
        <v>1.0305343511450382E-2</v>
      </c>
    </row>
    <row r="605" spans="1:7" x14ac:dyDescent="0.2">
      <c r="A605" s="495"/>
      <c r="C605" s="7">
        <v>145</v>
      </c>
      <c r="D605" s="7">
        <v>525</v>
      </c>
      <c r="E605" s="7">
        <v>23</v>
      </c>
      <c r="F605" s="7">
        <v>502</v>
      </c>
      <c r="G605" s="188">
        <f t="shared" si="140"/>
        <v>9.5238095238095229E-3</v>
      </c>
    </row>
    <row r="606" spans="1:7" x14ac:dyDescent="0.2">
      <c r="A606" s="495"/>
      <c r="C606" s="7">
        <v>150</v>
      </c>
      <c r="D606" s="7">
        <v>524</v>
      </c>
      <c r="E606" s="7">
        <v>23</v>
      </c>
      <c r="F606" s="7">
        <v>501</v>
      </c>
      <c r="G606" s="188">
        <f t="shared" si="140"/>
        <v>8.3969465648854966E-3</v>
      </c>
    </row>
    <row r="607" spans="1:7" x14ac:dyDescent="0.2">
      <c r="A607" s="495"/>
      <c r="C607" s="7">
        <v>155</v>
      </c>
      <c r="D607" s="7">
        <v>524.5</v>
      </c>
      <c r="E607" s="7">
        <v>524.5</v>
      </c>
      <c r="F607" s="7">
        <v>0</v>
      </c>
      <c r="G607" s="188">
        <f t="shared" si="140"/>
        <v>8.9609151572926597E-3</v>
      </c>
    </row>
    <row r="609" spans="1:7" ht="15" customHeight="1" x14ac:dyDescent="0.2">
      <c r="A609" s="494" t="s">
        <v>714</v>
      </c>
      <c r="C609" s="7" t="s">
        <v>995</v>
      </c>
      <c r="D609" s="9" t="s">
        <v>137</v>
      </c>
    </row>
    <row r="610" spans="1:7" x14ac:dyDescent="0.2">
      <c r="A610" s="494"/>
      <c r="C610" s="6" t="s">
        <v>125</v>
      </c>
      <c r="D610" s="6" t="s">
        <v>126</v>
      </c>
      <c r="E610" s="6" t="s">
        <v>127</v>
      </c>
      <c r="F610" s="6" t="s">
        <v>128</v>
      </c>
      <c r="G610" s="194" t="s">
        <v>699</v>
      </c>
    </row>
    <row r="611" spans="1:7" x14ac:dyDescent="0.2">
      <c r="A611" s="494"/>
      <c r="C611" s="6">
        <v>1</v>
      </c>
      <c r="D611" s="14">
        <f>D640/C640</f>
        <v>0.53333333333333333</v>
      </c>
      <c r="E611" s="6">
        <v>0</v>
      </c>
      <c r="F611" s="14">
        <f>Ch_0164[[#This Row],[V_av]]-Ch_0164[[#This Row],[V_prel]]</f>
        <v>0.53333333333333333</v>
      </c>
      <c r="G611" s="194">
        <v>0</v>
      </c>
    </row>
    <row r="612" spans="1:7" x14ac:dyDescent="0.2">
      <c r="A612" s="494"/>
      <c r="C612" s="6">
        <v>2</v>
      </c>
      <c r="D612" s="14">
        <f>$D$640/$C$640+F611</f>
        <v>1.0666666666666667</v>
      </c>
      <c r="E612" s="6">
        <v>0</v>
      </c>
      <c r="F612" s="14">
        <f>Ch_0164[[#This Row],[V_av]]-Ch_0164[[#This Row],[V_prel]]</f>
        <v>1.0666666666666667</v>
      </c>
      <c r="G612" s="188">
        <f>((D612-F611)/D612)/(C612-C611)</f>
        <v>0.5</v>
      </c>
    </row>
    <row r="613" spans="1:7" x14ac:dyDescent="0.2">
      <c r="A613" s="494"/>
      <c r="C613" s="6">
        <v>3</v>
      </c>
      <c r="D613" s="14">
        <f t="shared" ref="D613:D639" si="152">$D$640/$C$640+F612</f>
        <v>1.6</v>
      </c>
      <c r="E613" s="6">
        <v>0</v>
      </c>
      <c r="F613" s="14">
        <f>Ch_0164[[#This Row],[V_av]]-Ch_0164[[#This Row],[V_prel]]</f>
        <v>1.6</v>
      </c>
      <c r="G613" s="188">
        <f t="shared" ref="G613:G666" si="153">((D613-F612)/D613)/(C613-C612)</f>
        <v>0.33333333333333337</v>
      </c>
    </row>
    <row r="614" spans="1:7" x14ac:dyDescent="0.2">
      <c r="A614" s="494"/>
      <c r="C614" s="6">
        <v>4</v>
      </c>
      <c r="D614" s="14">
        <f t="shared" si="152"/>
        <v>2.1333333333333333</v>
      </c>
      <c r="E614" s="6">
        <v>0</v>
      </c>
      <c r="F614" s="14">
        <f>Ch_0164[[#This Row],[V_av]]-Ch_0164[[#This Row],[V_prel]]</f>
        <v>2.1333333333333333</v>
      </c>
      <c r="G614" s="188">
        <f t="shared" si="153"/>
        <v>0.24999999999999994</v>
      </c>
    </row>
    <row r="615" spans="1:7" x14ac:dyDescent="0.2">
      <c r="A615" s="494"/>
      <c r="C615" s="6">
        <v>5</v>
      </c>
      <c r="D615" s="14">
        <f t="shared" si="152"/>
        <v>2.6666666666666665</v>
      </c>
      <c r="E615" s="6">
        <v>0</v>
      </c>
      <c r="F615" s="14">
        <f>Ch_0164[[#This Row],[V_av]]-Ch_0164[[#This Row],[V_prel]]</f>
        <v>2.6666666666666665</v>
      </c>
      <c r="G615" s="188">
        <f t="shared" si="153"/>
        <v>0.19999999999999996</v>
      </c>
    </row>
    <row r="616" spans="1:7" x14ac:dyDescent="0.2">
      <c r="A616" s="494"/>
      <c r="C616" s="6">
        <v>6</v>
      </c>
      <c r="D616" s="14">
        <f t="shared" si="152"/>
        <v>3.1999999999999997</v>
      </c>
      <c r="E616" s="6">
        <v>0</v>
      </c>
      <c r="F616" s="14">
        <f>Ch_0164[[#This Row],[V_av]]-Ch_0164[[#This Row],[V_prel]]</f>
        <v>3.1999999999999997</v>
      </c>
      <c r="G616" s="188">
        <f t="shared" si="153"/>
        <v>0.16666666666666663</v>
      </c>
    </row>
    <row r="617" spans="1:7" x14ac:dyDescent="0.2">
      <c r="A617" s="494"/>
      <c r="C617" s="6">
        <v>7</v>
      </c>
      <c r="D617" s="14">
        <f t="shared" si="152"/>
        <v>3.7333333333333329</v>
      </c>
      <c r="E617" s="6">
        <v>0</v>
      </c>
      <c r="F617" s="14">
        <f>Ch_0164[[#This Row],[V_av]]-Ch_0164[[#This Row],[V_prel]]</f>
        <v>3.7333333333333329</v>
      </c>
      <c r="G617" s="188">
        <f t="shared" si="153"/>
        <v>0.14285714285714285</v>
      </c>
    </row>
    <row r="618" spans="1:7" x14ac:dyDescent="0.2">
      <c r="A618" s="494"/>
      <c r="C618" s="6">
        <v>8</v>
      </c>
      <c r="D618" s="14">
        <f t="shared" si="152"/>
        <v>4.2666666666666666</v>
      </c>
      <c r="E618" s="6">
        <v>0</v>
      </c>
      <c r="F618" s="14">
        <f>Ch_0164[[#This Row],[V_av]]-Ch_0164[[#This Row],[V_prel]]</f>
        <v>4.2666666666666666</v>
      </c>
      <c r="G618" s="188">
        <f t="shared" si="153"/>
        <v>0.12500000000000008</v>
      </c>
    </row>
    <row r="619" spans="1:7" x14ac:dyDescent="0.2">
      <c r="A619" s="494"/>
      <c r="C619" s="6">
        <v>9</v>
      </c>
      <c r="D619" s="14">
        <f t="shared" si="152"/>
        <v>4.8</v>
      </c>
      <c r="E619" s="6">
        <v>0</v>
      </c>
      <c r="F619" s="14">
        <f>Ch_0164[[#This Row],[V_av]]-Ch_0164[[#This Row],[V_prel]]</f>
        <v>4.8</v>
      </c>
      <c r="G619" s="188">
        <f t="shared" si="153"/>
        <v>0.11111111111111109</v>
      </c>
    </row>
    <row r="620" spans="1:7" x14ac:dyDescent="0.2">
      <c r="A620" s="494"/>
      <c r="C620" s="6">
        <v>10</v>
      </c>
      <c r="D620" s="14">
        <f t="shared" si="152"/>
        <v>5.333333333333333</v>
      </c>
      <c r="E620" s="6">
        <v>0</v>
      </c>
      <c r="F620" s="14">
        <f>Ch_0164[[#This Row],[V_av]]-Ch_0164[[#This Row],[V_prel]]</f>
        <v>5.333333333333333</v>
      </c>
      <c r="G620" s="188">
        <f t="shared" si="153"/>
        <v>9.9999999999999978E-2</v>
      </c>
    </row>
    <row r="621" spans="1:7" x14ac:dyDescent="0.2">
      <c r="A621" s="494"/>
      <c r="C621" s="6">
        <v>11</v>
      </c>
      <c r="D621" s="14">
        <f t="shared" si="152"/>
        <v>5.8666666666666663</v>
      </c>
      <c r="E621" s="6">
        <v>0</v>
      </c>
      <c r="F621" s="14">
        <f>Ch_0164[[#This Row],[V_av]]-Ch_0164[[#This Row],[V_prel]]</f>
        <v>5.8666666666666663</v>
      </c>
      <c r="G621" s="188">
        <f t="shared" si="153"/>
        <v>9.0909090909090898E-2</v>
      </c>
    </row>
    <row r="622" spans="1:7" x14ac:dyDescent="0.2">
      <c r="A622" s="494"/>
      <c r="C622" s="6">
        <v>12</v>
      </c>
      <c r="D622" s="14">
        <f t="shared" si="152"/>
        <v>6.3999999999999995</v>
      </c>
      <c r="E622" s="6">
        <v>0</v>
      </c>
      <c r="F622" s="14">
        <f>Ch_0164[[#This Row],[V_av]]-Ch_0164[[#This Row],[V_prel]]</f>
        <v>6.3999999999999995</v>
      </c>
      <c r="G622" s="188">
        <f t="shared" si="153"/>
        <v>8.3333333333333315E-2</v>
      </c>
    </row>
    <row r="623" spans="1:7" x14ac:dyDescent="0.2">
      <c r="A623" s="494"/>
      <c r="C623" s="6">
        <v>13</v>
      </c>
      <c r="D623" s="14">
        <f t="shared" si="152"/>
        <v>6.9333333333333327</v>
      </c>
      <c r="E623" s="6">
        <v>0</v>
      </c>
      <c r="F623" s="14">
        <f>Ch_0164[[#This Row],[V_av]]-Ch_0164[[#This Row],[V_prel]]</f>
        <v>6.9333333333333327</v>
      </c>
      <c r="G623" s="188">
        <f t="shared" si="153"/>
        <v>7.6923076923076913E-2</v>
      </c>
    </row>
    <row r="624" spans="1:7" x14ac:dyDescent="0.2">
      <c r="A624" s="494"/>
      <c r="C624" s="6">
        <v>14</v>
      </c>
      <c r="D624" s="14">
        <f t="shared" si="152"/>
        <v>7.4666666666666659</v>
      </c>
      <c r="E624" s="6">
        <v>0</v>
      </c>
      <c r="F624" s="14">
        <f>Ch_0164[[#This Row],[V_av]]-Ch_0164[[#This Row],[V_prel]]</f>
        <v>7.4666666666666659</v>
      </c>
      <c r="G624" s="188">
        <f t="shared" si="153"/>
        <v>7.1428571428571425E-2</v>
      </c>
    </row>
    <row r="625" spans="1:7" x14ac:dyDescent="0.2">
      <c r="A625" s="494"/>
      <c r="C625" s="6">
        <v>15</v>
      </c>
      <c r="D625" s="14">
        <f t="shared" si="152"/>
        <v>7.9999999999999991</v>
      </c>
      <c r="E625" s="6">
        <v>0</v>
      </c>
      <c r="F625" s="14">
        <f>Ch_0164[[#This Row],[V_av]]-Ch_0164[[#This Row],[V_prel]]</f>
        <v>7.9999999999999991</v>
      </c>
      <c r="G625" s="188">
        <f t="shared" si="153"/>
        <v>6.6666666666666666E-2</v>
      </c>
    </row>
    <row r="626" spans="1:7" x14ac:dyDescent="0.2">
      <c r="A626" s="494"/>
      <c r="C626" s="6">
        <v>16</v>
      </c>
      <c r="D626" s="14">
        <f t="shared" si="152"/>
        <v>8.5333333333333332</v>
      </c>
      <c r="E626" s="6">
        <v>0</v>
      </c>
      <c r="F626" s="14">
        <f>Ch_0164[[#This Row],[V_av]]-Ch_0164[[#This Row],[V_prel]]</f>
        <v>8.5333333333333332</v>
      </c>
      <c r="G626" s="188">
        <f t="shared" si="153"/>
        <v>6.2500000000000097E-2</v>
      </c>
    </row>
    <row r="627" spans="1:7" x14ac:dyDescent="0.2">
      <c r="A627" s="494"/>
      <c r="C627" s="6">
        <v>17</v>
      </c>
      <c r="D627" s="14">
        <f t="shared" si="152"/>
        <v>9.0666666666666664</v>
      </c>
      <c r="E627" s="6">
        <v>0</v>
      </c>
      <c r="F627" s="14">
        <f>Ch_0164[[#This Row],[V_av]]-Ch_0164[[#This Row],[V_prel]]</f>
        <v>9.0666666666666664</v>
      </c>
      <c r="G627" s="188">
        <f t="shared" si="153"/>
        <v>5.8823529411764691E-2</v>
      </c>
    </row>
    <row r="628" spans="1:7" x14ac:dyDescent="0.2">
      <c r="A628" s="494"/>
      <c r="C628" s="6">
        <v>18</v>
      </c>
      <c r="D628" s="14">
        <f t="shared" si="152"/>
        <v>9.6</v>
      </c>
      <c r="E628" s="6">
        <v>0</v>
      </c>
      <c r="F628" s="14">
        <f>Ch_0164[[#This Row],[V_av]]-Ch_0164[[#This Row],[V_prel]]</f>
        <v>9.6</v>
      </c>
      <c r="G628" s="188">
        <f t="shared" si="153"/>
        <v>5.5555555555555546E-2</v>
      </c>
    </row>
    <row r="629" spans="1:7" x14ac:dyDescent="0.2">
      <c r="A629" s="494"/>
      <c r="C629" s="6">
        <v>19</v>
      </c>
      <c r="D629" s="14">
        <f t="shared" si="152"/>
        <v>10.133333333333333</v>
      </c>
      <c r="E629" s="6">
        <v>0</v>
      </c>
      <c r="F629" s="14">
        <f>Ch_0164[[#This Row],[V_av]]-Ch_0164[[#This Row],[V_prel]]</f>
        <v>10.133333333333333</v>
      </c>
      <c r="G629" s="188">
        <f t="shared" si="153"/>
        <v>5.2631578947368411E-2</v>
      </c>
    </row>
    <row r="630" spans="1:7" x14ac:dyDescent="0.2">
      <c r="A630" s="494"/>
      <c r="C630" s="6">
        <v>20</v>
      </c>
      <c r="D630" s="14">
        <f t="shared" si="152"/>
        <v>10.666666666666666</v>
      </c>
      <c r="E630" s="6">
        <v>0</v>
      </c>
      <c r="F630" s="14">
        <f>Ch_0164[[#This Row],[V_av]]-Ch_0164[[#This Row],[V_prel]]</f>
        <v>10.666666666666666</v>
      </c>
      <c r="G630" s="188">
        <f t="shared" si="153"/>
        <v>4.9999999999999989E-2</v>
      </c>
    </row>
    <row r="631" spans="1:7" x14ac:dyDescent="0.2">
      <c r="A631" s="494"/>
      <c r="C631" s="6">
        <v>21</v>
      </c>
      <c r="D631" s="14">
        <f t="shared" si="152"/>
        <v>11.2</v>
      </c>
      <c r="E631" s="6">
        <v>0</v>
      </c>
      <c r="F631" s="14">
        <f>Ch_0164[[#This Row],[V_av]]-Ch_0164[[#This Row],[V_prel]]</f>
        <v>11.2</v>
      </c>
      <c r="G631" s="188">
        <f t="shared" si="153"/>
        <v>4.7619047619047609E-2</v>
      </c>
    </row>
    <row r="632" spans="1:7" x14ac:dyDescent="0.2">
      <c r="A632" s="494"/>
      <c r="C632" s="6">
        <v>22</v>
      </c>
      <c r="D632" s="14">
        <f t="shared" si="152"/>
        <v>11.733333333333333</v>
      </c>
      <c r="E632" s="6">
        <v>0</v>
      </c>
      <c r="F632" s="14">
        <f>Ch_0164[[#This Row],[V_av]]-Ch_0164[[#This Row],[V_prel]]</f>
        <v>11.733333333333333</v>
      </c>
      <c r="G632" s="188">
        <f t="shared" si="153"/>
        <v>4.5454545454545449E-2</v>
      </c>
    </row>
    <row r="633" spans="1:7" x14ac:dyDescent="0.2">
      <c r="A633" s="494"/>
      <c r="C633" s="6">
        <v>23</v>
      </c>
      <c r="D633" s="14">
        <f t="shared" si="152"/>
        <v>12.266666666666666</v>
      </c>
      <c r="E633" s="6">
        <v>0</v>
      </c>
      <c r="F633" s="14">
        <f>Ch_0164[[#This Row],[V_av]]-Ch_0164[[#This Row],[V_prel]]</f>
        <v>12.266666666666666</v>
      </c>
      <c r="G633" s="188">
        <f t="shared" si="153"/>
        <v>4.3478260869565209E-2</v>
      </c>
    </row>
    <row r="634" spans="1:7" x14ac:dyDescent="0.2">
      <c r="A634" s="494"/>
      <c r="C634" s="6">
        <v>24</v>
      </c>
      <c r="D634" s="14">
        <f t="shared" si="152"/>
        <v>12.799999999999999</v>
      </c>
      <c r="E634" s="6">
        <v>0</v>
      </c>
      <c r="F634" s="14">
        <f>Ch_0164[[#This Row],[V_av]]-Ch_0164[[#This Row],[V_prel]]</f>
        <v>12.799999999999999</v>
      </c>
      <c r="G634" s="188">
        <f t="shared" si="153"/>
        <v>4.1666666666666657E-2</v>
      </c>
    </row>
    <row r="635" spans="1:7" x14ac:dyDescent="0.2">
      <c r="A635" s="494"/>
      <c r="C635" s="6">
        <v>25</v>
      </c>
      <c r="D635" s="14">
        <f t="shared" si="152"/>
        <v>13.333333333333332</v>
      </c>
      <c r="E635" s="6">
        <v>0</v>
      </c>
      <c r="F635" s="14">
        <f>Ch_0164[[#This Row],[V_av]]-Ch_0164[[#This Row],[V_prel]]</f>
        <v>13.333333333333332</v>
      </c>
      <c r="G635" s="188">
        <f t="shared" si="153"/>
        <v>3.9999999999999994E-2</v>
      </c>
    </row>
    <row r="636" spans="1:7" x14ac:dyDescent="0.2">
      <c r="A636" s="494"/>
      <c r="C636" s="6">
        <v>26</v>
      </c>
      <c r="D636" s="14">
        <f t="shared" si="152"/>
        <v>13.866666666666665</v>
      </c>
      <c r="E636" s="6">
        <v>0</v>
      </c>
      <c r="F636" s="14">
        <f>Ch_0164[[#This Row],[V_av]]-Ch_0164[[#This Row],[V_prel]]</f>
        <v>13.866666666666665</v>
      </c>
      <c r="G636" s="188">
        <f t="shared" si="153"/>
        <v>3.8461538461538457E-2</v>
      </c>
    </row>
    <row r="637" spans="1:7" x14ac:dyDescent="0.2">
      <c r="A637" s="494"/>
      <c r="C637" s="6">
        <v>27</v>
      </c>
      <c r="D637" s="14">
        <f t="shared" si="152"/>
        <v>14.399999999999999</v>
      </c>
      <c r="E637" s="6">
        <v>0</v>
      </c>
      <c r="F637" s="14">
        <f>Ch_0164[[#This Row],[V_av]]-Ch_0164[[#This Row],[V_prel]]</f>
        <v>14.399999999999999</v>
      </c>
      <c r="G637" s="188">
        <f t="shared" si="153"/>
        <v>3.7037037037037035E-2</v>
      </c>
    </row>
    <row r="638" spans="1:7" x14ac:dyDescent="0.2">
      <c r="A638" s="494"/>
      <c r="C638" s="6">
        <v>28</v>
      </c>
      <c r="D638" s="14">
        <f t="shared" si="152"/>
        <v>14.933333333333332</v>
      </c>
      <c r="E638" s="6">
        <v>0</v>
      </c>
      <c r="F638" s="14">
        <f>Ch_0164[[#This Row],[V_av]]-Ch_0164[[#This Row],[V_prel]]</f>
        <v>14.933333333333332</v>
      </c>
      <c r="G638" s="188">
        <f t="shared" si="153"/>
        <v>3.5714285714285712E-2</v>
      </c>
    </row>
    <row r="639" spans="1:7" x14ac:dyDescent="0.2">
      <c r="A639" s="494"/>
      <c r="C639" s="6">
        <v>29</v>
      </c>
      <c r="D639" s="14">
        <f t="shared" si="152"/>
        <v>15.466666666666665</v>
      </c>
      <c r="E639" s="6">
        <v>0</v>
      </c>
      <c r="F639" s="14">
        <f>Ch_0164[[#This Row],[V_av]]-Ch_0164[[#This Row],[V_prel]]</f>
        <v>15.466666666666665</v>
      </c>
      <c r="G639" s="188">
        <f t="shared" si="153"/>
        <v>3.4482758620689648E-2</v>
      </c>
    </row>
    <row r="640" spans="1:7" x14ac:dyDescent="0.2">
      <c r="A640" s="494"/>
      <c r="C640" s="7">
        <v>30</v>
      </c>
      <c r="D640" s="7">
        <v>16</v>
      </c>
      <c r="E640" s="7">
        <v>1</v>
      </c>
      <c r="F640" s="7">
        <v>15</v>
      </c>
      <c r="G640" s="188">
        <f t="shared" si="153"/>
        <v>3.3333333333333437E-2</v>
      </c>
    </row>
    <row r="641" spans="1:7" x14ac:dyDescent="0.2">
      <c r="A641" s="494"/>
      <c r="C641" s="7">
        <v>36</v>
      </c>
      <c r="D641" s="7">
        <v>54</v>
      </c>
      <c r="E641" s="7">
        <v>4</v>
      </c>
      <c r="F641" s="7">
        <v>50</v>
      </c>
      <c r="G641" s="188">
        <f>((D641-F640)/D641)/(C641-C640)</f>
        <v>0.12037037037037036</v>
      </c>
    </row>
    <row r="642" spans="1:7" x14ac:dyDescent="0.2">
      <c r="A642" s="494"/>
      <c r="C642" s="7">
        <v>42</v>
      </c>
      <c r="D642" s="7">
        <v>91</v>
      </c>
      <c r="E642" s="7">
        <v>8</v>
      </c>
      <c r="F642" s="7">
        <v>83</v>
      </c>
      <c r="G642" s="188">
        <f t="shared" si="153"/>
        <v>7.5091575091575088E-2</v>
      </c>
    </row>
    <row r="643" spans="1:7" x14ac:dyDescent="0.2">
      <c r="A643" s="494"/>
      <c r="C643" s="7">
        <v>48</v>
      </c>
      <c r="D643" s="7">
        <v>129</v>
      </c>
      <c r="E643" s="7">
        <v>15</v>
      </c>
      <c r="F643" s="7">
        <v>114</v>
      </c>
      <c r="G643" s="188">
        <f t="shared" si="153"/>
        <v>5.9431524547803621E-2</v>
      </c>
    </row>
    <row r="644" spans="1:7" x14ac:dyDescent="0.2">
      <c r="A644" s="494"/>
      <c r="C644" s="7">
        <v>54</v>
      </c>
      <c r="D644" s="7">
        <v>164</v>
      </c>
      <c r="E644" s="7">
        <v>23</v>
      </c>
      <c r="F644" s="7">
        <v>141</v>
      </c>
      <c r="G644" s="188">
        <f t="shared" si="153"/>
        <v>5.08130081300813E-2</v>
      </c>
    </row>
    <row r="645" spans="1:7" x14ac:dyDescent="0.2">
      <c r="A645" s="494"/>
      <c r="C645" s="7">
        <v>60</v>
      </c>
      <c r="D645" s="7">
        <v>189</v>
      </c>
      <c r="E645" s="7">
        <v>20</v>
      </c>
      <c r="F645" s="7">
        <v>169</v>
      </c>
      <c r="G645" s="188">
        <f t="shared" si="153"/>
        <v>4.2328042328042326E-2</v>
      </c>
    </row>
    <row r="646" spans="1:7" x14ac:dyDescent="0.2">
      <c r="A646" s="494"/>
      <c r="C646" s="7">
        <v>66</v>
      </c>
      <c r="D646" s="7">
        <v>215</v>
      </c>
      <c r="E646" s="7">
        <v>18</v>
      </c>
      <c r="F646" s="7">
        <v>197</v>
      </c>
      <c r="G646" s="188">
        <f t="shared" si="153"/>
        <v>3.565891472868217E-2</v>
      </c>
    </row>
    <row r="647" spans="1:7" x14ac:dyDescent="0.2">
      <c r="A647" s="494"/>
      <c r="C647" s="7">
        <v>72</v>
      </c>
      <c r="D647" s="7">
        <v>241</v>
      </c>
      <c r="E647" s="7">
        <v>20</v>
      </c>
      <c r="F647" s="7">
        <v>221</v>
      </c>
      <c r="G647" s="188">
        <f t="shared" si="153"/>
        <v>3.0428769017980636E-2</v>
      </c>
    </row>
    <row r="648" spans="1:7" x14ac:dyDescent="0.2">
      <c r="A648" s="494"/>
      <c r="C648" s="7">
        <v>78</v>
      </c>
      <c r="D648" s="7">
        <v>264</v>
      </c>
      <c r="E648" s="7">
        <v>22</v>
      </c>
      <c r="F648" s="7">
        <v>242</v>
      </c>
      <c r="G648" s="188">
        <f t="shared" si="153"/>
        <v>2.7146464646464644E-2</v>
      </c>
    </row>
    <row r="649" spans="1:7" x14ac:dyDescent="0.2">
      <c r="A649" s="494"/>
      <c r="C649" s="7">
        <v>84</v>
      </c>
      <c r="D649" s="7">
        <v>284</v>
      </c>
      <c r="E649" s="7">
        <v>19</v>
      </c>
      <c r="F649" s="7">
        <v>265</v>
      </c>
      <c r="G649" s="188">
        <f t="shared" si="153"/>
        <v>2.464788732394366E-2</v>
      </c>
    </row>
    <row r="650" spans="1:7" x14ac:dyDescent="0.2">
      <c r="A650" s="494"/>
      <c r="C650" s="7">
        <v>90</v>
      </c>
      <c r="D650" s="7">
        <v>307</v>
      </c>
      <c r="E650" s="7">
        <v>21</v>
      </c>
      <c r="F650" s="7">
        <v>286</v>
      </c>
      <c r="G650" s="188">
        <f t="shared" si="153"/>
        <v>2.2801302931596091E-2</v>
      </c>
    </row>
    <row r="651" spans="1:7" x14ac:dyDescent="0.2">
      <c r="A651" s="494"/>
      <c r="C651" s="7">
        <v>98</v>
      </c>
      <c r="D651" s="7">
        <v>341</v>
      </c>
      <c r="E651" s="7">
        <v>27</v>
      </c>
      <c r="F651" s="7">
        <v>314</v>
      </c>
      <c r="G651" s="188">
        <f t="shared" si="153"/>
        <v>2.0161290322580645E-2</v>
      </c>
    </row>
    <row r="652" spans="1:7" x14ac:dyDescent="0.2">
      <c r="A652" s="494"/>
      <c r="C652" s="7">
        <v>106</v>
      </c>
      <c r="D652" s="7">
        <v>369</v>
      </c>
      <c r="E652" s="7">
        <v>28</v>
      </c>
      <c r="F652" s="7">
        <v>341</v>
      </c>
      <c r="G652" s="188">
        <f t="shared" si="153"/>
        <v>1.8631436314363144E-2</v>
      </c>
    </row>
    <row r="653" spans="1:7" x14ac:dyDescent="0.2">
      <c r="A653" s="494"/>
      <c r="C653" s="7">
        <v>114</v>
      </c>
      <c r="D653" s="7">
        <v>396</v>
      </c>
      <c r="E653" s="7">
        <v>32</v>
      </c>
      <c r="F653" s="7">
        <v>364</v>
      </c>
      <c r="G653" s="188">
        <f t="shared" si="153"/>
        <v>1.7361111111111112E-2</v>
      </c>
    </row>
    <row r="654" spans="1:7" x14ac:dyDescent="0.2">
      <c r="A654" s="494"/>
      <c r="C654" s="7">
        <v>122</v>
      </c>
      <c r="D654" s="7">
        <v>419</v>
      </c>
      <c r="E654" s="7">
        <v>31</v>
      </c>
      <c r="F654" s="7">
        <v>388</v>
      </c>
      <c r="G654" s="188">
        <f t="shared" si="153"/>
        <v>1.6408114558472554E-2</v>
      </c>
    </row>
    <row r="655" spans="1:7" x14ac:dyDescent="0.2">
      <c r="A655" s="494"/>
      <c r="C655" s="7">
        <v>130</v>
      </c>
      <c r="D655" s="7">
        <v>442</v>
      </c>
      <c r="E655" s="7">
        <v>30</v>
      </c>
      <c r="F655" s="7">
        <v>412</v>
      </c>
      <c r="G655" s="188">
        <f t="shared" si="153"/>
        <v>1.5271493212669683E-2</v>
      </c>
    </row>
    <row r="656" spans="1:7" x14ac:dyDescent="0.2">
      <c r="A656" s="494"/>
      <c r="C656" s="7">
        <v>140</v>
      </c>
      <c r="D656" s="7">
        <v>479</v>
      </c>
      <c r="E656" s="7">
        <v>39</v>
      </c>
      <c r="F656" s="7">
        <v>440</v>
      </c>
      <c r="G656" s="188">
        <f t="shared" si="153"/>
        <v>1.3987473903966596E-2</v>
      </c>
    </row>
    <row r="657" spans="1:31" x14ac:dyDescent="0.2">
      <c r="A657" s="494"/>
      <c r="C657" s="7">
        <v>150</v>
      </c>
      <c r="D657" s="7">
        <v>506</v>
      </c>
      <c r="E657" s="7">
        <v>38</v>
      </c>
      <c r="F657" s="7">
        <v>468</v>
      </c>
      <c r="G657" s="188">
        <f t="shared" si="153"/>
        <v>1.3043478260869565E-2</v>
      </c>
    </row>
    <row r="658" spans="1:31" x14ac:dyDescent="0.2">
      <c r="A658" s="494"/>
      <c r="C658" s="7">
        <v>160</v>
      </c>
      <c r="D658" s="7">
        <v>531</v>
      </c>
      <c r="E658" s="7">
        <v>40</v>
      </c>
      <c r="F658" s="7">
        <v>491</v>
      </c>
      <c r="G658" s="188">
        <f t="shared" si="153"/>
        <v>1.1864406779661017E-2</v>
      </c>
    </row>
    <row r="659" spans="1:31" x14ac:dyDescent="0.2">
      <c r="A659" s="494"/>
      <c r="C659" s="7">
        <v>170</v>
      </c>
      <c r="D659" s="7">
        <v>550</v>
      </c>
      <c r="E659" s="7">
        <v>36</v>
      </c>
      <c r="F659" s="7">
        <v>514</v>
      </c>
      <c r="G659" s="188">
        <f t="shared" si="153"/>
        <v>1.0727272727272728E-2</v>
      </c>
    </row>
    <row r="660" spans="1:31" x14ac:dyDescent="0.2">
      <c r="A660" s="494"/>
      <c r="C660" s="7">
        <v>180</v>
      </c>
      <c r="D660" s="7">
        <v>568</v>
      </c>
      <c r="E660" s="7">
        <v>40</v>
      </c>
      <c r="F660" s="7">
        <v>528</v>
      </c>
      <c r="G660" s="188">
        <f t="shared" si="153"/>
        <v>9.5070422535211262E-3</v>
      </c>
    </row>
    <row r="661" spans="1:31" x14ac:dyDescent="0.2">
      <c r="A661" s="494"/>
      <c r="C661" s="7">
        <v>190</v>
      </c>
      <c r="D661" s="7">
        <v>576</v>
      </c>
      <c r="E661" s="7">
        <v>29</v>
      </c>
      <c r="F661" s="7">
        <v>547</v>
      </c>
      <c r="G661" s="188">
        <f t="shared" si="153"/>
        <v>8.3333333333333332E-3</v>
      </c>
    </row>
    <row r="662" spans="1:31" x14ac:dyDescent="0.2">
      <c r="A662" s="494"/>
      <c r="C662" s="7">
        <v>200</v>
      </c>
      <c r="D662" s="7">
        <v>589</v>
      </c>
      <c r="E662" s="7">
        <v>26</v>
      </c>
      <c r="F662" s="7">
        <v>563</v>
      </c>
      <c r="G662" s="188">
        <f t="shared" si="153"/>
        <v>7.1307300509337868E-3</v>
      </c>
    </row>
    <row r="663" spans="1:31" x14ac:dyDescent="0.2">
      <c r="A663" s="494"/>
      <c r="C663" s="7">
        <v>210</v>
      </c>
      <c r="D663" s="7">
        <v>602</v>
      </c>
      <c r="E663" s="7">
        <v>200</v>
      </c>
      <c r="F663" s="7">
        <v>402</v>
      </c>
      <c r="G663" s="188">
        <f t="shared" si="153"/>
        <v>6.4784053156146174E-3</v>
      </c>
    </row>
    <row r="664" spans="1:31" x14ac:dyDescent="0.2">
      <c r="A664" s="494"/>
      <c r="C664" s="7">
        <v>215</v>
      </c>
      <c r="D664" s="7">
        <v>422</v>
      </c>
      <c r="E664" s="7">
        <v>169</v>
      </c>
      <c r="F664" s="7">
        <v>253</v>
      </c>
      <c r="G664" s="188">
        <f t="shared" si="153"/>
        <v>9.4786729857819895E-3</v>
      </c>
    </row>
    <row r="665" spans="1:31" x14ac:dyDescent="0.2">
      <c r="A665" s="494"/>
      <c r="C665" s="7">
        <v>220</v>
      </c>
      <c r="D665" s="7">
        <v>266</v>
      </c>
      <c r="E665" s="7">
        <v>146</v>
      </c>
      <c r="F665" s="7">
        <v>120</v>
      </c>
      <c r="G665" s="188">
        <f t="shared" si="153"/>
        <v>9.7744360902255641E-3</v>
      </c>
    </row>
    <row r="666" spans="1:31" x14ac:dyDescent="0.2">
      <c r="A666" s="494"/>
      <c r="C666" s="7">
        <v>225</v>
      </c>
      <c r="D666" s="7">
        <v>126</v>
      </c>
      <c r="E666" s="7">
        <v>126</v>
      </c>
      <c r="F666" s="7">
        <v>0</v>
      </c>
      <c r="G666" s="188">
        <f t="shared" si="153"/>
        <v>9.5238095238095229E-3</v>
      </c>
    </row>
    <row r="667" spans="1:31" x14ac:dyDescent="0.2">
      <c r="A667" s="208"/>
      <c r="C667" s="7"/>
      <c r="D667" s="7"/>
      <c r="E667" s="7"/>
      <c r="F667" s="7"/>
      <c r="G667" s="197"/>
    </row>
    <row r="668" spans="1:31" x14ac:dyDescent="0.2">
      <c r="A668" s="494" t="s">
        <v>771</v>
      </c>
      <c r="C668" s="7" t="s">
        <v>764</v>
      </c>
      <c r="G668" s="195"/>
      <c r="M668" s="195"/>
      <c r="S668" s="195"/>
      <c r="Y668" s="195"/>
      <c r="AE668" s="195"/>
    </row>
    <row r="669" spans="1:31" x14ac:dyDescent="0.2">
      <c r="A669" s="494"/>
      <c r="C669" s="6" t="s">
        <v>125</v>
      </c>
      <c r="D669" s="6" t="s">
        <v>126</v>
      </c>
      <c r="E669" s="6" t="s">
        <v>127</v>
      </c>
      <c r="F669" s="6" t="s">
        <v>128</v>
      </c>
      <c r="G669" s="189" t="s">
        <v>699</v>
      </c>
      <c r="M669" s="195"/>
      <c r="S669" s="195"/>
      <c r="Y669" s="195"/>
      <c r="AE669" s="195"/>
    </row>
    <row r="670" spans="1:31" x14ac:dyDescent="0.2">
      <c r="A670" s="494"/>
      <c r="C670" s="6">
        <v>1</v>
      </c>
      <c r="D670" s="14">
        <v>0</v>
      </c>
      <c r="E670" s="6">
        <v>0</v>
      </c>
      <c r="F670" s="14">
        <f>D670-E670</f>
        <v>0</v>
      </c>
      <c r="G670" s="189">
        <v>0</v>
      </c>
      <c r="M670" s="195"/>
      <c r="S670" s="195"/>
      <c r="Y670" s="195"/>
      <c r="AE670" s="195"/>
    </row>
    <row r="671" spans="1:31" x14ac:dyDescent="0.2">
      <c r="A671" s="494"/>
      <c r="C671" s="6">
        <v>2</v>
      </c>
      <c r="D671" s="14">
        <v>0</v>
      </c>
      <c r="E671" s="6">
        <v>0</v>
      </c>
      <c r="F671" s="14">
        <f t="shared" ref="F671:F682" si="154">D671-E671</f>
        <v>0</v>
      </c>
      <c r="G671" s="189">
        <v>0</v>
      </c>
      <c r="M671" s="195"/>
      <c r="S671" s="195"/>
      <c r="Y671" s="195"/>
      <c r="AE671" s="195"/>
    </row>
    <row r="672" spans="1:31" x14ac:dyDescent="0.2">
      <c r="A672" s="494"/>
      <c r="C672" s="6">
        <v>3</v>
      </c>
      <c r="D672" s="14">
        <v>0</v>
      </c>
      <c r="E672" s="6">
        <v>0</v>
      </c>
      <c r="F672" s="14">
        <f t="shared" si="154"/>
        <v>0</v>
      </c>
      <c r="G672" s="189">
        <v>0</v>
      </c>
      <c r="M672" s="195"/>
      <c r="S672" s="195"/>
      <c r="Y672" s="195"/>
      <c r="AE672" s="195"/>
    </row>
    <row r="673" spans="1:31" ht="16" x14ac:dyDescent="0.2">
      <c r="A673" s="494"/>
      <c r="C673" s="6">
        <v>4</v>
      </c>
      <c r="D673" s="14">
        <v>0</v>
      </c>
      <c r="E673" s="6">
        <v>0</v>
      </c>
      <c r="F673" s="14">
        <f t="shared" si="154"/>
        <v>0</v>
      </c>
      <c r="G673" s="189">
        <v>0</v>
      </c>
      <c r="J673" s="222"/>
      <c r="K673"/>
      <c r="L673"/>
      <c r="M673"/>
      <c r="S673" s="195"/>
      <c r="Y673" s="195"/>
      <c r="AE673" s="195"/>
    </row>
    <row r="674" spans="1:31" ht="16" x14ac:dyDescent="0.2">
      <c r="A674" s="494"/>
      <c r="C674" s="6">
        <v>5</v>
      </c>
      <c r="D674" s="14">
        <v>0</v>
      </c>
      <c r="E674" s="6">
        <v>0</v>
      </c>
      <c r="F674" s="14">
        <f t="shared" si="154"/>
        <v>0</v>
      </c>
      <c r="G674" s="189">
        <v>0</v>
      </c>
      <c r="J674" s="222"/>
      <c r="K674" s="222"/>
      <c r="L674" s="223"/>
      <c r="M674" s="223"/>
      <c r="S674" s="195"/>
      <c r="Y674" s="195"/>
      <c r="AE674" s="195"/>
    </row>
    <row r="675" spans="1:31" ht="16" x14ac:dyDescent="0.2">
      <c r="A675" s="494"/>
      <c r="C675" s="6">
        <v>6</v>
      </c>
      <c r="D675" s="14">
        <v>0</v>
      </c>
      <c r="E675" s="6">
        <v>0</v>
      </c>
      <c r="F675" s="14">
        <f t="shared" si="154"/>
        <v>0</v>
      </c>
      <c r="G675" s="189">
        <v>0</v>
      </c>
      <c r="J675" s="222"/>
      <c r="K675" s="222"/>
      <c r="L675" s="223"/>
      <c r="M675" s="223"/>
      <c r="S675" s="195"/>
      <c r="Y675" s="195"/>
      <c r="AE675" s="195"/>
    </row>
    <row r="676" spans="1:31" ht="16" x14ac:dyDescent="0.2">
      <c r="A676" s="494"/>
      <c r="C676" s="6">
        <v>7</v>
      </c>
      <c r="D676" s="14">
        <v>0</v>
      </c>
      <c r="E676" s="6">
        <v>0</v>
      </c>
      <c r="F676" s="14">
        <f t="shared" si="154"/>
        <v>0</v>
      </c>
      <c r="G676" s="189">
        <v>0</v>
      </c>
      <c r="J676" s="222"/>
      <c r="K676" s="222"/>
      <c r="L676" s="223"/>
      <c r="M676" s="223"/>
      <c r="S676" s="195"/>
      <c r="Y676" s="195"/>
      <c r="AE676" s="195"/>
    </row>
    <row r="677" spans="1:31" ht="16" x14ac:dyDescent="0.2">
      <c r="A677" s="494"/>
      <c r="C677" s="6">
        <v>8</v>
      </c>
      <c r="D677" s="14">
        <v>0</v>
      </c>
      <c r="E677" s="6">
        <v>0</v>
      </c>
      <c r="F677" s="14">
        <f t="shared" si="154"/>
        <v>0</v>
      </c>
      <c r="G677" s="189">
        <v>0</v>
      </c>
      <c r="J677" s="222"/>
      <c r="K677" s="222"/>
      <c r="L677" s="223"/>
      <c r="M677" s="223"/>
      <c r="S677" s="195"/>
      <c r="Y677" s="195"/>
      <c r="AE677" s="195"/>
    </row>
    <row r="678" spans="1:31" ht="16" x14ac:dyDescent="0.2">
      <c r="A678" s="494"/>
      <c r="C678" s="6">
        <v>9</v>
      </c>
      <c r="D678" s="14">
        <v>0</v>
      </c>
      <c r="E678" s="6">
        <v>0</v>
      </c>
      <c r="F678" s="14">
        <f t="shared" si="154"/>
        <v>0</v>
      </c>
      <c r="G678" s="189">
        <v>0</v>
      </c>
      <c r="J678" s="222"/>
      <c r="K678" s="222"/>
      <c r="L678" s="223"/>
      <c r="M678" s="223"/>
      <c r="S678" s="195"/>
      <c r="Y678" s="195"/>
      <c r="AE678" s="195"/>
    </row>
    <row r="679" spans="1:31" ht="16" x14ac:dyDescent="0.2">
      <c r="A679" s="494"/>
      <c r="C679" s="6">
        <v>10</v>
      </c>
      <c r="D679" s="14">
        <v>0</v>
      </c>
      <c r="E679" s="6">
        <v>0</v>
      </c>
      <c r="F679" s="14">
        <f t="shared" si="154"/>
        <v>0</v>
      </c>
      <c r="G679" s="189">
        <v>0</v>
      </c>
      <c r="J679" s="222"/>
      <c r="K679" s="222"/>
      <c r="L679" s="223"/>
      <c r="M679" s="223"/>
      <c r="S679" s="195"/>
      <c r="Y679" s="195"/>
      <c r="AE679" s="195"/>
    </row>
    <row r="680" spans="1:31" ht="16" x14ac:dyDescent="0.2">
      <c r="A680" s="494"/>
      <c r="C680" s="6">
        <v>11</v>
      </c>
      <c r="D680" s="14">
        <v>0</v>
      </c>
      <c r="E680" s="6">
        <v>0</v>
      </c>
      <c r="F680" s="14">
        <f t="shared" si="154"/>
        <v>0</v>
      </c>
      <c r="G680" s="189">
        <v>0</v>
      </c>
      <c r="J680" s="222"/>
      <c r="K680" s="222"/>
      <c r="L680" s="223"/>
      <c r="M680" s="223"/>
      <c r="S680" s="195"/>
      <c r="Y680" s="195"/>
      <c r="AE680" s="195"/>
    </row>
    <row r="681" spans="1:31" ht="16" x14ac:dyDescent="0.2">
      <c r="A681" s="494"/>
      <c r="C681" s="6">
        <v>12</v>
      </c>
      <c r="D681" s="14">
        <v>0</v>
      </c>
      <c r="E681" s="6">
        <v>0</v>
      </c>
      <c r="F681" s="14">
        <f t="shared" si="154"/>
        <v>0</v>
      </c>
      <c r="G681" s="189">
        <v>0</v>
      </c>
      <c r="J681" s="222"/>
      <c r="K681" s="222"/>
      <c r="L681" s="223"/>
      <c r="M681" s="223"/>
      <c r="S681" s="195"/>
      <c r="Y681" s="195"/>
      <c r="AE681" s="195"/>
    </row>
    <row r="682" spans="1:31" ht="16" x14ac:dyDescent="0.2">
      <c r="A682" s="494"/>
      <c r="C682" s="6">
        <v>13</v>
      </c>
      <c r="D682" s="14">
        <v>0</v>
      </c>
      <c r="E682" s="6">
        <v>0</v>
      </c>
      <c r="F682" s="14">
        <f t="shared" si="154"/>
        <v>0</v>
      </c>
      <c r="G682" s="189">
        <v>0</v>
      </c>
      <c r="J682" s="222"/>
      <c r="K682" s="222"/>
      <c r="L682" s="223"/>
      <c r="M682" s="223"/>
      <c r="S682" s="195"/>
      <c r="Y682" s="195"/>
      <c r="AE682" s="195"/>
    </row>
    <row r="683" spans="1:31" ht="16" x14ac:dyDescent="0.2">
      <c r="A683" s="494"/>
      <c r="C683" s="6">
        <v>14</v>
      </c>
      <c r="D683" s="14">
        <v>0</v>
      </c>
      <c r="E683" s="6">
        <v>0</v>
      </c>
      <c r="F683" s="14">
        <f>D683-E683</f>
        <v>0</v>
      </c>
      <c r="G683" s="189">
        <v>0</v>
      </c>
      <c r="J683" s="222"/>
      <c r="K683" s="222"/>
      <c r="L683" s="223"/>
      <c r="M683" s="223"/>
      <c r="S683" s="195"/>
      <c r="Y683" s="195"/>
      <c r="AE683" s="195"/>
    </row>
    <row r="684" spans="1:31" ht="16" x14ac:dyDescent="0.2">
      <c r="A684" s="494"/>
      <c r="C684" s="7">
        <v>15</v>
      </c>
      <c r="D684" s="224">
        <v>0.11</v>
      </c>
      <c r="E684" s="6">
        <v>0</v>
      </c>
      <c r="F684" s="14">
        <f t="shared" ref="F684:F699" si="155">D684-E684</f>
        <v>0.11</v>
      </c>
      <c r="G684" s="189">
        <v>0</v>
      </c>
      <c r="J684" s="222"/>
      <c r="K684" s="222"/>
      <c r="L684" s="223"/>
      <c r="M684" s="223"/>
      <c r="S684" s="195"/>
      <c r="Y684" s="195"/>
      <c r="AE684" s="195"/>
    </row>
    <row r="685" spans="1:31" ht="16" x14ac:dyDescent="0.2">
      <c r="A685" s="494"/>
      <c r="C685" s="7">
        <v>16</v>
      </c>
      <c r="D685" s="224">
        <v>0.5033333333333333</v>
      </c>
      <c r="E685" s="6">
        <v>0</v>
      </c>
      <c r="F685" s="14">
        <f t="shared" si="155"/>
        <v>0.5033333333333333</v>
      </c>
      <c r="G685" s="189">
        <f t="shared" ref="G685:G698" si="156">((D685-F684)/D685)/(C685-C684)</f>
        <v>0.7814569536423841</v>
      </c>
      <c r="J685" s="222"/>
      <c r="K685" s="222"/>
      <c r="L685" s="223"/>
      <c r="M685" s="223"/>
      <c r="S685" s="195"/>
      <c r="Y685" s="195"/>
      <c r="AE685" s="195"/>
    </row>
    <row r="686" spans="1:31" ht="16" x14ac:dyDescent="0.2">
      <c r="A686" s="494"/>
      <c r="C686" s="7">
        <v>17</v>
      </c>
      <c r="D686" s="224">
        <v>0.89666666666666661</v>
      </c>
      <c r="E686" s="6">
        <v>0</v>
      </c>
      <c r="F686" s="14">
        <f t="shared" si="155"/>
        <v>0.89666666666666661</v>
      </c>
      <c r="G686" s="189">
        <f t="shared" si="156"/>
        <v>0.43866171003717475</v>
      </c>
      <c r="J686" s="222"/>
      <c r="K686" s="222"/>
      <c r="L686" s="223"/>
      <c r="M686" s="223"/>
      <c r="S686" s="195"/>
      <c r="Y686" s="195"/>
      <c r="AE686" s="195"/>
    </row>
    <row r="687" spans="1:31" ht="16" x14ac:dyDescent="0.2">
      <c r="A687" s="494"/>
      <c r="C687" s="7">
        <v>18</v>
      </c>
      <c r="D687" s="224">
        <v>1.29</v>
      </c>
      <c r="E687" s="6">
        <v>0</v>
      </c>
      <c r="F687" s="14">
        <f t="shared" si="155"/>
        <v>1.29</v>
      </c>
      <c r="G687" s="189">
        <f t="shared" si="156"/>
        <v>0.30490956072351427</v>
      </c>
      <c r="J687" s="222"/>
      <c r="K687" s="222"/>
      <c r="L687" s="223"/>
      <c r="M687" s="223"/>
      <c r="S687" s="195"/>
      <c r="Y687" s="195"/>
      <c r="AE687" s="195"/>
    </row>
    <row r="688" spans="1:31" ht="16" x14ac:dyDescent="0.2">
      <c r="A688" s="494"/>
      <c r="C688" s="7">
        <v>19</v>
      </c>
      <c r="D688" s="224">
        <v>3.1133333333333333</v>
      </c>
      <c r="E688" s="6">
        <v>0</v>
      </c>
      <c r="F688" s="14">
        <f t="shared" si="155"/>
        <v>3.1133333333333333</v>
      </c>
      <c r="G688" s="189">
        <f t="shared" si="156"/>
        <v>0.58565310492505351</v>
      </c>
      <c r="J688" s="222"/>
      <c r="K688" s="222"/>
      <c r="L688" s="223"/>
      <c r="M688" s="223"/>
      <c r="S688" s="195"/>
      <c r="Y688" s="195"/>
      <c r="AE688" s="195"/>
    </row>
    <row r="689" spans="1:31" x14ac:dyDescent="0.2">
      <c r="A689" s="494"/>
      <c r="C689" s="7">
        <v>20</v>
      </c>
      <c r="D689" s="224">
        <v>4.9366666666666665</v>
      </c>
      <c r="E689" s="6">
        <v>0</v>
      </c>
      <c r="F689" s="14">
        <f t="shared" si="155"/>
        <v>4.9366666666666665</v>
      </c>
      <c r="G689" s="189">
        <f t="shared" si="156"/>
        <v>0.36934503713706957</v>
      </c>
      <c r="M689" s="195"/>
      <c r="S689" s="195"/>
      <c r="Y689" s="195"/>
      <c r="AE689" s="195"/>
    </row>
    <row r="690" spans="1:31" x14ac:dyDescent="0.2">
      <c r="A690" s="494"/>
      <c r="C690" s="7">
        <v>21</v>
      </c>
      <c r="D690" s="224">
        <v>6.76</v>
      </c>
      <c r="E690" s="6">
        <v>0</v>
      </c>
      <c r="F690" s="14">
        <f t="shared" si="155"/>
        <v>6.76</v>
      </c>
      <c r="G690" s="189">
        <f t="shared" si="156"/>
        <v>0.26972386587771202</v>
      </c>
      <c r="M690" s="195"/>
      <c r="S690" s="195"/>
      <c r="Y690" s="195"/>
      <c r="AE690" s="195"/>
    </row>
    <row r="691" spans="1:31" x14ac:dyDescent="0.2">
      <c r="A691" s="494"/>
      <c r="C691" s="7">
        <v>22</v>
      </c>
      <c r="D691" s="224">
        <v>11.096666666666668</v>
      </c>
      <c r="E691" s="6">
        <v>0</v>
      </c>
      <c r="F691" s="14">
        <f t="shared" si="155"/>
        <v>11.096666666666668</v>
      </c>
      <c r="G691" s="189">
        <f t="shared" si="156"/>
        <v>0.39080805046560535</v>
      </c>
      <c r="M691" s="195"/>
      <c r="S691" s="195"/>
      <c r="Y691" s="195"/>
      <c r="AE691" s="195"/>
    </row>
    <row r="692" spans="1:31" x14ac:dyDescent="0.2">
      <c r="A692" s="494"/>
      <c r="C692" s="7">
        <v>23</v>
      </c>
      <c r="D692" s="224">
        <v>15.433333333333334</v>
      </c>
      <c r="E692" s="6">
        <v>0</v>
      </c>
      <c r="F692" s="14">
        <f t="shared" si="155"/>
        <v>15.433333333333334</v>
      </c>
      <c r="G692" s="189">
        <f t="shared" si="156"/>
        <v>0.28099352051835846</v>
      </c>
      <c r="M692" s="195"/>
      <c r="S692" s="195"/>
      <c r="Y692" s="195"/>
      <c r="AE692" s="195"/>
    </row>
    <row r="693" spans="1:31" x14ac:dyDescent="0.2">
      <c r="A693" s="494"/>
      <c r="C693" s="7">
        <v>24</v>
      </c>
      <c r="D693" s="224">
        <v>19.77</v>
      </c>
      <c r="E693" s="6">
        <v>0</v>
      </c>
      <c r="F693" s="14">
        <f t="shared" si="155"/>
        <v>19.77</v>
      </c>
      <c r="G693" s="189">
        <f t="shared" si="156"/>
        <v>0.21935592648794466</v>
      </c>
      <c r="M693" s="195"/>
      <c r="S693" s="195"/>
      <c r="Y693" s="195"/>
      <c r="AE693" s="195"/>
    </row>
    <row r="694" spans="1:31" x14ac:dyDescent="0.2">
      <c r="A694" s="494"/>
      <c r="C694" s="7">
        <v>25</v>
      </c>
      <c r="D694" s="224">
        <v>26.830000000000002</v>
      </c>
      <c r="E694" s="6">
        <v>0</v>
      </c>
      <c r="F694" s="14">
        <f t="shared" si="155"/>
        <v>26.830000000000002</v>
      </c>
      <c r="G694" s="189">
        <f t="shared" si="156"/>
        <v>0.26313827804696244</v>
      </c>
      <c r="M694" s="195"/>
      <c r="S694" s="195"/>
      <c r="Y694" s="195"/>
      <c r="AE694" s="195"/>
    </row>
    <row r="695" spans="1:31" x14ac:dyDescent="0.2">
      <c r="A695" s="494"/>
      <c r="C695" s="7">
        <v>26</v>
      </c>
      <c r="D695" s="224">
        <v>33.89</v>
      </c>
      <c r="E695" s="6">
        <v>0</v>
      </c>
      <c r="F695" s="14">
        <f t="shared" si="155"/>
        <v>33.89</v>
      </c>
      <c r="G695" s="189">
        <f t="shared" si="156"/>
        <v>0.2083210386544703</v>
      </c>
      <c r="M695" s="195"/>
      <c r="S695" s="195"/>
      <c r="Y695" s="195"/>
      <c r="AE695" s="195"/>
    </row>
    <row r="696" spans="1:31" x14ac:dyDescent="0.2">
      <c r="A696" s="494"/>
      <c r="C696" s="7">
        <v>27</v>
      </c>
      <c r="D696" s="224">
        <v>40.950000000000003</v>
      </c>
      <c r="E696" s="6">
        <v>0</v>
      </c>
      <c r="F696" s="14">
        <f t="shared" si="155"/>
        <v>40.950000000000003</v>
      </c>
      <c r="G696" s="189">
        <f t="shared" si="156"/>
        <v>0.17240537240537246</v>
      </c>
      <c r="M696" s="195"/>
      <c r="S696" s="195"/>
      <c r="Y696" s="195"/>
      <c r="AE696" s="195"/>
    </row>
    <row r="697" spans="1:31" x14ac:dyDescent="0.2">
      <c r="A697" s="494"/>
      <c r="C697" s="7">
        <v>28</v>
      </c>
      <c r="D697" s="224">
        <v>50.49</v>
      </c>
      <c r="E697" s="6">
        <v>0</v>
      </c>
      <c r="F697" s="14">
        <f t="shared" si="155"/>
        <v>50.49</v>
      </c>
      <c r="G697" s="189">
        <f t="shared" si="156"/>
        <v>0.18894830659536541</v>
      </c>
      <c r="M697" s="195"/>
      <c r="S697" s="195"/>
      <c r="Y697" s="195"/>
      <c r="AE697" s="195"/>
    </row>
    <row r="698" spans="1:31" x14ac:dyDescent="0.2">
      <c r="A698" s="494"/>
      <c r="C698" s="7">
        <v>29</v>
      </c>
      <c r="D698" s="224">
        <v>60.03</v>
      </c>
      <c r="E698" s="6">
        <v>0</v>
      </c>
      <c r="F698" s="14">
        <f t="shared" si="155"/>
        <v>60.03</v>
      </c>
      <c r="G698" s="189">
        <f t="shared" si="156"/>
        <v>0.15892053973013492</v>
      </c>
      <c r="M698" s="195"/>
      <c r="S698" s="195"/>
      <c r="Y698" s="195"/>
      <c r="AE698" s="195"/>
    </row>
    <row r="699" spans="1:31" x14ac:dyDescent="0.2">
      <c r="A699" s="494"/>
      <c r="C699" s="7">
        <v>30</v>
      </c>
      <c r="D699" s="7">
        <v>69.569999999999993</v>
      </c>
      <c r="E699" s="7">
        <v>0</v>
      </c>
      <c r="F699" s="14">
        <f t="shared" si="155"/>
        <v>69.569999999999993</v>
      </c>
      <c r="G699" s="189">
        <f>((D699-F698)/D699)/(C699-C698)</f>
        <v>0.13712807244501932</v>
      </c>
      <c r="M699" s="195"/>
      <c r="S699" s="195"/>
      <c r="Y699" s="195"/>
      <c r="AE699" s="195"/>
    </row>
    <row r="700" spans="1:31" x14ac:dyDescent="0.2">
      <c r="A700" s="494"/>
      <c r="G700" s="195"/>
      <c r="M700" s="195"/>
      <c r="S700" s="195"/>
      <c r="Y700" s="195"/>
      <c r="AE700" s="195"/>
    </row>
    <row r="701" spans="1:31" x14ac:dyDescent="0.2">
      <c r="A701" s="208"/>
      <c r="G701" s="195"/>
      <c r="M701" s="195"/>
      <c r="S701" s="195"/>
      <c r="Y701" s="195"/>
      <c r="AE701" s="195"/>
    </row>
    <row r="703" spans="1:31" ht="16" customHeight="1" x14ac:dyDescent="0.2">
      <c r="A703" s="494" t="s">
        <v>711</v>
      </c>
      <c r="C703" s="7" t="s">
        <v>984</v>
      </c>
      <c r="D703" s="9" t="s">
        <v>139</v>
      </c>
      <c r="I703" s="7" t="s">
        <v>985</v>
      </c>
      <c r="O703" s="7" t="s">
        <v>986</v>
      </c>
    </row>
    <row r="704" spans="1:31" x14ac:dyDescent="0.2">
      <c r="A704" s="494"/>
      <c r="C704" s="6" t="s">
        <v>125</v>
      </c>
      <c r="D704" s="6" t="s">
        <v>126</v>
      </c>
      <c r="E704" s="6" t="s">
        <v>127</v>
      </c>
      <c r="F704" s="6" t="s">
        <v>128</v>
      </c>
      <c r="G704" s="194" t="s">
        <v>699</v>
      </c>
      <c r="I704" s="176" t="s">
        <v>125</v>
      </c>
      <c r="J704" s="176" t="s">
        <v>126</v>
      </c>
      <c r="K704" s="176" t="s">
        <v>127</v>
      </c>
      <c r="L704" s="176" t="s">
        <v>128</v>
      </c>
      <c r="M704" s="196" t="s">
        <v>699</v>
      </c>
      <c r="O704" s="176" t="s">
        <v>125</v>
      </c>
      <c r="P704" s="176" t="s">
        <v>126</v>
      </c>
      <c r="Q704" s="176" t="s">
        <v>127</v>
      </c>
      <c r="R704" s="176" t="s">
        <v>128</v>
      </c>
      <c r="S704" s="196" t="s">
        <v>699</v>
      </c>
    </row>
    <row r="705" spans="1:19" x14ac:dyDescent="0.2">
      <c r="A705" s="494"/>
      <c r="C705" s="6">
        <v>1</v>
      </c>
      <c r="D705" s="14">
        <f>D733/C733</f>
        <v>6.8965517241379309E-2</v>
      </c>
      <c r="E705" s="6">
        <v>0</v>
      </c>
      <c r="F705" s="14">
        <f>ChA_1165[[#This Row],[V_av]]-ChA_1165[[#This Row],[V_prel]]</f>
        <v>6.8965517241379309E-2</v>
      </c>
      <c r="G705" s="194">
        <v>0</v>
      </c>
      <c r="I705" s="6">
        <v>1</v>
      </c>
      <c r="J705" s="14">
        <f>J741/I741</f>
        <v>0.16216216216216217</v>
      </c>
      <c r="K705" s="6">
        <v>0</v>
      </c>
      <c r="L705" s="14">
        <f>J705-K705</f>
        <v>0.16216216216216217</v>
      </c>
      <c r="M705" s="187">
        <v>0</v>
      </c>
      <c r="O705" s="6">
        <v>1</v>
      </c>
      <c r="P705" s="14">
        <f>P753/O753</f>
        <v>0.22448979591836735</v>
      </c>
      <c r="Q705" s="6">
        <v>0</v>
      </c>
      <c r="R705" s="14">
        <f>P705-Q705</f>
        <v>0.22448979591836735</v>
      </c>
      <c r="S705" s="187">
        <v>0</v>
      </c>
    </row>
    <row r="706" spans="1:19" x14ac:dyDescent="0.2">
      <c r="A706" s="494"/>
      <c r="C706" s="6">
        <v>2</v>
      </c>
      <c r="D706" s="14">
        <f>$D$733/$C$733+F705</f>
        <v>0.13793103448275862</v>
      </c>
      <c r="E706" s="6">
        <v>0</v>
      </c>
      <c r="F706" s="14">
        <f>ChA_1165[[#This Row],[V_av]]-ChA_1165[[#This Row],[V_prel]]</f>
        <v>0.13793103448275862</v>
      </c>
      <c r="G706" s="188">
        <f>((D706-F705)/D706)/(C706-C705)</f>
        <v>0.5</v>
      </c>
      <c r="I706" s="6">
        <v>2</v>
      </c>
      <c r="J706" s="14">
        <f>$J$741/$I$741+L705</f>
        <v>0.32432432432432434</v>
      </c>
      <c r="K706" s="6">
        <v>0</v>
      </c>
      <c r="L706" s="14">
        <f t="shared" ref="L706:L740" si="157">J706-K706</f>
        <v>0.32432432432432434</v>
      </c>
      <c r="M706" s="188">
        <f>((J706-L705)/J706)/(I706-I705)</f>
        <v>0.5</v>
      </c>
      <c r="O706" s="6">
        <v>2</v>
      </c>
      <c r="P706" s="14">
        <f>$P$753/$O$753+R705</f>
        <v>0.44897959183673469</v>
      </c>
      <c r="Q706" s="6">
        <v>0</v>
      </c>
      <c r="R706" s="14">
        <f t="shared" ref="R706:R752" si="158">P706-Q706</f>
        <v>0.44897959183673469</v>
      </c>
      <c r="S706" s="188">
        <f>((P706-R705)/P706)/(O706-O705)</f>
        <v>0.5</v>
      </c>
    </row>
    <row r="707" spans="1:19" x14ac:dyDescent="0.2">
      <c r="A707" s="494"/>
      <c r="C707" s="6">
        <v>3</v>
      </c>
      <c r="D707" s="14">
        <f t="shared" ref="D707:D732" si="159">$D$733/$C$733+F706</f>
        <v>0.20689655172413793</v>
      </c>
      <c r="E707" s="6">
        <v>0</v>
      </c>
      <c r="F707" s="14">
        <f>ChA_1165[[#This Row],[V_av]]-ChA_1165[[#This Row],[V_prel]]</f>
        <v>0.20689655172413793</v>
      </c>
      <c r="G707" s="188">
        <f t="shared" ref="G707:G750" si="160">((D707-F706)/D707)/(C707-C706)</f>
        <v>0.33333333333333331</v>
      </c>
      <c r="I707" s="6">
        <v>3</v>
      </c>
      <c r="J707" s="14">
        <f t="shared" ref="J707:J740" si="161">$J$741/$I$741+L706</f>
        <v>0.48648648648648651</v>
      </c>
      <c r="K707" s="6">
        <v>0</v>
      </c>
      <c r="L707" s="14">
        <f t="shared" si="157"/>
        <v>0.48648648648648651</v>
      </c>
      <c r="M707" s="188">
        <f t="shared" ref="M707:M741" si="162">((J707-L706)/J707)/(I707-I706)</f>
        <v>0.33333333333333331</v>
      </c>
      <c r="O707" s="6">
        <v>3</v>
      </c>
      <c r="P707" s="14">
        <f t="shared" ref="P707:P752" si="163">$P$753/$O$753+R706</f>
        <v>0.67346938775510201</v>
      </c>
      <c r="Q707" s="6">
        <v>0</v>
      </c>
      <c r="R707" s="14">
        <f t="shared" si="158"/>
        <v>0.67346938775510201</v>
      </c>
      <c r="S707" s="188">
        <f t="shared" ref="S707:S753" si="164">((P707-R706)/P707)/(O707-O706)</f>
        <v>0.33333333333333331</v>
      </c>
    </row>
    <row r="708" spans="1:19" x14ac:dyDescent="0.2">
      <c r="A708" s="494"/>
      <c r="C708" s="6">
        <v>4</v>
      </c>
      <c r="D708" s="14">
        <f t="shared" si="159"/>
        <v>0.27586206896551724</v>
      </c>
      <c r="E708" s="6">
        <v>0</v>
      </c>
      <c r="F708" s="14">
        <f>ChA_1165[[#This Row],[V_av]]-ChA_1165[[#This Row],[V_prel]]</f>
        <v>0.27586206896551724</v>
      </c>
      <c r="G708" s="188">
        <f t="shared" si="160"/>
        <v>0.25</v>
      </c>
      <c r="I708" s="6">
        <v>4</v>
      </c>
      <c r="J708" s="14">
        <f t="shared" si="161"/>
        <v>0.64864864864864868</v>
      </c>
      <c r="K708" s="6">
        <v>0</v>
      </c>
      <c r="L708" s="14">
        <f t="shared" si="157"/>
        <v>0.64864864864864868</v>
      </c>
      <c r="M708" s="188">
        <f t="shared" si="162"/>
        <v>0.25</v>
      </c>
      <c r="O708" s="6">
        <v>4</v>
      </c>
      <c r="P708" s="14">
        <f t="shared" si="163"/>
        <v>0.89795918367346939</v>
      </c>
      <c r="Q708" s="6">
        <v>0</v>
      </c>
      <c r="R708" s="14">
        <f t="shared" si="158"/>
        <v>0.89795918367346939</v>
      </c>
      <c r="S708" s="188">
        <f t="shared" si="164"/>
        <v>0.25000000000000006</v>
      </c>
    </row>
    <row r="709" spans="1:19" x14ac:dyDescent="0.2">
      <c r="A709" s="494"/>
      <c r="C709" s="6">
        <v>5</v>
      </c>
      <c r="D709" s="14">
        <f t="shared" si="159"/>
        <v>0.34482758620689657</v>
      </c>
      <c r="E709" s="6">
        <v>0</v>
      </c>
      <c r="F709" s="14">
        <f>ChA_1165[[#This Row],[V_av]]-ChA_1165[[#This Row],[V_prel]]</f>
        <v>0.34482758620689657</v>
      </c>
      <c r="G709" s="188">
        <f t="shared" si="160"/>
        <v>0.20000000000000007</v>
      </c>
      <c r="I709" s="6">
        <v>5</v>
      </c>
      <c r="J709" s="14">
        <f t="shared" si="161"/>
        <v>0.81081081081081086</v>
      </c>
      <c r="K709" s="6">
        <v>0</v>
      </c>
      <c r="L709" s="14">
        <f t="shared" si="157"/>
        <v>0.81081081081081086</v>
      </c>
      <c r="M709" s="188">
        <f t="shared" si="162"/>
        <v>0.2</v>
      </c>
      <c r="O709" s="6">
        <v>5</v>
      </c>
      <c r="P709" s="14">
        <f t="shared" si="163"/>
        <v>1.1224489795918366</v>
      </c>
      <c r="Q709" s="6">
        <v>0</v>
      </c>
      <c r="R709" s="14">
        <f t="shared" si="158"/>
        <v>1.1224489795918366</v>
      </c>
      <c r="S709" s="188">
        <f t="shared" si="164"/>
        <v>0.19999999999999993</v>
      </c>
    </row>
    <row r="710" spans="1:19" x14ac:dyDescent="0.2">
      <c r="A710" s="494"/>
      <c r="C710" s="6">
        <v>6</v>
      </c>
      <c r="D710" s="14">
        <f t="shared" si="159"/>
        <v>0.41379310344827591</v>
      </c>
      <c r="E710" s="6">
        <v>0</v>
      </c>
      <c r="F710" s="14">
        <f>ChA_1165[[#This Row],[V_av]]-ChA_1165[[#This Row],[V_prel]]</f>
        <v>0.41379310344827591</v>
      </c>
      <c r="G710" s="188">
        <f t="shared" si="160"/>
        <v>0.16666666666666671</v>
      </c>
      <c r="I710" s="6">
        <v>6</v>
      </c>
      <c r="J710" s="14">
        <f t="shared" si="161"/>
        <v>0.97297297297297303</v>
      </c>
      <c r="K710" s="6">
        <v>0</v>
      </c>
      <c r="L710" s="14">
        <f t="shared" si="157"/>
        <v>0.97297297297297303</v>
      </c>
      <c r="M710" s="188">
        <f t="shared" si="162"/>
        <v>0.16666666666666666</v>
      </c>
      <c r="O710" s="6">
        <v>6</v>
      </c>
      <c r="P710" s="14">
        <f t="shared" si="163"/>
        <v>1.346938775510204</v>
      </c>
      <c r="Q710" s="6">
        <v>0</v>
      </c>
      <c r="R710" s="14">
        <f t="shared" si="158"/>
        <v>1.346938775510204</v>
      </c>
      <c r="S710" s="188">
        <f t="shared" si="164"/>
        <v>0.16666666666666669</v>
      </c>
    </row>
    <row r="711" spans="1:19" x14ac:dyDescent="0.2">
      <c r="A711" s="494"/>
      <c r="C711" s="6">
        <v>7</v>
      </c>
      <c r="D711" s="14">
        <f t="shared" si="159"/>
        <v>0.48275862068965525</v>
      </c>
      <c r="E711" s="6">
        <v>0</v>
      </c>
      <c r="F711" s="14">
        <f>ChA_1165[[#This Row],[V_av]]-ChA_1165[[#This Row],[V_prel]]</f>
        <v>0.48275862068965525</v>
      </c>
      <c r="G711" s="188">
        <f t="shared" si="160"/>
        <v>0.14285714285714288</v>
      </c>
      <c r="I711" s="6">
        <v>7</v>
      </c>
      <c r="J711" s="14">
        <f t="shared" si="161"/>
        <v>1.1351351351351351</v>
      </c>
      <c r="K711" s="6">
        <v>0</v>
      </c>
      <c r="L711" s="14">
        <f t="shared" si="157"/>
        <v>1.1351351351351351</v>
      </c>
      <c r="M711" s="188">
        <f t="shared" si="162"/>
        <v>0.14285714285714277</v>
      </c>
      <c r="O711" s="6">
        <v>7</v>
      </c>
      <c r="P711" s="14">
        <f t="shared" si="163"/>
        <v>1.5714285714285714</v>
      </c>
      <c r="Q711" s="6">
        <v>0</v>
      </c>
      <c r="R711" s="14">
        <f t="shared" si="158"/>
        <v>1.5714285714285714</v>
      </c>
      <c r="S711" s="188">
        <f t="shared" si="164"/>
        <v>0.14285714285714288</v>
      </c>
    </row>
    <row r="712" spans="1:19" x14ac:dyDescent="0.2">
      <c r="A712" s="494"/>
      <c r="C712" s="6">
        <v>8</v>
      </c>
      <c r="D712" s="14">
        <f t="shared" si="159"/>
        <v>0.55172413793103459</v>
      </c>
      <c r="E712" s="6">
        <v>0</v>
      </c>
      <c r="F712" s="14">
        <f>ChA_1165[[#This Row],[V_av]]-ChA_1165[[#This Row],[V_prel]]</f>
        <v>0.55172413793103459</v>
      </c>
      <c r="G712" s="188">
        <f t="shared" si="160"/>
        <v>0.12500000000000003</v>
      </c>
      <c r="I712" s="6">
        <v>8</v>
      </c>
      <c r="J712" s="14">
        <f t="shared" si="161"/>
        <v>1.2972972972972974</v>
      </c>
      <c r="K712" s="6">
        <v>0</v>
      </c>
      <c r="L712" s="14">
        <f t="shared" si="157"/>
        <v>1.2972972972972974</v>
      </c>
      <c r="M712" s="188">
        <f t="shared" si="162"/>
        <v>0.12500000000000008</v>
      </c>
      <c r="O712" s="6">
        <v>8</v>
      </c>
      <c r="P712" s="14">
        <f t="shared" si="163"/>
        <v>1.7959183673469388</v>
      </c>
      <c r="Q712" s="6">
        <v>0</v>
      </c>
      <c r="R712" s="14">
        <f t="shared" si="158"/>
        <v>1.7959183673469388</v>
      </c>
      <c r="S712" s="188">
        <f t="shared" si="164"/>
        <v>0.12500000000000003</v>
      </c>
    </row>
    <row r="713" spans="1:19" x14ac:dyDescent="0.2">
      <c r="A713" s="494"/>
      <c r="C713" s="6">
        <v>9</v>
      </c>
      <c r="D713" s="14">
        <f t="shared" si="159"/>
        <v>0.62068965517241392</v>
      </c>
      <c r="E713" s="6">
        <v>0</v>
      </c>
      <c r="F713" s="14">
        <f>ChA_1165[[#This Row],[V_av]]-ChA_1165[[#This Row],[V_prel]]</f>
        <v>0.62068965517241392</v>
      </c>
      <c r="G713" s="188">
        <f t="shared" si="160"/>
        <v>0.11111111111111113</v>
      </c>
      <c r="I713" s="6">
        <v>9</v>
      </c>
      <c r="J713" s="14">
        <f t="shared" si="161"/>
        <v>1.4594594594594597</v>
      </c>
      <c r="K713" s="6">
        <v>0</v>
      </c>
      <c r="L713" s="14">
        <f t="shared" si="157"/>
        <v>1.4594594594594597</v>
      </c>
      <c r="M713" s="188">
        <f t="shared" si="162"/>
        <v>0.11111111111111117</v>
      </c>
      <c r="O713" s="6">
        <v>9</v>
      </c>
      <c r="P713" s="14">
        <f t="shared" si="163"/>
        <v>2.0204081632653059</v>
      </c>
      <c r="Q713" s="6">
        <v>0</v>
      </c>
      <c r="R713" s="14">
        <f t="shared" si="158"/>
        <v>2.0204081632653059</v>
      </c>
      <c r="S713" s="188">
        <f t="shared" si="164"/>
        <v>0.11111111111111102</v>
      </c>
    </row>
    <row r="714" spans="1:19" x14ac:dyDescent="0.2">
      <c r="A714" s="494"/>
      <c r="C714" s="6">
        <v>10</v>
      </c>
      <c r="D714" s="14">
        <f t="shared" si="159"/>
        <v>0.68965517241379326</v>
      </c>
      <c r="E714" s="6">
        <v>0</v>
      </c>
      <c r="F714" s="14">
        <f>ChA_1165[[#This Row],[V_av]]-ChA_1165[[#This Row],[V_prel]]</f>
        <v>0.68965517241379326</v>
      </c>
      <c r="G714" s="188">
        <f t="shared" si="160"/>
        <v>0.10000000000000002</v>
      </c>
      <c r="I714" s="6">
        <v>10</v>
      </c>
      <c r="J714" s="14">
        <f t="shared" si="161"/>
        <v>1.6216216216216219</v>
      </c>
      <c r="K714" s="6">
        <v>0</v>
      </c>
      <c r="L714" s="14">
        <f t="shared" si="157"/>
        <v>1.6216216216216219</v>
      </c>
      <c r="M714" s="188">
        <f t="shared" si="162"/>
        <v>0.10000000000000006</v>
      </c>
      <c r="O714" s="6">
        <v>10</v>
      </c>
      <c r="P714" s="14">
        <f t="shared" si="163"/>
        <v>2.2448979591836733</v>
      </c>
      <c r="Q714" s="6">
        <v>0</v>
      </c>
      <c r="R714" s="14">
        <f t="shared" si="158"/>
        <v>2.2448979591836733</v>
      </c>
      <c r="S714" s="188">
        <f t="shared" si="164"/>
        <v>0.10000000000000002</v>
      </c>
    </row>
    <row r="715" spans="1:19" x14ac:dyDescent="0.2">
      <c r="A715" s="494"/>
      <c r="C715" s="6">
        <v>11</v>
      </c>
      <c r="D715" s="14">
        <f t="shared" si="159"/>
        <v>0.7586206896551726</v>
      </c>
      <c r="E715" s="6">
        <v>0</v>
      </c>
      <c r="F715" s="14">
        <f>ChA_1165[[#This Row],[V_av]]-ChA_1165[[#This Row],[V_prel]]</f>
        <v>0.7586206896551726</v>
      </c>
      <c r="G715" s="188">
        <f t="shared" si="160"/>
        <v>9.0909090909090925E-2</v>
      </c>
      <c r="I715" s="6">
        <v>11</v>
      </c>
      <c r="J715" s="14">
        <f t="shared" si="161"/>
        <v>1.7837837837837842</v>
      </c>
      <c r="K715" s="6">
        <v>0</v>
      </c>
      <c r="L715" s="14">
        <f t="shared" si="157"/>
        <v>1.7837837837837842</v>
      </c>
      <c r="M715" s="188">
        <f t="shared" si="162"/>
        <v>9.0909090909090953E-2</v>
      </c>
      <c r="O715" s="6">
        <v>11</v>
      </c>
      <c r="P715" s="14">
        <f t="shared" si="163"/>
        <v>2.4693877551020407</v>
      </c>
      <c r="Q715" s="6">
        <v>0</v>
      </c>
      <c r="R715" s="14">
        <f t="shared" si="158"/>
        <v>2.4693877551020407</v>
      </c>
      <c r="S715" s="188">
        <f t="shared" si="164"/>
        <v>9.0909090909090925E-2</v>
      </c>
    </row>
    <row r="716" spans="1:19" x14ac:dyDescent="0.2">
      <c r="A716" s="494"/>
      <c r="C716" s="6">
        <v>12</v>
      </c>
      <c r="D716" s="14">
        <f t="shared" si="159"/>
        <v>0.82758620689655193</v>
      </c>
      <c r="E716" s="6">
        <v>0</v>
      </c>
      <c r="F716" s="14">
        <f>ChA_1165[[#This Row],[V_av]]-ChA_1165[[#This Row],[V_prel]]</f>
        <v>0.82758620689655193</v>
      </c>
      <c r="G716" s="188">
        <f t="shared" si="160"/>
        <v>8.3333333333333343E-2</v>
      </c>
      <c r="I716" s="6">
        <v>12</v>
      </c>
      <c r="J716" s="14">
        <f t="shared" si="161"/>
        <v>1.9459459459459465</v>
      </c>
      <c r="K716" s="6">
        <v>0</v>
      </c>
      <c r="L716" s="14">
        <f t="shared" si="157"/>
        <v>1.9459459459459465</v>
      </c>
      <c r="M716" s="188">
        <f t="shared" si="162"/>
        <v>8.333333333333337E-2</v>
      </c>
      <c r="O716" s="6">
        <v>12</v>
      </c>
      <c r="P716" s="14">
        <f t="shared" si="163"/>
        <v>2.693877551020408</v>
      </c>
      <c r="Q716" s="6">
        <v>0</v>
      </c>
      <c r="R716" s="14">
        <f t="shared" si="158"/>
        <v>2.693877551020408</v>
      </c>
      <c r="S716" s="188">
        <f t="shared" si="164"/>
        <v>8.3333333333333343E-2</v>
      </c>
    </row>
    <row r="717" spans="1:19" x14ac:dyDescent="0.2">
      <c r="A717" s="494"/>
      <c r="C717" s="6">
        <v>13</v>
      </c>
      <c r="D717" s="14">
        <f t="shared" si="159"/>
        <v>0.89655172413793127</v>
      </c>
      <c r="E717" s="6">
        <v>0</v>
      </c>
      <c r="F717" s="14">
        <f>ChA_1165[[#This Row],[V_av]]-ChA_1165[[#This Row],[V_prel]]</f>
        <v>0.89655172413793127</v>
      </c>
      <c r="G717" s="188">
        <f t="shared" si="160"/>
        <v>7.6923076923076927E-2</v>
      </c>
      <c r="I717" s="6">
        <v>13</v>
      </c>
      <c r="J717" s="14">
        <f t="shared" si="161"/>
        <v>2.1081081081081088</v>
      </c>
      <c r="K717" s="6">
        <v>0</v>
      </c>
      <c r="L717" s="14">
        <f t="shared" si="157"/>
        <v>2.1081081081081088</v>
      </c>
      <c r="M717" s="188">
        <f t="shared" si="162"/>
        <v>7.6923076923076955E-2</v>
      </c>
      <c r="O717" s="6">
        <v>13</v>
      </c>
      <c r="P717" s="14">
        <f t="shared" si="163"/>
        <v>2.9183673469387754</v>
      </c>
      <c r="Q717" s="6">
        <v>0</v>
      </c>
      <c r="R717" s="14">
        <f t="shared" si="158"/>
        <v>2.9183673469387754</v>
      </c>
      <c r="S717" s="188">
        <f t="shared" si="164"/>
        <v>7.6923076923076941E-2</v>
      </c>
    </row>
    <row r="718" spans="1:19" x14ac:dyDescent="0.2">
      <c r="A718" s="494"/>
      <c r="C718" s="6">
        <v>14</v>
      </c>
      <c r="D718" s="14">
        <f t="shared" si="159"/>
        <v>0.96551724137931061</v>
      </c>
      <c r="E718" s="6">
        <v>0</v>
      </c>
      <c r="F718" s="14">
        <f>ChA_1165[[#This Row],[V_av]]-ChA_1165[[#This Row],[V_prel]]</f>
        <v>0.96551724137931061</v>
      </c>
      <c r="G718" s="188">
        <f t="shared" si="160"/>
        <v>7.1428571428571438E-2</v>
      </c>
      <c r="I718" s="6">
        <v>14</v>
      </c>
      <c r="J718" s="14">
        <f t="shared" si="161"/>
        <v>2.2702702702702711</v>
      </c>
      <c r="K718" s="6">
        <v>0</v>
      </c>
      <c r="L718" s="14">
        <f t="shared" si="157"/>
        <v>2.2702702702702711</v>
      </c>
      <c r="M718" s="188">
        <f t="shared" si="162"/>
        <v>7.1428571428571452E-2</v>
      </c>
      <c r="O718" s="6">
        <v>14</v>
      </c>
      <c r="P718" s="14">
        <f t="shared" si="163"/>
        <v>3.1428571428571428</v>
      </c>
      <c r="Q718" s="6">
        <v>0</v>
      </c>
      <c r="R718" s="14">
        <f t="shared" si="158"/>
        <v>3.1428571428571428</v>
      </c>
      <c r="S718" s="188">
        <f t="shared" si="164"/>
        <v>7.1428571428571438E-2</v>
      </c>
    </row>
    <row r="719" spans="1:19" x14ac:dyDescent="0.2">
      <c r="A719" s="494"/>
      <c r="C719" s="6">
        <v>15</v>
      </c>
      <c r="D719" s="14">
        <f t="shared" si="159"/>
        <v>1.0344827586206899</v>
      </c>
      <c r="E719" s="6">
        <v>0</v>
      </c>
      <c r="F719" s="14">
        <f>ChA_1165[[#This Row],[V_av]]-ChA_1165[[#This Row],[V_prel]]</f>
        <v>1.0344827586206899</v>
      </c>
      <c r="G719" s="188">
        <f t="shared" si="160"/>
        <v>6.666666666666668E-2</v>
      </c>
      <c r="I719" s="6">
        <v>15</v>
      </c>
      <c r="J719" s="14">
        <f t="shared" si="161"/>
        <v>2.4324324324324333</v>
      </c>
      <c r="K719" s="6">
        <v>0</v>
      </c>
      <c r="L719" s="14">
        <f t="shared" si="157"/>
        <v>2.4324324324324333</v>
      </c>
      <c r="M719" s="188">
        <f t="shared" si="162"/>
        <v>6.6666666666666693E-2</v>
      </c>
      <c r="O719" s="6">
        <v>15</v>
      </c>
      <c r="P719" s="14">
        <f t="shared" si="163"/>
        <v>3.3673469387755102</v>
      </c>
      <c r="Q719" s="6">
        <v>0</v>
      </c>
      <c r="R719" s="14">
        <f t="shared" si="158"/>
        <v>3.3673469387755102</v>
      </c>
      <c r="S719" s="188">
        <f t="shared" si="164"/>
        <v>6.666666666666668E-2</v>
      </c>
    </row>
    <row r="720" spans="1:19" x14ac:dyDescent="0.2">
      <c r="A720" s="494"/>
      <c r="C720" s="6">
        <v>16</v>
      </c>
      <c r="D720" s="14">
        <f t="shared" si="159"/>
        <v>1.1034482758620692</v>
      </c>
      <c r="E720" s="6">
        <v>0</v>
      </c>
      <c r="F720" s="14">
        <f>ChA_1165[[#This Row],[V_av]]-ChA_1165[[#This Row],[V_prel]]</f>
        <v>1.1034482758620692</v>
      </c>
      <c r="G720" s="188">
        <f t="shared" si="160"/>
        <v>6.249999999999991E-2</v>
      </c>
      <c r="I720" s="6">
        <v>16</v>
      </c>
      <c r="J720" s="14">
        <f t="shared" si="161"/>
        <v>2.5945945945945956</v>
      </c>
      <c r="K720" s="6">
        <v>0</v>
      </c>
      <c r="L720" s="14">
        <f t="shared" si="157"/>
        <v>2.5945945945945956</v>
      </c>
      <c r="M720" s="188">
        <f t="shared" si="162"/>
        <v>6.2500000000000028E-2</v>
      </c>
      <c r="O720" s="6">
        <v>16</v>
      </c>
      <c r="P720" s="14">
        <f t="shared" si="163"/>
        <v>3.5918367346938775</v>
      </c>
      <c r="Q720" s="6">
        <v>0</v>
      </c>
      <c r="R720" s="14">
        <f t="shared" si="158"/>
        <v>3.5918367346938775</v>
      </c>
      <c r="S720" s="188">
        <f t="shared" si="164"/>
        <v>6.2500000000000014E-2</v>
      </c>
    </row>
    <row r="721" spans="1:19" x14ac:dyDescent="0.2">
      <c r="A721" s="494"/>
      <c r="C721" s="6">
        <v>17</v>
      </c>
      <c r="D721" s="14">
        <f t="shared" si="159"/>
        <v>1.1724137931034484</v>
      </c>
      <c r="E721" s="6">
        <v>0</v>
      </c>
      <c r="F721" s="14">
        <f>ChA_1165[[#This Row],[V_av]]-ChA_1165[[#This Row],[V_prel]]</f>
        <v>1.1724137931034484</v>
      </c>
      <c r="G721" s="188">
        <f t="shared" si="160"/>
        <v>5.8823529411764629E-2</v>
      </c>
      <c r="I721" s="6">
        <v>17</v>
      </c>
      <c r="J721" s="14">
        <f t="shared" si="161"/>
        <v>2.7567567567567579</v>
      </c>
      <c r="K721" s="6">
        <v>0</v>
      </c>
      <c r="L721" s="14">
        <f t="shared" si="157"/>
        <v>2.7567567567567579</v>
      </c>
      <c r="M721" s="188">
        <f t="shared" si="162"/>
        <v>5.8823529411764726E-2</v>
      </c>
      <c r="O721" s="6">
        <v>17</v>
      </c>
      <c r="P721" s="14">
        <f t="shared" si="163"/>
        <v>3.8163265306122449</v>
      </c>
      <c r="Q721" s="6">
        <v>0</v>
      </c>
      <c r="R721" s="14">
        <f t="shared" si="158"/>
        <v>3.8163265306122449</v>
      </c>
      <c r="S721" s="188">
        <f t="shared" si="164"/>
        <v>5.8823529411764712E-2</v>
      </c>
    </row>
    <row r="722" spans="1:19" x14ac:dyDescent="0.2">
      <c r="A722" s="494"/>
      <c r="C722" s="6">
        <v>18</v>
      </c>
      <c r="D722" s="14">
        <f t="shared" si="159"/>
        <v>1.2413793103448276</v>
      </c>
      <c r="E722" s="6">
        <v>0</v>
      </c>
      <c r="F722" s="14">
        <f>ChA_1165[[#This Row],[V_av]]-ChA_1165[[#This Row],[V_prel]]</f>
        <v>1.2413793103448276</v>
      </c>
      <c r="G722" s="188">
        <f t="shared" si="160"/>
        <v>5.5555555555555483E-2</v>
      </c>
      <c r="I722" s="6">
        <v>18</v>
      </c>
      <c r="J722" s="14">
        <f t="shared" si="161"/>
        <v>2.9189189189189202</v>
      </c>
      <c r="K722" s="6">
        <v>0</v>
      </c>
      <c r="L722" s="14">
        <f t="shared" si="157"/>
        <v>2.9189189189189202</v>
      </c>
      <c r="M722" s="188">
        <f t="shared" si="162"/>
        <v>5.5555555555555573E-2</v>
      </c>
      <c r="O722" s="6">
        <v>18</v>
      </c>
      <c r="P722" s="14">
        <f t="shared" si="163"/>
        <v>4.0408163265306118</v>
      </c>
      <c r="Q722" s="6">
        <v>0</v>
      </c>
      <c r="R722" s="14">
        <f t="shared" si="158"/>
        <v>4.0408163265306118</v>
      </c>
      <c r="S722" s="188">
        <f t="shared" si="164"/>
        <v>5.5555555555555455E-2</v>
      </c>
    </row>
    <row r="723" spans="1:19" x14ac:dyDescent="0.2">
      <c r="A723" s="494"/>
      <c r="C723" s="6">
        <v>19</v>
      </c>
      <c r="D723" s="14">
        <f t="shared" si="159"/>
        <v>1.3103448275862069</v>
      </c>
      <c r="E723" s="6">
        <v>0</v>
      </c>
      <c r="F723" s="14">
        <f>ChA_1165[[#This Row],[V_av]]-ChA_1165[[#This Row],[V_prel]]</f>
        <v>1.3103448275862069</v>
      </c>
      <c r="G723" s="188">
        <f t="shared" si="160"/>
        <v>5.2631578947368356E-2</v>
      </c>
      <c r="I723" s="6">
        <v>19</v>
      </c>
      <c r="J723" s="14">
        <f t="shared" si="161"/>
        <v>3.0810810810810825</v>
      </c>
      <c r="K723" s="6">
        <v>0</v>
      </c>
      <c r="L723" s="14">
        <f t="shared" si="157"/>
        <v>3.0810810810810825</v>
      </c>
      <c r="M723" s="188">
        <f t="shared" si="162"/>
        <v>5.2631578947368439E-2</v>
      </c>
      <c r="O723" s="6">
        <v>19</v>
      </c>
      <c r="P723" s="14">
        <f t="shared" si="163"/>
        <v>4.2653061224489788</v>
      </c>
      <c r="Q723" s="6">
        <v>0</v>
      </c>
      <c r="R723" s="14">
        <f t="shared" si="158"/>
        <v>4.2653061224489788</v>
      </c>
      <c r="S723" s="188">
        <f t="shared" si="164"/>
        <v>5.2631578947368335E-2</v>
      </c>
    </row>
    <row r="724" spans="1:19" x14ac:dyDescent="0.2">
      <c r="A724" s="494"/>
      <c r="C724" s="6">
        <v>20</v>
      </c>
      <c r="D724" s="14">
        <f t="shared" si="159"/>
        <v>1.3793103448275861</v>
      </c>
      <c r="E724" s="6">
        <v>0</v>
      </c>
      <c r="F724" s="14">
        <f>ChA_1165[[#This Row],[V_av]]-ChA_1165[[#This Row],[V_prel]]</f>
        <v>1.3793103448275861</v>
      </c>
      <c r="G724" s="188">
        <f t="shared" si="160"/>
        <v>4.999999999999994E-2</v>
      </c>
      <c r="I724" s="6">
        <v>20</v>
      </c>
      <c r="J724" s="14">
        <f t="shared" si="161"/>
        <v>3.2432432432432448</v>
      </c>
      <c r="K724" s="6">
        <v>0</v>
      </c>
      <c r="L724" s="14">
        <f t="shared" si="157"/>
        <v>3.2432432432432448</v>
      </c>
      <c r="M724" s="188">
        <f t="shared" si="162"/>
        <v>5.0000000000000017E-2</v>
      </c>
      <c r="O724" s="6">
        <v>20</v>
      </c>
      <c r="P724" s="14">
        <f t="shared" si="163"/>
        <v>4.4897959183673457</v>
      </c>
      <c r="Q724" s="6">
        <v>0</v>
      </c>
      <c r="R724" s="14">
        <f t="shared" si="158"/>
        <v>4.4897959183673457</v>
      </c>
      <c r="S724" s="188">
        <f t="shared" si="164"/>
        <v>4.999999999999992E-2</v>
      </c>
    </row>
    <row r="725" spans="1:19" x14ac:dyDescent="0.2">
      <c r="A725" s="494"/>
      <c r="C725" s="6">
        <v>21</v>
      </c>
      <c r="D725" s="14">
        <f t="shared" si="159"/>
        <v>1.4482758620689653</v>
      </c>
      <c r="E725" s="6">
        <v>0</v>
      </c>
      <c r="F725" s="14">
        <f>ChA_1165[[#This Row],[V_av]]-ChA_1165[[#This Row],[V_prel]]</f>
        <v>1.4482758620689653</v>
      </c>
      <c r="G725" s="188">
        <f t="shared" si="160"/>
        <v>4.7619047619047568E-2</v>
      </c>
      <c r="I725" s="6">
        <v>21</v>
      </c>
      <c r="J725" s="14">
        <f t="shared" si="161"/>
        <v>3.405405405405407</v>
      </c>
      <c r="K725" s="6">
        <v>0</v>
      </c>
      <c r="L725" s="14">
        <f t="shared" si="157"/>
        <v>3.405405405405407</v>
      </c>
      <c r="M725" s="188">
        <f t="shared" si="162"/>
        <v>4.761904761904763E-2</v>
      </c>
      <c r="O725" s="6">
        <v>21</v>
      </c>
      <c r="P725" s="14">
        <f t="shared" si="163"/>
        <v>4.7142857142857126</v>
      </c>
      <c r="Q725" s="6">
        <v>0</v>
      </c>
      <c r="R725" s="14">
        <f t="shared" si="158"/>
        <v>4.7142857142857126</v>
      </c>
      <c r="S725" s="188">
        <f t="shared" si="164"/>
        <v>4.7619047619047547E-2</v>
      </c>
    </row>
    <row r="726" spans="1:19" x14ac:dyDescent="0.2">
      <c r="A726" s="494"/>
      <c r="C726" s="6">
        <v>22</v>
      </c>
      <c r="D726" s="14">
        <f t="shared" si="159"/>
        <v>1.5172413793103445</v>
      </c>
      <c r="E726" s="6">
        <v>0</v>
      </c>
      <c r="F726" s="14">
        <f>ChA_1165[[#This Row],[V_av]]-ChA_1165[[#This Row],[V_prel]]</f>
        <v>1.5172413793103445</v>
      </c>
      <c r="G726" s="188">
        <f t="shared" si="160"/>
        <v>4.5454545454545407E-2</v>
      </c>
      <c r="I726" s="6">
        <v>22</v>
      </c>
      <c r="J726" s="14">
        <f t="shared" si="161"/>
        <v>3.5675675675675693</v>
      </c>
      <c r="K726" s="6">
        <v>0</v>
      </c>
      <c r="L726" s="14">
        <f t="shared" si="157"/>
        <v>3.5675675675675693</v>
      </c>
      <c r="M726" s="188">
        <f t="shared" si="162"/>
        <v>4.5454545454545463E-2</v>
      </c>
      <c r="O726" s="6">
        <v>22</v>
      </c>
      <c r="P726" s="14">
        <f t="shared" si="163"/>
        <v>4.9387755102040796</v>
      </c>
      <c r="Q726" s="6">
        <v>0</v>
      </c>
      <c r="R726" s="14">
        <f t="shared" si="158"/>
        <v>4.9387755102040796</v>
      </c>
      <c r="S726" s="188">
        <f t="shared" si="164"/>
        <v>4.5454545454545386E-2</v>
      </c>
    </row>
    <row r="727" spans="1:19" x14ac:dyDescent="0.2">
      <c r="A727" s="494"/>
      <c r="C727" s="6">
        <v>23</v>
      </c>
      <c r="D727" s="14">
        <f t="shared" si="159"/>
        <v>1.5862068965517238</v>
      </c>
      <c r="E727" s="6">
        <v>0</v>
      </c>
      <c r="F727" s="14">
        <f>ChA_1165[[#This Row],[V_av]]-ChA_1165[[#This Row],[V_prel]]</f>
        <v>1.5862068965517238</v>
      </c>
      <c r="G727" s="188">
        <f t="shared" si="160"/>
        <v>4.3478260869565175E-2</v>
      </c>
      <c r="I727" s="6">
        <v>23</v>
      </c>
      <c r="J727" s="14">
        <f t="shared" si="161"/>
        <v>3.7297297297297316</v>
      </c>
      <c r="K727" s="6">
        <v>0</v>
      </c>
      <c r="L727" s="14">
        <f t="shared" si="157"/>
        <v>3.7297297297297316</v>
      </c>
      <c r="M727" s="188">
        <f t="shared" si="162"/>
        <v>4.347826086956523E-2</v>
      </c>
      <c r="O727" s="6">
        <v>23</v>
      </c>
      <c r="P727" s="14">
        <f t="shared" si="163"/>
        <v>5.1632653061224465</v>
      </c>
      <c r="Q727" s="6">
        <v>0</v>
      </c>
      <c r="R727" s="14">
        <f t="shared" si="158"/>
        <v>5.1632653061224465</v>
      </c>
      <c r="S727" s="188">
        <f t="shared" si="164"/>
        <v>4.3478260869565161E-2</v>
      </c>
    </row>
    <row r="728" spans="1:19" x14ac:dyDescent="0.2">
      <c r="A728" s="494"/>
      <c r="C728" s="6">
        <v>24</v>
      </c>
      <c r="D728" s="14">
        <f t="shared" si="159"/>
        <v>1.655172413793103</v>
      </c>
      <c r="E728" s="6">
        <v>0</v>
      </c>
      <c r="F728" s="14">
        <f>ChA_1165[[#This Row],[V_av]]-ChA_1165[[#This Row],[V_prel]]</f>
        <v>1.655172413793103</v>
      </c>
      <c r="G728" s="188">
        <f t="shared" si="160"/>
        <v>4.166666666666663E-2</v>
      </c>
      <c r="I728" s="6">
        <v>24</v>
      </c>
      <c r="J728" s="14">
        <f t="shared" si="161"/>
        <v>3.8918918918918939</v>
      </c>
      <c r="K728" s="6">
        <v>0</v>
      </c>
      <c r="L728" s="14">
        <f t="shared" si="157"/>
        <v>3.8918918918918939</v>
      </c>
      <c r="M728" s="188">
        <f t="shared" si="162"/>
        <v>4.1666666666666678E-2</v>
      </c>
      <c r="O728" s="6">
        <v>24</v>
      </c>
      <c r="P728" s="14">
        <f t="shared" si="163"/>
        <v>5.3877551020408134</v>
      </c>
      <c r="Q728" s="6">
        <v>0</v>
      </c>
      <c r="R728" s="14">
        <f t="shared" si="158"/>
        <v>5.3877551020408134</v>
      </c>
      <c r="S728" s="188">
        <f t="shared" si="164"/>
        <v>4.1666666666666609E-2</v>
      </c>
    </row>
    <row r="729" spans="1:19" x14ac:dyDescent="0.2">
      <c r="A729" s="494"/>
      <c r="C729" s="6">
        <v>25</v>
      </c>
      <c r="D729" s="14">
        <f t="shared" si="159"/>
        <v>1.7241379310344822</v>
      </c>
      <c r="E729" s="6">
        <v>0</v>
      </c>
      <c r="F729" s="14">
        <f>ChA_1165[[#This Row],[V_av]]-ChA_1165[[#This Row],[V_prel]]</f>
        <v>1.7241379310344822</v>
      </c>
      <c r="G729" s="188">
        <f t="shared" si="160"/>
        <v>3.9999999999999966E-2</v>
      </c>
      <c r="I729" s="6">
        <v>25</v>
      </c>
      <c r="J729" s="14">
        <f t="shared" si="161"/>
        <v>4.0540540540540562</v>
      </c>
      <c r="K729" s="6">
        <v>0</v>
      </c>
      <c r="L729" s="14">
        <f t="shared" si="157"/>
        <v>4.0540540540540562</v>
      </c>
      <c r="M729" s="188">
        <f t="shared" si="162"/>
        <v>4.0000000000000008E-2</v>
      </c>
      <c r="O729" s="6">
        <v>25</v>
      </c>
      <c r="P729" s="14">
        <f t="shared" si="163"/>
        <v>5.6122448979591804</v>
      </c>
      <c r="Q729" s="6">
        <v>0</v>
      </c>
      <c r="R729" s="14">
        <f t="shared" si="158"/>
        <v>5.6122448979591804</v>
      </c>
      <c r="S729" s="188">
        <f t="shared" si="164"/>
        <v>3.9999999999999952E-2</v>
      </c>
    </row>
    <row r="730" spans="1:19" x14ac:dyDescent="0.2">
      <c r="A730" s="494"/>
      <c r="C730" s="6">
        <v>26</v>
      </c>
      <c r="D730" s="14">
        <f t="shared" si="159"/>
        <v>1.7931034482758614</v>
      </c>
      <c r="E730" s="6">
        <v>0</v>
      </c>
      <c r="F730" s="14">
        <f>ChA_1165[[#This Row],[V_av]]-ChA_1165[[#This Row],[V_prel]]</f>
        <v>1.7931034482758614</v>
      </c>
      <c r="G730" s="188">
        <f t="shared" si="160"/>
        <v>3.8461538461538429E-2</v>
      </c>
      <c r="I730" s="6">
        <v>26</v>
      </c>
      <c r="J730" s="14">
        <f t="shared" si="161"/>
        <v>4.2162162162162184</v>
      </c>
      <c r="K730" s="6">
        <v>0</v>
      </c>
      <c r="L730" s="14">
        <f t="shared" si="157"/>
        <v>4.2162162162162184</v>
      </c>
      <c r="M730" s="188">
        <f t="shared" si="162"/>
        <v>3.8461538461538471E-2</v>
      </c>
      <c r="O730" s="6">
        <v>26</v>
      </c>
      <c r="P730" s="14">
        <f t="shared" si="163"/>
        <v>5.8367346938775473</v>
      </c>
      <c r="Q730" s="6">
        <v>0</v>
      </c>
      <c r="R730" s="14">
        <f t="shared" si="158"/>
        <v>5.8367346938775473</v>
      </c>
      <c r="S730" s="188">
        <f t="shared" si="164"/>
        <v>3.8461538461538415E-2</v>
      </c>
    </row>
    <row r="731" spans="1:19" x14ac:dyDescent="0.2">
      <c r="A731" s="494"/>
      <c r="C731" s="6">
        <v>27</v>
      </c>
      <c r="D731" s="14">
        <f t="shared" si="159"/>
        <v>1.8620689655172407</v>
      </c>
      <c r="E731" s="6">
        <v>0</v>
      </c>
      <c r="F731" s="14">
        <f>ChA_1165[[#This Row],[V_av]]-ChA_1165[[#This Row],[V_prel]]</f>
        <v>1.8620689655172407</v>
      </c>
      <c r="G731" s="188">
        <f t="shared" si="160"/>
        <v>3.7037037037037007E-2</v>
      </c>
      <c r="I731" s="6">
        <v>27</v>
      </c>
      <c r="J731" s="14">
        <f t="shared" si="161"/>
        <v>4.3783783783783807</v>
      </c>
      <c r="K731" s="6">
        <v>0</v>
      </c>
      <c r="L731" s="14">
        <f t="shared" si="157"/>
        <v>4.3783783783783807</v>
      </c>
      <c r="M731" s="188">
        <f t="shared" si="162"/>
        <v>3.7037037037037042E-2</v>
      </c>
      <c r="O731" s="6">
        <v>27</v>
      </c>
      <c r="P731" s="14">
        <f t="shared" si="163"/>
        <v>6.0612244897959142</v>
      </c>
      <c r="Q731" s="6">
        <v>0</v>
      </c>
      <c r="R731" s="14">
        <f t="shared" si="158"/>
        <v>6.0612244897959142</v>
      </c>
      <c r="S731" s="188">
        <f t="shared" si="164"/>
        <v>3.7037037037036993E-2</v>
      </c>
    </row>
    <row r="732" spans="1:19" x14ac:dyDescent="0.2">
      <c r="A732" s="494"/>
      <c r="C732" s="6">
        <v>28</v>
      </c>
      <c r="D732" s="14">
        <f t="shared" si="159"/>
        <v>1.9310344827586199</v>
      </c>
      <c r="E732" s="6">
        <v>0</v>
      </c>
      <c r="F732" s="14">
        <f>ChA_1165[[#This Row],[V_av]]-ChA_1165[[#This Row],[V_prel]]</f>
        <v>1.9310344827586199</v>
      </c>
      <c r="G732" s="188">
        <f t="shared" si="160"/>
        <v>3.5714285714285685E-2</v>
      </c>
      <c r="I732" s="6">
        <v>28</v>
      </c>
      <c r="J732" s="14">
        <f t="shared" si="161"/>
        <v>4.540540540540543</v>
      </c>
      <c r="K732" s="6">
        <v>0</v>
      </c>
      <c r="L732" s="14">
        <f t="shared" si="157"/>
        <v>4.540540540540543</v>
      </c>
      <c r="M732" s="188">
        <f t="shared" si="162"/>
        <v>3.5714285714285719E-2</v>
      </c>
      <c r="O732" s="6">
        <v>28</v>
      </c>
      <c r="P732" s="14">
        <f t="shared" si="163"/>
        <v>6.2857142857142811</v>
      </c>
      <c r="Q732" s="6">
        <v>0</v>
      </c>
      <c r="R732" s="14">
        <f t="shared" si="158"/>
        <v>6.2857142857142811</v>
      </c>
      <c r="S732" s="188">
        <f t="shared" si="164"/>
        <v>3.5714285714285671E-2</v>
      </c>
    </row>
    <row r="733" spans="1:19" x14ac:dyDescent="0.2">
      <c r="A733" s="494"/>
      <c r="C733" s="7">
        <v>29</v>
      </c>
      <c r="D733" s="7">
        <v>2</v>
      </c>
      <c r="E733" s="7">
        <v>0</v>
      </c>
      <c r="F733" s="7">
        <v>2</v>
      </c>
      <c r="G733" s="188">
        <f t="shared" si="160"/>
        <v>3.4482758620690057E-2</v>
      </c>
      <c r="I733" s="6">
        <v>29</v>
      </c>
      <c r="J733" s="14">
        <f t="shared" si="161"/>
        <v>4.7027027027027053</v>
      </c>
      <c r="K733" s="6">
        <v>0</v>
      </c>
      <c r="L733" s="14">
        <f t="shared" si="157"/>
        <v>4.7027027027027053</v>
      </c>
      <c r="M733" s="188">
        <f t="shared" si="162"/>
        <v>3.4482758620689662E-2</v>
      </c>
      <c r="O733" s="6">
        <v>29</v>
      </c>
      <c r="P733" s="14">
        <f t="shared" si="163"/>
        <v>6.5102040816326481</v>
      </c>
      <c r="Q733" s="6">
        <v>0</v>
      </c>
      <c r="R733" s="14">
        <f t="shared" si="158"/>
        <v>6.5102040816326481</v>
      </c>
      <c r="S733" s="188">
        <f t="shared" si="164"/>
        <v>3.448275862068962E-2</v>
      </c>
    </row>
    <row r="734" spans="1:19" x14ac:dyDescent="0.2">
      <c r="A734" s="494"/>
      <c r="C734" s="6">
        <v>30</v>
      </c>
      <c r="D734" s="14">
        <f>($D$735-$F$733)/($C$735-$C$733)+F733</f>
        <v>4.875</v>
      </c>
      <c r="E734" s="6">
        <v>0</v>
      </c>
      <c r="F734" s="14">
        <f>ChA_1165[[#This Row],[V_av]]-ChA_1165[[#This Row],[V_prel]]</f>
        <v>4.875</v>
      </c>
      <c r="G734" s="188">
        <f t="shared" si="160"/>
        <v>0.58974358974358976</v>
      </c>
      <c r="I734" s="6">
        <v>30</v>
      </c>
      <c r="J734" s="14">
        <f t="shared" si="161"/>
        <v>4.8648648648648676</v>
      </c>
      <c r="K734" s="6">
        <v>0</v>
      </c>
      <c r="L734" s="14">
        <f t="shared" si="157"/>
        <v>4.8648648648648676</v>
      </c>
      <c r="M734" s="188">
        <f t="shared" si="162"/>
        <v>3.333333333333334E-2</v>
      </c>
      <c r="O734" s="6">
        <v>30</v>
      </c>
      <c r="P734" s="14">
        <f t="shared" si="163"/>
        <v>6.734693877551015</v>
      </c>
      <c r="Q734" s="6">
        <v>0</v>
      </c>
      <c r="R734" s="14">
        <f t="shared" si="158"/>
        <v>6.734693877551015</v>
      </c>
      <c r="S734" s="188">
        <f t="shared" si="164"/>
        <v>3.3333333333333298E-2</v>
      </c>
    </row>
    <row r="735" spans="1:19" x14ac:dyDescent="0.2">
      <c r="A735" s="494"/>
      <c r="C735" s="7">
        <v>37</v>
      </c>
      <c r="D735" s="7">
        <v>25</v>
      </c>
      <c r="E735" s="7">
        <v>4</v>
      </c>
      <c r="F735" s="7">
        <v>21</v>
      </c>
      <c r="G735" s="188">
        <f t="shared" si="160"/>
        <v>0.115</v>
      </c>
      <c r="I735" s="6">
        <v>31</v>
      </c>
      <c r="J735" s="14">
        <f t="shared" si="161"/>
        <v>5.0270270270270299</v>
      </c>
      <c r="K735" s="6">
        <v>0</v>
      </c>
      <c r="L735" s="14">
        <f t="shared" si="157"/>
        <v>5.0270270270270299</v>
      </c>
      <c r="M735" s="188">
        <f t="shared" si="162"/>
        <v>3.2258064516129038E-2</v>
      </c>
      <c r="O735" s="6">
        <v>31</v>
      </c>
      <c r="P735" s="14">
        <f t="shared" si="163"/>
        <v>6.9591836734693819</v>
      </c>
      <c r="Q735" s="6">
        <v>0</v>
      </c>
      <c r="R735" s="14">
        <f t="shared" si="158"/>
        <v>6.9591836734693819</v>
      </c>
      <c r="S735" s="188">
        <f t="shared" si="164"/>
        <v>3.2258064516128997E-2</v>
      </c>
    </row>
    <row r="736" spans="1:19" x14ac:dyDescent="0.2">
      <c r="A736" s="494"/>
      <c r="C736" s="7">
        <v>45</v>
      </c>
      <c r="D736" s="7">
        <v>143</v>
      </c>
      <c r="E736" s="7">
        <v>25</v>
      </c>
      <c r="F736" s="7">
        <v>118</v>
      </c>
      <c r="G736" s="188">
        <f t="shared" si="160"/>
        <v>0.10664335664335664</v>
      </c>
      <c r="I736" s="6">
        <v>32</v>
      </c>
      <c r="J736" s="14">
        <f t="shared" si="161"/>
        <v>5.1891891891891921</v>
      </c>
      <c r="K736" s="6">
        <v>0</v>
      </c>
      <c r="L736" s="14">
        <f t="shared" si="157"/>
        <v>5.1891891891891921</v>
      </c>
      <c r="M736" s="188">
        <f t="shared" si="162"/>
        <v>3.1250000000000007E-2</v>
      </c>
      <c r="O736" s="6">
        <v>32</v>
      </c>
      <c r="P736" s="14">
        <f t="shared" si="163"/>
        <v>7.1836734693877489</v>
      </c>
      <c r="Q736" s="6">
        <v>0</v>
      </c>
      <c r="R736" s="14">
        <f t="shared" si="158"/>
        <v>7.1836734693877489</v>
      </c>
      <c r="S736" s="188">
        <f t="shared" si="164"/>
        <v>3.1249999999999969E-2</v>
      </c>
    </row>
    <row r="737" spans="1:19" x14ac:dyDescent="0.2">
      <c r="A737" s="494"/>
      <c r="C737" s="7">
        <v>53</v>
      </c>
      <c r="D737" s="7">
        <v>195</v>
      </c>
      <c r="E737" s="7">
        <v>45</v>
      </c>
      <c r="F737" s="7">
        <v>150</v>
      </c>
      <c r="G737" s="188">
        <f t="shared" si="160"/>
        <v>4.9358974358974357E-2</v>
      </c>
      <c r="I737" s="6">
        <v>33</v>
      </c>
      <c r="J737" s="14">
        <f t="shared" si="161"/>
        <v>5.3513513513513544</v>
      </c>
      <c r="K737" s="6">
        <v>0</v>
      </c>
      <c r="L737" s="14">
        <f t="shared" si="157"/>
        <v>5.3513513513513544</v>
      </c>
      <c r="M737" s="188">
        <f t="shared" si="162"/>
        <v>3.0303030303030307E-2</v>
      </c>
      <c r="O737" s="6">
        <v>33</v>
      </c>
      <c r="P737" s="14">
        <f t="shared" si="163"/>
        <v>7.4081632653061158</v>
      </c>
      <c r="Q737" s="6">
        <v>0</v>
      </c>
      <c r="R737" s="14">
        <f t="shared" si="158"/>
        <v>7.4081632653061158</v>
      </c>
      <c r="S737" s="188">
        <f t="shared" si="164"/>
        <v>3.0303030303030273E-2</v>
      </c>
    </row>
    <row r="738" spans="1:19" x14ac:dyDescent="0.2">
      <c r="A738" s="494"/>
      <c r="C738" s="7">
        <v>61</v>
      </c>
      <c r="D738" s="7">
        <v>218</v>
      </c>
      <c r="E738" s="7">
        <v>47</v>
      </c>
      <c r="F738" s="7">
        <v>171</v>
      </c>
      <c r="G738" s="188">
        <f t="shared" si="160"/>
        <v>3.8990825688073397E-2</v>
      </c>
      <c r="I738" s="6">
        <v>34</v>
      </c>
      <c r="J738" s="14">
        <f t="shared" si="161"/>
        <v>5.5135135135135167</v>
      </c>
      <c r="K738" s="6">
        <v>0</v>
      </c>
      <c r="L738" s="14">
        <f t="shared" si="157"/>
        <v>5.5135135135135167</v>
      </c>
      <c r="M738" s="188">
        <f t="shared" si="162"/>
        <v>2.9411764705882356E-2</v>
      </c>
      <c r="O738" s="6">
        <v>34</v>
      </c>
      <c r="P738" s="14">
        <f t="shared" si="163"/>
        <v>7.6326530612244827</v>
      </c>
      <c r="Q738" s="6">
        <v>0</v>
      </c>
      <c r="R738" s="14">
        <f t="shared" si="158"/>
        <v>7.6326530612244827</v>
      </c>
      <c r="S738" s="188">
        <f t="shared" si="164"/>
        <v>2.9411764705882325E-2</v>
      </c>
    </row>
    <row r="739" spans="1:19" x14ac:dyDescent="0.2">
      <c r="A739" s="494"/>
      <c r="C739" s="7">
        <v>69</v>
      </c>
      <c r="D739" s="7">
        <v>236</v>
      </c>
      <c r="E739" s="7">
        <v>43</v>
      </c>
      <c r="F739" s="7">
        <v>193</v>
      </c>
      <c r="G739" s="188">
        <f t="shared" si="160"/>
        <v>3.4427966101694914E-2</v>
      </c>
      <c r="I739" s="6">
        <v>35</v>
      </c>
      <c r="J739" s="14">
        <f t="shared" si="161"/>
        <v>5.675675675675679</v>
      </c>
      <c r="K739" s="6">
        <v>0</v>
      </c>
      <c r="L739" s="14">
        <f t="shared" si="157"/>
        <v>5.675675675675679</v>
      </c>
      <c r="M739" s="188">
        <f t="shared" si="162"/>
        <v>2.8571428571428577E-2</v>
      </c>
      <c r="O739" s="6">
        <v>35</v>
      </c>
      <c r="P739" s="14">
        <f t="shared" si="163"/>
        <v>7.8571428571428497</v>
      </c>
      <c r="Q739" s="6">
        <v>0</v>
      </c>
      <c r="R739" s="14">
        <f t="shared" si="158"/>
        <v>7.8571428571428497</v>
      </c>
      <c r="S739" s="188">
        <f t="shared" si="164"/>
        <v>2.8571428571428546E-2</v>
      </c>
    </row>
    <row r="740" spans="1:19" x14ac:dyDescent="0.2">
      <c r="A740" s="494"/>
      <c r="C740" s="7">
        <v>77</v>
      </c>
      <c r="D740" s="7">
        <v>255</v>
      </c>
      <c r="E740" s="7">
        <v>44</v>
      </c>
      <c r="F740" s="7">
        <v>211</v>
      </c>
      <c r="G740" s="188">
        <f t="shared" si="160"/>
        <v>3.0392156862745098E-2</v>
      </c>
      <c r="I740" s="6">
        <v>36</v>
      </c>
      <c r="J740" s="14">
        <f t="shared" si="161"/>
        <v>5.8378378378378413</v>
      </c>
      <c r="K740" s="6">
        <v>0</v>
      </c>
      <c r="L740" s="14">
        <f t="shared" si="157"/>
        <v>5.8378378378378413</v>
      </c>
      <c r="M740" s="188">
        <f t="shared" si="162"/>
        <v>2.7777777777777783E-2</v>
      </c>
      <c r="O740" s="6">
        <v>36</v>
      </c>
      <c r="P740" s="14">
        <f t="shared" si="163"/>
        <v>8.0816326530612166</v>
      </c>
      <c r="Q740" s="6">
        <v>0</v>
      </c>
      <c r="R740" s="14">
        <f t="shared" si="158"/>
        <v>8.0816326530612166</v>
      </c>
      <c r="S740" s="188">
        <f t="shared" si="164"/>
        <v>2.7777777777777752E-2</v>
      </c>
    </row>
    <row r="741" spans="1:19" ht="15" customHeight="1" x14ac:dyDescent="0.2">
      <c r="A741" s="494"/>
      <c r="C741" s="7">
        <v>85</v>
      </c>
      <c r="D741" s="7">
        <v>268</v>
      </c>
      <c r="E741" s="7">
        <v>41</v>
      </c>
      <c r="F741" s="7">
        <v>227</v>
      </c>
      <c r="G741" s="188">
        <f t="shared" si="160"/>
        <v>2.6585820895522388E-2</v>
      </c>
      <c r="I741" s="7">
        <v>37</v>
      </c>
      <c r="J741" s="7">
        <v>6</v>
      </c>
      <c r="K741" s="7">
        <v>2</v>
      </c>
      <c r="L741" s="7">
        <v>4</v>
      </c>
      <c r="M741" s="188">
        <f t="shared" si="162"/>
        <v>2.7027027027026456E-2</v>
      </c>
      <c r="O741" s="6">
        <v>37</v>
      </c>
      <c r="P741" s="14">
        <f t="shared" si="163"/>
        <v>8.3061224489795844</v>
      </c>
      <c r="Q741" s="6">
        <v>0</v>
      </c>
      <c r="R741" s="14">
        <f t="shared" si="158"/>
        <v>8.3061224489795844</v>
      </c>
      <c r="S741" s="188">
        <f t="shared" si="164"/>
        <v>2.7027027027027108E-2</v>
      </c>
    </row>
    <row r="742" spans="1:19" x14ac:dyDescent="0.2">
      <c r="A742" s="494"/>
      <c r="C742" s="7">
        <v>93</v>
      </c>
      <c r="D742" s="7">
        <v>284</v>
      </c>
      <c r="E742" s="7">
        <v>40</v>
      </c>
      <c r="F742" s="7">
        <v>244</v>
      </c>
      <c r="G742" s="188">
        <f t="shared" si="160"/>
        <v>2.5088028169014086E-2</v>
      </c>
      <c r="O742" s="6">
        <v>38</v>
      </c>
      <c r="P742" s="14">
        <f t="shared" si="163"/>
        <v>8.5306122448979522</v>
      </c>
      <c r="Q742" s="6">
        <v>0</v>
      </c>
      <c r="R742" s="14">
        <f t="shared" si="158"/>
        <v>8.5306122448979522</v>
      </c>
      <c r="S742" s="188">
        <f t="shared" si="164"/>
        <v>2.6315789473684289E-2</v>
      </c>
    </row>
    <row r="743" spans="1:19" x14ac:dyDescent="0.2">
      <c r="A743" s="494"/>
      <c r="C743" s="7">
        <v>101</v>
      </c>
      <c r="D743" s="7">
        <v>298</v>
      </c>
      <c r="E743" s="7">
        <v>34</v>
      </c>
      <c r="F743" s="7">
        <v>264</v>
      </c>
      <c r="G743" s="188">
        <f t="shared" si="160"/>
        <v>2.2651006711409395E-2</v>
      </c>
      <c r="O743" s="6">
        <v>39</v>
      </c>
      <c r="P743" s="14">
        <f t="shared" si="163"/>
        <v>8.75510204081632</v>
      </c>
      <c r="Q743" s="6">
        <v>0</v>
      </c>
      <c r="R743" s="14">
        <f t="shared" si="158"/>
        <v>8.75510204081632</v>
      </c>
      <c r="S743" s="188">
        <f t="shared" si="164"/>
        <v>2.5641025641025713E-2</v>
      </c>
    </row>
    <row r="744" spans="1:19" x14ac:dyDescent="0.2">
      <c r="A744" s="494"/>
      <c r="C744" s="7">
        <v>110</v>
      </c>
      <c r="D744" s="7">
        <v>326</v>
      </c>
      <c r="E744" s="7">
        <v>39</v>
      </c>
      <c r="F744" s="7">
        <v>287</v>
      </c>
      <c r="G744" s="188">
        <f t="shared" si="160"/>
        <v>2.1131561008861623E-2</v>
      </c>
      <c r="O744" s="6">
        <v>40</v>
      </c>
      <c r="P744" s="14">
        <f t="shared" si="163"/>
        <v>8.9795918367346879</v>
      </c>
      <c r="Q744" s="6">
        <v>0</v>
      </c>
      <c r="R744" s="14">
        <f t="shared" si="158"/>
        <v>8.9795918367346879</v>
      </c>
      <c r="S744" s="188">
        <f t="shared" si="164"/>
        <v>2.5000000000000071E-2</v>
      </c>
    </row>
    <row r="745" spans="1:19" x14ac:dyDescent="0.2">
      <c r="A745" s="494"/>
      <c r="C745" s="7">
        <v>120</v>
      </c>
      <c r="D745" s="7">
        <v>353</v>
      </c>
      <c r="E745" s="7">
        <v>43</v>
      </c>
      <c r="F745" s="7">
        <v>310</v>
      </c>
      <c r="G745" s="188">
        <f t="shared" si="160"/>
        <v>1.8696883852691217E-2</v>
      </c>
      <c r="O745" s="6">
        <v>41</v>
      </c>
      <c r="P745" s="14">
        <f t="shared" si="163"/>
        <v>9.2040816326530557</v>
      </c>
      <c r="Q745" s="6">
        <v>0</v>
      </c>
      <c r="R745" s="14">
        <f t="shared" si="158"/>
        <v>9.2040816326530557</v>
      </c>
      <c r="S745" s="188">
        <f t="shared" si="164"/>
        <v>2.4390243902439091E-2</v>
      </c>
    </row>
    <row r="746" spans="1:19" x14ac:dyDescent="0.2">
      <c r="A746" s="494"/>
      <c r="C746" s="7">
        <v>130</v>
      </c>
      <c r="D746" s="7">
        <v>375</v>
      </c>
      <c r="E746" s="7">
        <v>46</v>
      </c>
      <c r="F746" s="7">
        <v>329</v>
      </c>
      <c r="G746" s="188">
        <f t="shared" si="160"/>
        <v>1.7333333333333333E-2</v>
      </c>
      <c r="O746" s="6">
        <v>42</v>
      </c>
      <c r="P746" s="14">
        <f t="shared" si="163"/>
        <v>9.4285714285714235</v>
      </c>
      <c r="Q746" s="6">
        <v>0</v>
      </c>
      <c r="R746" s="14">
        <f t="shared" si="158"/>
        <v>9.4285714285714235</v>
      </c>
      <c r="S746" s="188">
        <f t="shared" si="164"/>
        <v>2.3809523809523871E-2</v>
      </c>
    </row>
    <row r="747" spans="1:19" x14ac:dyDescent="0.2">
      <c r="A747" s="494"/>
      <c r="C747" s="7">
        <v>140</v>
      </c>
      <c r="D747" s="7">
        <v>396</v>
      </c>
      <c r="E747" s="7">
        <v>45</v>
      </c>
      <c r="F747" s="7">
        <v>351</v>
      </c>
      <c r="G747" s="188">
        <f t="shared" si="160"/>
        <v>1.6919191919191921E-2</v>
      </c>
      <c r="O747" s="6">
        <v>43</v>
      </c>
      <c r="P747" s="14">
        <f t="shared" si="163"/>
        <v>9.6530612244897913</v>
      </c>
      <c r="Q747" s="6">
        <v>0</v>
      </c>
      <c r="R747" s="14">
        <f t="shared" si="158"/>
        <v>9.6530612244897913</v>
      </c>
      <c r="S747" s="188">
        <f t="shared" si="164"/>
        <v>2.3255813953488431E-2</v>
      </c>
    </row>
    <row r="748" spans="1:19" x14ac:dyDescent="0.2">
      <c r="A748" s="494"/>
      <c r="C748" s="7">
        <v>150</v>
      </c>
      <c r="D748" s="7">
        <v>418</v>
      </c>
      <c r="E748" s="7">
        <v>47</v>
      </c>
      <c r="F748" s="7">
        <v>371</v>
      </c>
      <c r="G748" s="188">
        <f t="shared" si="160"/>
        <v>1.6028708133971292E-2</v>
      </c>
      <c r="O748" s="6">
        <v>44</v>
      </c>
      <c r="P748" s="14">
        <f t="shared" si="163"/>
        <v>9.8775510204081591</v>
      </c>
      <c r="Q748" s="6">
        <v>0</v>
      </c>
      <c r="R748" s="14">
        <f t="shared" si="158"/>
        <v>9.8775510204081591</v>
      </c>
      <c r="S748" s="188">
        <f t="shared" si="164"/>
        <v>2.2727272727272783E-2</v>
      </c>
    </row>
    <row r="749" spans="1:19" x14ac:dyDescent="0.2">
      <c r="A749" s="494"/>
      <c r="C749" s="7">
        <v>160</v>
      </c>
      <c r="D749" s="7">
        <v>439</v>
      </c>
      <c r="E749" s="7">
        <v>51</v>
      </c>
      <c r="F749" s="7">
        <v>388</v>
      </c>
      <c r="G749" s="188">
        <f t="shared" si="160"/>
        <v>1.5489749430523919E-2</v>
      </c>
      <c r="O749" s="6">
        <v>45</v>
      </c>
      <c r="P749" s="14">
        <f t="shared" si="163"/>
        <v>10.102040816326527</v>
      </c>
      <c r="Q749" s="6">
        <v>0</v>
      </c>
      <c r="R749" s="14">
        <f t="shared" si="158"/>
        <v>10.102040816326527</v>
      </c>
      <c r="S749" s="188">
        <f t="shared" si="164"/>
        <v>2.2222222222222279E-2</v>
      </c>
    </row>
    <row r="750" spans="1:19" x14ac:dyDescent="0.2">
      <c r="A750" s="494"/>
      <c r="C750" s="7">
        <v>170</v>
      </c>
      <c r="D750" s="7">
        <v>457</v>
      </c>
      <c r="E750" s="7">
        <v>457</v>
      </c>
      <c r="F750" s="7">
        <v>0</v>
      </c>
      <c r="G750" s="188">
        <f t="shared" si="160"/>
        <v>1.5098468271334792E-2</v>
      </c>
      <c r="O750" s="6">
        <v>46</v>
      </c>
      <c r="P750" s="14">
        <f t="shared" si="163"/>
        <v>10.326530612244895</v>
      </c>
      <c r="Q750" s="6">
        <v>0</v>
      </c>
      <c r="R750" s="14">
        <f t="shared" si="158"/>
        <v>10.326530612244895</v>
      </c>
      <c r="S750" s="188">
        <f t="shared" si="164"/>
        <v>2.173913043478266E-2</v>
      </c>
    </row>
    <row r="751" spans="1:19" x14ac:dyDescent="0.2">
      <c r="A751" s="494"/>
      <c r="O751" s="6">
        <v>47</v>
      </c>
      <c r="P751" s="14">
        <f t="shared" si="163"/>
        <v>10.551020408163263</v>
      </c>
      <c r="Q751" s="6">
        <v>0</v>
      </c>
      <c r="R751" s="14">
        <f t="shared" si="158"/>
        <v>10.551020408163263</v>
      </c>
      <c r="S751" s="188">
        <f t="shared" si="164"/>
        <v>2.1276595744680903E-2</v>
      </c>
    </row>
    <row r="752" spans="1:19" x14ac:dyDescent="0.2">
      <c r="A752" s="494"/>
      <c r="O752" s="6">
        <v>48</v>
      </c>
      <c r="P752" s="14">
        <f t="shared" si="163"/>
        <v>10.77551020408163</v>
      </c>
      <c r="Q752" s="6">
        <v>0</v>
      </c>
      <c r="R752" s="14">
        <f t="shared" si="158"/>
        <v>10.77551020408163</v>
      </c>
      <c r="S752" s="188">
        <f t="shared" si="164"/>
        <v>2.0833333333333381E-2</v>
      </c>
    </row>
    <row r="753" spans="1:19" x14ac:dyDescent="0.2">
      <c r="A753" s="494"/>
      <c r="O753" s="7">
        <v>49</v>
      </c>
      <c r="P753" s="7">
        <v>11</v>
      </c>
      <c r="Q753" s="7">
        <v>4</v>
      </c>
      <c r="R753" s="7">
        <v>7</v>
      </c>
      <c r="S753" s="188">
        <f t="shared" si="164"/>
        <v>2.0408163265306326E-2</v>
      </c>
    </row>
    <row r="754" spans="1:19" x14ac:dyDescent="0.2">
      <c r="A754" s="207"/>
    </row>
    <row r="755" spans="1:19" x14ac:dyDescent="0.2">
      <c r="A755" s="207"/>
      <c r="M755" s="6"/>
      <c r="S755" s="6"/>
    </row>
    <row r="756" spans="1:19" x14ac:dyDescent="0.2">
      <c r="A756" s="207"/>
      <c r="M756" s="6"/>
      <c r="S756" s="6"/>
    </row>
    <row r="757" spans="1:19" ht="15" customHeight="1" x14ac:dyDescent="0.2">
      <c r="A757" s="494" t="s">
        <v>710</v>
      </c>
      <c r="C757" s="7" t="s">
        <v>987</v>
      </c>
      <c r="D757" s="9" t="s">
        <v>140</v>
      </c>
      <c r="I757" s="7" t="s">
        <v>988</v>
      </c>
      <c r="M757" s="6"/>
      <c r="O757" s="7" t="s">
        <v>989</v>
      </c>
      <c r="S757" s="6"/>
    </row>
    <row r="758" spans="1:19" x14ac:dyDescent="0.2">
      <c r="A758" s="494"/>
      <c r="C758" s="6" t="s">
        <v>125</v>
      </c>
      <c r="D758" s="6" t="s">
        <v>126</v>
      </c>
      <c r="E758" s="6" t="s">
        <v>127</v>
      </c>
      <c r="F758" s="6" t="s">
        <v>128</v>
      </c>
      <c r="G758" s="194" t="s">
        <v>699</v>
      </c>
      <c r="I758" s="176" t="s">
        <v>125</v>
      </c>
      <c r="J758" s="176" t="s">
        <v>126</v>
      </c>
      <c r="K758" s="176" t="s">
        <v>127</v>
      </c>
      <c r="L758" s="176" t="s">
        <v>128</v>
      </c>
      <c r="M758" s="196" t="s">
        <v>699</v>
      </c>
      <c r="O758" s="176" t="s">
        <v>125</v>
      </c>
      <c r="P758" s="176" t="s">
        <v>126</v>
      </c>
      <c r="Q758" s="176" t="s">
        <v>127</v>
      </c>
      <c r="R758" s="176" t="s">
        <v>128</v>
      </c>
      <c r="S758" s="196" t="s">
        <v>699</v>
      </c>
    </row>
    <row r="759" spans="1:19" x14ac:dyDescent="0.2">
      <c r="A759" s="494"/>
      <c r="C759" s="6">
        <v>1</v>
      </c>
      <c r="D759" s="14">
        <f>D794/C794</f>
        <v>3.6388888888888888</v>
      </c>
      <c r="E759" s="6">
        <v>0</v>
      </c>
      <c r="F759" s="14">
        <f>ChC_dy_1168[[#This Row],[V_av]]-ChC_dy_1168[[#This Row],[V_prel]]</f>
        <v>3.6388888888888888</v>
      </c>
      <c r="G759" s="194">
        <v>0</v>
      </c>
      <c r="I759" s="6">
        <v>1</v>
      </c>
      <c r="J759" s="14">
        <f>J789/I789</f>
        <v>2.6904761904761907</v>
      </c>
      <c r="K759" s="6">
        <v>0</v>
      </c>
      <c r="L759" s="14">
        <f>J759-K759</f>
        <v>2.6904761904761907</v>
      </c>
      <c r="M759" s="187">
        <v>0</v>
      </c>
      <c r="O759" s="6">
        <v>1</v>
      </c>
      <c r="P759" s="14">
        <f>P789/O789</f>
        <v>2</v>
      </c>
      <c r="Q759" s="6">
        <v>0</v>
      </c>
      <c r="R759" s="14">
        <f>P759-Q759</f>
        <v>2</v>
      </c>
      <c r="S759" s="187">
        <v>0</v>
      </c>
    </row>
    <row r="760" spans="1:19" x14ac:dyDescent="0.2">
      <c r="A760" s="494"/>
      <c r="C760" s="6">
        <v>2</v>
      </c>
      <c r="D760" s="14">
        <f t="shared" ref="D760:D793" si="165">$D$794/$C$794+F759</f>
        <v>7.2777777777777777</v>
      </c>
      <c r="E760" s="6">
        <v>0</v>
      </c>
      <c r="F760" s="14">
        <f>ChC_dy_1168[[#This Row],[V_av]]-ChC_dy_1168[[#This Row],[V_prel]]</f>
        <v>7.2777777777777777</v>
      </c>
      <c r="G760" s="188">
        <f>((D760-F759)/D760)/(C760-C759)</f>
        <v>0.5</v>
      </c>
      <c r="I760" s="6">
        <v>2</v>
      </c>
      <c r="J760" s="14">
        <f t="shared" ref="J760:J788" si="166">$J$789/$I$789+L759</f>
        <v>5.3809523809523814</v>
      </c>
      <c r="K760" s="6">
        <v>0</v>
      </c>
      <c r="L760" s="14">
        <f t="shared" ref="L760:L788" si="167">J760-K760</f>
        <v>5.3809523809523814</v>
      </c>
      <c r="M760" s="188">
        <f>((J760-L759)/J760)/(I760-I759)</f>
        <v>0.5</v>
      </c>
      <c r="O760" s="6">
        <v>2</v>
      </c>
      <c r="P760" s="14">
        <f t="shared" ref="P760:P788" si="168">$P$789/$O$789+R759</f>
        <v>4</v>
      </c>
      <c r="Q760" s="6">
        <v>0</v>
      </c>
      <c r="R760" s="14">
        <f t="shared" ref="R760:R788" si="169">P760-Q760</f>
        <v>4</v>
      </c>
      <c r="S760" s="188">
        <f>((P760-R759)/P760)/(O760-O759)</f>
        <v>0.5</v>
      </c>
    </row>
    <row r="761" spans="1:19" x14ac:dyDescent="0.2">
      <c r="A761" s="494"/>
      <c r="C761" s="6">
        <v>3</v>
      </c>
      <c r="D761" s="14">
        <f t="shared" si="165"/>
        <v>10.916666666666666</v>
      </c>
      <c r="E761" s="6">
        <v>0</v>
      </c>
      <c r="F761" s="14">
        <f>ChC_dy_1168[[#This Row],[V_av]]-ChC_dy_1168[[#This Row],[V_prel]]</f>
        <v>10.916666666666666</v>
      </c>
      <c r="G761" s="188">
        <f t="shared" ref="G761:G805" si="170">((D761-F760)/D761)/(C761-C760)</f>
        <v>0.33333333333333331</v>
      </c>
      <c r="I761" s="6">
        <v>3</v>
      </c>
      <c r="J761" s="14">
        <f t="shared" si="166"/>
        <v>8.071428571428573</v>
      </c>
      <c r="K761" s="6">
        <v>0</v>
      </c>
      <c r="L761" s="14">
        <f t="shared" si="167"/>
        <v>8.071428571428573</v>
      </c>
      <c r="M761" s="188">
        <f t="shared" ref="M761:M789" si="171">((J761-L760)/J761)/(I761-I760)</f>
        <v>0.33333333333333343</v>
      </c>
      <c r="O761" s="6">
        <v>3</v>
      </c>
      <c r="P761" s="14">
        <f t="shared" si="168"/>
        <v>6</v>
      </c>
      <c r="Q761" s="6">
        <v>0</v>
      </c>
      <c r="R761" s="14">
        <f t="shared" si="169"/>
        <v>6</v>
      </c>
      <c r="S761" s="188">
        <f t="shared" ref="S761:S789" si="172">((P761-R760)/P761)/(O761-O760)</f>
        <v>0.33333333333333331</v>
      </c>
    </row>
    <row r="762" spans="1:19" x14ac:dyDescent="0.2">
      <c r="A762" s="494"/>
      <c r="C762" s="6">
        <v>4</v>
      </c>
      <c r="D762" s="14">
        <f t="shared" si="165"/>
        <v>14.555555555555555</v>
      </c>
      <c r="E762" s="6">
        <v>0</v>
      </c>
      <c r="F762" s="14">
        <f>ChC_dy_1168[[#This Row],[V_av]]-ChC_dy_1168[[#This Row],[V_prel]]</f>
        <v>14.555555555555555</v>
      </c>
      <c r="G762" s="188">
        <f t="shared" si="170"/>
        <v>0.25000000000000006</v>
      </c>
      <c r="I762" s="6">
        <v>4</v>
      </c>
      <c r="J762" s="14">
        <f t="shared" si="166"/>
        <v>10.761904761904763</v>
      </c>
      <c r="K762" s="6">
        <v>0</v>
      </c>
      <c r="L762" s="14">
        <f t="shared" si="167"/>
        <v>10.761904761904763</v>
      </c>
      <c r="M762" s="188">
        <f t="shared" si="171"/>
        <v>0.24999999999999992</v>
      </c>
      <c r="O762" s="6">
        <v>4</v>
      </c>
      <c r="P762" s="14">
        <f t="shared" si="168"/>
        <v>8</v>
      </c>
      <c r="Q762" s="6">
        <v>0</v>
      </c>
      <c r="R762" s="14">
        <f t="shared" si="169"/>
        <v>8</v>
      </c>
      <c r="S762" s="188">
        <f t="shared" si="172"/>
        <v>0.25</v>
      </c>
    </row>
    <row r="763" spans="1:19" x14ac:dyDescent="0.2">
      <c r="A763" s="494"/>
      <c r="C763" s="6">
        <v>5</v>
      </c>
      <c r="D763" s="14">
        <f t="shared" si="165"/>
        <v>18.194444444444443</v>
      </c>
      <c r="E763" s="6">
        <v>0</v>
      </c>
      <c r="F763" s="14">
        <f>ChC_dy_1168[[#This Row],[V_av]]-ChC_dy_1168[[#This Row],[V_prel]]</f>
        <v>18.194444444444443</v>
      </c>
      <c r="G763" s="188">
        <f t="shared" si="170"/>
        <v>0.19999999999999993</v>
      </c>
      <c r="I763" s="6">
        <v>5</v>
      </c>
      <c r="J763" s="14">
        <f t="shared" si="166"/>
        <v>13.452380952380953</v>
      </c>
      <c r="K763" s="6">
        <v>0</v>
      </c>
      <c r="L763" s="14">
        <f t="shared" si="167"/>
        <v>13.452380952380953</v>
      </c>
      <c r="M763" s="188">
        <f t="shared" si="171"/>
        <v>0.19999999999999996</v>
      </c>
      <c r="O763" s="6">
        <v>5</v>
      </c>
      <c r="P763" s="14">
        <f t="shared" si="168"/>
        <v>10</v>
      </c>
      <c r="Q763" s="6">
        <v>0</v>
      </c>
      <c r="R763" s="14">
        <f t="shared" si="169"/>
        <v>10</v>
      </c>
      <c r="S763" s="188">
        <f t="shared" si="172"/>
        <v>0.2</v>
      </c>
    </row>
    <row r="764" spans="1:19" x14ac:dyDescent="0.2">
      <c r="A764" s="494"/>
      <c r="C764" s="6">
        <v>6</v>
      </c>
      <c r="D764" s="14">
        <f t="shared" si="165"/>
        <v>21.833333333333332</v>
      </c>
      <c r="E764" s="6">
        <v>0</v>
      </c>
      <c r="F764" s="14">
        <f>ChC_dy_1168[[#This Row],[V_av]]-ChC_dy_1168[[#This Row],[V_prel]]</f>
        <v>21.833333333333332</v>
      </c>
      <c r="G764" s="188">
        <f t="shared" si="170"/>
        <v>0.16666666666666669</v>
      </c>
      <c r="I764" s="6">
        <v>6</v>
      </c>
      <c r="J764" s="14">
        <f t="shared" si="166"/>
        <v>16.142857142857142</v>
      </c>
      <c r="K764" s="6">
        <v>0</v>
      </c>
      <c r="L764" s="14">
        <f t="shared" si="167"/>
        <v>16.142857142857142</v>
      </c>
      <c r="M764" s="188">
        <f t="shared" si="171"/>
        <v>0.16666666666666663</v>
      </c>
      <c r="O764" s="6">
        <v>6</v>
      </c>
      <c r="P764" s="14">
        <f t="shared" si="168"/>
        <v>12</v>
      </c>
      <c r="Q764" s="6">
        <v>0</v>
      </c>
      <c r="R764" s="14">
        <f t="shared" si="169"/>
        <v>12</v>
      </c>
      <c r="S764" s="188">
        <f t="shared" si="172"/>
        <v>0.16666666666666666</v>
      </c>
    </row>
    <row r="765" spans="1:19" x14ac:dyDescent="0.2">
      <c r="A765" s="494"/>
      <c r="C765" s="6">
        <v>7</v>
      </c>
      <c r="D765" s="14">
        <f t="shared" si="165"/>
        <v>25.472222222222221</v>
      </c>
      <c r="E765" s="6">
        <v>0</v>
      </c>
      <c r="F765" s="14">
        <f>ChC_dy_1168[[#This Row],[V_av]]-ChC_dy_1168[[#This Row],[V_prel]]</f>
        <v>25.472222222222221</v>
      </c>
      <c r="G765" s="188">
        <f t="shared" si="170"/>
        <v>0.14285714285714288</v>
      </c>
      <c r="I765" s="6">
        <v>7</v>
      </c>
      <c r="J765" s="14">
        <f t="shared" si="166"/>
        <v>18.833333333333332</v>
      </c>
      <c r="K765" s="6">
        <v>0</v>
      </c>
      <c r="L765" s="14">
        <f t="shared" si="167"/>
        <v>18.833333333333332</v>
      </c>
      <c r="M765" s="188">
        <f t="shared" si="171"/>
        <v>0.14285714285714282</v>
      </c>
      <c r="O765" s="6">
        <v>7</v>
      </c>
      <c r="P765" s="14">
        <f t="shared" si="168"/>
        <v>14</v>
      </c>
      <c r="Q765" s="6">
        <v>0</v>
      </c>
      <c r="R765" s="14">
        <f t="shared" si="169"/>
        <v>14</v>
      </c>
      <c r="S765" s="188">
        <f t="shared" si="172"/>
        <v>0.14285714285714285</v>
      </c>
    </row>
    <row r="766" spans="1:19" x14ac:dyDescent="0.2">
      <c r="A766" s="494"/>
      <c r="C766" s="6">
        <v>8</v>
      </c>
      <c r="D766" s="14">
        <f t="shared" si="165"/>
        <v>29.111111111111111</v>
      </c>
      <c r="E766" s="6">
        <v>0</v>
      </c>
      <c r="F766" s="14">
        <f>ChC_dy_1168[[#This Row],[V_av]]-ChC_dy_1168[[#This Row],[V_prel]]</f>
        <v>29.111111111111111</v>
      </c>
      <c r="G766" s="188">
        <f t="shared" si="170"/>
        <v>0.12500000000000003</v>
      </c>
      <c r="I766" s="6">
        <v>8</v>
      </c>
      <c r="J766" s="14">
        <f t="shared" si="166"/>
        <v>21.523809523809522</v>
      </c>
      <c r="K766" s="6">
        <v>0</v>
      </c>
      <c r="L766" s="14">
        <f t="shared" si="167"/>
        <v>21.523809523809522</v>
      </c>
      <c r="M766" s="188">
        <f t="shared" si="171"/>
        <v>0.12499999999999999</v>
      </c>
      <c r="O766" s="6">
        <v>8</v>
      </c>
      <c r="P766" s="14">
        <f t="shared" si="168"/>
        <v>16</v>
      </c>
      <c r="Q766" s="6">
        <v>0</v>
      </c>
      <c r="R766" s="14">
        <f t="shared" si="169"/>
        <v>16</v>
      </c>
      <c r="S766" s="188">
        <f t="shared" si="172"/>
        <v>0.125</v>
      </c>
    </row>
    <row r="767" spans="1:19" x14ac:dyDescent="0.2">
      <c r="A767" s="494"/>
      <c r="C767" s="6">
        <v>9</v>
      </c>
      <c r="D767" s="14">
        <f t="shared" si="165"/>
        <v>32.75</v>
      </c>
      <c r="E767" s="6">
        <v>0</v>
      </c>
      <c r="F767" s="14">
        <f>ChC_dy_1168[[#This Row],[V_av]]-ChC_dy_1168[[#This Row],[V_prel]]</f>
        <v>32.75</v>
      </c>
      <c r="G767" s="188">
        <f t="shared" si="170"/>
        <v>0.11111111111111112</v>
      </c>
      <c r="I767" s="6">
        <v>9</v>
      </c>
      <c r="J767" s="14">
        <f t="shared" si="166"/>
        <v>24.214285714285712</v>
      </c>
      <c r="K767" s="6">
        <v>0</v>
      </c>
      <c r="L767" s="14">
        <f t="shared" si="167"/>
        <v>24.214285714285712</v>
      </c>
      <c r="M767" s="188">
        <f t="shared" si="171"/>
        <v>0.11111111111111109</v>
      </c>
      <c r="O767" s="6">
        <v>9</v>
      </c>
      <c r="P767" s="14">
        <f t="shared" si="168"/>
        <v>18</v>
      </c>
      <c r="Q767" s="6">
        <v>0</v>
      </c>
      <c r="R767" s="14">
        <f t="shared" si="169"/>
        <v>18</v>
      </c>
      <c r="S767" s="188">
        <f t="shared" si="172"/>
        <v>0.1111111111111111</v>
      </c>
    </row>
    <row r="768" spans="1:19" x14ac:dyDescent="0.2">
      <c r="A768" s="494"/>
      <c r="C768" s="6">
        <v>10</v>
      </c>
      <c r="D768" s="14">
        <f t="shared" si="165"/>
        <v>36.388888888888886</v>
      </c>
      <c r="E768" s="6">
        <v>0</v>
      </c>
      <c r="F768" s="14">
        <f>ChC_dy_1168[[#This Row],[V_av]]-ChC_dy_1168[[#This Row],[V_prel]]</f>
        <v>36.388888888888886</v>
      </c>
      <c r="G768" s="188">
        <f t="shared" si="170"/>
        <v>9.9999999999999922E-2</v>
      </c>
      <c r="I768" s="6">
        <v>10</v>
      </c>
      <c r="J768" s="14">
        <f t="shared" si="166"/>
        <v>26.904761904761902</v>
      </c>
      <c r="K768" s="6">
        <v>0</v>
      </c>
      <c r="L768" s="14">
        <f t="shared" si="167"/>
        <v>26.904761904761902</v>
      </c>
      <c r="M768" s="188">
        <f t="shared" si="171"/>
        <v>9.9999999999999992E-2</v>
      </c>
      <c r="O768" s="6">
        <v>10</v>
      </c>
      <c r="P768" s="14">
        <f t="shared" si="168"/>
        <v>20</v>
      </c>
      <c r="Q768" s="6">
        <v>0</v>
      </c>
      <c r="R768" s="14">
        <f t="shared" si="169"/>
        <v>20</v>
      </c>
      <c r="S768" s="188">
        <f t="shared" si="172"/>
        <v>0.1</v>
      </c>
    </row>
    <row r="769" spans="1:19" x14ac:dyDescent="0.2">
      <c r="A769" s="494"/>
      <c r="C769" s="6">
        <v>11</v>
      </c>
      <c r="D769" s="14">
        <f t="shared" si="165"/>
        <v>40.027777777777771</v>
      </c>
      <c r="E769" s="6">
        <v>0</v>
      </c>
      <c r="F769" s="14">
        <f>ChC_dy_1168[[#This Row],[V_av]]-ChC_dy_1168[[#This Row],[V_prel]]</f>
        <v>40.027777777777771</v>
      </c>
      <c r="G769" s="188">
        <f t="shared" si="170"/>
        <v>9.0909090909090842E-2</v>
      </c>
      <c r="I769" s="6">
        <v>11</v>
      </c>
      <c r="J769" s="14">
        <f t="shared" si="166"/>
        <v>29.595238095238091</v>
      </c>
      <c r="K769" s="6">
        <v>0</v>
      </c>
      <c r="L769" s="14">
        <f t="shared" si="167"/>
        <v>29.595238095238091</v>
      </c>
      <c r="M769" s="188">
        <f t="shared" si="171"/>
        <v>9.0909090909090898E-2</v>
      </c>
      <c r="O769" s="6">
        <v>11</v>
      </c>
      <c r="P769" s="14">
        <f t="shared" si="168"/>
        <v>22</v>
      </c>
      <c r="Q769" s="6">
        <v>0</v>
      </c>
      <c r="R769" s="14">
        <f t="shared" si="169"/>
        <v>22</v>
      </c>
      <c r="S769" s="188">
        <f t="shared" si="172"/>
        <v>9.0909090909090912E-2</v>
      </c>
    </row>
    <row r="770" spans="1:19" x14ac:dyDescent="0.2">
      <c r="A770" s="494"/>
      <c r="C770" s="6">
        <v>12</v>
      </c>
      <c r="D770" s="14">
        <f t="shared" si="165"/>
        <v>43.666666666666657</v>
      </c>
      <c r="E770" s="6">
        <v>0</v>
      </c>
      <c r="F770" s="14">
        <f>ChC_dy_1168[[#This Row],[V_av]]-ChC_dy_1168[[#This Row],[V_prel]]</f>
        <v>43.666666666666657</v>
      </c>
      <c r="G770" s="188">
        <f t="shared" si="170"/>
        <v>8.3333333333333273E-2</v>
      </c>
      <c r="I770" s="6">
        <v>12</v>
      </c>
      <c r="J770" s="14">
        <f t="shared" si="166"/>
        <v>32.285714285714285</v>
      </c>
      <c r="K770" s="6">
        <v>0</v>
      </c>
      <c r="L770" s="14">
        <f t="shared" si="167"/>
        <v>32.285714285714285</v>
      </c>
      <c r="M770" s="188">
        <f t="shared" si="171"/>
        <v>8.3333333333333426E-2</v>
      </c>
      <c r="O770" s="6">
        <v>12</v>
      </c>
      <c r="P770" s="14">
        <f t="shared" si="168"/>
        <v>24</v>
      </c>
      <c r="Q770" s="6">
        <v>0</v>
      </c>
      <c r="R770" s="14">
        <f t="shared" si="169"/>
        <v>24</v>
      </c>
      <c r="S770" s="188">
        <f t="shared" si="172"/>
        <v>8.3333333333333329E-2</v>
      </c>
    </row>
    <row r="771" spans="1:19" x14ac:dyDescent="0.2">
      <c r="A771" s="494"/>
      <c r="C771" s="6">
        <v>13</v>
      </c>
      <c r="D771" s="14">
        <f t="shared" si="165"/>
        <v>47.305555555555543</v>
      </c>
      <c r="E771" s="6">
        <v>0</v>
      </c>
      <c r="F771" s="14">
        <f>ChC_dy_1168[[#This Row],[V_av]]-ChC_dy_1168[[#This Row],[V_prel]]</f>
        <v>47.305555555555543</v>
      </c>
      <c r="G771" s="188">
        <f t="shared" si="170"/>
        <v>7.6923076923076872E-2</v>
      </c>
      <c r="I771" s="6">
        <v>13</v>
      </c>
      <c r="J771" s="14">
        <f t="shared" si="166"/>
        <v>34.976190476190474</v>
      </c>
      <c r="K771" s="6">
        <v>0</v>
      </c>
      <c r="L771" s="14">
        <f t="shared" si="167"/>
        <v>34.976190476190474</v>
      </c>
      <c r="M771" s="188">
        <f t="shared" si="171"/>
        <v>7.6923076923076913E-2</v>
      </c>
      <c r="O771" s="6">
        <v>13</v>
      </c>
      <c r="P771" s="14">
        <f t="shared" si="168"/>
        <v>26</v>
      </c>
      <c r="Q771" s="6">
        <v>0</v>
      </c>
      <c r="R771" s="14">
        <f t="shared" si="169"/>
        <v>26</v>
      </c>
      <c r="S771" s="188">
        <f t="shared" si="172"/>
        <v>7.6923076923076927E-2</v>
      </c>
    </row>
    <row r="772" spans="1:19" x14ac:dyDescent="0.2">
      <c r="A772" s="494"/>
      <c r="C772" s="6">
        <v>14</v>
      </c>
      <c r="D772" s="14">
        <f t="shared" si="165"/>
        <v>50.944444444444429</v>
      </c>
      <c r="E772" s="6">
        <v>0</v>
      </c>
      <c r="F772" s="14">
        <f>ChC_dy_1168[[#This Row],[V_av]]-ChC_dy_1168[[#This Row],[V_prel]]</f>
        <v>50.944444444444429</v>
      </c>
      <c r="G772" s="188">
        <f t="shared" si="170"/>
        <v>7.1428571428571383E-2</v>
      </c>
      <c r="I772" s="6">
        <v>14</v>
      </c>
      <c r="J772" s="14">
        <f t="shared" si="166"/>
        <v>37.666666666666664</v>
      </c>
      <c r="K772" s="6">
        <v>0</v>
      </c>
      <c r="L772" s="14">
        <f t="shared" si="167"/>
        <v>37.666666666666664</v>
      </c>
      <c r="M772" s="188">
        <f t="shared" si="171"/>
        <v>7.1428571428571411E-2</v>
      </c>
      <c r="O772" s="6">
        <v>14</v>
      </c>
      <c r="P772" s="14">
        <f t="shared" si="168"/>
        <v>28</v>
      </c>
      <c r="Q772" s="6">
        <v>0</v>
      </c>
      <c r="R772" s="14">
        <f t="shared" si="169"/>
        <v>28</v>
      </c>
      <c r="S772" s="188">
        <f t="shared" si="172"/>
        <v>7.1428571428571425E-2</v>
      </c>
    </row>
    <row r="773" spans="1:19" x14ac:dyDescent="0.2">
      <c r="A773" s="494"/>
      <c r="C773" s="6">
        <v>15</v>
      </c>
      <c r="D773" s="14">
        <f t="shared" si="165"/>
        <v>54.583333333333314</v>
      </c>
      <c r="E773" s="6">
        <v>0</v>
      </c>
      <c r="F773" s="14">
        <f>ChC_dy_1168[[#This Row],[V_av]]-ChC_dy_1168[[#This Row],[V_prel]]</f>
        <v>54.583333333333314</v>
      </c>
      <c r="G773" s="188">
        <f t="shared" si="170"/>
        <v>6.6666666666666638E-2</v>
      </c>
      <c r="I773" s="6">
        <v>15</v>
      </c>
      <c r="J773" s="14">
        <f t="shared" si="166"/>
        <v>40.357142857142854</v>
      </c>
      <c r="K773" s="6">
        <v>0</v>
      </c>
      <c r="L773" s="14">
        <f t="shared" si="167"/>
        <v>40.357142857142854</v>
      </c>
      <c r="M773" s="188">
        <f t="shared" si="171"/>
        <v>6.6666666666666652E-2</v>
      </c>
      <c r="O773" s="6">
        <v>15</v>
      </c>
      <c r="P773" s="14">
        <f t="shared" si="168"/>
        <v>30</v>
      </c>
      <c r="Q773" s="6">
        <v>0</v>
      </c>
      <c r="R773" s="14">
        <f t="shared" si="169"/>
        <v>30</v>
      </c>
      <c r="S773" s="188">
        <f t="shared" si="172"/>
        <v>6.6666666666666666E-2</v>
      </c>
    </row>
    <row r="774" spans="1:19" x14ac:dyDescent="0.2">
      <c r="A774" s="494"/>
      <c r="C774" s="6">
        <v>16</v>
      </c>
      <c r="D774" s="14">
        <f t="shared" si="165"/>
        <v>58.2222222222222</v>
      </c>
      <c r="E774" s="6">
        <v>0</v>
      </c>
      <c r="F774" s="14">
        <f>ChC_dy_1168[[#This Row],[V_av]]-ChC_dy_1168[[#This Row],[V_prel]]</f>
        <v>58.2222222222222</v>
      </c>
      <c r="G774" s="188">
        <f t="shared" si="170"/>
        <v>6.2499999999999972E-2</v>
      </c>
      <c r="I774" s="6">
        <v>16</v>
      </c>
      <c r="J774" s="14">
        <f t="shared" si="166"/>
        <v>43.047619047619044</v>
      </c>
      <c r="K774" s="6">
        <v>0</v>
      </c>
      <c r="L774" s="14">
        <f t="shared" si="167"/>
        <v>43.047619047619044</v>
      </c>
      <c r="M774" s="188">
        <f t="shared" si="171"/>
        <v>6.2499999999999993E-2</v>
      </c>
      <c r="O774" s="6">
        <v>16</v>
      </c>
      <c r="P774" s="14">
        <f t="shared" si="168"/>
        <v>32</v>
      </c>
      <c r="Q774" s="6">
        <v>0</v>
      </c>
      <c r="R774" s="14">
        <f t="shared" si="169"/>
        <v>32</v>
      </c>
      <c r="S774" s="188">
        <f t="shared" si="172"/>
        <v>6.25E-2</v>
      </c>
    </row>
    <row r="775" spans="1:19" x14ac:dyDescent="0.2">
      <c r="A775" s="494"/>
      <c r="C775" s="6">
        <v>17</v>
      </c>
      <c r="D775" s="14">
        <f t="shared" si="165"/>
        <v>61.861111111111086</v>
      </c>
      <c r="E775" s="6">
        <v>0</v>
      </c>
      <c r="F775" s="14">
        <f>ChC_dy_1168[[#This Row],[V_av]]-ChC_dy_1168[[#This Row],[V_prel]]</f>
        <v>61.861111111111086</v>
      </c>
      <c r="G775" s="188">
        <f t="shared" si="170"/>
        <v>5.8823529411764677E-2</v>
      </c>
      <c r="I775" s="6">
        <v>17</v>
      </c>
      <c r="J775" s="14">
        <f t="shared" si="166"/>
        <v>45.738095238095234</v>
      </c>
      <c r="K775" s="6">
        <v>0</v>
      </c>
      <c r="L775" s="14">
        <f t="shared" si="167"/>
        <v>45.738095238095234</v>
      </c>
      <c r="M775" s="188">
        <f t="shared" si="171"/>
        <v>5.8823529411764698E-2</v>
      </c>
      <c r="O775" s="6">
        <v>17</v>
      </c>
      <c r="P775" s="14">
        <f t="shared" si="168"/>
        <v>34</v>
      </c>
      <c r="Q775" s="6">
        <v>0</v>
      </c>
      <c r="R775" s="14">
        <f t="shared" si="169"/>
        <v>34</v>
      </c>
      <c r="S775" s="188">
        <f t="shared" si="172"/>
        <v>5.8823529411764705E-2</v>
      </c>
    </row>
    <row r="776" spans="1:19" x14ac:dyDescent="0.2">
      <c r="A776" s="494"/>
      <c r="C776" s="6">
        <v>18</v>
      </c>
      <c r="D776" s="14">
        <f t="shared" si="165"/>
        <v>65.499999999999972</v>
      </c>
      <c r="E776" s="6">
        <v>0</v>
      </c>
      <c r="F776" s="14">
        <f>ChC_dy_1168[[#This Row],[V_av]]-ChC_dy_1168[[#This Row],[V_prel]]</f>
        <v>65.499999999999972</v>
      </c>
      <c r="G776" s="188">
        <f t="shared" si="170"/>
        <v>5.5555555555555532E-2</v>
      </c>
      <c r="I776" s="6">
        <v>18</v>
      </c>
      <c r="J776" s="14">
        <f t="shared" si="166"/>
        <v>48.428571428571423</v>
      </c>
      <c r="K776" s="6">
        <v>0</v>
      </c>
      <c r="L776" s="14">
        <f t="shared" si="167"/>
        <v>48.428571428571423</v>
      </c>
      <c r="M776" s="188">
        <f t="shared" si="171"/>
        <v>5.5555555555555546E-2</v>
      </c>
      <c r="O776" s="6">
        <v>18</v>
      </c>
      <c r="P776" s="14">
        <f t="shared" si="168"/>
        <v>36</v>
      </c>
      <c r="Q776" s="6">
        <v>0</v>
      </c>
      <c r="R776" s="14">
        <f t="shared" si="169"/>
        <v>36</v>
      </c>
      <c r="S776" s="188">
        <f t="shared" si="172"/>
        <v>5.5555555555555552E-2</v>
      </c>
    </row>
    <row r="777" spans="1:19" x14ac:dyDescent="0.2">
      <c r="A777" s="494"/>
      <c r="C777" s="6">
        <v>19</v>
      </c>
      <c r="D777" s="14">
        <f t="shared" si="165"/>
        <v>69.138888888888857</v>
      </c>
      <c r="E777" s="6">
        <v>0</v>
      </c>
      <c r="F777" s="14">
        <f>ChC_dy_1168[[#This Row],[V_av]]-ChC_dy_1168[[#This Row],[V_prel]]</f>
        <v>69.138888888888857</v>
      </c>
      <c r="G777" s="188">
        <f t="shared" si="170"/>
        <v>5.2631578947368397E-2</v>
      </c>
      <c r="I777" s="6">
        <v>19</v>
      </c>
      <c r="J777" s="14">
        <f t="shared" si="166"/>
        <v>51.119047619047613</v>
      </c>
      <c r="K777" s="6">
        <v>0</v>
      </c>
      <c r="L777" s="14">
        <f t="shared" si="167"/>
        <v>51.119047619047613</v>
      </c>
      <c r="M777" s="188">
        <f t="shared" si="171"/>
        <v>5.2631578947368411E-2</v>
      </c>
      <c r="O777" s="6">
        <v>19</v>
      </c>
      <c r="P777" s="14">
        <f t="shared" si="168"/>
        <v>38</v>
      </c>
      <c r="Q777" s="6">
        <v>0</v>
      </c>
      <c r="R777" s="14">
        <f t="shared" si="169"/>
        <v>38</v>
      </c>
      <c r="S777" s="188">
        <f t="shared" si="172"/>
        <v>5.2631578947368418E-2</v>
      </c>
    </row>
    <row r="778" spans="1:19" x14ac:dyDescent="0.2">
      <c r="A778" s="494"/>
      <c r="C778" s="6">
        <v>20</v>
      </c>
      <c r="D778" s="14">
        <f t="shared" si="165"/>
        <v>72.777777777777743</v>
      </c>
      <c r="E778" s="6">
        <v>0</v>
      </c>
      <c r="F778" s="14">
        <f>ChC_dy_1168[[#This Row],[V_av]]-ChC_dy_1168[[#This Row],[V_prel]]</f>
        <v>72.777777777777743</v>
      </c>
      <c r="G778" s="188">
        <f t="shared" si="170"/>
        <v>4.9999999999999982E-2</v>
      </c>
      <c r="I778" s="6">
        <v>20</v>
      </c>
      <c r="J778" s="14">
        <f t="shared" si="166"/>
        <v>53.809523809523803</v>
      </c>
      <c r="K778" s="6">
        <v>0</v>
      </c>
      <c r="L778" s="14">
        <f t="shared" si="167"/>
        <v>53.809523809523803</v>
      </c>
      <c r="M778" s="188">
        <f t="shared" si="171"/>
        <v>4.9999999999999996E-2</v>
      </c>
      <c r="O778" s="6">
        <v>20</v>
      </c>
      <c r="P778" s="14">
        <f t="shared" si="168"/>
        <v>40</v>
      </c>
      <c r="Q778" s="6">
        <v>0</v>
      </c>
      <c r="R778" s="14">
        <f t="shared" si="169"/>
        <v>40</v>
      </c>
      <c r="S778" s="188">
        <f t="shared" si="172"/>
        <v>0.05</v>
      </c>
    </row>
    <row r="779" spans="1:19" x14ac:dyDescent="0.2">
      <c r="A779" s="494"/>
      <c r="C779" s="6">
        <v>21</v>
      </c>
      <c r="D779" s="14">
        <f t="shared" si="165"/>
        <v>76.416666666666629</v>
      </c>
      <c r="E779" s="6">
        <v>0</v>
      </c>
      <c r="F779" s="14">
        <f>ChC_dy_1168[[#This Row],[V_av]]-ChC_dy_1168[[#This Row],[V_prel]]</f>
        <v>76.416666666666629</v>
      </c>
      <c r="G779" s="188">
        <f t="shared" si="170"/>
        <v>4.7619047619047603E-2</v>
      </c>
      <c r="I779" s="6">
        <v>21</v>
      </c>
      <c r="J779" s="14">
        <f t="shared" si="166"/>
        <v>56.499999999999993</v>
      </c>
      <c r="K779" s="6">
        <v>0</v>
      </c>
      <c r="L779" s="14">
        <f t="shared" si="167"/>
        <v>56.499999999999993</v>
      </c>
      <c r="M779" s="188">
        <f t="shared" si="171"/>
        <v>4.7619047619047616E-2</v>
      </c>
      <c r="O779" s="6">
        <v>21</v>
      </c>
      <c r="P779" s="14">
        <f t="shared" si="168"/>
        <v>42</v>
      </c>
      <c r="Q779" s="6">
        <v>0</v>
      </c>
      <c r="R779" s="14">
        <f t="shared" si="169"/>
        <v>42</v>
      </c>
      <c r="S779" s="188">
        <f t="shared" si="172"/>
        <v>4.7619047619047616E-2</v>
      </c>
    </row>
    <row r="780" spans="1:19" x14ac:dyDescent="0.2">
      <c r="A780" s="494"/>
      <c r="C780" s="6">
        <v>22</v>
      </c>
      <c r="D780" s="14">
        <f t="shared" si="165"/>
        <v>80.055555555555515</v>
      </c>
      <c r="E780" s="6">
        <v>0</v>
      </c>
      <c r="F780" s="14">
        <f>ChC_dy_1168[[#This Row],[V_av]]-ChC_dy_1168[[#This Row],[V_prel]]</f>
        <v>80.055555555555515</v>
      </c>
      <c r="G780" s="188">
        <f t="shared" si="170"/>
        <v>4.5454545454545435E-2</v>
      </c>
      <c r="I780" s="6">
        <v>22</v>
      </c>
      <c r="J780" s="14">
        <f t="shared" si="166"/>
        <v>59.190476190476183</v>
      </c>
      <c r="K780" s="6">
        <v>0</v>
      </c>
      <c r="L780" s="14">
        <f t="shared" si="167"/>
        <v>59.190476190476183</v>
      </c>
      <c r="M780" s="188">
        <f t="shared" si="171"/>
        <v>4.5454545454545449E-2</v>
      </c>
      <c r="O780" s="6">
        <v>22</v>
      </c>
      <c r="P780" s="14">
        <f t="shared" si="168"/>
        <v>44</v>
      </c>
      <c r="Q780" s="6">
        <v>0</v>
      </c>
      <c r="R780" s="14">
        <f t="shared" si="169"/>
        <v>44</v>
      </c>
      <c r="S780" s="188">
        <f t="shared" si="172"/>
        <v>4.5454545454545456E-2</v>
      </c>
    </row>
    <row r="781" spans="1:19" x14ac:dyDescent="0.2">
      <c r="A781" s="494"/>
      <c r="C781" s="6">
        <v>23</v>
      </c>
      <c r="D781" s="14">
        <f t="shared" si="165"/>
        <v>83.6944444444444</v>
      </c>
      <c r="E781" s="6">
        <v>0</v>
      </c>
      <c r="F781" s="14">
        <f>ChC_dy_1168[[#This Row],[V_av]]-ChC_dy_1168[[#This Row],[V_prel]]</f>
        <v>83.6944444444444</v>
      </c>
      <c r="G781" s="188">
        <f t="shared" si="170"/>
        <v>4.3478260869565202E-2</v>
      </c>
      <c r="I781" s="6">
        <v>23</v>
      </c>
      <c r="J781" s="14">
        <f t="shared" si="166"/>
        <v>61.880952380952372</v>
      </c>
      <c r="K781" s="6">
        <v>0</v>
      </c>
      <c r="L781" s="14">
        <f t="shared" si="167"/>
        <v>61.880952380952372</v>
      </c>
      <c r="M781" s="188">
        <f t="shared" si="171"/>
        <v>4.3478260869565209E-2</v>
      </c>
      <c r="O781" s="6">
        <v>23</v>
      </c>
      <c r="P781" s="14">
        <f t="shared" si="168"/>
        <v>46</v>
      </c>
      <c r="Q781" s="6">
        <v>0</v>
      </c>
      <c r="R781" s="14">
        <f t="shared" si="169"/>
        <v>46</v>
      </c>
      <c r="S781" s="188">
        <f t="shared" si="172"/>
        <v>4.3478260869565216E-2</v>
      </c>
    </row>
    <row r="782" spans="1:19" x14ac:dyDescent="0.2">
      <c r="A782" s="494"/>
      <c r="C782" s="6">
        <v>24</v>
      </c>
      <c r="D782" s="14">
        <f t="shared" si="165"/>
        <v>87.333333333333286</v>
      </c>
      <c r="E782" s="6">
        <v>0</v>
      </c>
      <c r="F782" s="14">
        <f>ChC_dy_1168[[#This Row],[V_av]]-ChC_dy_1168[[#This Row],[V_prel]]</f>
        <v>87.333333333333286</v>
      </c>
      <c r="G782" s="188">
        <f t="shared" si="170"/>
        <v>4.166666666666665E-2</v>
      </c>
      <c r="I782" s="6">
        <v>24</v>
      </c>
      <c r="J782" s="14">
        <f t="shared" si="166"/>
        <v>64.571428571428569</v>
      </c>
      <c r="K782" s="6">
        <v>0</v>
      </c>
      <c r="L782" s="14">
        <f t="shared" si="167"/>
        <v>64.571428571428569</v>
      </c>
      <c r="M782" s="188">
        <f t="shared" si="171"/>
        <v>4.1666666666666768E-2</v>
      </c>
      <c r="O782" s="6">
        <v>24</v>
      </c>
      <c r="P782" s="14">
        <f t="shared" si="168"/>
        <v>48</v>
      </c>
      <c r="Q782" s="6">
        <v>0</v>
      </c>
      <c r="R782" s="14">
        <f t="shared" si="169"/>
        <v>48</v>
      </c>
      <c r="S782" s="188">
        <f t="shared" si="172"/>
        <v>4.1666666666666664E-2</v>
      </c>
    </row>
    <row r="783" spans="1:19" x14ac:dyDescent="0.2">
      <c r="A783" s="494"/>
      <c r="C783" s="6">
        <v>25</v>
      </c>
      <c r="D783" s="14">
        <f t="shared" si="165"/>
        <v>90.972222222222172</v>
      </c>
      <c r="E783" s="6">
        <v>0</v>
      </c>
      <c r="F783" s="14">
        <f>ChC_dy_1168[[#This Row],[V_av]]-ChC_dy_1168[[#This Row],[V_prel]]</f>
        <v>90.972222222222172</v>
      </c>
      <c r="G783" s="188">
        <f t="shared" si="170"/>
        <v>3.9999999999999987E-2</v>
      </c>
      <c r="I783" s="6">
        <v>25</v>
      </c>
      <c r="J783" s="14">
        <f t="shared" si="166"/>
        <v>67.261904761904759</v>
      </c>
      <c r="K783" s="6">
        <v>0</v>
      </c>
      <c r="L783" s="14">
        <f t="shared" si="167"/>
        <v>67.261904761904759</v>
      </c>
      <c r="M783" s="188">
        <f t="shared" si="171"/>
        <v>3.9999999999999994E-2</v>
      </c>
      <c r="O783" s="6">
        <v>25</v>
      </c>
      <c r="P783" s="14">
        <f t="shared" si="168"/>
        <v>50</v>
      </c>
      <c r="Q783" s="6">
        <v>0</v>
      </c>
      <c r="R783" s="14">
        <f t="shared" si="169"/>
        <v>50</v>
      </c>
      <c r="S783" s="188">
        <f t="shared" si="172"/>
        <v>0.04</v>
      </c>
    </row>
    <row r="784" spans="1:19" x14ac:dyDescent="0.2">
      <c r="A784" s="494"/>
      <c r="C784" s="6">
        <v>26</v>
      </c>
      <c r="D784" s="14">
        <f t="shared" si="165"/>
        <v>94.611111111111057</v>
      </c>
      <c r="E784" s="6">
        <v>0</v>
      </c>
      <c r="F784" s="14">
        <f>ChC_dy_1168[[#This Row],[V_av]]-ChC_dy_1168[[#This Row],[V_prel]]</f>
        <v>94.611111111111057</v>
      </c>
      <c r="G784" s="188">
        <f t="shared" si="170"/>
        <v>3.846153846153845E-2</v>
      </c>
      <c r="I784" s="6">
        <v>26</v>
      </c>
      <c r="J784" s="14">
        <f t="shared" si="166"/>
        <v>69.952380952380949</v>
      </c>
      <c r="K784" s="6">
        <v>0</v>
      </c>
      <c r="L784" s="14">
        <f t="shared" si="167"/>
        <v>69.952380952380949</v>
      </c>
      <c r="M784" s="188">
        <f t="shared" si="171"/>
        <v>3.8461538461538457E-2</v>
      </c>
      <c r="O784" s="6">
        <v>26</v>
      </c>
      <c r="P784" s="14">
        <f t="shared" si="168"/>
        <v>52</v>
      </c>
      <c r="Q784" s="6">
        <v>0</v>
      </c>
      <c r="R784" s="14">
        <f t="shared" si="169"/>
        <v>52</v>
      </c>
      <c r="S784" s="188">
        <f t="shared" si="172"/>
        <v>3.8461538461538464E-2</v>
      </c>
    </row>
    <row r="785" spans="1:19" x14ac:dyDescent="0.2">
      <c r="A785" s="494"/>
      <c r="C785" s="6">
        <v>27</v>
      </c>
      <c r="D785" s="14">
        <f t="shared" si="165"/>
        <v>98.249999999999943</v>
      </c>
      <c r="E785" s="6">
        <v>0</v>
      </c>
      <c r="F785" s="14">
        <f>ChC_dy_1168[[#This Row],[V_av]]-ChC_dy_1168[[#This Row],[V_prel]]</f>
        <v>98.249999999999943</v>
      </c>
      <c r="G785" s="188">
        <f t="shared" si="170"/>
        <v>3.7037037037037028E-2</v>
      </c>
      <c r="I785" s="6">
        <v>27</v>
      </c>
      <c r="J785" s="14">
        <f t="shared" si="166"/>
        <v>72.642857142857139</v>
      </c>
      <c r="K785" s="6">
        <v>0</v>
      </c>
      <c r="L785" s="14">
        <f t="shared" si="167"/>
        <v>72.642857142857139</v>
      </c>
      <c r="M785" s="188">
        <f t="shared" si="171"/>
        <v>3.7037037037037028E-2</v>
      </c>
      <c r="O785" s="6">
        <v>27</v>
      </c>
      <c r="P785" s="14">
        <f t="shared" si="168"/>
        <v>54</v>
      </c>
      <c r="Q785" s="6">
        <v>0</v>
      </c>
      <c r="R785" s="14">
        <f t="shared" si="169"/>
        <v>54</v>
      </c>
      <c r="S785" s="188">
        <f t="shared" si="172"/>
        <v>3.7037037037037035E-2</v>
      </c>
    </row>
    <row r="786" spans="1:19" x14ac:dyDescent="0.2">
      <c r="A786" s="494"/>
      <c r="C786" s="6">
        <v>28</v>
      </c>
      <c r="D786" s="14">
        <f t="shared" si="165"/>
        <v>101.88888888888883</v>
      </c>
      <c r="E786" s="6">
        <v>0</v>
      </c>
      <c r="F786" s="14">
        <f>ChC_dy_1168[[#This Row],[V_av]]-ChC_dy_1168[[#This Row],[V_prel]]</f>
        <v>101.88888888888883</v>
      </c>
      <c r="G786" s="188">
        <f t="shared" si="170"/>
        <v>3.5714285714285705E-2</v>
      </c>
      <c r="I786" s="6">
        <v>28</v>
      </c>
      <c r="J786" s="14">
        <f t="shared" si="166"/>
        <v>75.333333333333329</v>
      </c>
      <c r="K786" s="6">
        <v>0</v>
      </c>
      <c r="L786" s="14">
        <f t="shared" si="167"/>
        <v>75.333333333333329</v>
      </c>
      <c r="M786" s="188">
        <f t="shared" si="171"/>
        <v>3.5714285714285705E-2</v>
      </c>
      <c r="O786" s="6">
        <v>28</v>
      </c>
      <c r="P786" s="14">
        <f t="shared" si="168"/>
        <v>56</v>
      </c>
      <c r="Q786" s="6">
        <v>0</v>
      </c>
      <c r="R786" s="14">
        <f t="shared" si="169"/>
        <v>56</v>
      </c>
      <c r="S786" s="188">
        <f t="shared" si="172"/>
        <v>3.5714285714285712E-2</v>
      </c>
    </row>
    <row r="787" spans="1:19" x14ac:dyDescent="0.2">
      <c r="A787" s="494"/>
      <c r="C787" s="6">
        <v>29</v>
      </c>
      <c r="D787" s="14">
        <f t="shared" si="165"/>
        <v>105.52777777777771</v>
      </c>
      <c r="E787" s="6">
        <v>0</v>
      </c>
      <c r="F787" s="14">
        <f>ChC_dy_1168[[#This Row],[V_av]]-ChC_dy_1168[[#This Row],[V_prel]]</f>
        <v>105.52777777777771</v>
      </c>
      <c r="G787" s="188">
        <f t="shared" si="170"/>
        <v>3.4482758620689648E-2</v>
      </c>
      <c r="I787" s="6">
        <v>29</v>
      </c>
      <c r="J787" s="14">
        <f t="shared" si="166"/>
        <v>78.023809523809518</v>
      </c>
      <c r="K787" s="6">
        <v>0</v>
      </c>
      <c r="L787" s="14">
        <f t="shared" si="167"/>
        <v>78.023809523809518</v>
      </c>
      <c r="M787" s="188">
        <f t="shared" si="171"/>
        <v>3.4482758620689648E-2</v>
      </c>
      <c r="O787" s="6">
        <v>29</v>
      </c>
      <c r="P787" s="14">
        <f t="shared" si="168"/>
        <v>58</v>
      </c>
      <c r="Q787" s="6">
        <v>0</v>
      </c>
      <c r="R787" s="14">
        <f t="shared" si="169"/>
        <v>58</v>
      </c>
      <c r="S787" s="188">
        <f t="shared" si="172"/>
        <v>3.4482758620689655E-2</v>
      </c>
    </row>
    <row r="788" spans="1:19" x14ac:dyDescent="0.2">
      <c r="A788" s="494"/>
      <c r="C788" s="6">
        <v>30</v>
      </c>
      <c r="D788" s="14">
        <f t="shared" si="165"/>
        <v>109.1666666666666</v>
      </c>
      <c r="E788" s="6">
        <v>0</v>
      </c>
      <c r="F788" s="14">
        <f>ChC_dy_1168[[#This Row],[V_av]]-ChC_dy_1168[[#This Row],[V_prel]]</f>
        <v>109.1666666666666</v>
      </c>
      <c r="G788" s="188">
        <f t="shared" si="170"/>
        <v>3.3333333333333326E-2</v>
      </c>
      <c r="I788" s="6">
        <v>30</v>
      </c>
      <c r="J788" s="14">
        <f t="shared" si="166"/>
        <v>80.714285714285708</v>
      </c>
      <c r="K788" s="6">
        <v>0</v>
      </c>
      <c r="L788" s="14">
        <f t="shared" si="167"/>
        <v>80.714285714285708</v>
      </c>
      <c r="M788" s="188">
        <f t="shared" si="171"/>
        <v>3.3333333333333326E-2</v>
      </c>
      <c r="O788" s="6">
        <v>30</v>
      </c>
      <c r="P788" s="14">
        <f t="shared" si="168"/>
        <v>60</v>
      </c>
      <c r="Q788" s="6">
        <v>0</v>
      </c>
      <c r="R788" s="14">
        <f t="shared" si="169"/>
        <v>60</v>
      </c>
      <c r="S788" s="188">
        <f t="shared" si="172"/>
        <v>3.3333333333333333E-2</v>
      </c>
    </row>
    <row r="789" spans="1:19" x14ac:dyDescent="0.2">
      <c r="A789" s="494"/>
      <c r="C789" s="6">
        <v>31</v>
      </c>
      <c r="D789" s="14">
        <f t="shared" si="165"/>
        <v>112.80555555555549</v>
      </c>
      <c r="E789" s="6">
        <v>0</v>
      </c>
      <c r="F789" s="14">
        <f>ChC_dy_1168[[#This Row],[V_av]]-ChC_dy_1168[[#This Row],[V_prel]]</f>
        <v>112.80555555555549</v>
      </c>
      <c r="G789" s="188">
        <f t="shared" si="170"/>
        <v>3.2258064516129024E-2</v>
      </c>
      <c r="I789" s="7">
        <v>42</v>
      </c>
      <c r="J789" s="7">
        <v>113</v>
      </c>
      <c r="K789" s="7">
        <v>30</v>
      </c>
      <c r="L789" s="7">
        <v>83</v>
      </c>
      <c r="M789" s="188">
        <f t="shared" si="171"/>
        <v>2.3809523809523812E-2</v>
      </c>
      <c r="O789" s="7">
        <v>56</v>
      </c>
      <c r="P789" s="7">
        <v>112</v>
      </c>
      <c r="Q789" s="7">
        <v>33</v>
      </c>
      <c r="R789" s="7">
        <v>79</v>
      </c>
      <c r="S789" s="188">
        <f t="shared" si="172"/>
        <v>1.7857142857142856E-2</v>
      </c>
    </row>
    <row r="790" spans="1:19" x14ac:dyDescent="0.2">
      <c r="A790" s="494"/>
      <c r="C790" s="6">
        <v>32</v>
      </c>
      <c r="D790" s="14">
        <f t="shared" si="165"/>
        <v>116.44444444444437</v>
      </c>
      <c r="E790" s="6">
        <v>0</v>
      </c>
      <c r="F790" s="14">
        <f>ChC_dy_1168[[#This Row],[V_av]]-ChC_dy_1168[[#This Row],[V_prel]]</f>
        <v>116.44444444444437</v>
      </c>
      <c r="G790" s="188">
        <f t="shared" si="170"/>
        <v>3.1249999999999993E-2</v>
      </c>
    </row>
    <row r="791" spans="1:19" x14ac:dyDescent="0.2">
      <c r="A791" s="494"/>
      <c r="C791" s="6">
        <v>33</v>
      </c>
      <c r="D791" s="14">
        <f t="shared" si="165"/>
        <v>120.08333333333326</v>
      </c>
      <c r="E791" s="6">
        <v>0</v>
      </c>
      <c r="F791" s="14">
        <f>ChC_dy_1168[[#This Row],[V_av]]-ChC_dy_1168[[#This Row],[V_prel]]</f>
        <v>120.08333333333326</v>
      </c>
      <c r="G791" s="188">
        <f t="shared" si="170"/>
        <v>3.0303030303030297E-2</v>
      </c>
    </row>
    <row r="792" spans="1:19" x14ac:dyDescent="0.2">
      <c r="A792" s="494"/>
      <c r="C792" s="6">
        <v>34</v>
      </c>
      <c r="D792" s="14">
        <f t="shared" si="165"/>
        <v>123.72222222222214</v>
      </c>
      <c r="E792" s="6">
        <v>0</v>
      </c>
      <c r="F792" s="14">
        <f>ChC_dy_1168[[#This Row],[V_av]]-ChC_dy_1168[[#This Row],[V_prel]]</f>
        <v>123.72222222222214</v>
      </c>
      <c r="G792" s="188">
        <f t="shared" si="170"/>
        <v>2.9411764705882346E-2</v>
      </c>
    </row>
    <row r="793" spans="1:19" x14ac:dyDescent="0.2">
      <c r="A793" s="494"/>
      <c r="C793" s="6">
        <v>35</v>
      </c>
      <c r="D793" s="14">
        <f t="shared" si="165"/>
        <v>127.36111111111103</v>
      </c>
      <c r="E793" s="6">
        <v>0</v>
      </c>
      <c r="F793" s="14">
        <f>ChC_dy_1168[[#This Row],[V_av]]-ChC_dy_1168[[#This Row],[V_prel]]</f>
        <v>127.36111111111103</v>
      </c>
      <c r="G793" s="188">
        <f t="shared" si="170"/>
        <v>2.8571428571428564E-2</v>
      </c>
    </row>
    <row r="794" spans="1:19" x14ac:dyDescent="0.2">
      <c r="A794" s="494"/>
      <c r="C794" s="7">
        <v>36</v>
      </c>
      <c r="D794" s="7">
        <v>131</v>
      </c>
      <c r="E794" s="7">
        <v>37</v>
      </c>
      <c r="F794" s="7">
        <v>94</v>
      </c>
      <c r="G794" s="188">
        <f t="shared" si="170"/>
        <v>2.7777777777778404E-2</v>
      </c>
    </row>
    <row r="795" spans="1:19" x14ac:dyDescent="0.2">
      <c r="A795" s="494"/>
      <c r="C795" s="7">
        <v>42</v>
      </c>
      <c r="D795" s="7">
        <v>148</v>
      </c>
      <c r="E795" s="7">
        <v>41</v>
      </c>
      <c r="F795" s="7">
        <v>107</v>
      </c>
      <c r="G795" s="188">
        <f t="shared" si="170"/>
        <v>6.0810810810810807E-2</v>
      </c>
    </row>
    <row r="796" spans="1:19" x14ac:dyDescent="0.2">
      <c r="A796" s="209"/>
      <c r="C796" s="7">
        <v>48</v>
      </c>
      <c r="D796" s="7">
        <v>157</v>
      </c>
      <c r="E796" s="7">
        <v>41</v>
      </c>
      <c r="F796" s="7">
        <v>116</v>
      </c>
      <c r="G796" s="188">
        <f t="shared" si="170"/>
        <v>5.3078556263269634E-2</v>
      </c>
    </row>
    <row r="797" spans="1:19" x14ac:dyDescent="0.2">
      <c r="A797" s="209"/>
      <c r="C797" s="7">
        <v>54</v>
      </c>
      <c r="D797" s="7">
        <v>163</v>
      </c>
      <c r="E797" s="7">
        <v>31</v>
      </c>
      <c r="F797" s="7">
        <v>132</v>
      </c>
      <c r="G797" s="188">
        <f t="shared" si="170"/>
        <v>4.8057259713701429E-2</v>
      </c>
    </row>
    <row r="798" spans="1:19" x14ac:dyDescent="0.2">
      <c r="A798" s="209"/>
      <c r="C798" s="7">
        <v>62</v>
      </c>
      <c r="D798" s="7">
        <v>193</v>
      </c>
      <c r="E798" s="7">
        <v>38</v>
      </c>
      <c r="F798" s="7">
        <v>155</v>
      </c>
      <c r="G798" s="188">
        <f t="shared" si="170"/>
        <v>3.950777202072539E-2</v>
      </c>
    </row>
    <row r="799" spans="1:19" x14ac:dyDescent="0.2">
      <c r="A799" s="209"/>
      <c r="C799" s="7">
        <v>70</v>
      </c>
      <c r="D799" s="7">
        <v>220</v>
      </c>
      <c r="E799" s="7">
        <v>53</v>
      </c>
      <c r="F799" s="7">
        <v>167</v>
      </c>
      <c r="G799" s="188">
        <f t="shared" si="170"/>
        <v>3.6931818181818184E-2</v>
      </c>
    </row>
    <row r="800" spans="1:19" x14ac:dyDescent="0.2">
      <c r="A800" s="209"/>
      <c r="C800" s="7">
        <v>78</v>
      </c>
      <c r="D800" s="7">
        <v>227</v>
      </c>
      <c r="E800" s="7">
        <v>42</v>
      </c>
      <c r="F800" s="7">
        <v>185</v>
      </c>
      <c r="G800" s="188">
        <f t="shared" si="170"/>
        <v>3.3039647577092511E-2</v>
      </c>
    </row>
    <row r="801" spans="1:19" x14ac:dyDescent="0.2">
      <c r="A801" s="209"/>
      <c r="C801" s="7">
        <v>87</v>
      </c>
      <c r="D801" s="7">
        <v>243</v>
      </c>
      <c r="E801" s="7">
        <v>39</v>
      </c>
      <c r="F801" s="7">
        <v>204</v>
      </c>
      <c r="G801" s="188">
        <f t="shared" si="170"/>
        <v>2.6520347508001828E-2</v>
      </c>
    </row>
    <row r="802" spans="1:19" x14ac:dyDescent="0.2">
      <c r="A802" s="209"/>
      <c r="C802" s="7">
        <v>97</v>
      </c>
      <c r="D802" s="7">
        <v>265</v>
      </c>
      <c r="E802" s="7">
        <v>42</v>
      </c>
      <c r="F802" s="7">
        <v>223</v>
      </c>
      <c r="G802" s="188">
        <f t="shared" si="170"/>
        <v>2.3018867924528303E-2</v>
      </c>
      <c r="M802" s="6"/>
      <c r="S802" s="6"/>
    </row>
    <row r="803" spans="1:19" x14ac:dyDescent="0.2">
      <c r="A803" s="209"/>
      <c r="C803" s="7">
        <v>107</v>
      </c>
      <c r="D803" s="7">
        <v>287</v>
      </c>
      <c r="E803" s="7">
        <v>45</v>
      </c>
      <c r="F803" s="7">
        <v>242</v>
      </c>
      <c r="G803" s="188">
        <f t="shared" si="170"/>
        <v>2.2299651567944251E-2</v>
      </c>
      <c r="M803" s="6"/>
      <c r="S803" s="6"/>
    </row>
    <row r="804" spans="1:19" x14ac:dyDescent="0.2">
      <c r="A804" s="209"/>
      <c r="C804" s="7">
        <v>117</v>
      </c>
      <c r="D804" s="7">
        <v>309</v>
      </c>
      <c r="E804" s="7">
        <v>45</v>
      </c>
      <c r="F804" s="7">
        <v>264</v>
      </c>
      <c r="G804" s="188">
        <f t="shared" si="170"/>
        <v>2.1682847896440129E-2</v>
      </c>
      <c r="M804" s="6"/>
      <c r="S804" s="6"/>
    </row>
    <row r="805" spans="1:19" x14ac:dyDescent="0.2">
      <c r="A805" s="209"/>
      <c r="C805" s="7">
        <v>129</v>
      </c>
      <c r="D805" s="7">
        <v>337</v>
      </c>
      <c r="E805" s="7">
        <v>337</v>
      </c>
      <c r="F805" s="7">
        <v>0</v>
      </c>
      <c r="G805" s="188">
        <f t="shared" si="170"/>
        <v>1.8051434223541048E-2</v>
      </c>
      <c r="M805" s="6"/>
      <c r="S805" s="6"/>
    </row>
    <row r="806" spans="1:19" x14ac:dyDescent="0.2">
      <c r="A806" s="209"/>
      <c r="G806" s="6"/>
      <c r="M806" s="6"/>
      <c r="S806" s="6"/>
    </row>
    <row r="807" spans="1:19" x14ac:dyDescent="0.2">
      <c r="A807" s="209"/>
      <c r="C807" s="7" t="s">
        <v>990</v>
      </c>
      <c r="D807" s="9" t="s">
        <v>141</v>
      </c>
      <c r="I807" s="7" t="s">
        <v>991</v>
      </c>
      <c r="O807" s="7" t="s">
        <v>992</v>
      </c>
    </row>
    <row r="808" spans="1:19" x14ac:dyDescent="0.2">
      <c r="A808" s="495"/>
      <c r="C808" s="6" t="s">
        <v>125</v>
      </c>
      <c r="D808" s="6" t="s">
        <v>126</v>
      </c>
      <c r="E808" s="6" t="s">
        <v>127</v>
      </c>
      <c r="F808" s="6" t="s">
        <v>128</v>
      </c>
      <c r="G808" s="194" t="s">
        <v>699</v>
      </c>
      <c r="I808" s="176" t="s">
        <v>125</v>
      </c>
      <c r="J808" s="176" t="s">
        <v>126</v>
      </c>
      <c r="K808" s="176" t="s">
        <v>127</v>
      </c>
      <c r="L808" s="176" t="s">
        <v>128</v>
      </c>
      <c r="M808" s="196" t="s">
        <v>699</v>
      </c>
      <c r="O808" s="176" t="s">
        <v>125</v>
      </c>
      <c r="P808" s="176" t="s">
        <v>126</v>
      </c>
      <c r="Q808" s="176" t="s">
        <v>127</v>
      </c>
      <c r="R808" s="176" t="s">
        <v>128</v>
      </c>
      <c r="S808" s="196" t="s">
        <v>699</v>
      </c>
    </row>
    <row r="809" spans="1:19" x14ac:dyDescent="0.2">
      <c r="A809" s="495"/>
      <c r="C809" s="6">
        <v>1</v>
      </c>
      <c r="D809" s="6">
        <f>D844/C844</f>
        <v>4</v>
      </c>
      <c r="E809" s="6">
        <v>0</v>
      </c>
      <c r="F809" s="6">
        <f>ChC_1171[[#This Row],[V_av]]-ChC_1171[[#This Row],[V_prel]]</f>
        <v>4</v>
      </c>
      <c r="G809" s="194">
        <v>0</v>
      </c>
      <c r="I809" s="6">
        <v>1</v>
      </c>
      <c r="J809" s="6">
        <f>J839/I839</f>
        <v>3</v>
      </c>
      <c r="K809" s="6">
        <v>0</v>
      </c>
      <c r="L809" s="6">
        <f>J809-K809</f>
        <v>3</v>
      </c>
      <c r="M809" s="194">
        <v>0</v>
      </c>
      <c r="O809" s="6">
        <v>1</v>
      </c>
      <c r="P809" s="8">
        <f>P839/O839</f>
        <v>2.1607142857142856</v>
      </c>
      <c r="Q809" s="6">
        <v>0</v>
      </c>
      <c r="R809" s="8">
        <f>P809-Q809</f>
        <v>2.1607142857142856</v>
      </c>
      <c r="S809" s="187">
        <v>0</v>
      </c>
    </row>
    <row r="810" spans="1:19" x14ac:dyDescent="0.2">
      <c r="A810" s="495"/>
      <c r="C810" s="6">
        <v>2</v>
      </c>
      <c r="D810" s="6">
        <f t="shared" ref="D810:D843" si="173">$D$844/$C$844+F809</f>
        <v>8</v>
      </c>
      <c r="E810" s="6">
        <v>0</v>
      </c>
      <c r="F810" s="6">
        <f>ChC_1171[[#This Row],[V_av]]-ChC_1171[[#This Row],[V_prel]]</f>
        <v>8</v>
      </c>
      <c r="G810" s="188">
        <f>((D810-F809)/D810)/(C810-C809)</f>
        <v>0.5</v>
      </c>
      <c r="I810" s="6">
        <v>2</v>
      </c>
      <c r="J810" s="6">
        <f t="shared" ref="J810:J838" si="174">$J$839/$I$839+L809</f>
        <v>6</v>
      </c>
      <c r="K810" s="6">
        <v>0</v>
      </c>
      <c r="L810" s="6">
        <f t="shared" ref="L810:L838" si="175">J810-K810</f>
        <v>6</v>
      </c>
      <c r="M810" s="188">
        <f>((J810-L809)/J810)/(I810-I809)</f>
        <v>0.5</v>
      </c>
      <c r="O810" s="6">
        <v>2</v>
      </c>
      <c r="P810" s="8">
        <f t="shared" ref="P810:P838" si="176">$P$839/$O$839+R809</f>
        <v>4.3214285714285712</v>
      </c>
      <c r="Q810" s="6">
        <v>0</v>
      </c>
      <c r="R810" s="8">
        <f t="shared" ref="R810:R838" si="177">P810-Q810</f>
        <v>4.3214285714285712</v>
      </c>
      <c r="S810" s="188">
        <f>((P810-R809)/P810)/(O810-O809)</f>
        <v>0.5</v>
      </c>
    </row>
    <row r="811" spans="1:19" x14ac:dyDescent="0.2">
      <c r="A811" s="495"/>
      <c r="C811" s="6">
        <v>3</v>
      </c>
      <c r="D811" s="6">
        <f t="shared" si="173"/>
        <v>12</v>
      </c>
      <c r="E811" s="6">
        <v>0</v>
      </c>
      <c r="F811" s="6">
        <f>ChC_1171[[#This Row],[V_av]]-ChC_1171[[#This Row],[V_prel]]</f>
        <v>12</v>
      </c>
      <c r="G811" s="188">
        <f t="shared" ref="G811:G857" si="178">((D811-F810)/D811)/(C811-C810)</f>
        <v>0.33333333333333331</v>
      </c>
      <c r="I811" s="6">
        <v>3</v>
      </c>
      <c r="J811" s="6">
        <f t="shared" si="174"/>
        <v>9</v>
      </c>
      <c r="K811" s="6">
        <v>0</v>
      </c>
      <c r="L811" s="6">
        <f t="shared" si="175"/>
        <v>9</v>
      </c>
      <c r="M811" s="188">
        <f t="shared" ref="M811:M839" si="179">((J811-L810)/J811)/(I811-I810)</f>
        <v>0.33333333333333331</v>
      </c>
      <c r="O811" s="6">
        <v>3</v>
      </c>
      <c r="P811" s="8">
        <f t="shared" si="176"/>
        <v>6.4821428571428568</v>
      </c>
      <c r="Q811" s="6">
        <v>0</v>
      </c>
      <c r="R811" s="8">
        <f t="shared" si="177"/>
        <v>6.4821428571428568</v>
      </c>
      <c r="S811" s="188">
        <f t="shared" ref="S811:S839" si="180">((P811-R810)/P811)/(O811-O810)</f>
        <v>0.33333333333333331</v>
      </c>
    </row>
    <row r="812" spans="1:19" x14ac:dyDescent="0.2">
      <c r="A812" s="495"/>
      <c r="C812" s="6">
        <v>4</v>
      </c>
      <c r="D812" s="6">
        <f t="shared" si="173"/>
        <v>16</v>
      </c>
      <c r="E812" s="6">
        <v>0</v>
      </c>
      <c r="F812" s="6">
        <f>ChC_1171[[#This Row],[V_av]]-ChC_1171[[#This Row],[V_prel]]</f>
        <v>16</v>
      </c>
      <c r="G812" s="188">
        <f t="shared" si="178"/>
        <v>0.25</v>
      </c>
      <c r="I812" s="6">
        <v>4</v>
      </c>
      <c r="J812" s="6">
        <f t="shared" si="174"/>
        <v>12</v>
      </c>
      <c r="K812" s="6">
        <v>0</v>
      </c>
      <c r="L812" s="6">
        <f t="shared" si="175"/>
        <v>12</v>
      </c>
      <c r="M812" s="188">
        <f t="shared" si="179"/>
        <v>0.25</v>
      </c>
      <c r="O812" s="6">
        <v>4</v>
      </c>
      <c r="P812" s="8">
        <f t="shared" si="176"/>
        <v>8.6428571428571423</v>
      </c>
      <c r="Q812" s="6">
        <v>0</v>
      </c>
      <c r="R812" s="8">
        <f t="shared" si="177"/>
        <v>8.6428571428571423</v>
      </c>
      <c r="S812" s="188">
        <f t="shared" si="180"/>
        <v>0.25</v>
      </c>
    </row>
    <row r="813" spans="1:19" x14ac:dyDescent="0.2">
      <c r="A813" s="495"/>
      <c r="C813" s="6">
        <v>5</v>
      </c>
      <c r="D813" s="6">
        <f t="shared" si="173"/>
        <v>20</v>
      </c>
      <c r="E813" s="6">
        <v>0</v>
      </c>
      <c r="F813" s="6">
        <f>ChC_1171[[#This Row],[V_av]]-ChC_1171[[#This Row],[V_prel]]</f>
        <v>20</v>
      </c>
      <c r="G813" s="188">
        <f t="shared" si="178"/>
        <v>0.2</v>
      </c>
      <c r="I813" s="6">
        <v>5</v>
      </c>
      <c r="J813" s="6">
        <f t="shared" si="174"/>
        <v>15</v>
      </c>
      <c r="K813" s="6">
        <v>0</v>
      </c>
      <c r="L813" s="6">
        <f t="shared" si="175"/>
        <v>15</v>
      </c>
      <c r="M813" s="188">
        <f t="shared" si="179"/>
        <v>0.2</v>
      </c>
      <c r="O813" s="6">
        <v>5</v>
      </c>
      <c r="P813" s="8">
        <f t="shared" si="176"/>
        <v>10.803571428571427</v>
      </c>
      <c r="Q813" s="6">
        <v>0</v>
      </c>
      <c r="R813" s="8">
        <f t="shared" si="177"/>
        <v>10.803571428571427</v>
      </c>
      <c r="S813" s="188">
        <f t="shared" si="180"/>
        <v>0.19999999999999993</v>
      </c>
    </row>
    <row r="814" spans="1:19" x14ac:dyDescent="0.2">
      <c r="A814" s="495"/>
      <c r="C814" s="6">
        <v>6</v>
      </c>
      <c r="D814" s="6">
        <f t="shared" si="173"/>
        <v>24</v>
      </c>
      <c r="E814" s="6">
        <v>0</v>
      </c>
      <c r="F814" s="6">
        <f>ChC_1171[[#This Row],[V_av]]-ChC_1171[[#This Row],[V_prel]]</f>
        <v>24</v>
      </c>
      <c r="G814" s="188">
        <f t="shared" si="178"/>
        <v>0.16666666666666666</v>
      </c>
      <c r="I814" s="6">
        <v>6</v>
      </c>
      <c r="J814" s="6">
        <f t="shared" si="174"/>
        <v>18</v>
      </c>
      <c r="K814" s="6">
        <v>0</v>
      </c>
      <c r="L814" s="6">
        <f t="shared" si="175"/>
        <v>18</v>
      </c>
      <c r="M814" s="188">
        <f t="shared" si="179"/>
        <v>0.16666666666666666</v>
      </c>
      <c r="O814" s="6">
        <v>6</v>
      </c>
      <c r="P814" s="8">
        <f t="shared" si="176"/>
        <v>12.964285714285712</v>
      </c>
      <c r="Q814" s="6">
        <v>0</v>
      </c>
      <c r="R814" s="8">
        <f t="shared" si="177"/>
        <v>12.964285714285712</v>
      </c>
      <c r="S814" s="188">
        <f t="shared" si="180"/>
        <v>0.16666666666666663</v>
      </c>
    </row>
    <row r="815" spans="1:19" x14ac:dyDescent="0.2">
      <c r="A815" s="495"/>
      <c r="C815" s="6">
        <v>7</v>
      </c>
      <c r="D815" s="6">
        <f t="shared" si="173"/>
        <v>28</v>
      </c>
      <c r="E815" s="6">
        <v>0</v>
      </c>
      <c r="F815" s="6">
        <f>ChC_1171[[#This Row],[V_av]]-ChC_1171[[#This Row],[V_prel]]</f>
        <v>28</v>
      </c>
      <c r="G815" s="188">
        <f t="shared" si="178"/>
        <v>0.14285714285714285</v>
      </c>
      <c r="I815" s="6">
        <v>7</v>
      </c>
      <c r="J815" s="6">
        <f t="shared" si="174"/>
        <v>21</v>
      </c>
      <c r="K815" s="6">
        <v>0</v>
      </c>
      <c r="L815" s="6">
        <f t="shared" si="175"/>
        <v>21</v>
      </c>
      <c r="M815" s="188">
        <f t="shared" si="179"/>
        <v>0.14285714285714285</v>
      </c>
      <c r="O815" s="6">
        <v>7</v>
      </c>
      <c r="P815" s="8">
        <f t="shared" si="176"/>
        <v>15.124999999999996</v>
      </c>
      <c r="Q815" s="6">
        <v>0</v>
      </c>
      <c r="R815" s="8">
        <f t="shared" si="177"/>
        <v>15.124999999999996</v>
      </c>
      <c r="S815" s="188">
        <f t="shared" si="180"/>
        <v>0.14285714285714282</v>
      </c>
    </row>
    <row r="816" spans="1:19" x14ac:dyDescent="0.2">
      <c r="A816" s="495"/>
      <c r="C816" s="6">
        <v>8</v>
      </c>
      <c r="D816" s="6">
        <f t="shared" si="173"/>
        <v>32</v>
      </c>
      <c r="E816" s="6">
        <v>0</v>
      </c>
      <c r="F816" s="6">
        <f>ChC_1171[[#This Row],[V_av]]-ChC_1171[[#This Row],[V_prel]]</f>
        <v>32</v>
      </c>
      <c r="G816" s="188">
        <f t="shared" si="178"/>
        <v>0.125</v>
      </c>
      <c r="I816" s="6">
        <v>8</v>
      </c>
      <c r="J816" s="6">
        <f t="shared" si="174"/>
        <v>24</v>
      </c>
      <c r="K816" s="6">
        <v>0</v>
      </c>
      <c r="L816" s="6">
        <f t="shared" si="175"/>
        <v>24</v>
      </c>
      <c r="M816" s="188">
        <f t="shared" si="179"/>
        <v>0.125</v>
      </c>
      <c r="O816" s="6">
        <v>8</v>
      </c>
      <c r="P816" s="8">
        <f t="shared" si="176"/>
        <v>17.285714285714281</v>
      </c>
      <c r="Q816" s="6">
        <v>0</v>
      </c>
      <c r="R816" s="8">
        <f t="shared" si="177"/>
        <v>17.285714285714281</v>
      </c>
      <c r="S816" s="188">
        <f t="shared" si="180"/>
        <v>0.12499999999999997</v>
      </c>
    </row>
    <row r="817" spans="1:19" x14ac:dyDescent="0.2">
      <c r="A817" s="495"/>
      <c r="C817" s="6">
        <v>9</v>
      </c>
      <c r="D817" s="6">
        <f t="shared" si="173"/>
        <v>36</v>
      </c>
      <c r="E817" s="6">
        <v>0</v>
      </c>
      <c r="F817" s="6">
        <f>ChC_1171[[#This Row],[V_av]]-ChC_1171[[#This Row],[V_prel]]</f>
        <v>36</v>
      </c>
      <c r="G817" s="188">
        <f t="shared" si="178"/>
        <v>0.1111111111111111</v>
      </c>
      <c r="I817" s="6">
        <v>9</v>
      </c>
      <c r="J817" s="6">
        <f t="shared" si="174"/>
        <v>27</v>
      </c>
      <c r="K817" s="6">
        <v>0</v>
      </c>
      <c r="L817" s="6">
        <f t="shared" si="175"/>
        <v>27</v>
      </c>
      <c r="M817" s="188">
        <f t="shared" si="179"/>
        <v>0.1111111111111111</v>
      </c>
      <c r="O817" s="6">
        <v>9</v>
      </c>
      <c r="P817" s="8">
        <f t="shared" si="176"/>
        <v>19.446428571428566</v>
      </c>
      <c r="Q817" s="6">
        <v>0</v>
      </c>
      <c r="R817" s="8">
        <f t="shared" si="177"/>
        <v>19.446428571428566</v>
      </c>
      <c r="S817" s="188">
        <f t="shared" si="180"/>
        <v>0.11111111111111109</v>
      </c>
    </row>
    <row r="818" spans="1:19" x14ac:dyDescent="0.2">
      <c r="A818" s="495"/>
      <c r="C818" s="6">
        <v>10</v>
      </c>
      <c r="D818" s="6">
        <f t="shared" si="173"/>
        <v>40</v>
      </c>
      <c r="E818" s="6">
        <v>0</v>
      </c>
      <c r="F818" s="6">
        <f>ChC_1171[[#This Row],[V_av]]-ChC_1171[[#This Row],[V_prel]]</f>
        <v>40</v>
      </c>
      <c r="G818" s="188">
        <f t="shared" si="178"/>
        <v>0.1</v>
      </c>
      <c r="I818" s="6">
        <v>10</v>
      </c>
      <c r="J818" s="6">
        <f t="shared" si="174"/>
        <v>30</v>
      </c>
      <c r="K818" s="6">
        <v>0</v>
      </c>
      <c r="L818" s="6">
        <f t="shared" si="175"/>
        <v>30</v>
      </c>
      <c r="M818" s="188">
        <f t="shared" si="179"/>
        <v>0.1</v>
      </c>
      <c r="O818" s="6">
        <v>10</v>
      </c>
      <c r="P818" s="8">
        <f t="shared" si="176"/>
        <v>21.607142857142851</v>
      </c>
      <c r="Q818" s="6">
        <v>0</v>
      </c>
      <c r="R818" s="8">
        <f t="shared" si="177"/>
        <v>21.607142857142851</v>
      </c>
      <c r="S818" s="188">
        <f t="shared" si="180"/>
        <v>9.9999999999999978E-2</v>
      </c>
    </row>
    <row r="819" spans="1:19" x14ac:dyDescent="0.2">
      <c r="A819" s="495"/>
      <c r="C819" s="6">
        <v>11</v>
      </c>
      <c r="D819" s="6">
        <f t="shared" si="173"/>
        <v>44</v>
      </c>
      <c r="E819" s="6">
        <v>0</v>
      </c>
      <c r="F819" s="6">
        <f>ChC_1171[[#This Row],[V_av]]-ChC_1171[[#This Row],[V_prel]]</f>
        <v>44</v>
      </c>
      <c r="G819" s="188">
        <f t="shared" si="178"/>
        <v>9.0909090909090912E-2</v>
      </c>
      <c r="I819" s="6">
        <v>11</v>
      </c>
      <c r="J819" s="6">
        <f t="shared" si="174"/>
        <v>33</v>
      </c>
      <c r="K819" s="6">
        <v>0</v>
      </c>
      <c r="L819" s="6">
        <f t="shared" si="175"/>
        <v>33</v>
      </c>
      <c r="M819" s="188">
        <f t="shared" si="179"/>
        <v>9.0909090909090912E-2</v>
      </c>
      <c r="O819" s="6">
        <v>11</v>
      </c>
      <c r="P819" s="8">
        <f t="shared" si="176"/>
        <v>23.767857142857135</v>
      </c>
      <c r="Q819" s="6">
        <v>0</v>
      </c>
      <c r="R819" s="8">
        <f t="shared" si="177"/>
        <v>23.767857142857135</v>
      </c>
      <c r="S819" s="188">
        <f t="shared" si="180"/>
        <v>9.0909090909090898E-2</v>
      </c>
    </row>
    <row r="820" spans="1:19" x14ac:dyDescent="0.2">
      <c r="A820" s="495"/>
      <c r="C820" s="6">
        <v>12</v>
      </c>
      <c r="D820" s="6">
        <f t="shared" si="173"/>
        <v>48</v>
      </c>
      <c r="E820" s="6">
        <v>0</v>
      </c>
      <c r="F820" s="6">
        <f>ChC_1171[[#This Row],[V_av]]-ChC_1171[[#This Row],[V_prel]]</f>
        <v>48</v>
      </c>
      <c r="G820" s="188">
        <f t="shared" si="178"/>
        <v>8.3333333333333329E-2</v>
      </c>
      <c r="I820" s="6">
        <v>12</v>
      </c>
      <c r="J820" s="6">
        <f t="shared" si="174"/>
        <v>36</v>
      </c>
      <c r="K820" s="6">
        <v>0</v>
      </c>
      <c r="L820" s="6">
        <f t="shared" si="175"/>
        <v>36</v>
      </c>
      <c r="M820" s="188">
        <f t="shared" si="179"/>
        <v>8.3333333333333329E-2</v>
      </c>
      <c r="O820" s="6">
        <v>12</v>
      </c>
      <c r="P820" s="8">
        <f t="shared" si="176"/>
        <v>25.92857142857142</v>
      </c>
      <c r="Q820" s="6">
        <v>0</v>
      </c>
      <c r="R820" s="8">
        <f t="shared" si="177"/>
        <v>25.92857142857142</v>
      </c>
      <c r="S820" s="188">
        <f t="shared" si="180"/>
        <v>8.3333333333333329E-2</v>
      </c>
    </row>
    <row r="821" spans="1:19" x14ac:dyDescent="0.2">
      <c r="A821" s="495"/>
      <c r="C821" s="6">
        <v>13</v>
      </c>
      <c r="D821" s="6">
        <f t="shared" si="173"/>
        <v>52</v>
      </c>
      <c r="E821" s="6">
        <v>0</v>
      </c>
      <c r="F821" s="6">
        <f>ChC_1171[[#This Row],[V_av]]-ChC_1171[[#This Row],[V_prel]]</f>
        <v>52</v>
      </c>
      <c r="G821" s="188">
        <f t="shared" si="178"/>
        <v>7.6923076923076927E-2</v>
      </c>
      <c r="I821" s="6">
        <v>13</v>
      </c>
      <c r="J821" s="6">
        <f t="shared" si="174"/>
        <v>39</v>
      </c>
      <c r="K821" s="6">
        <v>0</v>
      </c>
      <c r="L821" s="6">
        <f t="shared" si="175"/>
        <v>39</v>
      </c>
      <c r="M821" s="188">
        <f t="shared" si="179"/>
        <v>7.6923076923076927E-2</v>
      </c>
      <c r="O821" s="6">
        <v>13</v>
      </c>
      <c r="P821" s="8">
        <f t="shared" si="176"/>
        <v>28.089285714285705</v>
      </c>
      <c r="Q821" s="6">
        <v>0</v>
      </c>
      <c r="R821" s="8">
        <f t="shared" si="177"/>
        <v>28.089285714285705</v>
      </c>
      <c r="S821" s="188">
        <f t="shared" si="180"/>
        <v>7.6923076923076913E-2</v>
      </c>
    </row>
    <row r="822" spans="1:19" x14ac:dyDescent="0.2">
      <c r="A822" s="495"/>
      <c r="C822" s="6">
        <v>14</v>
      </c>
      <c r="D822" s="6">
        <f t="shared" si="173"/>
        <v>56</v>
      </c>
      <c r="E822" s="6">
        <v>0</v>
      </c>
      <c r="F822" s="6">
        <f>ChC_1171[[#This Row],[V_av]]-ChC_1171[[#This Row],[V_prel]]</f>
        <v>56</v>
      </c>
      <c r="G822" s="188">
        <f t="shared" si="178"/>
        <v>7.1428571428571425E-2</v>
      </c>
      <c r="I822" s="6">
        <v>14</v>
      </c>
      <c r="J822" s="6">
        <f t="shared" si="174"/>
        <v>42</v>
      </c>
      <c r="K822" s="6">
        <v>0</v>
      </c>
      <c r="L822" s="6">
        <f t="shared" si="175"/>
        <v>42</v>
      </c>
      <c r="M822" s="188">
        <f t="shared" si="179"/>
        <v>7.1428571428571425E-2</v>
      </c>
      <c r="O822" s="6">
        <v>14</v>
      </c>
      <c r="P822" s="8">
        <f t="shared" si="176"/>
        <v>30.249999999999989</v>
      </c>
      <c r="Q822" s="6">
        <v>0</v>
      </c>
      <c r="R822" s="8">
        <f t="shared" si="177"/>
        <v>30.249999999999989</v>
      </c>
      <c r="S822" s="188">
        <f t="shared" si="180"/>
        <v>7.1428571428571425E-2</v>
      </c>
    </row>
    <row r="823" spans="1:19" x14ac:dyDescent="0.2">
      <c r="A823" s="495"/>
      <c r="C823" s="6">
        <v>15</v>
      </c>
      <c r="D823" s="6">
        <f t="shared" si="173"/>
        <v>60</v>
      </c>
      <c r="E823" s="6">
        <v>0</v>
      </c>
      <c r="F823" s="6">
        <f>ChC_1171[[#This Row],[V_av]]-ChC_1171[[#This Row],[V_prel]]</f>
        <v>60</v>
      </c>
      <c r="G823" s="188">
        <f t="shared" si="178"/>
        <v>6.6666666666666666E-2</v>
      </c>
      <c r="I823" s="6">
        <v>15</v>
      </c>
      <c r="J823" s="6">
        <f t="shared" si="174"/>
        <v>45</v>
      </c>
      <c r="K823" s="6">
        <v>0</v>
      </c>
      <c r="L823" s="6">
        <f t="shared" si="175"/>
        <v>45</v>
      </c>
      <c r="M823" s="188">
        <f t="shared" si="179"/>
        <v>6.6666666666666666E-2</v>
      </c>
      <c r="O823" s="6">
        <v>15</v>
      </c>
      <c r="P823" s="8">
        <f t="shared" si="176"/>
        <v>32.410714285714278</v>
      </c>
      <c r="Q823" s="6">
        <v>0</v>
      </c>
      <c r="R823" s="8">
        <f t="shared" si="177"/>
        <v>32.410714285714278</v>
      </c>
      <c r="S823" s="188">
        <f t="shared" si="180"/>
        <v>6.6666666666666763E-2</v>
      </c>
    </row>
    <row r="824" spans="1:19" x14ac:dyDescent="0.2">
      <c r="A824" s="495"/>
      <c r="C824" s="6">
        <v>16</v>
      </c>
      <c r="D824" s="6">
        <f t="shared" si="173"/>
        <v>64</v>
      </c>
      <c r="E824" s="6">
        <v>0</v>
      </c>
      <c r="F824" s="6">
        <f>ChC_1171[[#This Row],[V_av]]-ChC_1171[[#This Row],[V_prel]]</f>
        <v>64</v>
      </c>
      <c r="G824" s="188">
        <f t="shared" si="178"/>
        <v>6.25E-2</v>
      </c>
      <c r="I824" s="6">
        <v>16</v>
      </c>
      <c r="J824" s="6">
        <f t="shared" si="174"/>
        <v>48</v>
      </c>
      <c r="K824" s="6">
        <v>0</v>
      </c>
      <c r="L824" s="6">
        <f t="shared" si="175"/>
        <v>48</v>
      </c>
      <c r="M824" s="188">
        <f t="shared" si="179"/>
        <v>6.25E-2</v>
      </c>
      <c r="O824" s="6">
        <v>16</v>
      </c>
      <c r="P824" s="8">
        <f t="shared" si="176"/>
        <v>34.571428571428562</v>
      </c>
      <c r="Q824" s="6">
        <v>0</v>
      </c>
      <c r="R824" s="8">
        <f t="shared" si="177"/>
        <v>34.571428571428562</v>
      </c>
      <c r="S824" s="188">
        <f t="shared" si="180"/>
        <v>6.2499999999999986E-2</v>
      </c>
    </row>
    <row r="825" spans="1:19" x14ac:dyDescent="0.2">
      <c r="A825" s="495"/>
      <c r="C825" s="6">
        <v>17</v>
      </c>
      <c r="D825" s="6">
        <f t="shared" si="173"/>
        <v>68</v>
      </c>
      <c r="E825" s="6">
        <v>0</v>
      </c>
      <c r="F825" s="6">
        <f>ChC_1171[[#This Row],[V_av]]-ChC_1171[[#This Row],[V_prel]]</f>
        <v>68</v>
      </c>
      <c r="G825" s="188">
        <f t="shared" si="178"/>
        <v>5.8823529411764705E-2</v>
      </c>
      <c r="I825" s="6">
        <v>17</v>
      </c>
      <c r="J825" s="6">
        <f t="shared" si="174"/>
        <v>51</v>
      </c>
      <c r="K825" s="6">
        <v>0</v>
      </c>
      <c r="L825" s="6">
        <f t="shared" si="175"/>
        <v>51</v>
      </c>
      <c r="M825" s="188">
        <f t="shared" si="179"/>
        <v>5.8823529411764705E-2</v>
      </c>
      <c r="O825" s="6">
        <v>17</v>
      </c>
      <c r="P825" s="8">
        <f t="shared" si="176"/>
        <v>36.732142857142847</v>
      </c>
      <c r="Q825" s="6">
        <v>0</v>
      </c>
      <c r="R825" s="8">
        <f t="shared" si="177"/>
        <v>36.732142857142847</v>
      </c>
      <c r="S825" s="188">
        <f t="shared" si="180"/>
        <v>5.8823529411764691E-2</v>
      </c>
    </row>
    <row r="826" spans="1:19" x14ac:dyDescent="0.2">
      <c r="A826" s="495"/>
      <c r="C826" s="6">
        <v>18</v>
      </c>
      <c r="D826" s="6">
        <f t="shared" si="173"/>
        <v>72</v>
      </c>
      <c r="E826" s="6">
        <v>0</v>
      </c>
      <c r="F826" s="6">
        <f>ChC_1171[[#This Row],[V_av]]-ChC_1171[[#This Row],[V_prel]]</f>
        <v>72</v>
      </c>
      <c r="G826" s="188">
        <f t="shared" si="178"/>
        <v>5.5555555555555552E-2</v>
      </c>
      <c r="I826" s="6">
        <v>18</v>
      </c>
      <c r="J826" s="6">
        <f t="shared" si="174"/>
        <v>54</v>
      </c>
      <c r="K826" s="6">
        <v>0</v>
      </c>
      <c r="L826" s="6">
        <f t="shared" si="175"/>
        <v>54</v>
      </c>
      <c r="M826" s="188">
        <f t="shared" si="179"/>
        <v>5.5555555555555552E-2</v>
      </c>
      <c r="O826" s="6">
        <v>18</v>
      </c>
      <c r="P826" s="8">
        <f t="shared" si="176"/>
        <v>38.892857142857132</v>
      </c>
      <c r="Q826" s="6">
        <v>0</v>
      </c>
      <c r="R826" s="8">
        <f t="shared" si="177"/>
        <v>38.892857142857132</v>
      </c>
      <c r="S826" s="188">
        <f t="shared" si="180"/>
        <v>5.5555555555555546E-2</v>
      </c>
    </row>
    <row r="827" spans="1:19" x14ac:dyDescent="0.2">
      <c r="A827" s="495"/>
      <c r="C827" s="6">
        <v>19</v>
      </c>
      <c r="D827" s="6">
        <f t="shared" si="173"/>
        <v>76</v>
      </c>
      <c r="E827" s="6">
        <v>0</v>
      </c>
      <c r="F827" s="6">
        <f>ChC_1171[[#This Row],[V_av]]-ChC_1171[[#This Row],[V_prel]]</f>
        <v>76</v>
      </c>
      <c r="G827" s="188">
        <f t="shared" si="178"/>
        <v>5.2631578947368418E-2</v>
      </c>
      <c r="I827" s="6">
        <v>19</v>
      </c>
      <c r="J827" s="6">
        <f t="shared" si="174"/>
        <v>57</v>
      </c>
      <c r="K827" s="6">
        <v>0</v>
      </c>
      <c r="L827" s="6">
        <f t="shared" si="175"/>
        <v>57</v>
      </c>
      <c r="M827" s="188">
        <f t="shared" si="179"/>
        <v>5.2631578947368418E-2</v>
      </c>
      <c r="O827" s="6">
        <v>19</v>
      </c>
      <c r="P827" s="8">
        <f t="shared" si="176"/>
        <v>41.053571428571416</v>
      </c>
      <c r="Q827" s="6">
        <v>0</v>
      </c>
      <c r="R827" s="8">
        <f t="shared" si="177"/>
        <v>41.053571428571416</v>
      </c>
      <c r="S827" s="188">
        <f t="shared" si="180"/>
        <v>5.2631578947368411E-2</v>
      </c>
    </row>
    <row r="828" spans="1:19" x14ac:dyDescent="0.2">
      <c r="A828" s="495"/>
      <c r="C828" s="6">
        <v>20</v>
      </c>
      <c r="D828" s="6">
        <f t="shared" si="173"/>
        <v>80</v>
      </c>
      <c r="E828" s="6">
        <v>0</v>
      </c>
      <c r="F828" s="6">
        <f>ChC_1171[[#This Row],[V_av]]-ChC_1171[[#This Row],[V_prel]]</f>
        <v>80</v>
      </c>
      <c r="G828" s="188">
        <f t="shared" si="178"/>
        <v>0.05</v>
      </c>
      <c r="I828" s="6">
        <v>20</v>
      </c>
      <c r="J828" s="6">
        <f t="shared" si="174"/>
        <v>60</v>
      </c>
      <c r="K828" s="6">
        <v>0</v>
      </c>
      <c r="L828" s="6">
        <f t="shared" si="175"/>
        <v>60</v>
      </c>
      <c r="M828" s="188">
        <f t="shared" si="179"/>
        <v>0.05</v>
      </c>
      <c r="O828" s="6">
        <v>20</v>
      </c>
      <c r="P828" s="8">
        <f t="shared" si="176"/>
        <v>43.214285714285701</v>
      </c>
      <c r="Q828" s="6">
        <v>0</v>
      </c>
      <c r="R828" s="8">
        <f t="shared" si="177"/>
        <v>43.214285714285701</v>
      </c>
      <c r="S828" s="188">
        <f t="shared" si="180"/>
        <v>4.9999999999999989E-2</v>
      </c>
    </row>
    <row r="829" spans="1:19" x14ac:dyDescent="0.2">
      <c r="A829" s="495"/>
      <c r="C829" s="6">
        <v>21</v>
      </c>
      <c r="D829" s="6">
        <f t="shared" si="173"/>
        <v>84</v>
      </c>
      <c r="E829" s="6">
        <v>0</v>
      </c>
      <c r="F829" s="6">
        <f>ChC_1171[[#This Row],[V_av]]-ChC_1171[[#This Row],[V_prel]]</f>
        <v>84</v>
      </c>
      <c r="G829" s="188">
        <f t="shared" si="178"/>
        <v>4.7619047619047616E-2</v>
      </c>
      <c r="I829" s="6">
        <v>21</v>
      </c>
      <c r="J829" s="6">
        <f t="shared" si="174"/>
        <v>63</v>
      </c>
      <c r="K829" s="6">
        <v>0</v>
      </c>
      <c r="L829" s="6">
        <f t="shared" si="175"/>
        <v>63</v>
      </c>
      <c r="M829" s="188">
        <f t="shared" si="179"/>
        <v>4.7619047619047616E-2</v>
      </c>
      <c r="O829" s="6">
        <v>21</v>
      </c>
      <c r="P829" s="8">
        <f t="shared" si="176"/>
        <v>45.374999999999986</v>
      </c>
      <c r="Q829" s="6">
        <v>0</v>
      </c>
      <c r="R829" s="8">
        <f t="shared" si="177"/>
        <v>45.374999999999986</v>
      </c>
      <c r="S829" s="188">
        <f t="shared" si="180"/>
        <v>4.7619047619047609E-2</v>
      </c>
    </row>
    <row r="830" spans="1:19" x14ac:dyDescent="0.2">
      <c r="A830" s="495"/>
      <c r="C830" s="6">
        <v>22</v>
      </c>
      <c r="D830" s="6">
        <f t="shared" si="173"/>
        <v>88</v>
      </c>
      <c r="E830" s="6">
        <v>0</v>
      </c>
      <c r="F830" s="6">
        <f>ChC_1171[[#This Row],[V_av]]-ChC_1171[[#This Row],[V_prel]]</f>
        <v>88</v>
      </c>
      <c r="G830" s="188">
        <f t="shared" si="178"/>
        <v>4.5454545454545456E-2</v>
      </c>
      <c r="I830" s="6">
        <v>22</v>
      </c>
      <c r="J830" s="6">
        <f t="shared" si="174"/>
        <v>66</v>
      </c>
      <c r="K830" s="6">
        <v>0</v>
      </c>
      <c r="L830" s="6">
        <f t="shared" si="175"/>
        <v>66</v>
      </c>
      <c r="M830" s="188">
        <f t="shared" si="179"/>
        <v>4.5454545454545456E-2</v>
      </c>
      <c r="O830" s="6">
        <v>22</v>
      </c>
      <c r="P830" s="8">
        <f t="shared" si="176"/>
        <v>47.53571428571427</v>
      </c>
      <c r="Q830" s="6">
        <v>0</v>
      </c>
      <c r="R830" s="8">
        <f t="shared" si="177"/>
        <v>47.53571428571427</v>
      </c>
      <c r="S830" s="188">
        <f t="shared" si="180"/>
        <v>4.5454545454545449E-2</v>
      </c>
    </row>
    <row r="831" spans="1:19" x14ac:dyDescent="0.2">
      <c r="A831" s="495"/>
      <c r="C831" s="6">
        <v>23</v>
      </c>
      <c r="D831" s="6">
        <f t="shared" si="173"/>
        <v>92</v>
      </c>
      <c r="E831" s="6">
        <v>0</v>
      </c>
      <c r="F831" s="6">
        <f>ChC_1171[[#This Row],[V_av]]-ChC_1171[[#This Row],[V_prel]]</f>
        <v>92</v>
      </c>
      <c r="G831" s="188">
        <f t="shared" si="178"/>
        <v>4.3478260869565216E-2</v>
      </c>
      <c r="I831" s="6">
        <v>23</v>
      </c>
      <c r="J831" s="6">
        <f t="shared" si="174"/>
        <v>69</v>
      </c>
      <c r="K831" s="6">
        <v>0</v>
      </c>
      <c r="L831" s="6">
        <f t="shared" si="175"/>
        <v>69</v>
      </c>
      <c r="M831" s="188">
        <f t="shared" si="179"/>
        <v>4.3478260869565216E-2</v>
      </c>
      <c r="O831" s="6">
        <v>23</v>
      </c>
      <c r="P831" s="8">
        <f t="shared" si="176"/>
        <v>49.696428571428555</v>
      </c>
      <c r="Q831" s="6">
        <v>0</v>
      </c>
      <c r="R831" s="8">
        <f t="shared" si="177"/>
        <v>49.696428571428555</v>
      </c>
      <c r="S831" s="188">
        <f t="shared" si="180"/>
        <v>4.3478260869565209E-2</v>
      </c>
    </row>
    <row r="832" spans="1:19" x14ac:dyDescent="0.2">
      <c r="A832" s="495"/>
      <c r="C832" s="6">
        <v>24</v>
      </c>
      <c r="D832" s="6">
        <f t="shared" si="173"/>
        <v>96</v>
      </c>
      <c r="E832" s="6">
        <v>0</v>
      </c>
      <c r="F832" s="6">
        <f>ChC_1171[[#This Row],[V_av]]-ChC_1171[[#This Row],[V_prel]]</f>
        <v>96</v>
      </c>
      <c r="G832" s="188">
        <f t="shared" si="178"/>
        <v>4.1666666666666664E-2</v>
      </c>
      <c r="I832" s="6">
        <v>24</v>
      </c>
      <c r="J832" s="6">
        <f t="shared" si="174"/>
        <v>72</v>
      </c>
      <c r="K832" s="6">
        <v>0</v>
      </c>
      <c r="L832" s="6">
        <f t="shared" si="175"/>
        <v>72</v>
      </c>
      <c r="M832" s="188">
        <f t="shared" si="179"/>
        <v>4.1666666666666664E-2</v>
      </c>
      <c r="O832" s="6">
        <v>24</v>
      </c>
      <c r="P832" s="8">
        <f t="shared" si="176"/>
        <v>51.85714285714284</v>
      </c>
      <c r="Q832" s="6">
        <v>0</v>
      </c>
      <c r="R832" s="8">
        <f t="shared" si="177"/>
        <v>51.85714285714284</v>
      </c>
      <c r="S832" s="188">
        <f t="shared" si="180"/>
        <v>4.1666666666666664E-2</v>
      </c>
    </row>
    <row r="833" spans="1:19" x14ac:dyDescent="0.2">
      <c r="A833" s="495"/>
      <c r="C833" s="6">
        <v>25</v>
      </c>
      <c r="D833" s="6">
        <f t="shared" si="173"/>
        <v>100</v>
      </c>
      <c r="E833" s="6">
        <v>0</v>
      </c>
      <c r="F833" s="6">
        <f>ChC_1171[[#This Row],[V_av]]-ChC_1171[[#This Row],[V_prel]]</f>
        <v>100</v>
      </c>
      <c r="G833" s="188">
        <f t="shared" si="178"/>
        <v>0.04</v>
      </c>
      <c r="I833" s="6">
        <v>25</v>
      </c>
      <c r="J833" s="6">
        <f t="shared" si="174"/>
        <v>75</v>
      </c>
      <c r="K833" s="6">
        <v>0</v>
      </c>
      <c r="L833" s="6">
        <f t="shared" si="175"/>
        <v>75</v>
      </c>
      <c r="M833" s="188">
        <f t="shared" si="179"/>
        <v>0.04</v>
      </c>
      <c r="O833" s="6">
        <v>25</v>
      </c>
      <c r="P833" s="8">
        <f t="shared" si="176"/>
        <v>54.017857142857125</v>
      </c>
      <c r="Q833" s="6">
        <v>0</v>
      </c>
      <c r="R833" s="8">
        <f t="shared" si="177"/>
        <v>54.017857142857125</v>
      </c>
      <c r="S833" s="188">
        <f t="shared" si="180"/>
        <v>3.9999999999999994E-2</v>
      </c>
    </row>
    <row r="834" spans="1:19" x14ac:dyDescent="0.2">
      <c r="A834" s="495"/>
      <c r="C834" s="6">
        <v>26</v>
      </c>
      <c r="D834" s="6">
        <f t="shared" si="173"/>
        <v>104</v>
      </c>
      <c r="E834" s="6">
        <v>0</v>
      </c>
      <c r="F834" s="6">
        <f>ChC_1171[[#This Row],[V_av]]-ChC_1171[[#This Row],[V_prel]]</f>
        <v>104</v>
      </c>
      <c r="G834" s="188">
        <f t="shared" si="178"/>
        <v>3.8461538461538464E-2</v>
      </c>
      <c r="I834" s="6">
        <v>26</v>
      </c>
      <c r="J834" s="6">
        <f t="shared" si="174"/>
        <v>78</v>
      </c>
      <c r="K834" s="6">
        <v>0</v>
      </c>
      <c r="L834" s="6">
        <f t="shared" si="175"/>
        <v>78</v>
      </c>
      <c r="M834" s="188">
        <f t="shared" si="179"/>
        <v>3.8461538461538464E-2</v>
      </c>
      <c r="O834" s="6">
        <v>26</v>
      </c>
      <c r="P834" s="8">
        <f t="shared" si="176"/>
        <v>56.178571428571409</v>
      </c>
      <c r="Q834" s="6">
        <v>0</v>
      </c>
      <c r="R834" s="8">
        <f t="shared" si="177"/>
        <v>56.178571428571409</v>
      </c>
      <c r="S834" s="188">
        <f t="shared" si="180"/>
        <v>3.8461538461538457E-2</v>
      </c>
    </row>
    <row r="835" spans="1:19" x14ac:dyDescent="0.2">
      <c r="A835" s="495"/>
      <c r="C835" s="6">
        <v>27</v>
      </c>
      <c r="D835" s="6">
        <f t="shared" si="173"/>
        <v>108</v>
      </c>
      <c r="E835" s="6">
        <v>0</v>
      </c>
      <c r="F835" s="6">
        <f>ChC_1171[[#This Row],[V_av]]-ChC_1171[[#This Row],[V_prel]]</f>
        <v>108</v>
      </c>
      <c r="G835" s="188">
        <f t="shared" si="178"/>
        <v>3.7037037037037035E-2</v>
      </c>
      <c r="I835" s="6">
        <v>27</v>
      </c>
      <c r="J835" s="6">
        <f t="shared" si="174"/>
        <v>81</v>
      </c>
      <c r="K835" s="6">
        <v>0</v>
      </c>
      <c r="L835" s="6">
        <f t="shared" si="175"/>
        <v>81</v>
      </c>
      <c r="M835" s="188">
        <f t="shared" si="179"/>
        <v>3.7037037037037035E-2</v>
      </c>
      <c r="O835" s="6">
        <v>27</v>
      </c>
      <c r="P835" s="8">
        <f t="shared" si="176"/>
        <v>58.339285714285694</v>
      </c>
      <c r="Q835" s="6">
        <v>0</v>
      </c>
      <c r="R835" s="8">
        <f t="shared" si="177"/>
        <v>58.339285714285694</v>
      </c>
      <c r="S835" s="188">
        <f t="shared" si="180"/>
        <v>3.7037037037037035E-2</v>
      </c>
    </row>
    <row r="836" spans="1:19" x14ac:dyDescent="0.2">
      <c r="A836" s="495"/>
      <c r="C836" s="6">
        <v>28</v>
      </c>
      <c r="D836" s="6">
        <f t="shared" si="173"/>
        <v>112</v>
      </c>
      <c r="E836" s="6">
        <v>0</v>
      </c>
      <c r="F836" s="6">
        <f>ChC_1171[[#This Row],[V_av]]-ChC_1171[[#This Row],[V_prel]]</f>
        <v>112</v>
      </c>
      <c r="G836" s="188">
        <f t="shared" si="178"/>
        <v>3.5714285714285712E-2</v>
      </c>
      <c r="I836" s="6">
        <v>28</v>
      </c>
      <c r="J836" s="6">
        <f t="shared" si="174"/>
        <v>84</v>
      </c>
      <c r="K836" s="6">
        <v>0</v>
      </c>
      <c r="L836" s="6">
        <f t="shared" si="175"/>
        <v>84</v>
      </c>
      <c r="M836" s="188">
        <f t="shared" si="179"/>
        <v>3.5714285714285712E-2</v>
      </c>
      <c r="O836" s="6">
        <v>28</v>
      </c>
      <c r="P836" s="8">
        <f t="shared" si="176"/>
        <v>60.499999999999979</v>
      </c>
      <c r="Q836" s="6">
        <v>0</v>
      </c>
      <c r="R836" s="8">
        <f t="shared" si="177"/>
        <v>60.499999999999979</v>
      </c>
      <c r="S836" s="188">
        <f t="shared" si="180"/>
        <v>3.5714285714285712E-2</v>
      </c>
    </row>
    <row r="837" spans="1:19" x14ac:dyDescent="0.2">
      <c r="A837" s="495"/>
      <c r="C837" s="6">
        <v>29</v>
      </c>
      <c r="D837" s="6">
        <f t="shared" si="173"/>
        <v>116</v>
      </c>
      <c r="E837" s="6">
        <v>0</v>
      </c>
      <c r="F837" s="6">
        <f>ChC_1171[[#This Row],[V_av]]-ChC_1171[[#This Row],[V_prel]]</f>
        <v>116</v>
      </c>
      <c r="G837" s="188">
        <f t="shared" si="178"/>
        <v>3.4482758620689655E-2</v>
      </c>
      <c r="I837" s="6">
        <v>29</v>
      </c>
      <c r="J837" s="6">
        <f t="shared" si="174"/>
        <v>87</v>
      </c>
      <c r="K837" s="6">
        <v>0</v>
      </c>
      <c r="L837" s="6">
        <f t="shared" si="175"/>
        <v>87</v>
      </c>
      <c r="M837" s="188">
        <f t="shared" si="179"/>
        <v>3.4482758620689655E-2</v>
      </c>
      <c r="O837" s="6">
        <v>29</v>
      </c>
      <c r="P837" s="8">
        <f t="shared" si="176"/>
        <v>62.660714285714263</v>
      </c>
      <c r="Q837" s="6">
        <v>0</v>
      </c>
      <c r="R837" s="8">
        <f t="shared" si="177"/>
        <v>62.660714285714263</v>
      </c>
      <c r="S837" s="188">
        <f t="shared" si="180"/>
        <v>3.4482758620689655E-2</v>
      </c>
    </row>
    <row r="838" spans="1:19" x14ac:dyDescent="0.2">
      <c r="A838" s="495"/>
      <c r="C838" s="6">
        <v>30</v>
      </c>
      <c r="D838" s="6">
        <f t="shared" si="173"/>
        <v>120</v>
      </c>
      <c r="E838" s="6">
        <v>0</v>
      </c>
      <c r="F838" s="6">
        <f>ChC_1171[[#This Row],[V_av]]-ChC_1171[[#This Row],[V_prel]]</f>
        <v>120</v>
      </c>
      <c r="G838" s="188">
        <f t="shared" si="178"/>
        <v>3.3333333333333333E-2</v>
      </c>
      <c r="I838" s="6">
        <v>30</v>
      </c>
      <c r="J838" s="6">
        <f t="shared" si="174"/>
        <v>90</v>
      </c>
      <c r="K838" s="6">
        <v>0</v>
      </c>
      <c r="L838" s="6">
        <f t="shared" si="175"/>
        <v>90</v>
      </c>
      <c r="M838" s="188">
        <f t="shared" si="179"/>
        <v>3.3333333333333333E-2</v>
      </c>
      <c r="O838" s="6">
        <v>30</v>
      </c>
      <c r="P838" s="8">
        <f t="shared" si="176"/>
        <v>64.821428571428555</v>
      </c>
      <c r="Q838" s="6">
        <v>0</v>
      </c>
      <c r="R838" s="8">
        <f t="shared" si="177"/>
        <v>64.821428571428555</v>
      </c>
      <c r="S838" s="188">
        <f t="shared" si="180"/>
        <v>3.3333333333333437E-2</v>
      </c>
    </row>
    <row r="839" spans="1:19" x14ac:dyDescent="0.2">
      <c r="A839" s="495"/>
      <c r="C839" s="6">
        <v>31</v>
      </c>
      <c r="D839" s="6">
        <f t="shared" si="173"/>
        <v>124</v>
      </c>
      <c r="E839" s="6">
        <v>0</v>
      </c>
      <c r="F839" s="6">
        <f>ChC_1171[[#This Row],[V_av]]-ChC_1171[[#This Row],[V_prel]]</f>
        <v>124</v>
      </c>
      <c r="G839" s="188">
        <f t="shared" si="178"/>
        <v>3.2258064516129031E-2</v>
      </c>
      <c r="I839" s="7">
        <v>42</v>
      </c>
      <c r="J839" s="7">
        <v>126</v>
      </c>
      <c r="K839" s="7">
        <v>30</v>
      </c>
      <c r="L839" s="7">
        <v>96</v>
      </c>
      <c r="M839" s="188">
        <f t="shared" si="179"/>
        <v>2.3809523809523808E-2</v>
      </c>
      <c r="O839" s="7">
        <v>56</v>
      </c>
      <c r="P839" s="7">
        <v>121</v>
      </c>
      <c r="Q839" s="7">
        <v>29</v>
      </c>
      <c r="R839" s="7">
        <v>92</v>
      </c>
      <c r="S839" s="188">
        <f t="shared" si="180"/>
        <v>1.7857142857142863E-2</v>
      </c>
    </row>
    <row r="840" spans="1:19" x14ac:dyDescent="0.2">
      <c r="A840" s="495"/>
      <c r="C840" s="6">
        <v>32</v>
      </c>
      <c r="D840" s="6">
        <f t="shared" si="173"/>
        <v>128</v>
      </c>
      <c r="E840" s="6">
        <v>0</v>
      </c>
      <c r="F840" s="6">
        <f>ChC_1171[[#This Row],[V_av]]-ChC_1171[[#This Row],[V_prel]]</f>
        <v>128</v>
      </c>
      <c r="G840" s="188">
        <f t="shared" si="178"/>
        <v>3.125E-2</v>
      </c>
    </row>
    <row r="841" spans="1:19" x14ac:dyDescent="0.2">
      <c r="A841" s="495"/>
      <c r="C841" s="6">
        <v>33</v>
      </c>
      <c r="D841" s="6">
        <f t="shared" si="173"/>
        <v>132</v>
      </c>
      <c r="E841" s="6">
        <v>0</v>
      </c>
      <c r="F841" s="6">
        <f>ChC_1171[[#This Row],[V_av]]-ChC_1171[[#This Row],[V_prel]]</f>
        <v>132</v>
      </c>
      <c r="G841" s="188">
        <f t="shared" si="178"/>
        <v>3.0303030303030304E-2</v>
      </c>
    </row>
    <row r="842" spans="1:19" x14ac:dyDescent="0.2">
      <c r="A842" s="495"/>
      <c r="C842" s="6">
        <v>34</v>
      </c>
      <c r="D842" s="6">
        <f t="shared" si="173"/>
        <v>136</v>
      </c>
      <c r="E842" s="6">
        <v>0</v>
      </c>
      <c r="F842" s="6">
        <f>ChC_1171[[#This Row],[V_av]]-ChC_1171[[#This Row],[V_prel]]</f>
        <v>136</v>
      </c>
      <c r="G842" s="188">
        <f t="shared" si="178"/>
        <v>2.9411764705882353E-2</v>
      </c>
    </row>
    <row r="843" spans="1:19" x14ac:dyDescent="0.2">
      <c r="A843" s="495"/>
      <c r="C843" s="6">
        <v>35</v>
      </c>
      <c r="D843" s="6">
        <f t="shared" si="173"/>
        <v>140</v>
      </c>
      <c r="E843" s="6">
        <v>0</v>
      </c>
      <c r="F843" s="6">
        <f>ChC_1171[[#This Row],[V_av]]-ChC_1171[[#This Row],[V_prel]]</f>
        <v>140</v>
      </c>
      <c r="G843" s="188">
        <f t="shared" si="178"/>
        <v>2.8571428571428571E-2</v>
      </c>
    </row>
    <row r="844" spans="1:19" x14ac:dyDescent="0.2">
      <c r="A844" s="495"/>
      <c r="C844" s="7">
        <v>36</v>
      </c>
      <c r="D844" s="7">
        <v>144</v>
      </c>
      <c r="E844" s="7">
        <v>34</v>
      </c>
      <c r="F844" s="7">
        <v>110</v>
      </c>
      <c r="G844" s="188">
        <f t="shared" si="178"/>
        <v>2.7777777777777776E-2</v>
      </c>
    </row>
    <row r="845" spans="1:19" x14ac:dyDescent="0.2">
      <c r="A845" s="495"/>
      <c r="C845" s="7">
        <v>44</v>
      </c>
      <c r="D845" s="7">
        <v>188</v>
      </c>
      <c r="E845" s="7">
        <v>47</v>
      </c>
      <c r="F845" s="7">
        <v>141</v>
      </c>
      <c r="G845" s="188">
        <f t="shared" si="178"/>
        <v>5.1861702127659573E-2</v>
      </c>
    </row>
    <row r="846" spans="1:19" x14ac:dyDescent="0.2">
      <c r="A846" s="495"/>
      <c r="C846" s="7">
        <v>52</v>
      </c>
      <c r="D846" s="7">
        <v>232</v>
      </c>
      <c r="E846" s="7">
        <v>63</v>
      </c>
      <c r="F846" s="7">
        <v>169</v>
      </c>
      <c r="G846" s="188">
        <f t="shared" si="178"/>
        <v>4.9030172413793101E-2</v>
      </c>
    </row>
    <row r="847" spans="1:19" x14ac:dyDescent="0.2">
      <c r="A847" s="495"/>
      <c r="C847" s="7">
        <v>60</v>
      </c>
      <c r="D847" s="7">
        <v>250</v>
      </c>
      <c r="E847" s="7">
        <v>54</v>
      </c>
      <c r="F847" s="7">
        <v>196</v>
      </c>
      <c r="G847" s="188">
        <f t="shared" si="178"/>
        <v>4.0500000000000001E-2</v>
      </c>
    </row>
    <row r="848" spans="1:19" x14ac:dyDescent="0.2">
      <c r="A848" s="495"/>
      <c r="C848" s="7">
        <v>69</v>
      </c>
      <c r="D848" s="7">
        <v>274</v>
      </c>
      <c r="E848" s="7">
        <v>51</v>
      </c>
      <c r="F848" s="7">
        <v>223</v>
      </c>
      <c r="G848" s="188">
        <f t="shared" si="178"/>
        <v>3.1630170316301699E-2</v>
      </c>
    </row>
    <row r="849" spans="1:7" x14ac:dyDescent="0.2">
      <c r="A849" s="495"/>
      <c r="C849" s="7">
        <v>78</v>
      </c>
      <c r="D849" s="7">
        <v>296</v>
      </c>
      <c r="E849" s="7">
        <v>49</v>
      </c>
      <c r="F849" s="7">
        <v>247</v>
      </c>
      <c r="G849" s="188">
        <f t="shared" si="178"/>
        <v>2.7402402402402402E-2</v>
      </c>
    </row>
    <row r="850" spans="1:7" x14ac:dyDescent="0.2">
      <c r="A850" s="495"/>
      <c r="C850" s="7">
        <v>87</v>
      </c>
      <c r="D850" s="7">
        <v>317</v>
      </c>
      <c r="E850" s="7">
        <v>46</v>
      </c>
      <c r="F850" s="7">
        <v>271</v>
      </c>
      <c r="G850" s="188">
        <f t="shared" si="178"/>
        <v>2.4535576586049771E-2</v>
      </c>
    </row>
    <row r="851" spans="1:7" x14ac:dyDescent="0.2">
      <c r="A851" s="495"/>
      <c r="C851" s="7">
        <v>96</v>
      </c>
      <c r="D851" s="7">
        <v>338</v>
      </c>
      <c r="E851" s="7">
        <v>44</v>
      </c>
      <c r="F851" s="7">
        <v>294</v>
      </c>
      <c r="G851" s="188">
        <f t="shared" si="178"/>
        <v>2.2024983563445105E-2</v>
      </c>
    </row>
    <row r="852" spans="1:7" x14ac:dyDescent="0.2">
      <c r="A852" s="495"/>
      <c r="C852" s="7">
        <v>105</v>
      </c>
      <c r="D852" s="7">
        <v>358</v>
      </c>
      <c r="E852" s="7">
        <v>43</v>
      </c>
      <c r="F852" s="7">
        <v>315</v>
      </c>
      <c r="G852" s="188">
        <f t="shared" si="178"/>
        <v>1.9863438857852266E-2</v>
      </c>
    </row>
    <row r="853" spans="1:7" x14ac:dyDescent="0.2">
      <c r="A853" s="495"/>
      <c r="C853" s="7">
        <v>114</v>
      </c>
      <c r="D853" s="7">
        <v>378</v>
      </c>
      <c r="E853" s="7">
        <v>43</v>
      </c>
      <c r="F853" s="7">
        <v>335</v>
      </c>
      <c r="G853" s="188">
        <f t="shared" si="178"/>
        <v>1.8518518518518517E-2</v>
      </c>
    </row>
    <row r="854" spans="1:7" x14ac:dyDescent="0.2">
      <c r="A854" s="495"/>
      <c r="C854" s="7">
        <v>123</v>
      </c>
      <c r="D854" s="7">
        <v>397</v>
      </c>
      <c r="E854" s="7">
        <v>40</v>
      </c>
      <c r="F854" s="7">
        <v>357</v>
      </c>
      <c r="G854" s="188">
        <f t="shared" si="178"/>
        <v>1.7352364959417856E-2</v>
      </c>
    </row>
    <row r="855" spans="1:7" x14ac:dyDescent="0.2">
      <c r="A855" s="495"/>
      <c r="C855" s="7">
        <v>132</v>
      </c>
      <c r="D855" s="7">
        <v>419</v>
      </c>
      <c r="E855" s="7">
        <v>41</v>
      </c>
      <c r="F855" s="7">
        <v>378</v>
      </c>
      <c r="G855" s="188">
        <f t="shared" si="178"/>
        <v>1.6441262264651285E-2</v>
      </c>
    </row>
    <row r="856" spans="1:7" x14ac:dyDescent="0.2">
      <c r="A856" s="495"/>
      <c r="C856" s="7">
        <v>141</v>
      </c>
      <c r="D856" s="7">
        <v>441</v>
      </c>
      <c r="E856" s="7">
        <v>45</v>
      </c>
      <c r="F856" s="7">
        <v>396</v>
      </c>
      <c r="G856" s="188">
        <f t="shared" si="178"/>
        <v>1.5873015873015872E-2</v>
      </c>
    </row>
    <row r="857" spans="1:7" x14ac:dyDescent="0.2">
      <c r="A857" s="495"/>
      <c r="C857" s="7">
        <v>153</v>
      </c>
      <c r="D857" s="7">
        <v>481</v>
      </c>
      <c r="E857" s="7">
        <v>481</v>
      </c>
      <c r="F857" s="7">
        <v>0</v>
      </c>
      <c r="G857" s="188">
        <f t="shared" si="178"/>
        <v>1.4726264726264727E-2</v>
      </c>
    </row>
    <row r="859" spans="1:7" x14ac:dyDescent="0.2">
      <c r="A859" s="496" t="s">
        <v>712</v>
      </c>
      <c r="C859" s="7" t="s">
        <v>993</v>
      </c>
    </row>
    <row r="860" spans="1:7" x14ac:dyDescent="0.2">
      <c r="A860" s="496"/>
      <c r="C860" s="6" t="s">
        <v>125</v>
      </c>
      <c r="D860" s="6" t="s">
        <v>126</v>
      </c>
      <c r="E860" s="6" t="s">
        <v>127</v>
      </c>
      <c r="F860" s="6" t="s">
        <v>128</v>
      </c>
      <c r="G860" s="201" t="s">
        <v>699</v>
      </c>
    </row>
    <row r="861" spans="1:7" x14ac:dyDescent="0.2">
      <c r="A861" s="496"/>
      <c r="C861" s="6">
        <v>1</v>
      </c>
      <c r="D861" s="6">
        <f>D870/C870</f>
        <v>11.5</v>
      </c>
      <c r="E861" s="6">
        <v>0</v>
      </c>
      <c r="F861" s="6">
        <f>Cht_0173[[#This Row],[V_av]]-Cht_0173[[#This Row],[V_prel]]</f>
        <v>11.5</v>
      </c>
      <c r="G861" s="201">
        <v>0</v>
      </c>
    </row>
    <row r="862" spans="1:7" x14ac:dyDescent="0.2">
      <c r="A862" s="496"/>
      <c r="C862" s="6">
        <v>2</v>
      </c>
      <c r="D862" s="6">
        <f t="shared" ref="D862:D869" si="181">$D$870/$C$870+F861</f>
        <v>23</v>
      </c>
      <c r="E862" s="6">
        <v>0</v>
      </c>
      <c r="F862" s="6">
        <f>Cht_0173[[#This Row],[V_av]]-Cht_0173[[#This Row],[V_prel]]</f>
        <v>23</v>
      </c>
      <c r="G862" s="197">
        <f>((D862-F861)/D862)/(C862-C861)</f>
        <v>0.5</v>
      </c>
    </row>
    <row r="863" spans="1:7" x14ac:dyDescent="0.2">
      <c r="A863" s="496"/>
      <c r="C863" s="6">
        <v>3</v>
      </c>
      <c r="D863" s="6">
        <f t="shared" si="181"/>
        <v>34.5</v>
      </c>
      <c r="E863" s="6">
        <v>0</v>
      </c>
      <c r="F863" s="6">
        <f>Cht_0173[[#This Row],[V_av]]-Cht_0173[[#This Row],[V_prel]]</f>
        <v>34.5</v>
      </c>
      <c r="G863" s="197">
        <f t="shared" ref="G863:G905" si="182">((D863-F862)/D863)/(C863-C862)</f>
        <v>0.33333333333333331</v>
      </c>
    </row>
    <row r="864" spans="1:7" x14ac:dyDescent="0.2">
      <c r="A864" s="496"/>
      <c r="C864" s="6">
        <v>4</v>
      </c>
      <c r="D864" s="6">
        <f t="shared" si="181"/>
        <v>46</v>
      </c>
      <c r="E864" s="6">
        <v>0</v>
      </c>
      <c r="F864" s="6">
        <f>Cht_0173[[#This Row],[V_av]]-Cht_0173[[#This Row],[V_prel]]</f>
        <v>46</v>
      </c>
      <c r="G864" s="197">
        <f t="shared" si="182"/>
        <v>0.25</v>
      </c>
    </row>
    <row r="865" spans="1:7" x14ac:dyDescent="0.2">
      <c r="A865" s="496"/>
      <c r="C865" s="6">
        <v>5</v>
      </c>
      <c r="D865" s="6">
        <f t="shared" si="181"/>
        <v>57.5</v>
      </c>
      <c r="E865" s="6">
        <v>0</v>
      </c>
      <c r="F865" s="6">
        <f>Cht_0173[[#This Row],[V_av]]-Cht_0173[[#This Row],[V_prel]]</f>
        <v>57.5</v>
      </c>
      <c r="G865" s="197">
        <f t="shared" si="182"/>
        <v>0.2</v>
      </c>
    </row>
    <row r="866" spans="1:7" x14ac:dyDescent="0.2">
      <c r="A866" s="496"/>
      <c r="C866" s="6">
        <v>6</v>
      </c>
      <c r="D866" s="6">
        <f t="shared" si="181"/>
        <v>69</v>
      </c>
      <c r="E866" s="6">
        <v>0</v>
      </c>
      <c r="F866" s="6">
        <f>Cht_0173[[#This Row],[V_av]]-Cht_0173[[#This Row],[V_prel]]</f>
        <v>69</v>
      </c>
      <c r="G866" s="197">
        <f t="shared" si="182"/>
        <v>0.16666666666666666</v>
      </c>
    </row>
    <row r="867" spans="1:7" x14ac:dyDescent="0.2">
      <c r="A867" s="496"/>
      <c r="C867" s="6">
        <v>7</v>
      </c>
      <c r="D867" s="6">
        <f t="shared" si="181"/>
        <v>80.5</v>
      </c>
      <c r="E867" s="6">
        <v>0</v>
      </c>
      <c r="F867" s="6">
        <f>Cht_0173[[#This Row],[V_av]]-Cht_0173[[#This Row],[V_prel]]</f>
        <v>80.5</v>
      </c>
      <c r="G867" s="197">
        <f t="shared" si="182"/>
        <v>0.14285714285714285</v>
      </c>
    </row>
    <row r="868" spans="1:7" x14ac:dyDescent="0.2">
      <c r="A868" s="496"/>
      <c r="C868" s="6">
        <v>8</v>
      </c>
      <c r="D868" s="6">
        <f t="shared" si="181"/>
        <v>92</v>
      </c>
      <c r="E868" s="6">
        <v>0</v>
      </c>
      <c r="F868" s="6">
        <f>Cht_0173[[#This Row],[V_av]]-Cht_0173[[#This Row],[V_prel]]</f>
        <v>92</v>
      </c>
      <c r="G868" s="197">
        <f t="shared" si="182"/>
        <v>0.125</v>
      </c>
    </row>
    <row r="869" spans="1:7" x14ac:dyDescent="0.2">
      <c r="A869" s="496"/>
      <c r="C869" s="6">
        <v>9</v>
      </c>
      <c r="D869" s="6">
        <f t="shared" si="181"/>
        <v>103.5</v>
      </c>
      <c r="E869" s="6">
        <v>0</v>
      </c>
      <c r="F869" s="6">
        <f>Cht_0173[[#This Row],[V_av]]-Cht_0173[[#This Row],[V_prel]]</f>
        <v>103.5</v>
      </c>
      <c r="G869" s="197">
        <f t="shared" si="182"/>
        <v>0.1111111111111111</v>
      </c>
    </row>
    <row r="870" spans="1:7" x14ac:dyDescent="0.2">
      <c r="A870" s="496"/>
      <c r="C870" s="7">
        <v>10</v>
      </c>
      <c r="D870" s="7">
        <v>115</v>
      </c>
      <c r="E870" s="7">
        <v>71</v>
      </c>
      <c r="F870" s="7">
        <v>44</v>
      </c>
      <c r="G870" s="197">
        <f t="shared" si="182"/>
        <v>0.1</v>
      </c>
    </row>
    <row r="871" spans="1:7" x14ac:dyDescent="0.2">
      <c r="A871" s="496"/>
      <c r="C871" s="6">
        <v>11</v>
      </c>
      <c r="D871" s="14">
        <f>($D$876-$F$870)/($C$876-$C$870)+F870</f>
        <v>52</v>
      </c>
      <c r="E871" s="6">
        <v>0</v>
      </c>
      <c r="F871" s="14">
        <f>Cht_0173[[#This Row],[V_av]]-Cht_0173[[#This Row],[V_prel]]</f>
        <v>52</v>
      </c>
      <c r="G871" s="197">
        <f t="shared" si="182"/>
        <v>0.15384615384615385</v>
      </c>
    </row>
    <row r="872" spans="1:7" x14ac:dyDescent="0.2">
      <c r="A872" s="496"/>
      <c r="C872" s="6">
        <v>12</v>
      </c>
      <c r="D872" s="14">
        <f>($D$876-$F$870)/($C$876-$C$870)+D871</f>
        <v>60</v>
      </c>
      <c r="E872" s="6">
        <v>0</v>
      </c>
      <c r="F872" s="14">
        <f>Cht_0173[[#This Row],[V_av]]-Cht_0173[[#This Row],[V_prel]]</f>
        <v>60</v>
      </c>
      <c r="G872" s="197">
        <f t="shared" si="182"/>
        <v>0.13333333333333333</v>
      </c>
    </row>
    <row r="873" spans="1:7" x14ac:dyDescent="0.2">
      <c r="A873" s="496"/>
      <c r="C873" s="6">
        <v>13</v>
      </c>
      <c r="D873" s="14">
        <f>($D$876-$F$870)/($C$876-$C$870)+D872</f>
        <v>68</v>
      </c>
      <c r="E873" s="6">
        <v>0</v>
      </c>
      <c r="F873" s="14">
        <f>Cht_0173[[#This Row],[V_av]]-Cht_0173[[#This Row],[V_prel]]</f>
        <v>68</v>
      </c>
      <c r="G873" s="197">
        <f t="shared" si="182"/>
        <v>0.11764705882352941</v>
      </c>
    </row>
    <row r="874" spans="1:7" x14ac:dyDescent="0.2">
      <c r="A874" s="496"/>
      <c r="C874" s="6">
        <v>14</v>
      </c>
      <c r="D874" s="14">
        <f>($D$876-$F$870)/($C$876-$C$870)+D873</f>
        <v>76</v>
      </c>
      <c r="E874" s="6">
        <v>0</v>
      </c>
      <c r="F874" s="14">
        <f>Cht_0173[[#This Row],[V_av]]-Cht_0173[[#This Row],[V_prel]]</f>
        <v>76</v>
      </c>
      <c r="G874" s="197">
        <f t="shared" si="182"/>
        <v>0.10526315789473684</v>
      </c>
    </row>
    <row r="875" spans="1:7" x14ac:dyDescent="0.2">
      <c r="A875" s="496"/>
      <c r="C875" s="6">
        <v>15</v>
      </c>
      <c r="D875" s="14">
        <f>($D$876-$F$870)/($C$876-$C$870)+D874</f>
        <v>84</v>
      </c>
      <c r="E875" s="6">
        <v>0</v>
      </c>
      <c r="F875" s="14">
        <f>Cht_0173[[#This Row],[V_av]]-Cht_0173[[#This Row],[V_prel]]</f>
        <v>84</v>
      </c>
      <c r="G875" s="197">
        <f t="shared" si="182"/>
        <v>9.5238095238095233E-2</v>
      </c>
    </row>
    <row r="876" spans="1:7" x14ac:dyDescent="0.2">
      <c r="A876" s="496"/>
      <c r="C876" s="7">
        <v>16</v>
      </c>
      <c r="D876" s="7">
        <v>92</v>
      </c>
      <c r="E876" s="7">
        <v>33</v>
      </c>
      <c r="F876" s="7">
        <v>59</v>
      </c>
      <c r="G876" s="197">
        <f t="shared" si="182"/>
        <v>8.6956521739130432E-2</v>
      </c>
    </row>
    <row r="877" spans="1:7" x14ac:dyDescent="0.2">
      <c r="A877" s="496"/>
      <c r="C877" s="6">
        <v>17</v>
      </c>
      <c r="D877" s="14">
        <f>($D$885-$D$876)/($C$885-$C$876)+F876</f>
        <v>63.333333333333336</v>
      </c>
      <c r="E877" s="6">
        <v>0</v>
      </c>
      <c r="F877" s="14">
        <f>Cht_0173[[#This Row],[V_av]]-Cht_0173[[#This Row],[V_prel]]</f>
        <v>63.333333333333336</v>
      </c>
      <c r="G877" s="197">
        <f t="shared" si="182"/>
        <v>6.842105263157898E-2</v>
      </c>
    </row>
    <row r="878" spans="1:7" x14ac:dyDescent="0.2">
      <c r="A878" s="496"/>
      <c r="C878" s="6">
        <v>18</v>
      </c>
      <c r="D878" s="14">
        <f t="shared" ref="D878:D884" si="183">($D$885-$F$876)/($C$885-$C$876)+D877</f>
        <v>71.333333333333343</v>
      </c>
      <c r="E878" s="6">
        <v>0</v>
      </c>
      <c r="F878" s="14">
        <f>Cht_0173[[#This Row],[V_av]]-Cht_0173[[#This Row],[V_prel]]</f>
        <v>71.333333333333343</v>
      </c>
      <c r="G878" s="197">
        <f t="shared" si="182"/>
        <v>0.11214953271028046</v>
      </c>
    </row>
    <row r="879" spans="1:7" x14ac:dyDescent="0.2">
      <c r="A879" s="496"/>
      <c r="C879" s="6">
        <v>19</v>
      </c>
      <c r="D879" s="14">
        <f t="shared" si="183"/>
        <v>79.333333333333343</v>
      </c>
      <c r="E879" s="6">
        <v>0</v>
      </c>
      <c r="F879" s="14">
        <f>Cht_0173[[#This Row],[V_av]]-Cht_0173[[#This Row],[V_prel]]</f>
        <v>79.333333333333343</v>
      </c>
      <c r="G879" s="197">
        <f t="shared" si="182"/>
        <v>0.10084033613445377</v>
      </c>
    </row>
    <row r="880" spans="1:7" x14ac:dyDescent="0.2">
      <c r="A880" s="496"/>
      <c r="C880" s="6">
        <v>20</v>
      </c>
      <c r="D880" s="14">
        <f t="shared" si="183"/>
        <v>87.333333333333343</v>
      </c>
      <c r="E880" s="6">
        <v>0</v>
      </c>
      <c r="F880" s="14">
        <f>Cht_0173[[#This Row],[V_av]]-Cht_0173[[#This Row],[V_prel]]</f>
        <v>87.333333333333343</v>
      </c>
      <c r="G880" s="197">
        <f t="shared" si="182"/>
        <v>9.160305343511449E-2</v>
      </c>
    </row>
    <row r="881" spans="1:7" x14ac:dyDescent="0.2">
      <c r="A881" s="496"/>
      <c r="C881" s="6">
        <v>21</v>
      </c>
      <c r="D881" s="14">
        <f t="shared" si="183"/>
        <v>95.333333333333343</v>
      </c>
      <c r="E881" s="6">
        <v>0</v>
      </c>
      <c r="F881" s="14">
        <f>Cht_0173[[#This Row],[V_av]]-Cht_0173[[#This Row],[V_prel]]</f>
        <v>95.333333333333343</v>
      </c>
      <c r="G881" s="197">
        <f t="shared" si="182"/>
        <v>8.3916083916083906E-2</v>
      </c>
    </row>
    <row r="882" spans="1:7" x14ac:dyDescent="0.2">
      <c r="A882" s="496"/>
      <c r="C882" s="6">
        <v>22</v>
      </c>
      <c r="D882" s="14">
        <f t="shared" si="183"/>
        <v>103.33333333333334</v>
      </c>
      <c r="E882" s="6">
        <v>0</v>
      </c>
      <c r="F882" s="14">
        <f>Cht_0173[[#This Row],[V_av]]-Cht_0173[[#This Row],[V_prel]]</f>
        <v>103.33333333333334</v>
      </c>
      <c r="G882" s="197">
        <f t="shared" si="182"/>
        <v>7.7419354838709667E-2</v>
      </c>
    </row>
    <row r="883" spans="1:7" x14ac:dyDescent="0.2">
      <c r="A883" s="496"/>
      <c r="C883" s="6">
        <v>23</v>
      </c>
      <c r="D883" s="14">
        <f t="shared" si="183"/>
        <v>111.33333333333334</v>
      </c>
      <c r="E883" s="6">
        <v>0</v>
      </c>
      <c r="F883" s="14">
        <f>Cht_0173[[#This Row],[V_av]]-Cht_0173[[#This Row],[V_prel]]</f>
        <v>111.33333333333334</v>
      </c>
      <c r="G883" s="197">
        <f t="shared" si="182"/>
        <v>7.1856287425149698E-2</v>
      </c>
    </row>
    <row r="884" spans="1:7" x14ac:dyDescent="0.2">
      <c r="A884" s="496"/>
      <c r="C884" s="6">
        <v>24</v>
      </c>
      <c r="D884" s="14">
        <f t="shared" si="183"/>
        <v>119.33333333333334</v>
      </c>
      <c r="E884" s="6">
        <v>0</v>
      </c>
      <c r="F884" s="14">
        <f>Cht_0173[[#This Row],[V_av]]-Cht_0173[[#This Row],[V_prel]]</f>
        <v>119.33333333333334</v>
      </c>
      <c r="G884" s="197">
        <f t="shared" si="182"/>
        <v>6.7039106145251395E-2</v>
      </c>
    </row>
    <row r="885" spans="1:7" x14ac:dyDescent="0.2">
      <c r="A885" s="496"/>
      <c r="C885" s="7">
        <v>25</v>
      </c>
      <c r="D885" s="7">
        <v>131</v>
      </c>
      <c r="E885" s="7">
        <v>41</v>
      </c>
      <c r="F885" s="7">
        <v>90</v>
      </c>
      <c r="G885" s="197">
        <f t="shared" si="182"/>
        <v>8.9058524173027911E-2</v>
      </c>
    </row>
    <row r="886" spans="1:7" x14ac:dyDescent="0.2">
      <c r="A886" s="496"/>
      <c r="C886" s="6">
        <v>26</v>
      </c>
      <c r="D886" s="14">
        <f>($D$905-$F$885)/($C$905-$C$885)+F885</f>
        <v>97.05</v>
      </c>
      <c r="E886" s="6">
        <v>0</v>
      </c>
      <c r="F886" s="14">
        <f>Cht_0173[[#This Row],[V_av]]-Cht_0173[[#This Row],[V_prel]]</f>
        <v>97.05</v>
      </c>
      <c r="G886" s="197">
        <f t="shared" si="182"/>
        <v>7.2642967542503836E-2</v>
      </c>
    </row>
    <row r="887" spans="1:7" x14ac:dyDescent="0.2">
      <c r="A887" s="496"/>
      <c r="C887" s="6">
        <v>27</v>
      </c>
      <c r="D887" s="14">
        <f t="shared" ref="D887:D904" si="184">($D$905-$F$885)/($C$905-$C$885)+D886</f>
        <v>104.1</v>
      </c>
      <c r="E887" s="6">
        <v>0</v>
      </c>
      <c r="F887" s="14">
        <f>Cht_0173[[#This Row],[V_av]]-Cht_0173[[#This Row],[V_prel]]</f>
        <v>104.1</v>
      </c>
      <c r="G887" s="197">
        <f t="shared" si="182"/>
        <v>6.7723342939481249E-2</v>
      </c>
    </row>
    <row r="888" spans="1:7" x14ac:dyDescent="0.2">
      <c r="A888" s="496"/>
      <c r="C888" s="6">
        <v>28</v>
      </c>
      <c r="D888" s="14">
        <f t="shared" si="184"/>
        <v>111.14999999999999</v>
      </c>
      <c r="E888" s="6">
        <v>0</v>
      </c>
      <c r="F888" s="14">
        <f>Cht_0173[[#This Row],[V_av]]-Cht_0173[[#This Row],[V_prel]]</f>
        <v>111.14999999999999</v>
      </c>
      <c r="G888" s="197">
        <f t="shared" si="182"/>
        <v>6.3427800269905507E-2</v>
      </c>
    </row>
    <row r="889" spans="1:7" x14ac:dyDescent="0.2">
      <c r="A889" s="496"/>
      <c r="C889" s="6">
        <v>29</v>
      </c>
      <c r="D889" s="14">
        <f t="shared" si="184"/>
        <v>118.19999999999999</v>
      </c>
      <c r="E889" s="6">
        <v>0</v>
      </c>
      <c r="F889" s="14">
        <f>Cht_0173[[#This Row],[V_av]]-Cht_0173[[#This Row],[V_prel]]</f>
        <v>118.19999999999999</v>
      </c>
      <c r="G889" s="197">
        <f t="shared" si="182"/>
        <v>5.9644670050761406E-2</v>
      </c>
    </row>
    <row r="890" spans="1:7" x14ac:dyDescent="0.2">
      <c r="A890" s="496"/>
      <c r="C890" s="6">
        <v>30</v>
      </c>
      <c r="D890" s="14">
        <f t="shared" si="184"/>
        <v>125.24999999999999</v>
      </c>
      <c r="E890" s="6">
        <v>0</v>
      </c>
      <c r="F890" s="14">
        <f>Cht_0173[[#This Row],[V_av]]-Cht_0173[[#This Row],[V_prel]]</f>
        <v>125.24999999999999</v>
      </c>
      <c r="G890" s="197">
        <f t="shared" si="182"/>
        <v>5.628742514970058E-2</v>
      </c>
    </row>
    <row r="891" spans="1:7" x14ac:dyDescent="0.2">
      <c r="A891" s="496"/>
      <c r="C891" s="6">
        <v>31</v>
      </c>
      <c r="D891" s="14">
        <f t="shared" si="184"/>
        <v>132.29999999999998</v>
      </c>
      <c r="E891" s="6">
        <v>0</v>
      </c>
      <c r="F891" s="14">
        <f>Cht_0173[[#This Row],[V_av]]-Cht_0173[[#This Row],[V_prel]]</f>
        <v>132.29999999999998</v>
      </c>
      <c r="G891" s="197">
        <f t="shared" si="182"/>
        <v>5.3287981859410416E-2</v>
      </c>
    </row>
    <row r="892" spans="1:7" x14ac:dyDescent="0.2">
      <c r="A892" s="496"/>
      <c r="C892" s="6">
        <v>32</v>
      </c>
      <c r="D892" s="14">
        <f t="shared" si="184"/>
        <v>139.35</v>
      </c>
      <c r="E892" s="6">
        <v>0</v>
      </c>
      <c r="F892" s="14">
        <f>Cht_0173[[#This Row],[V_av]]-Cht_0173[[#This Row],[V_prel]]</f>
        <v>139.35</v>
      </c>
      <c r="G892" s="197">
        <f t="shared" si="182"/>
        <v>5.059203444564056E-2</v>
      </c>
    </row>
    <row r="893" spans="1:7" x14ac:dyDescent="0.2">
      <c r="A893" s="496"/>
      <c r="C893" s="6">
        <v>33</v>
      </c>
      <c r="D893" s="14">
        <f t="shared" si="184"/>
        <v>146.4</v>
      </c>
      <c r="E893" s="6">
        <v>0</v>
      </c>
      <c r="F893" s="14">
        <f>Cht_0173[[#This Row],[V_av]]-Cht_0173[[#This Row],[V_prel]]</f>
        <v>146.4</v>
      </c>
      <c r="G893" s="197">
        <f t="shared" si="182"/>
        <v>4.8155737704918107E-2</v>
      </c>
    </row>
    <row r="894" spans="1:7" x14ac:dyDescent="0.2">
      <c r="A894" s="496"/>
      <c r="C894" s="6">
        <v>34</v>
      </c>
      <c r="D894" s="14">
        <f t="shared" si="184"/>
        <v>153.45000000000002</v>
      </c>
      <c r="E894" s="6">
        <v>0</v>
      </c>
      <c r="F894" s="14">
        <f>Cht_0173[[#This Row],[V_av]]-Cht_0173[[#This Row],[V_prel]]</f>
        <v>153.45000000000002</v>
      </c>
      <c r="G894" s="197">
        <f t="shared" si="182"/>
        <v>4.5943304007820207E-2</v>
      </c>
    </row>
    <row r="895" spans="1:7" x14ac:dyDescent="0.2">
      <c r="A895" s="496"/>
      <c r="C895" s="6">
        <v>35</v>
      </c>
      <c r="D895" s="14">
        <f t="shared" si="184"/>
        <v>160.50000000000003</v>
      </c>
      <c r="E895" s="6">
        <v>0</v>
      </c>
      <c r="F895" s="14">
        <f>Cht_0173[[#This Row],[V_av]]-Cht_0173[[#This Row],[V_prel]]</f>
        <v>160.50000000000003</v>
      </c>
      <c r="G895" s="197">
        <f t="shared" si="182"/>
        <v>4.3925233644859875E-2</v>
      </c>
    </row>
    <row r="896" spans="1:7" x14ac:dyDescent="0.2">
      <c r="A896" s="496"/>
      <c r="C896" s="6">
        <v>36</v>
      </c>
      <c r="D896" s="14">
        <f t="shared" si="184"/>
        <v>167.55000000000004</v>
      </c>
      <c r="E896" s="6">
        <v>0</v>
      </c>
      <c r="F896" s="14">
        <f>Cht_0173[[#This Row],[V_av]]-Cht_0173[[#This Row],[V_prel]]</f>
        <v>167.55000000000004</v>
      </c>
      <c r="G896" s="197">
        <f t="shared" si="182"/>
        <v>4.2076991942703729E-2</v>
      </c>
    </row>
    <row r="897" spans="1:7" x14ac:dyDescent="0.2">
      <c r="A897" s="496"/>
      <c r="C897" s="6">
        <v>37</v>
      </c>
      <c r="D897" s="14">
        <f t="shared" si="184"/>
        <v>174.60000000000005</v>
      </c>
      <c r="E897" s="6">
        <v>0</v>
      </c>
      <c r="F897" s="14">
        <f>Cht_0173[[#This Row],[V_av]]-Cht_0173[[#This Row],[V_prel]]</f>
        <v>174.60000000000005</v>
      </c>
      <c r="G897" s="197">
        <f t="shared" si="182"/>
        <v>4.0378006872852285E-2</v>
      </c>
    </row>
    <row r="898" spans="1:7" x14ac:dyDescent="0.2">
      <c r="A898" s="496"/>
      <c r="C898" s="6">
        <v>38</v>
      </c>
      <c r="D898" s="14">
        <f t="shared" si="184"/>
        <v>181.65000000000006</v>
      </c>
      <c r="E898" s="6">
        <v>0</v>
      </c>
      <c r="F898" s="14">
        <f>Cht_0173[[#This Row],[V_av]]-Cht_0173[[#This Row],[V_prel]]</f>
        <v>181.65000000000006</v>
      </c>
      <c r="G898" s="197">
        <f t="shared" si="182"/>
        <v>3.8810900082576434E-2</v>
      </c>
    </row>
    <row r="899" spans="1:7" x14ac:dyDescent="0.2">
      <c r="A899" s="496"/>
      <c r="C899" s="6">
        <v>39</v>
      </c>
      <c r="D899" s="14">
        <f t="shared" si="184"/>
        <v>188.70000000000007</v>
      </c>
      <c r="E899" s="6">
        <v>0</v>
      </c>
      <c r="F899" s="14">
        <f>Cht_0173[[#This Row],[V_av]]-Cht_0173[[#This Row],[V_prel]]</f>
        <v>188.70000000000007</v>
      </c>
      <c r="G899" s="197">
        <f t="shared" si="182"/>
        <v>3.7360890302066817E-2</v>
      </c>
    </row>
    <row r="900" spans="1:7" x14ac:dyDescent="0.2">
      <c r="A900" s="496"/>
      <c r="C900" s="6">
        <v>40</v>
      </c>
      <c r="D900" s="14">
        <f t="shared" si="184"/>
        <v>195.75000000000009</v>
      </c>
      <c r="E900" s="6">
        <v>0</v>
      </c>
      <c r="F900" s="14">
        <f>Cht_0173[[#This Row],[V_av]]-Cht_0173[[#This Row],[V_prel]]</f>
        <v>195.75000000000009</v>
      </c>
      <c r="G900" s="197">
        <f t="shared" si="182"/>
        <v>3.601532567049813E-2</v>
      </c>
    </row>
    <row r="901" spans="1:7" x14ac:dyDescent="0.2">
      <c r="A901" s="496"/>
      <c r="C901" s="6">
        <v>41</v>
      </c>
      <c r="D901" s="14">
        <f t="shared" si="184"/>
        <v>202.8000000000001</v>
      </c>
      <c r="E901" s="6">
        <v>0</v>
      </c>
      <c r="F901" s="14">
        <f>Cht_0173[[#This Row],[V_av]]-Cht_0173[[#This Row],[V_prel]]</f>
        <v>202.8000000000001</v>
      </c>
      <c r="G901" s="197">
        <f t="shared" si="182"/>
        <v>3.4763313609467494E-2</v>
      </c>
    </row>
    <row r="902" spans="1:7" x14ac:dyDescent="0.2">
      <c r="A902" s="496"/>
      <c r="C902" s="6">
        <v>42</v>
      </c>
      <c r="D902" s="14">
        <f t="shared" si="184"/>
        <v>209.85000000000011</v>
      </c>
      <c r="E902" s="6">
        <v>0</v>
      </c>
      <c r="F902" s="14">
        <f>Cht_0173[[#This Row],[V_av]]-Cht_0173[[#This Row],[V_prel]]</f>
        <v>209.85000000000011</v>
      </c>
      <c r="G902" s="197">
        <f t="shared" si="182"/>
        <v>3.3595425303788458E-2</v>
      </c>
    </row>
    <row r="903" spans="1:7" x14ac:dyDescent="0.2">
      <c r="A903" s="496"/>
      <c r="C903" s="6">
        <v>43</v>
      </c>
      <c r="D903" s="14">
        <f t="shared" si="184"/>
        <v>216.90000000000012</v>
      </c>
      <c r="E903" s="6">
        <v>0</v>
      </c>
      <c r="F903" s="14">
        <f>Cht_0173[[#This Row],[V_av]]-Cht_0173[[#This Row],[V_prel]]</f>
        <v>216.90000000000012</v>
      </c>
      <c r="G903" s="197">
        <f t="shared" si="182"/>
        <v>3.2503457814661171E-2</v>
      </c>
    </row>
    <row r="904" spans="1:7" x14ac:dyDescent="0.2">
      <c r="A904" s="496"/>
      <c r="C904" s="6">
        <v>44</v>
      </c>
      <c r="D904" s="14">
        <f t="shared" si="184"/>
        <v>223.95000000000013</v>
      </c>
      <c r="E904" s="6">
        <v>0</v>
      </c>
      <c r="F904" s="14">
        <f>Cht_0173[[#This Row],[V_av]]-Cht_0173[[#This Row],[V_prel]]</f>
        <v>223.95000000000013</v>
      </c>
      <c r="G904" s="197">
        <f t="shared" si="182"/>
        <v>3.1480241125251204E-2</v>
      </c>
    </row>
    <row r="905" spans="1:7" x14ac:dyDescent="0.2">
      <c r="A905" s="496"/>
      <c r="C905" s="7">
        <v>45</v>
      </c>
      <c r="D905" s="7">
        <v>231</v>
      </c>
      <c r="E905" s="7">
        <v>231</v>
      </c>
      <c r="F905" s="7">
        <v>0</v>
      </c>
      <c r="G905" s="197">
        <f t="shared" si="182"/>
        <v>3.0519480519479954E-2</v>
      </c>
    </row>
    <row r="907" spans="1:7" x14ac:dyDescent="0.2">
      <c r="A907" s="494" t="s">
        <v>713</v>
      </c>
      <c r="C907" s="7" t="s">
        <v>142</v>
      </c>
    </row>
    <row r="908" spans="1:7" x14ac:dyDescent="0.2">
      <c r="A908" s="494"/>
      <c r="C908" s="9" t="s">
        <v>143</v>
      </c>
    </row>
    <row r="909" spans="1:7" x14ac:dyDescent="0.2">
      <c r="A909" s="494"/>
      <c r="C909" s="6" t="s">
        <v>138</v>
      </c>
    </row>
    <row r="910" spans="1:7" x14ac:dyDescent="0.2">
      <c r="A910" s="494"/>
      <c r="C910" s="6" t="s">
        <v>125</v>
      </c>
      <c r="D910" s="6" t="s">
        <v>126</v>
      </c>
      <c r="E910" s="6" t="s">
        <v>127</v>
      </c>
      <c r="F910" s="6" t="s">
        <v>128</v>
      </c>
      <c r="G910" s="194" t="s">
        <v>699</v>
      </c>
    </row>
    <row r="911" spans="1:7" x14ac:dyDescent="0.2">
      <c r="A911" s="494"/>
      <c r="C911" s="6">
        <v>1</v>
      </c>
      <c r="D911" s="6">
        <f>D920/C920</f>
        <v>12.5</v>
      </c>
      <c r="E911" s="6">
        <v>0</v>
      </c>
      <c r="F911" s="6">
        <f>Pe_0175[[#This Row],[V_av]]-Pe_0175[[#This Row],[V_prel]]</f>
        <v>12.5</v>
      </c>
      <c r="G911" s="194">
        <v>0</v>
      </c>
    </row>
    <row r="912" spans="1:7" x14ac:dyDescent="0.2">
      <c r="A912" s="494"/>
      <c r="C912" s="6">
        <v>2</v>
      </c>
      <c r="D912" s="6">
        <f t="shared" ref="D912:D919" si="185">$D$920/$C$920+F911</f>
        <v>25</v>
      </c>
      <c r="E912" s="6">
        <v>0</v>
      </c>
      <c r="F912" s="6">
        <f>Pe_0175[[#This Row],[V_av]]-Pe_0175[[#This Row],[V_prel]]</f>
        <v>25</v>
      </c>
      <c r="G912" s="188">
        <f>((D912-F911)/D912)/(C912-C911)</f>
        <v>0.5</v>
      </c>
    </row>
    <row r="913" spans="1:19" x14ac:dyDescent="0.2">
      <c r="A913" s="494"/>
      <c r="C913" s="6">
        <v>3</v>
      </c>
      <c r="D913" s="6">
        <f t="shared" si="185"/>
        <v>37.5</v>
      </c>
      <c r="E913" s="6">
        <v>0</v>
      </c>
      <c r="F913" s="6">
        <f>Pe_0175[[#This Row],[V_av]]-Pe_0175[[#This Row],[V_prel]]</f>
        <v>37.5</v>
      </c>
      <c r="G913" s="188">
        <f t="shared" ref="G913:G940" si="186">((D913-F912)/D913)/(C913-C912)</f>
        <v>0.33333333333333331</v>
      </c>
    </row>
    <row r="914" spans="1:19" x14ac:dyDescent="0.2">
      <c r="A914" s="494"/>
      <c r="C914" s="6">
        <v>4</v>
      </c>
      <c r="D914" s="6">
        <f t="shared" si="185"/>
        <v>50</v>
      </c>
      <c r="E914" s="6">
        <v>0</v>
      </c>
      <c r="F914" s="6">
        <f>Pe_0175[[#This Row],[V_av]]-Pe_0175[[#This Row],[V_prel]]</f>
        <v>50</v>
      </c>
      <c r="G914" s="188">
        <f t="shared" si="186"/>
        <v>0.25</v>
      </c>
    </row>
    <row r="915" spans="1:19" x14ac:dyDescent="0.2">
      <c r="A915" s="494"/>
      <c r="C915" s="6">
        <v>5</v>
      </c>
      <c r="D915" s="6">
        <f t="shared" si="185"/>
        <v>62.5</v>
      </c>
      <c r="E915" s="6">
        <v>0</v>
      </c>
      <c r="F915" s="6">
        <f>Pe_0175[[#This Row],[V_av]]-Pe_0175[[#This Row],[V_prel]]</f>
        <v>62.5</v>
      </c>
      <c r="G915" s="188">
        <f t="shared" si="186"/>
        <v>0.2</v>
      </c>
    </row>
    <row r="916" spans="1:19" x14ac:dyDescent="0.2">
      <c r="A916" s="494"/>
      <c r="C916" s="6">
        <v>6</v>
      </c>
      <c r="D916" s="6">
        <f t="shared" si="185"/>
        <v>75</v>
      </c>
      <c r="E916" s="6">
        <v>0</v>
      </c>
      <c r="F916" s="6">
        <f>Pe_0175[[#This Row],[V_av]]-Pe_0175[[#This Row],[V_prel]]</f>
        <v>75</v>
      </c>
      <c r="G916" s="188">
        <f t="shared" si="186"/>
        <v>0.16666666666666666</v>
      </c>
    </row>
    <row r="917" spans="1:19" x14ac:dyDescent="0.2">
      <c r="A917" s="494"/>
      <c r="C917" s="6">
        <v>7</v>
      </c>
      <c r="D917" s="6">
        <f t="shared" si="185"/>
        <v>87.5</v>
      </c>
      <c r="E917" s="6">
        <v>0</v>
      </c>
      <c r="F917" s="6">
        <f>Pe_0175[[#This Row],[V_av]]-Pe_0175[[#This Row],[V_prel]]</f>
        <v>87.5</v>
      </c>
      <c r="G917" s="188">
        <f t="shared" si="186"/>
        <v>0.14285714285714285</v>
      </c>
    </row>
    <row r="918" spans="1:19" x14ac:dyDescent="0.2">
      <c r="A918" s="494"/>
      <c r="C918" s="6">
        <v>8</v>
      </c>
      <c r="D918" s="6">
        <f t="shared" si="185"/>
        <v>100</v>
      </c>
      <c r="E918" s="6">
        <v>0</v>
      </c>
      <c r="F918" s="6">
        <f>Pe_0175[[#This Row],[V_av]]-Pe_0175[[#This Row],[V_prel]]</f>
        <v>100</v>
      </c>
      <c r="G918" s="188">
        <f t="shared" si="186"/>
        <v>0.125</v>
      </c>
    </row>
    <row r="919" spans="1:19" x14ac:dyDescent="0.2">
      <c r="A919" s="494"/>
      <c r="C919" s="6">
        <v>9</v>
      </c>
      <c r="D919" s="6">
        <f t="shared" si="185"/>
        <v>112.5</v>
      </c>
      <c r="E919" s="6">
        <v>0</v>
      </c>
      <c r="F919" s="6">
        <f>Pe_0175[[#This Row],[V_av]]-Pe_0175[[#This Row],[V_prel]]</f>
        <v>112.5</v>
      </c>
      <c r="G919" s="188">
        <f t="shared" si="186"/>
        <v>0.1111111111111111</v>
      </c>
    </row>
    <row r="920" spans="1:19" x14ac:dyDescent="0.2">
      <c r="A920" s="494"/>
      <c r="C920" s="7">
        <v>10</v>
      </c>
      <c r="D920" s="7">
        <v>125</v>
      </c>
      <c r="E920" s="7">
        <v>0</v>
      </c>
      <c r="F920" s="7">
        <v>125</v>
      </c>
      <c r="G920" s="188">
        <f t="shared" si="186"/>
        <v>0.1</v>
      </c>
    </row>
    <row r="921" spans="1:19" x14ac:dyDescent="0.2">
      <c r="A921" s="494"/>
      <c r="C921" s="6">
        <v>11</v>
      </c>
      <c r="D921" s="14">
        <f>($D$925-$F$920)/($C$925-$C$920)+F920</f>
        <v>146.4</v>
      </c>
      <c r="E921" s="6">
        <v>0</v>
      </c>
      <c r="F921" s="6">
        <f>Pe_0175[[#This Row],[V_av]]-Pe_0175[[#This Row],[V_prel]]</f>
        <v>146.4</v>
      </c>
      <c r="G921" s="188">
        <f t="shared" si="186"/>
        <v>0.14617486338797817</v>
      </c>
    </row>
    <row r="922" spans="1:19" x14ac:dyDescent="0.2">
      <c r="A922" s="494"/>
      <c r="C922" s="6">
        <v>12</v>
      </c>
      <c r="D922" s="14">
        <f>($D$925-$F$920)/($C$925-$C$920)+D921</f>
        <v>167.8</v>
      </c>
      <c r="E922" s="6">
        <v>0</v>
      </c>
      <c r="F922" s="6">
        <f>Pe_0175[[#This Row],[V_av]]-Pe_0175[[#This Row],[V_prel]]</f>
        <v>167.8</v>
      </c>
      <c r="G922" s="188">
        <f t="shared" si="186"/>
        <v>0.12753277711561384</v>
      </c>
    </row>
    <row r="923" spans="1:19" x14ac:dyDescent="0.2">
      <c r="A923" s="494"/>
      <c r="C923" s="6">
        <v>13</v>
      </c>
      <c r="D923" s="14">
        <f>($D$925-$F$920)/($C$925-$C$920)+D922</f>
        <v>189.20000000000002</v>
      </c>
      <c r="E923" s="6">
        <v>0</v>
      </c>
      <c r="F923" s="6">
        <f>Pe_0175[[#This Row],[V_av]]-Pe_0175[[#This Row],[V_prel]]</f>
        <v>189.20000000000002</v>
      </c>
      <c r="G923" s="188">
        <f t="shared" si="186"/>
        <v>0.11310782241014801</v>
      </c>
    </row>
    <row r="924" spans="1:19" x14ac:dyDescent="0.2">
      <c r="A924" s="494"/>
      <c r="C924" s="6">
        <v>14</v>
      </c>
      <c r="D924" s="14">
        <f>($D$925-$F$920)/($C$925-$C$920)+D923</f>
        <v>210.60000000000002</v>
      </c>
      <c r="E924" s="6">
        <v>0</v>
      </c>
      <c r="F924" s="6">
        <f>Pe_0175[[#This Row],[V_av]]-Pe_0175[[#This Row],[V_prel]]</f>
        <v>210.60000000000002</v>
      </c>
      <c r="G924" s="188">
        <f t="shared" si="186"/>
        <v>0.1016144349477683</v>
      </c>
    </row>
    <row r="925" spans="1:19" x14ac:dyDescent="0.2">
      <c r="A925" s="494"/>
      <c r="C925" s="7">
        <v>15</v>
      </c>
      <c r="D925" s="7">
        <v>232</v>
      </c>
      <c r="E925" s="7">
        <v>0</v>
      </c>
      <c r="F925" s="7">
        <v>232</v>
      </c>
      <c r="G925" s="188">
        <f t="shared" si="186"/>
        <v>9.2241379310344734E-2</v>
      </c>
      <c r="M925" s="6"/>
      <c r="S925" s="6"/>
    </row>
    <row r="926" spans="1:19" x14ac:dyDescent="0.2">
      <c r="A926" s="494"/>
      <c r="C926" s="6">
        <v>16</v>
      </c>
      <c r="D926" s="14">
        <f>($D$930-$F$925)/($C$930-$C$925)+F925</f>
        <v>254.2</v>
      </c>
      <c r="E926" s="6">
        <v>0</v>
      </c>
      <c r="F926" s="6">
        <f>Pe_0175[[#This Row],[V_av]]-Pe_0175[[#This Row],[V_prel]]</f>
        <v>254.2</v>
      </c>
      <c r="G926" s="188">
        <f t="shared" si="186"/>
        <v>8.7332808811959053E-2</v>
      </c>
      <c r="M926" s="6"/>
      <c r="S926" s="6"/>
    </row>
    <row r="927" spans="1:19" x14ac:dyDescent="0.2">
      <c r="A927" s="494"/>
      <c r="C927" s="6">
        <v>17</v>
      </c>
      <c r="D927" s="14">
        <f>($D$930-$F$925)/($C$930-$C$925)+D926</f>
        <v>276.39999999999998</v>
      </c>
      <c r="E927" s="6">
        <v>0</v>
      </c>
      <c r="F927" s="6">
        <f>Pe_0175[[#This Row],[V_av]]-Pe_0175[[#This Row],[V_prel]]</f>
        <v>276.39999999999998</v>
      </c>
      <c r="G927" s="188">
        <f t="shared" si="186"/>
        <v>8.0318379160636721E-2</v>
      </c>
      <c r="M927" s="6"/>
      <c r="S927" s="6"/>
    </row>
    <row r="928" spans="1:19" x14ac:dyDescent="0.2">
      <c r="A928" s="494"/>
      <c r="C928" s="6">
        <v>18</v>
      </c>
      <c r="D928" s="14">
        <f>($D$930-$F$925)/($C$930-$C$925)+D927</f>
        <v>298.59999999999997</v>
      </c>
      <c r="E928" s="6">
        <v>0</v>
      </c>
      <c r="F928" s="6">
        <f>Pe_0175[[#This Row],[V_av]]-Pe_0175[[#This Row],[V_prel]]</f>
        <v>298.59999999999997</v>
      </c>
      <c r="G928" s="188">
        <f t="shared" si="186"/>
        <v>7.4346952444742098E-2</v>
      </c>
      <c r="M928" s="6"/>
      <c r="S928" s="6"/>
    </row>
    <row r="929" spans="1:19" x14ac:dyDescent="0.2">
      <c r="A929" s="209"/>
      <c r="C929" s="6">
        <v>19</v>
      </c>
      <c r="D929" s="14">
        <f>($D$930-$F$925)/($C$930-$C$925)+D928</f>
        <v>320.79999999999995</v>
      </c>
      <c r="E929" s="6">
        <v>0</v>
      </c>
      <c r="F929" s="6">
        <f>Pe_0175[[#This Row],[V_av]]-Pe_0175[[#This Row],[V_prel]]</f>
        <v>320.79999999999995</v>
      </c>
      <c r="G929" s="188">
        <f t="shared" si="186"/>
        <v>6.9201995012468806E-2</v>
      </c>
      <c r="M929" s="6"/>
      <c r="S929" s="6"/>
    </row>
    <row r="930" spans="1:19" x14ac:dyDescent="0.2">
      <c r="A930" s="206"/>
      <c r="C930" s="7">
        <v>20</v>
      </c>
      <c r="D930" s="7">
        <v>343</v>
      </c>
      <c r="E930" s="7">
        <v>0</v>
      </c>
      <c r="F930" s="7">
        <v>343</v>
      </c>
      <c r="G930" s="188">
        <f t="shared" si="186"/>
        <v>6.4723032069970973E-2</v>
      </c>
      <c r="M930" s="6"/>
      <c r="S930" s="6"/>
    </row>
    <row r="931" spans="1:19" x14ac:dyDescent="0.2">
      <c r="A931" s="206"/>
      <c r="C931" s="6">
        <v>21</v>
      </c>
      <c r="D931" s="14">
        <f>($D$932-$F$930)/($C$932-$C$930)+F930</f>
        <v>362.5</v>
      </c>
      <c r="E931" s="6">
        <v>0</v>
      </c>
      <c r="F931" s="6">
        <f>Pe_0175[[#This Row],[V_av]]-Pe_0175[[#This Row],[V_prel]]</f>
        <v>362.5</v>
      </c>
      <c r="G931" s="188">
        <f t="shared" si="186"/>
        <v>5.3793103448275863E-2</v>
      </c>
    </row>
    <row r="932" spans="1:19" x14ac:dyDescent="0.2">
      <c r="A932" s="206"/>
      <c r="C932" s="7">
        <v>22</v>
      </c>
      <c r="D932" s="7">
        <v>382</v>
      </c>
      <c r="E932" s="7">
        <v>0</v>
      </c>
      <c r="F932" s="7">
        <v>382</v>
      </c>
      <c r="G932" s="188">
        <f t="shared" si="186"/>
        <v>5.1047120418848166E-2</v>
      </c>
      <c r="M932" s="6"/>
      <c r="S932" s="6"/>
    </row>
    <row r="933" spans="1:19" x14ac:dyDescent="0.2">
      <c r="A933" s="206"/>
      <c r="C933" s="6">
        <v>23</v>
      </c>
      <c r="D933" s="14">
        <f>($D$934-$F$932)/($C$934-$C$932)+F932</f>
        <v>401.5</v>
      </c>
      <c r="E933" s="6">
        <v>0</v>
      </c>
      <c r="F933" s="6">
        <f>Pe_0175[[#This Row],[V_av]]-Pe_0175[[#This Row],[V_prel]]</f>
        <v>401.5</v>
      </c>
      <c r="G933" s="188">
        <f t="shared" si="186"/>
        <v>4.8567870485678705E-2</v>
      </c>
      <c r="M933" s="6"/>
      <c r="S933" s="6"/>
    </row>
    <row r="934" spans="1:19" x14ac:dyDescent="0.2">
      <c r="A934" s="206"/>
      <c r="C934" s="7">
        <v>24</v>
      </c>
      <c r="D934" s="7">
        <v>421</v>
      </c>
      <c r="E934" s="7">
        <v>0</v>
      </c>
      <c r="F934" s="7">
        <v>421</v>
      </c>
      <c r="G934" s="188">
        <f t="shared" si="186"/>
        <v>4.631828978622328E-2</v>
      </c>
      <c r="M934" s="6"/>
      <c r="S934" s="6"/>
    </row>
    <row r="935" spans="1:19" x14ac:dyDescent="0.2">
      <c r="A935" s="206"/>
      <c r="C935" s="6">
        <v>25</v>
      </c>
      <c r="D935" s="14">
        <f>($D$936-$F$934)/($C$936-$C$934)+F934</f>
        <v>435</v>
      </c>
      <c r="E935" s="6">
        <v>0</v>
      </c>
      <c r="F935" s="6">
        <f>Pe_0175[[#This Row],[V_av]]-Pe_0175[[#This Row],[V_prel]]</f>
        <v>435</v>
      </c>
      <c r="G935" s="188">
        <f t="shared" si="186"/>
        <v>3.2183908045977011E-2</v>
      </c>
      <c r="M935" s="6"/>
      <c r="S935" s="6"/>
    </row>
    <row r="936" spans="1:19" x14ac:dyDescent="0.2">
      <c r="A936" s="206"/>
      <c r="C936" s="7">
        <v>26</v>
      </c>
      <c r="D936" s="7">
        <v>449</v>
      </c>
      <c r="E936" s="7">
        <v>449</v>
      </c>
      <c r="F936" s="7">
        <v>0</v>
      </c>
      <c r="G936" s="188">
        <f t="shared" si="186"/>
        <v>3.1180400890868598E-2</v>
      </c>
      <c r="M936" s="6"/>
      <c r="S936" s="6"/>
    </row>
    <row r="937" spans="1:19" x14ac:dyDescent="0.2">
      <c r="A937" s="206"/>
      <c r="C937" s="6">
        <v>27</v>
      </c>
      <c r="D937" s="6">
        <v>0</v>
      </c>
      <c r="E937" s="6">
        <v>0</v>
      </c>
      <c r="F937" s="6">
        <v>0</v>
      </c>
      <c r="G937" s="188" t="e">
        <f t="shared" si="186"/>
        <v>#DIV/0!</v>
      </c>
      <c r="M937" s="6"/>
      <c r="S937" s="6"/>
    </row>
    <row r="938" spans="1:19" x14ac:dyDescent="0.2">
      <c r="A938" s="206"/>
      <c r="C938" s="6">
        <v>28</v>
      </c>
      <c r="D938" s="6">
        <v>0</v>
      </c>
      <c r="E938" s="6">
        <v>0</v>
      </c>
      <c r="F938" s="6">
        <v>0</v>
      </c>
      <c r="G938" s="188" t="e">
        <f t="shared" si="186"/>
        <v>#DIV/0!</v>
      </c>
      <c r="M938" s="6"/>
      <c r="S938" s="6"/>
    </row>
    <row r="939" spans="1:19" x14ac:dyDescent="0.2">
      <c r="A939" s="206"/>
      <c r="C939" s="6">
        <v>29</v>
      </c>
      <c r="D939" s="6">
        <v>0</v>
      </c>
      <c r="E939" s="6">
        <v>0</v>
      </c>
      <c r="F939" s="6">
        <v>0</v>
      </c>
      <c r="G939" s="188" t="e">
        <f t="shared" si="186"/>
        <v>#DIV/0!</v>
      </c>
      <c r="M939" s="6"/>
      <c r="S939" s="6"/>
    </row>
    <row r="940" spans="1:19" x14ac:dyDescent="0.2">
      <c r="A940" s="206"/>
      <c r="C940" s="6">
        <v>30</v>
      </c>
      <c r="D940" s="6">
        <v>0</v>
      </c>
      <c r="E940" s="6">
        <v>0</v>
      </c>
      <c r="F940" s="6">
        <v>0</v>
      </c>
      <c r="G940" s="188" t="e">
        <f t="shared" si="186"/>
        <v>#DIV/0!</v>
      </c>
      <c r="M940" s="6"/>
      <c r="S940" s="6"/>
    </row>
    <row r="941" spans="1:19" x14ac:dyDescent="0.2">
      <c r="A941" s="206"/>
      <c r="M941" s="6"/>
      <c r="S941" s="6"/>
    </row>
    <row r="942" spans="1:19" x14ac:dyDescent="0.2">
      <c r="A942" s="206"/>
      <c r="C942" s="7" t="s">
        <v>144</v>
      </c>
      <c r="M942" s="6"/>
      <c r="S942" s="6"/>
    </row>
    <row r="943" spans="1:19" x14ac:dyDescent="0.2">
      <c r="A943" s="206"/>
      <c r="C943" s="9" t="s">
        <v>145</v>
      </c>
      <c r="M943" s="6"/>
      <c r="S943" s="6"/>
    </row>
    <row r="944" spans="1:19" x14ac:dyDescent="0.2">
      <c r="A944" s="206"/>
      <c r="C944" s="6" t="s">
        <v>146</v>
      </c>
      <c r="I944" s="6" t="s">
        <v>147</v>
      </c>
      <c r="O944" s="6" t="s">
        <v>148</v>
      </c>
    </row>
    <row r="945" spans="1:19" x14ac:dyDescent="0.2">
      <c r="A945" s="206"/>
      <c r="C945" s="6" t="s">
        <v>125</v>
      </c>
      <c r="D945" s="6" t="s">
        <v>126</v>
      </c>
      <c r="E945" s="6" t="s">
        <v>127</v>
      </c>
      <c r="F945" s="6" t="s">
        <v>128</v>
      </c>
      <c r="G945" s="194" t="s">
        <v>699</v>
      </c>
      <c r="I945" s="6" t="s">
        <v>125</v>
      </c>
      <c r="J945" s="6" t="s">
        <v>126</v>
      </c>
      <c r="K945" s="6" t="s">
        <v>127</v>
      </c>
      <c r="L945" s="6" t="s">
        <v>128</v>
      </c>
      <c r="M945" s="194" t="s">
        <v>699</v>
      </c>
      <c r="O945" s="6" t="s">
        <v>125</v>
      </c>
      <c r="P945" s="6" t="s">
        <v>126</v>
      </c>
      <c r="Q945" s="6" t="s">
        <v>127</v>
      </c>
      <c r="R945" s="6" t="s">
        <v>128</v>
      </c>
      <c r="S945" s="194" t="s">
        <v>699</v>
      </c>
    </row>
    <row r="946" spans="1:19" x14ac:dyDescent="0.2">
      <c r="A946" s="206"/>
      <c r="C946" s="6">
        <v>1</v>
      </c>
      <c r="D946" s="8">
        <f>D962/C962</f>
        <v>18.470588235294116</v>
      </c>
      <c r="E946" s="6">
        <v>0</v>
      </c>
      <c r="F946" s="8">
        <f>Pe_I214_1181[[#This Row],[V_av]]-Pe_I214_1181[[#This Row],[V_prel]]</f>
        <v>18.470588235294116</v>
      </c>
      <c r="G946" s="194">
        <v>0</v>
      </c>
      <c r="I946" s="6">
        <v>1</v>
      </c>
      <c r="J946" s="8">
        <f>J967/I967</f>
        <v>14.272727272727273</v>
      </c>
      <c r="K946" s="6">
        <v>0</v>
      </c>
      <c r="L946" s="8">
        <f>Pe_I214_1181127[[#This Row],[V_av]]-Pe_I214_1181127[[#This Row],[V_prel]]</f>
        <v>14.272727272727273</v>
      </c>
      <c r="M946" s="194">
        <v>0</v>
      </c>
      <c r="O946" s="6">
        <v>1</v>
      </c>
      <c r="P946" s="8">
        <f>P976/O976</f>
        <v>9.235294117647058</v>
      </c>
      <c r="Q946" s="6">
        <v>0</v>
      </c>
      <c r="R946" s="8">
        <f>Pe_I214_1181128[[#This Row],[V_av]]-Pe_I214_1181128[[#This Row],[V_prel]]</f>
        <v>9.235294117647058</v>
      </c>
      <c r="S946" s="194">
        <v>0</v>
      </c>
    </row>
    <row r="947" spans="1:19" x14ac:dyDescent="0.2">
      <c r="A947" s="206"/>
      <c r="C947" s="6">
        <v>2</v>
      </c>
      <c r="D947" s="8">
        <f t="shared" ref="D947:D961" si="187">$D$962/$C$962+F946</f>
        <v>36.941176470588232</v>
      </c>
      <c r="E947" s="6">
        <v>0</v>
      </c>
      <c r="F947" s="8">
        <f>Pe_I214_1181[[#This Row],[V_av]]-Pe_I214_1181[[#This Row],[V_prel]]</f>
        <v>36.941176470588232</v>
      </c>
      <c r="G947" s="188">
        <f>((D947-F946)/D947)/(C947-C946)</f>
        <v>0.5</v>
      </c>
      <c r="I947" s="6">
        <v>2</v>
      </c>
      <c r="J947" s="8">
        <f t="shared" ref="J947:J966" si="188">$J$967/$I$967+L946</f>
        <v>28.545454545454547</v>
      </c>
      <c r="K947" s="6">
        <v>0</v>
      </c>
      <c r="L947" s="8">
        <f>Pe_I214_1181127[[#This Row],[V_av]]-Pe_I214_1181127[[#This Row],[V_prel]]</f>
        <v>28.545454545454547</v>
      </c>
      <c r="M947" s="188">
        <f>((J947-L946)/J947)/(I947-I946)</f>
        <v>0.5</v>
      </c>
      <c r="O947" s="6">
        <v>2</v>
      </c>
      <c r="P947" s="8">
        <f t="shared" ref="P947:P975" si="189">$P$976/$O$976+R946</f>
        <v>18.470588235294116</v>
      </c>
      <c r="Q947" s="6">
        <v>0</v>
      </c>
      <c r="R947" s="8">
        <f>Pe_I214_1181128[[#This Row],[V_av]]-Pe_I214_1181128[[#This Row],[V_prel]]</f>
        <v>18.470588235294116</v>
      </c>
      <c r="S947" s="188">
        <f>((P947-R946)/P947)/(O947-O946)</f>
        <v>0.5</v>
      </c>
    </row>
    <row r="948" spans="1:19" x14ac:dyDescent="0.2">
      <c r="A948" s="206"/>
      <c r="C948" s="6">
        <v>3</v>
      </c>
      <c r="D948" s="8">
        <f t="shared" si="187"/>
        <v>55.411764705882348</v>
      </c>
      <c r="E948" s="6">
        <v>0</v>
      </c>
      <c r="F948" s="8">
        <f>Pe_I214_1181[[#This Row],[V_av]]-Pe_I214_1181[[#This Row],[V_prel]]</f>
        <v>55.411764705882348</v>
      </c>
      <c r="G948" s="188">
        <f t="shared" ref="G948:G975" si="190">((D948-F947)/D948)/(C948-C947)</f>
        <v>0.33333333333333331</v>
      </c>
      <c r="I948" s="6">
        <v>3</v>
      </c>
      <c r="J948" s="8">
        <f t="shared" si="188"/>
        <v>42.81818181818182</v>
      </c>
      <c r="K948" s="6">
        <v>0</v>
      </c>
      <c r="L948" s="8">
        <f>Pe_I214_1181127[[#This Row],[V_av]]-Pe_I214_1181127[[#This Row],[V_prel]]</f>
        <v>42.81818181818182</v>
      </c>
      <c r="M948" s="188">
        <f t="shared" ref="M948:M975" si="191">((J948-L947)/J948)/(I948-I947)</f>
        <v>0.33333333333333331</v>
      </c>
      <c r="O948" s="6">
        <v>3</v>
      </c>
      <c r="P948" s="8">
        <f t="shared" si="189"/>
        <v>27.705882352941174</v>
      </c>
      <c r="Q948" s="6">
        <v>0</v>
      </c>
      <c r="R948" s="8">
        <f>Pe_I214_1181128[[#This Row],[V_av]]-Pe_I214_1181128[[#This Row],[V_prel]]</f>
        <v>27.705882352941174</v>
      </c>
      <c r="S948" s="188">
        <f t="shared" ref="S948:S976" si="192">((P948-R947)/P948)/(O948-O947)</f>
        <v>0.33333333333333331</v>
      </c>
    </row>
    <row r="949" spans="1:19" x14ac:dyDescent="0.2">
      <c r="A949" s="206"/>
      <c r="C949" s="6">
        <v>4</v>
      </c>
      <c r="D949" s="8">
        <f t="shared" si="187"/>
        <v>73.882352941176464</v>
      </c>
      <c r="E949" s="6">
        <v>0</v>
      </c>
      <c r="F949" s="8">
        <f>Pe_I214_1181[[#This Row],[V_av]]-Pe_I214_1181[[#This Row],[V_prel]]</f>
        <v>73.882352941176464</v>
      </c>
      <c r="G949" s="188">
        <f t="shared" si="190"/>
        <v>0.25</v>
      </c>
      <c r="I949" s="6">
        <v>4</v>
      </c>
      <c r="J949" s="8">
        <f t="shared" si="188"/>
        <v>57.090909090909093</v>
      </c>
      <c r="K949" s="6">
        <v>0</v>
      </c>
      <c r="L949" s="8">
        <f>Pe_I214_1181127[[#This Row],[V_av]]-Pe_I214_1181127[[#This Row],[V_prel]]</f>
        <v>57.090909090909093</v>
      </c>
      <c r="M949" s="188">
        <f t="shared" si="191"/>
        <v>0.25</v>
      </c>
      <c r="O949" s="6">
        <v>4</v>
      </c>
      <c r="P949" s="8">
        <f t="shared" si="189"/>
        <v>36.941176470588232</v>
      </c>
      <c r="Q949" s="6">
        <v>0</v>
      </c>
      <c r="R949" s="8">
        <f>Pe_I214_1181128[[#This Row],[V_av]]-Pe_I214_1181128[[#This Row],[V_prel]]</f>
        <v>36.941176470588232</v>
      </c>
      <c r="S949" s="188">
        <f t="shared" si="192"/>
        <v>0.25</v>
      </c>
    </row>
    <row r="950" spans="1:19" x14ac:dyDescent="0.2">
      <c r="A950" s="206"/>
      <c r="C950" s="6">
        <v>5</v>
      </c>
      <c r="D950" s="8">
        <f t="shared" si="187"/>
        <v>92.35294117647058</v>
      </c>
      <c r="E950" s="6">
        <v>0</v>
      </c>
      <c r="F950" s="8">
        <f>Pe_I214_1181[[#This Row],[V_av]]-Pe_I214_1181[[#This Row],[V_prel]]</f>
        <v>92.35294117647058</v>
      </c>
      <c r="G950" s="188">
        <f t="shared" si="190"/>
        <v>0.2</v>
      </c>
      <c r="I950" s="6">
        <v>5</v>
      </c>
      <c r="J950" s="8">
        <f t="shared" si="188"/>
        <v>71.363636363636374</v>
      </c>
      <c r="K950" s="6">
        <v>0</v>
      </c>
      <c r="L950" s="8">
        <f>Pe_I214_1181127[[#This Row],[V_av]]-Pe_I214_1181127[[#This Row],[V_prel]]</f>
        <v>71.363636363636374</v>
      </c>
      <c r="M950" s="188">
        <f t="shared" si="191"/>
        <v>0.20000000000000007</v>
      </c>
      <c r="O950" s="6">
        <v>5</v>
      </c>
      <c r="P950" s="8">
        <f t="shared" si="189"/>
        <v>46.17647058823529</v>
      </c>
      <c r="Q950" s="6">
        <v>0</v>
      </c>
      <c r="R950" s="8">
        <f>Pe_I214_1181128[[#This Row],[V_av]]-Pe_I214_1181128[[#This Row],[V_prel]]</f>
        <v>46.17647058823529</v>
      </c>
      <c r="S950" s="188">
        <f t="shared" si="192"/>
        <v>0.2</v>
      </c>
    </row>
    <row r="951" spans="1:19" x14ac:dyDescent="0.2">
      <c r="A951" s="206"/>
      <c r="C951" s="6">
        <v>6</v>
      </c>
      <c r="D951" s="8">
        <f t="shared" si="187"/>
        <v>110.8235294117647</v>
      </c>
      <c r="E951" s="6">
        <v>0</v>
      </c>
      <c r="F951" s="8">
        <f>Pe_I214_1181[[#This Row],[V_av]]-Pe_I214_1181[[#This Row],[V_prel]]</f>
        <v>110.8235294117647</v>
      </c>
      <c r="G951" s="188">
        <f t="shared" si="190"/>
        <v>0.16666666666666666</v>
      </c>
      <c r="I951" s="6">
        <v>6</v>
      </c>
      <c r="J951" s="8">
        <f t="shared" si="188"/>
        <v>85.636363636363654</v>
      </c>
      <c r="K951" s="6">
        <v>0</v>
      </c>
      <c r="L951" s="8">
        <f>Pe_I214_1181127[[#This Row],[V_av]]-Pe_I214_1181127[[#This Row],[V_prel]]</f>
        <v>85.636363636363654</v>
      </c>
      <c r="M951" s="188">
        <f t="shared" si="191"/>
        <v>0.16666666666666671</v>
      </c>
      <c r="O951" s="6">
        <v>6</v>
      </c>
      <c r="P951" s="8">
        <f t="shared" si="189"/>
        <v>55.411764705882348</v>
      </c>
      <c r="Q951" s="6">
        <v>0</v>
      </c>
      <c r="R951" s="8">
        <f>Pe_I214_1181128[[#This Row],[V_av]]-Pe_I214_1181128[[#This Row],[V_prel]]</f>
        <v>55.411764705882348</v>
      </c>
      <c r="S951" s="188">
        <f t="shared" si="192"/>
        <v>0.16666666666666666</v>
      </c>
    </row>
    <row r="952" spans="1:19" x14ac:dyDescent="0.2">
      <c r="A952" s="206"/>
      <c r="C952" s="6">
        <v>7</v>
      </c>
      <c r="D952" s="8">
        <f t="shared" si="187"/>
        <v>129.29411764705881</v>
      </c>
      <c r="E952" s="6">
        <v>0</v>
      </c>
      <c r="F952" s="8">
        <f>Pe_I214_1181[[#This Row],[V_av]]-Pe_I214_1181[[#This Row],[V_prel]]</f>
        <v>129.29411764705881</v>
      </c>
      <c r="G952" s="188">
        <f t="shared" si="190"/>
        <v>0.14285714285714285</v>
      </c>
      <c r="I952" s="6">
        <v>7</v>
      </c>
      <c r="J952" s="8">
        <f t="shared" si="188"/>
        <v>99.909090909090935</v>
      </c>
      <c r="K952" s="6">
        <v>0</v>
      </c>
      <c r="L952" s="8">
        <f>Pe_I214_1181127[[#This Row],[V_av]]-Pe_I214_1181127[[#This Row],[V_prel]]</f>
        <v>99.909090909090935</v>
      </c>
      <c r="M952" s="188">
        <f t="shared" si="191"/>
        <v>0.1428571428571429</v>
      </c>
      <c r="O952" s="6">
        <v>7</v>
      </c>
      <c r="P952" s="8">
        <f t="shared" si="189"/>
        <v>64.647058823529406</v>
      </c>
      <c r="Q952" s="6">
        <v>0</v>
      </c>
      <c r="R952" s="8">
        <f>Pe_I214_1181128[[#This Row],[V_av]]-Pe_I214_1181128[[#This Row],[V_prel]]</f>
        <v>64.647058823529406</v>
      </c>
      <c r="S952" s="188">
        <f t="shared" si="192"/>
        <v>0.14285714285714285</v>
      </c>
    </row>
    <row r="953" spans="1:19" x14ac:dyDescent="0.2">
      <c r="A953" s="206"/>
      <c r="C953" s="6">
        <v>8</v>
      </c>
      <c r="D953" s="8">
        <f t="shared" si="187"/>
        <v>147.76470588235293</v>
      </c>
      <c r="E953" s="6">
        <v>0</v>
      </c>
      <c r="F953" s="8">
        <f>Pe_I214_1181[[#This Row],[V_av]]-Pe_I214_1181[[#This Row],[V_prel]]</f>
        <v>147.76470588235293</v>
      </c>
      <c r="G953" s="188">
        <f t="shared" si="190"/>
        <v>0.125</v>
      </c>
      <c r="I953" s="6">
        <v>8</v>
      </c>
      <c r="J953" s="8">
        <f t="shared" si="188"/>
        <v>114.18181818181822</v>
      </c>
      <c r="K953" s="6">
        <v>0</v>
      </c>
      <c r="L953" s="8">
        <f>Pe_I214_1181127[[#This Row],[V_av]]-Pe_I214_1181127[[#This Row],[V_prel]]</f>
        <v>114.18181818181822</v>
      </c>
      <c r="M953" s="188">
        <f t="shared" si="191"/>
        <v>0.12500000000000003</v>
      </c>
      <c r="O953" s="6">
        <v>8</v>
      </c>
      <c r="P953" s="8">
        <f t="shared" si="189"/>
        <v>73.882352941176464</v>
      </c>
      <c r="Q953" s="6">
        <v>0</v>
      </c>
      <c r="R953" s="8">
        <f>Pe_I214_1181128[[#This Row],[V_av]]-Pe_I214_1181128[[#This Row],[V_prel]]</f>
        <v>73.882352941176464</v>
      </c>
      <c r="S953" s="188">
        <f t="shared" si="192"/>
        <v>0.125</v>
      </c>
    </row>
    <row r="954" spans="1:19" x14ac:dyDescent="0.2">
      <c r="A954" s="206"/>
      <c r="C954" s="6">
        <v>9</v>
      </c>
      <c r="D954" s="8">
        <f t="shared" si="187"/>
        <v>166.23529411764704</v>
      </c>
      <c r="E954" s="6">
        <v>0</v>
      </c>
      <c r="F954" s="8">
        <f>Pe_I214_1181[[#This Row],[V_av]]-Pe_I214_1181[[#This Row],[V_prel]]</f>
        <v>166.23529411764704</v>
      </c>
      <c r="G954" s="188">
        <f t="shared" si="190"/>
        <v>0.1111111111111111</v>
      </c>
      <c r="I954" s="6">
        <v>9</v>
      </c>
      <c r="J954" s="8">
        <f t="shared" si="188"/>
        <v>128.4545454545455</v>
      </c>
      <c r="K954" s="6">
        <v>0</v>
      </c>
      <c r="L954" s="8">
        <f>Pe_I214_1181127[[#This Row],[V_av]]-Pe_I214_1181127[[#This Row],[V_prel]]</f>
        <v>128.4545454545455</v>
      </c>
      <c r="M954" s="188">
        <f t="shared" si="191"/>
        <v>0.11111111111111113</v>
      </c>
      <c r="O954" s="6">
        <v>9</v>
      </c>
      <c r="P954" s="8">
        <f t="shared" si="189"/>
        <v>83.117647058823522</v>
      </c>
      <c r="Q954" s="6">
        <v>0</v>
      </c>
      <c r="R954" s="8">
        <f>Pe_I214_1181128[[#This Row],[V_av]]-Pe_I214_1181128[[#This Row],[V_prel]]</f>
        <v>83.117647058823522</v>
      </c>
      <c r="S954" s="188">
        <f t="shared" si="192"/>
        <v>0.1111111111111111</v>
      </c>
    </row>
    <row r="955" spans="1:19" x14ac:dyDescent="0.2">
      <c r="A955" s="206"/>
      <c r="C955" s="6">
        <v>10</v>
      </c>
      <c r="D955" s="8">
        <f t="shared" si="187"/>
        <v>184.70588235294116</v>
      </c>
      <c r="E955" s="6">
        <v>0</v>
      </c>
      <c r="F955" s="8">
        <f>Pe_I214_1181[[#This Row],[V_av]]-Pe_I214_1181[[#This Row],[V_prel]]</f>
        <v>184.70588235294116</v>
      </c>
      <c r="G955" s="188">
        <f t="shared" si="190"/>
        <v>0.1</v>
      </c>
      <c r="I955" s="6">
        <v>10</v>
      </c>
      <c r="J955" s="8">
        <f t="shared" si="188"/>
        <v>142.72727272727278</v>
      </c>
      <c r="K955" s="6">
        <v>0</v>
      </c>
      <c r="L955" s="8">
        <f>Pe_I214_1181127[[#This Row],[V_av]]-Pe_I214_1181127[[#This Row],[V_prel]]</f>
        <v>142.72727272727278</v>
      </c>
      <c r="M955" s="188">
        <f t="shared" si="191"/>
        <v>0.10000000000000002</v>
      </c>
      <c r="O955" s="6">
        <v>10</v>
      </c>
      <c r="P955" s="8">
        <f t="shared" si="189"/>
        <v>92.35294117647058</v>
      </c>
      <c r="Q955" s="6">
        <v>0</v>
      </c>
      <c r="R955" s="8">
        <f>Pe_I214_1181128[[#This Row],[V_av]]-Pe_I214_1181128[[#This Row],[V_prel]]</f>
        <v>92.35294117647058</v>
      </c>
      <c r="S955" s="188">
        <f t="shared" si="192"/>
        <v>0.1</v>
      </c>
    </row>
    <row r="956" spans="1:19" x14ac:dyDescent="0.2">
      <c r="A956" s="206"/>
      <c r="C956" s="6">
        <v>11</v>
      </c>
      <c r="D956" s="8">
        <f t="shared" si="187"/>
        <v>203.17647058823528</v>
      </c>
      <c r="E956" s="6">
        <v>0</v>
      </c>
      <c r="F956" s="8">
        <f>Pe_I214_1181[[#This Row],[V_av]]-Pe_I214_1181[[#This Row],[V_prel]]</f>
        <v>203.17647058823528</v>
      </c>
      <c r="G956" s="188">
        <f t="shared" si="190"/>
        <v>9.0909090909090912E-2</v>
      </c>
      <c r="I956" s="6">
        <v>11</v>
      </c>
      <c r="J956" s="8">
        <f t="shared" si="188"/>
        <v>157.00000000000006</v>
      </c>
      <c r="K956" s="6">
        <v>0</v>
      </c>
      <c r="L956" s="8">
        <f>Pe_I214_1181127[[#This Row],[V_av]]-Pe_I214_1181127[[#This Row],[V_prel]]</f>
        <v>157.00000000000006</v>
      </c>
      <c r="M956" s="188">
        <f t="shared" si="191"/>
        <v>9.0909090909090925E-2</v>
      </c>
      <c r="O956" s="6">
        <v>11</v>
      </c>
      <c r="P956" s="8">
        <f t="shared" si="189"/>
        <v>101.58823529411764</v>
      </c>
      <c r="Q956" s="6">
        <v>0</v>
      </c>
      <c r="R956" s="8">
        <f>Pe_I214_1181128[[#This Row],[V_av]]-Pe_I214_1181128[[#This Row],[V_prel]]</f>
        <v>101.58823529411764</v>
      </c>
      <c r="S956" s="188">
        <f t="shared" si="192"/>
        <v>9.0909090909090912E-2</v>
      </c>
    </row>
    <row r="957" spans="1:19" x14ac:dyDescent="0.2">
      <c r="A957" s="206"/>
      <c r="C957" s="6">
        <v>12</v>
      </c>
      <c r="D957" s="8">
        <f t="shared" si="187"/>
        <v>221.64705882352939</v>
      </c>
      <c r="E957" s="6">
        <v>0</v>
      </c>
      <c r="F957" s="8">
        <f>Pe_I214_1181[[#This Row],[V_av]]-Pe_I214_1181[[#This Row],[V_prel]]</f>
        <v>221.64705882352939</v>
      </c>
      <c r="G957" s="188">
        <f t="shared" si="190"/>
        <v>8.3333333333333329E-2</v>
      </c>
      <c r="I957" s="6">
        <v>12</v>
      </c>
      <c r="J957" s="8">
        <f t="shared" si="188"/>
        <v>171.27272727272734</v>
      </c>
      <c r="K957" s="6">
        <v>0</v>
      </c>
      <c r="L957" s="8">
        <f>Pe_I214_1181127[[#This Row],[V_av]]-Pe_I214_1181127[[#This Row],[V_prel]]</f>
        <v>171.27272727272734</v>
      </c>
      <c r="M957" s="188">
        <f t="shared" si="191"/>
        <v>8.3333333333333343E-2</v>
      </c>
      <c r="O957" s="6">
        <v>12</v>
      </c>
      <c r="P957" s="8">
        <f t="shared" si="189"/>
        <v>110.8235294117647</v>
      </c>
      <c r="Q957" s="6">
        <v>0</v>
      </c>
      <c r="R957" s="8">
        <f>Pe_I214_1181128[[#This Row],[V_av]]-Pe_I214_1181128[[#This Row],[V_prel]]</f>
        <v>110.8235294117647</v>
      </c>
      <c r="S957" s="188">
        <f t="shared" si="192"/>
        <v>8.3333333333333329E-2</v>
      </c>
    </row>
    <row r="958" spans="1:19" x14ac:dyDescent="0.2">
      <c r="A958" s="206"/>
      <c r="C958" s="6">
        <v>13</v>
      </c>
      <c r="D958" s="8">
        <f t="shared" si="187"/>
        <v>240.11764705882351</v>
      </c>
      <c r="E958" s="6">
        <v>0</v>
      </c>
      <c r="F958" s="8">
        <f>Pe_I214_1181[[#This Row],[V_av]]-Pe_I214_1181[[#This Row],[V_prel]]</f>
        <v>240.11764705882351</v>
      </c>
      <c r="G958" s="188">
        <f t="shared" si="190"/>
        <v>7.6923076923076927E-2</v>
      </c>
      <c r="I958" s="6">
        <v>13</v>
      </c>
      <c r="J958" s="8">
        <f t="shared" si="188"/>
        <v>185.54545454545462</v>
      </c>
      <c r="K958" s="6">
        <v>0</v>
      </c>
      <c r="L958" s="8">
        <f>Pe_I214_1181127[[#This Row],[V_av]]-Pe_I214_1181127[[#This Row],[V_prel]]</f>
        <v>185.54545454545462</v>
      </c>
      <c r="M958" s="188">
        <f t="shared" si="191"/>
        <v>7.6923076923076941E-2</v>
      </c>
      <c r="O958" s="6">
        <v>13</v>
      </c>
      <c r="P958" s="8">
        <f t="shared" si="189"/>
        <v>120.05882352941175</v>
      </c>
      <c r="Q958" s="6">
        <v>0</v>
      </c>
      <c r="R958" s="8">
        <f>Pe_I214_1181128[[#This Row],[V_av]]-Pe_I214_1181128[[#This Row],[V_prel]]</f>
        <v>120.05882352941175</v>
      </c>
      <c r="S958" s="188">
        <f t="shared" si="192"/>
        <v>7.6923076923076927E-2</v>
      </c>
    </row>
    <row r="959" spans="1:19" x14ac:dyDescent="0.2">
      <c r="A959" s="206"/>
      <c r="C959" s="6">
        <v>14</v>
      </c>
      <c r="D959" s="8">
        <f t="shared" si="187"/>
        <v>258.58823529411762</v>
      </c>
      <c r="E959" s="6">
        <v>0</v>
      </c>
      <c r="F959" s="8">
        <f>Pe_I214_1181[[#This Row],[V_av]]-Pe_I214_1181[[#This Row],[V_prel]]</f>
        <v>258.58823529411762</v>
      </c>
      <c r="G959" s="188">
        <f t="shared" si="190"/>
        <v>7.1428571428571425E-2</v>
      </c>
      <c r="I959" s="6">
        <v>14</v>
      </c>
      <c r="J959" s="8">
        <f t="shared" si="188"/>
        <v>199.8181818181819</v>
      </c>
      <c r="K959" s="6">
        <v>0</v>
      </c>
      <c r="L959" s="8">
        <f>Pe_I214_1181127[[#This Row],[V_av]]-Pe_I214_1181127[[#This Row],[V_prel]]</f>
        <v>199.8181818181819</v>
      </c>
      <c r="M959" s="188">
        <f t="shared" si="191"/>
        <v>7.1428571428571438E-2</v>
      </c>
      <c r="O959" s="6">
        <v>14</v>
      </c>
      <c r="P959" s="8">
        <f t="shared" si="189"/>
        <v>129.29411764705881</v>
      </c>
      <c r="Q959" s="6">
        <v>0</v>
      </c>
      <c r="R959" s="8">
        <f>Pe_I214_1181128[[#This Row],[V_av]]-Pe_I214_1181128[[#This Row],[V_prel]]</f>
        <v>129.29411764705881</v>
      </c>
      <c r="S959" s="188">
        <f t="shared" si="192"/>
        <v>7.1428571428571425E-2</v>
      </c>
    </row>
    <row r="960" spans="1:19" x14ac:dyDescent="0.2">
      <c r="A960" s="206"/>
      <c r="C960" s="6">
        <v>15</v>
      </c>
      <c r="D960" s="8">
        <f t="shared" si="187"/>
        <v>277.05882352941171</v>
      </c>
      <c r="E960" s="6">
        <v>0</v>
      </c>
      <c r="F960" s="8">
        <f>Pe_I214_1181[[#This Row],[V_av]]-Pe_I214_1181[[#This Row],[V_prel]]</f>
        <v>277.05882352941171</v>
      </c>
      <c r="G960" s="188">
        <f t="shared" si="190"/>
        <v>6.6666666666666569E-2</v>
      </c>
      <c r="I960" s="6">
        <v>15</v>
      </c>
      <c r="J960" s="8">
        <f t="shared" si="188"/>
        <v>214.09090909090918</v>
      </c>
      <c r="K960" s="6">
        <v>0</v>
      </c>
      <c r="L960" s="8">
        <f>Pe_I214_1181127[[#This Row],[V_av]]-Pe_I214_1181127[[#This Row],[V_prel]]</f>
        <v>214.09090909090918</v>
      </c>
      <c r="M960" s="188">
        <f t="shared" si="191"/>
        <v>6.666666666666668E-2</v>
      </c>
      <c r="O960" s="6">
        <v>15</v>
      </c>
      <c r="P960" s="8">
        <f t="shared" si="189"/>
        <v>138.52941176470586</v>
      </c>
      <c r="Q960" s="6">
        <v>0</v>
      </c>
      <c r="R960" s="8">
        <f>Pe_I214_1181128[[#This Row],[V_av]]-Pe_I214_1181128[[#This Row],[V_prel]]</f>
        <v>138.52941176470586</v>
      </c>
      <c r="S960" s="188">
        <f t="shared" si="192"/>
        <v>6.6666666666666569E-2</v>
      </c>
    </row>
    <row r="961" spans="1:19" x14ac:dyDescent="0.2">
      <c r="A961" s="206"/>
      <c r="C961" s="6">
        <v>16</v>
      </c>
      <c r="D961" s="8">
        <f t="shared" si="187"/>
        <v>295.52941176470586</v>
      </c>
      <c r="E961" s="6">
        <v>0</v>
      </c>
      <c r="F961" s="8">
        <f>Pe_I214_1181[[#This Row],[V_av]]-Pe_I214_1181[[#This Row],[V_prel]]</f>
        <v>295.52941176470586</v>
      </c>
      <c r="G961" s="188">
        <f t="shared" si="190"/>
        <v>6.2500000000000097E-2</v>
      </c>
      <c r="I961" s="6">
        <v>16</v>
      </c>
      <c r="J961" s="8">
        <f t="shared" si="188"/>
        <v>228.36363636363646</v>
      </c>
      <c r="K961" s="6">
        <v>0</v>
      </c>
      <c r="L961" s="8">
        <f>Pe_I214_1181127[[#This Row],[V_av]]-Pe_I214_1181127[[#This Row],[V_prel]]</f>
        <v>228.36363636363646</v>
      </c>
      <c r="M961" s="188">
        <f t="shared" si="191"/>
        <v>6.2500000000000014E-2</v>
      </c>
      <c r="O961" s="6">
        <v>16</v>
      </c>
      <c r="P961" s="8">
        <f t="shared" si="189"/>
        <v>147.76470588235293</v>
      </c>
      <c r="Q961" s="6">
        <v>0</v>
      </c>
      <c r="R961" s="8">
        <f>Pe_I214_1181128[[#This Row],[V_av]]-Pe_I214_1181128[[#This Row],[V_prel]]</f>
        <v>147.76470588235293</v>
      </c>
      <c r="S961" s="188">
        <f t="shared" si="192"/>
        <v>6.2500000000000097E-2</v>
      </c>
    </row>
    <row r="962" spans="1:19" x14ac:dyDescent="0.2">
      <c r="A962" s="206"/>
      <c r="C962" s="7">
        <v>17</v>
      </c>
      <c r="D962" s="7">
        <v>314</v>
      </c>
      <c r="E962" s="7">
        <v>314</v>
      </c>
      <c r="F962" s="7">
        <v>0</v>
      </c>
      <c r="G962" s="188">
        <f t="shared" si="190"/>
        <v>5.8823529411764788E-2</v>
      </c>
      <c r="I962" s="6">
        <v>17</v>
      </c>
      <c r="J962" s="8">
        <f t="shared" si="188"/>
        <v>242.63636363636374</v>
      </c>
      <c r="K962" s="6">
        <v>0</v>
      </c>
      <c r="L962" s="8">
        <f>Pe_I214_1181127[[#This Row],[V_av]]-Pe_I214_1181127[[#This Row],[V_prel]]</f>
        <v>242.63636363636374</v>
      </c>
      <c r="M962" s="188">
        <f t="shared" si="191"/>
        <v>5.8823529411764712E-2</v>
      </c>
      <c r="O962" s="7">
        <v>17</v>
      </c>
      <c r="P962" s="8">
        <f t="shared" si="189"/>
        <v>157</v>
      </c>
      <c r="Q962" s="6">
        <v>0</v>
      </c>
      <c r="R962" s="8">
        <f>Pe_I214_1181128[[#This Row],[V_av]]-Pe_I214_1181128[[#This Row],[V_prel]]</f>
        <v>157</v>
      </c>
      <c r="S962" s="188">
        <f t="shared" si="192"/>
        <v>5.8823529411764788E-2</v>
      </c>
    </row>
    <row r="963" spans="1:19" x14ac:dyDescent="0.2">
      <c r="A963" s="206"/>
      <c r="C963" s="6">
        <v>18</v>
      </c>
      <c r="D963" s="6">
        <v>0</v>
      </c>
      <c r="E963" s="6">
        <v>0</v>
      </c>
      <c r="F963" s="6">
        <v>0</v>
      </c>
      <c r="G963" s="188" t="e">
        <f t="shared" si="190"/>
        <v>#DIV/0!</v>
      </c>
      <c r="I963" s="6">
        <v>18</v>
      </c>
      <c r="J963" s="8">
        <f t="shared" si="188"/>
        <v>256.90909090909099</v>
      </c>
      <c r="K963" s="6">
        <v>0</v>
      </c>
      <c r="L963" s="8">
        <f>Pe_I214_1181127[[#This Row],[V_av]]-Pe_I214_1181127[[#This Row],[V_prel]]</f>
        <v>256.90909090909099</v>
      </c>
      <c r="M963" s="188">
        <f t="shared" si="191"/>
        <v>5.5555555555555455E-2</v>
      </c>
      <c r="O963" s="6">
        <v>18</v>
      </c>
      <c r="P963" s="8">
        <f t="shared" si="189"/>
        <v>166.23529411764707</v>
      </c>
      <c r="Q963" s="6">
        <v>0</v>
      </c>
      <c r="R963" s="8">
        <f>Pe_I214_1181128[[#This Row],[V_av]]-Pe_I214_1181128[[#This Row],[V_prel]]</f>
        <v>166.23529411764707</v>
      </c>
      <c r="S963" s="188">
        <f t="shared" si="192"/>
        <v>5.5555555555555629E-2</v>
      </c>
    </row>
    <row r="964" spans="1:19" x14ac:dyDescent="0.2">
      <c r="A964" s="206"/>
      <c r="C964" s="6">
        <v>19</v>
      </c>
      <c r="D964" s="6">
        <v>0</v>
      </c>
      <c r="E964" s="6">
        <v>0</v>
      </c>
      <c r="F964" s="6">
        <v>0</v>
      </c>
      <c r="G964" s="188" t="e">
        <f t="shared" si="190"/>
        <v>#DIV/0!</v>
      </c>
      <c r="I964" s="6">
        <v>19</v>
      </c>
      <c r="J964" s="8">
        <f t="shared" si="188"/>
        <v>271.18181818181824</v>
      </c>
      <c r="K964" s="6">
        <v>0</v>
      </c>
      <c r="L964" s="8">
        <f>Pe_I214_1181127[[#This Row],[V_av]]-Pe_I214_1181127[[#This Row],[V_prel]]</f>
        <v>271.18181818181824</v>
      </c>
      <c r="M964" s="188">
        <f t="shared" si="191"/>
        <v>5.2631578947368335E-2</v>
      </c>
      <c r="O964" s="6">
        <v>19</v>
      </c>
      <c r="P964" s="8">
        <f t="shared" si="189"/>
        <v>175.47058823529414</v>
      </c>
      <c r="Q964" s="6">
        <v>0</v>
      </c>
      <c r="R964" s="8">
        <f>Pe_I214_1181128[[#This Row],[V_av]]-Pe_I214_1181128[[#This Row],[V_prel]]</f>
        <v>175.47058823529414</v>
      </c>
      <c r="S964" s="188">
        <f t="shared" si="192"/>
        <v>5.2631578947368488E-2</v>
      </c>
    </row>
    <row r="965" spans="1:19" x14ac:dyDescent="0.2">
      <c r="A965" s="206"/>
      <c r="C965" s="6">
        <v>20</v>
      </c>
      <c r="D965" s="6">
        <v>0</v>
      </c>
      <c r="E965" s="6">
        <v>0</v>
      </c>
      <c r="F965" s="6">
        <v>0</v>
      </c>
      <c r="G965" s="188" t="e">
        <f t="shared" si="190"/>
        <v>#DIV/0!</v>
      </c>
      <c r="I965" s="6">
        <v>20</v>
      </c>
      <c r="J965" s="8">
        <f t="shared" si="188"/>
        <v>285.4545454545455</v>
      </c>
      <c r="K965" s="6">
        <v>0</v>
      </c>
      <c r="L965" s="8">
        <f>Pe_I214_1181127[[#This Row],[V_av]]-Pe_I214_1181127[[#This Row],[V_prel]]</f>
        <v>285.4545454545455</v>
      </c>
      <c r="M965" s="188">
        <f t="shared" si="191"/>
        <v>4.999999999999992E-2</v>
      </c>
      <c r="O965" s="6">
        <v>20</v>
      </c>
      <c r="P965" s="8">
        <f t="shared" si="189"/>
        <v>184.70588235294122</v>
      </c>
      <c r="Q965" s="6">
        <v>0</v>
      </c>
      <c r="R965" s="8">
        <f>Pe_I214_1181128[[#This Row],[V_av]]-Pe_I214_1181128[[#This Row],[V_prel]]</f>
        <v>184.70588235294122</v>
      </c>
      <c r="S965" s="188">
        <f t="shared" si="192"/>
        <v>5.0000000000000058E-2</v>
      </c>
    </row>
    <row r="966" spans="1:19" x14ac:dyDescent="0.2">
      <c r="A966" s="206"/>
      <c r="C966" s="6">
        <v>21</v>
      </c>
      <c r="D966" s="6">
        <v>0</v>
      </c>
      <c r="E966" s="6">
        <v>0</v>
      </c>
      <c r="F966" s="6">
        <v>0</v>
      </c>
      <c r="G966" s="188" t="e">
        <f t="shared" si="190"/>
        <v>#DIV/0!</v>
      </c>
      <c r="I966" s="6">
        <v>21</v>
      </c>
      <c r="J966" s="8">
        <f t="shared" si="188"/>
        <v>299.72727272727275</v>
      </c>
      <c r="K966" s="6">
        <v>0</v>
      </c>
      <c r="L966" s="8">
        <f>Pe_I214_1181127[[#This Row],[V_av]]-Pe_I214_1181127[[#This Row],[V_prel]]</f>
        <v>299.72727272727275</v>
      </c>
      <c r="M966" s="188">
        <f t="shared" si="191"/>
        <v>4.7619047619047547E-2</v>
      </c>
      <c r="O966" s="6">
        <v>21</v>
      </c>
      <c r="P966" s="8">
        <f t="shared" si="189"/>
        <v>193.94117647058829</v>
      </c>
      <c r="Q966" s="6">
        <v>0</v>
      </c>
      <c r="R966" s="8">
        <f>Pe_I214_1181128[[#This Row],[V_av]]-Pe_I214_1181128[[#This Row],[V_prel]]</f>
        <v>193.94117647058829</v>
      </c>
      <c r="S966" s="188">
        <f t="shared" si="192"/>
        <v>4.7619047619047672E-2</v>
      </c>
    </row>
    <row r="967" spans="1:19" x14ac:dyDescent="0.2">
      <c r="A967" s="206"/>
      <c r="C967" s="6">
        <v>22</v>
      </c>
      <c r="D967" s="6">
        <v>0</v>
      </c>
      <c r="E967" s="6">
        <v>0</v>
      </c>
      <c r="F967" s="6">
        <v>0</v>
      </c>
      <c r="G967" s="188" t="e">
        <f t="shared" si="190"/>
        <v>#DIV/0!</v>
      </c>
      <c r="I967" s="7">
        <v>22</v>
      </c>
      <c r="J967" s="7">
        <v>314</v>
      </c>
      <c r="K967" s="7">
        <v>314</v>
      </c>
      <c r="L967" s="7">
        <v>0</v>
      </c>
      <c r="M967" s="188">
        <f t="shared" si="191"/>
        <v>4.5454545454545386E-2</v>
      </c>
      <c r="O967" s="6">
        <v>22</v>
      </c>
      <c r="P967" s="8">
        <f t="shared" si="189"/>
        <v>203.17647058823536</v>
      </c>
      <c r="Q967" s="6">
        <v>0</v>
      </c>
      <c r="R967" s="8">
        <f>Pe_I214_1181128[[#This Row],[V_av]]-Pe_I214_1181128[[#This Row],[V_prel]]</f>
        <v>203.17647058823536</v>
      </c>
      <c r="S967" s="188">
        <f t="shared" si="192"/>
        <v>4.5454545454545504E-2</v>
      </c>
    </row>
    <row r="968" spans="1:19" x14ac:dyDescent="0.2">
      <c r="A968" s="206"/>
      <c r="C968" s="6">
        <v>23</v>
      </c>
      <c r="D968" s="6">
        <v>0</v>
      </c>
      <c r="E968" s="6">
        <v>0</v>
      </c>
      <c r="F968" s="6">
        <v>0</v>
      </c>
      <c r="G968" s="188" t="e">
        <f t="shared" si="190"/>
        <v>#DIV/0!</v>
      </c>
      <c r="I968" s="6">
        <v>23</v>
      </c>
      <c r="J968" s="6">
        <v>0</v>
      </c>
      <c r="K968" s="6">
        <v>0</v>
      </c>
      <c r="L968" s="6">
        <v>0</v>
      </c>
      <c r="M968" s="188" t="e">
        <f t="shared" si="191"/>
        <v>#DIV/0!</v>
      </c>
      <c r="O968" s="6">
        <v>23</v>
      </c>
      <c r="P968" s="8">
        <f t="shared" si="189"/>
        <v>212.41176470588243</v>
      </c>
      <c r="Q968" s="6">
        <v>0</v>
      </c>
      <c r="R968" s="8">
        <f>Pe_I214_1181128[[#This Row],[V_av]]-Pe_I214_1181128[[#This Row],[V_prel]]</f>
        <v>212.41176470588243</v>
      </c>
      <c r="S968" s="188">
        <f t="shared" si="192"/>
        <v>4.3478260869565265E-2</v>
      </c>
    </row>
    <row r="969" spans="1:19" x14ac:dyDescent="0.2">
      <c r="A969" s="206"/>
      <c r="C969" s="6">
        <v>24</v>
      </c>
      <c r="D969" s="6">
        <v>0</v>
      </c>
      <c r="E969" s="6">
        <v>0</v>
      </c>
      <c r="F969" s="6">
        <v>0</v>
      </c>
      <c r="G969" s="188" t="e">
        <f t="shared" si="190"/>
        <v>#DIV/0!</v>
      </c>
      <c r="I969" s="6">
        <v>24</v>
      </c>
      <c r="J969" s="6">
        <v>0</v>
      </c>
      <c r="K969" s="6">
        <v>0</v>
      </c>
      <c r="L969" s="6">
        <v>0</v>
      </c>
      <c r="M969" s="188" t="e">
        <f t="shared" si="191"/>
        <v>#DIV/0!</v>
      </c>
      <c r="O969" s="6">
        <v>24</v>
      </c>
      <c r="P969" s="8">
        <f t="shared" si="189"/>
        <v>221.64705882352951</v>
      </c>
      <c r="Q969" s="6">
        <v>0</v>
      </c>
      <c r="R969" s="8">
        <f>Pe_I214_1181128[[#This Row],[V_av]]-Pe_I214_1181128[[#This Row],[V_prel]]</f>
        <v>221.64705882352951</v>
      </c>
      <c r="S969" s="188">
        <f t="shared" si="192"/>
        <v>4.1666666666666706E-2</v>
      </c>
    </row>
    <row r="970" spans="1:19" x14ac:dyDescent="0.2">
      <c r="A970" s="206"/>
      <c r="C970" s="6">
        <v>25</v>
      </c>
      <c r="D970" s="6">
        <v>0</v>
      </c>
      <c r="E970" s="6">
        <v>0</v>
      </c>
      <c r="F970" s="6">
        <v>0</v>
      </c>
      <c r="G970" s="188" t="e">
        <f t="shared" si="190"/>
        <v>#DIV/0!</v>
      </c>
      <c r="I970" s="6">
        <v>25</v>
      </c>
      <c r="J970" s="6">
        <v>0</v>
      </c>
      <c r="K970" s="6">
        <v>0</v>
      </c>
      <c r="L970" s="6">
        <v>0</v>
      </c>
      <c r="M970" s="188" t="e">
        <f t="shared" si="191"/>
        <v>#DIV/0!</v>
      </c>
      <c r="O970" s="6">
        <v>25</v>
      </c>
      <c r="P970" s="8">
        <f t="shared" si="189"/>
        <v>230.88235294117658</v>
      </c>
      <c r="Q970" s="6">
        <v>0</v>
      </c>
      <c r="R970" s="8">
        <f>Pe_I214_1181128[[#This Row],[V_av]]-Pe_I214_1181128[[#This Row],[V_prel]]</f>
        <v>230.88235294117658</v>
      </c>
      <c r="S970" s="188">
        <f t="shared" si="192"/>
        <v>4.0000000000000042E-2</v>
      </c>
    </row>
    <row r="971" spans="1:19" x14ac:dyDescent="0.2">
      <c r="A971" s="206"/>
      <c r="C971" s="6">
        <v>26</v>
      </c>
      <c r="D971" s="6">
        <v>0</v>
      </c>
      <c r="E971" s="6">
        <v>0</v>
      </c>
      <c r="F971" s="6">
        <v>0</v>
      </c>
      <c r="G971" s="188" t="e">
        <f t="shared" si="190"/>
        <v>#DIV/0!</v>
      </c>
      <c r="I971" s="6">
        <v>26</v>
      </c>
      <c r="J971" s="6">
        <v>0</v>
      </c>
      <c r="K971" s="6">
        <v>0</v>
      </c>
      <c r="L971" s="6">
        <v>0</v>
      </c>
      <c r="M971" s="188" t="e">
        <f t="shared" si="191"/>
        <v>#DIV/0!</v>
      </c>
      <c r="O971" s="6">
        <v>26</v>
      </c>
      <c r="P971" s="8">
        <f t="shared" si="189"/>
        <v>240.11764705882365</v>
      </c>
      <c r="Q971" s="6">
        <v>0</v>
      </c>
      <c r="R971" s="8">
        <f>Pe_I214_1181128[[#This Row],[V_av]]-Pe_I214_1181128[[#This Row],[V_prel]]</f>
        <v>240.11764705882365</v>
      </c>
      <c r="S971" s="188">
        <f t="shared" si="192"/>
        <v>3.8461538461538498E-2</v>
      </c>
    </row>
    <row r="972" spans="1:19" x14ac:dyDescent="0.2">
      <c r="A972" s="206"/>
      <c r="C972" s="6">
        <v>27</v>
      </c>
      <c r="D972" s="6">
        <v>0</v>
      </c>
      <c r="E972" s="6">
        <v>0</v>
      </c>
      <c r="F972" s="6">
        <v>0</v>
      </c>
      <c r="G972" s="188" t="e">
        <f t="shared" si="190"/>
        <v>#DIV/0!</v>
      </c>
      <c r="I972" s="6">
        <v>27</v>
      </c>
      <c r="J972" s="6">
        <v>0</v>
      </c>
      <c r="K972" s="6">
        <v>0</v>
      </c>
      <c r="L972" s="6">
        <v>0</v>
      </c>
      <c r="M972" s="188" t="e">
        <f t="shared" si="191"/>
        <v>#DIV/0!</v>
      </c>
      <c r="O972" s="6">
        <v>27</v>
      </c>
      <c r="P972" s="8">
        <f t="shared" si="189"/>
        <v>249.35294117647072</v>
      </c>
      <c r="Q972" s="6">
        <v>0</v>
      </c>
      <c r="R972" s="8">
        <f>Pe_I214_1181128[[#This Row],[V_av]]-Pe_I214_1181128[[#This Row],[V_prel]]</f>
        <v>249.35294117647072</v>
      </c>
      <c r="S972" s="188">
        <f t="shared" si="192"/>
        <v>3.703703703703707E-2</v>
      </c>
    </row>
    <row r="973" spans="1:19" x14ac:dyDescent="0.2">
      <c r="A973" s="206"/>
      <c r="C973" s="6">
        <v>28</v>
      </c>
      <c r="D973" s="6">
        <v>0</v>
      </c>
      <c r="E973" s="6">
        <v>0</v>
      </c>
      <c r="F973" s="6">
        <v>0</v>
      </c>
      <c r="G973" s="188" t="e">
        <f t="shared" si="190"/>
        <v>#DIV/0!</v>
      </c>
      <c r="I973" s="6">
        <v>28</v>
      </c>
      <c r="J973" s="6">
        <v>0</v>
      </c>
      <c r="K973" s="6">
        <v>0</v>
      </c>
      <c r="L973" s="6">
        <v>0</v>
      </c>
      <c r="M973" s="188" t="e">
        <f t="shared" si="191"/>
        <v>#DIV/0!</v>
      </c>
      <c r="O973" s="6">
        <v>28</v>
      </c>
      <c r="P973" s="8">
        <f t="shared" si="189"/>
        <v>258.58823529411779</v>
      </c>
      <c r="Q973" s="6">
        <v>0</v>
      </c>
      <c r="R973" s="8">
        <f>Pe_I214_1181128[[#This Row],[V_av]]-Pe_I214_1181128[[#This Row],[V_prel]]</f>
        <v>258.58823529411779</v>
      </c>
      <c r="S973" s="188">
        <f t="shared" si="192"/>
        <v>3.5714285714285747E-2</v>
      </c>
    </row>
    <row r="974" spans="1:19" x14ac:dyDescent="0.2">
      <c r="A974" s="206"/>
      <c r="C974" s="6">
        <v>29</v>
      </c>
      <c r="D974" s="6">
        <v>0</v>
      </c>
      <c r="E974" s="6">
        <v>0</v>
      </c>
      <c r="F974" s="6">
        <v>0</v>
      </c>
      <c r="G974" s="188" t="e">
        <f t="shared" si="190"/>
        <v>#DIV/0!</v>
      </c>
      <c r="I974" s="6">
        <v>29</v>
      </c>
      <c r="J974" s="6">
        <v>0</v>
      </c>
      <c r="K974" s="6">
        <v>0</v>
      </c>
      <c r="L974" s="6">
        <v>0</v>
      </c>
      <c r="M974" s="188" t="e">
        <f t="shared" si="191"/>
        <v>#DIV/0!</v>
      </c>
      <c r="O974" s="6">
        <v>29</v>
      </c>
      <c r="P974" s="8">
        <f t="shared" si="189"/>
        <v>267.82352941176487</v>
      </c>
      <c r="Q974" s="6">
        <v>0</v>
      </c>
      <c r="R974" s="8">
        <f>Pe_I214_1181128[[#This Row],[V_av]]-Pe_I214_1181128[[#This Row],[V_prel]]</f>
        <v>267.82352941176487</v>
      </c>
      <c r="S974" s="188">
        <f t="shared" si="192"/>
        <v>3.4482758620689682E-2</v>
      </c>
    </row>
    <row r="975" spans="1:19" x14ac:dyDescent="0.2">
      <c r="A975" s="206"/>
      <c r="C975" s="6">
        <v>30</v>
      </c>
      <c r="D975" s="6">
        <v>0</v>
      </c>
      <c r="E975" s="6">
        <v>0</v>
      </c>
      <c r="F975" s="6">
        <v>0</v>
      </c>
      <c r="G975" s="188" t="e">
        <f t="shared" si="190"/>
        <v>#DIV/0!</v>
      </c>
      <c r="I975" s="6">
        <v>30</v>
      </c>
      <c r="J975" s="6">
        <v>0</v>
      </c>
      <c r="K975" s="6">
        <v>0</v>
      </c>
      <c r="L975" s="6">
        <v>0</v>
      </c>
      <c r="M975" s="188" t="e">
        <f t="shared" si="191"/>
        <v>#DIV/0!</v>
      </c>
      <c r="O975" s="6">
        <v>30</v>
      </c>
      <c r="P975" s="8">
        <f t="shared" si="189"/>
        <v>277.05882352941194</v>
      </c>
      <c r="Q975" s="6">
        <v>0</v>
      </c>
      <c r="R975" s="8">
        <f>Pe_I214_1181128[[#This Row],[V_av]]-Pe_I214_1181128[[#This Row],[V_prel]]</f>
        <v>277.05882352941194</v>
      </c>
      <c r="S975" s="188">
        <f t="shared" si="192"/>
        <v>3.3333333333333361E-2</v>
      </c>
    </row>
    <row r="976" spans="1:19" x14ac:dyDescent="0.2">
      <c r="A976" s="206"/>
      <c r="O976" s="7">
        <v>34</v>
      </c>
      <c r="P976" s="7">
        <v>314</v>
      </c>
      <c r="Q976" s="7">
        <v>314</v>
      </c>
      <c r="R976" s="7">
        <v>0</v>
      </c>
      <c r="S976" s="188">
        <f t="shared" si="192"/>
        <v>2.9411764705882214E-2</v>
      </c>
    </row>
    <row r="977" spans="1:13" x14ac:dyDescent="0.2">
      <c r="A977" s="206"/>
    </row>
    <row r="978" spans="1:13" x14ac:dyDescent="0.2">
      <c r="A978" s="206"/>
      <c r="C978" s="6" t="s">
        <v>149</v>
      </c>
      <c r="I978" s="6" t="s">
        <v>150</v>
      </c>
    </row>
    <row r="979" spans="1:13" x14ac:dyDescent="0.2">
      <c r="A979" s="206"/>
      <c r="C979" s="6" t="s">
        <v>125</v>
      </c>
      <c r="D979" s="6" t="s">
        <v>126</v>
      </c>
      <c r="E979" s="6" t="s">
        <v>127</v>
      </c>
      <c r="F979" s="6" t="s">
        <v>128</v>
      </c>
      <c r="G979" s="194" t="s">
        <v>699</v>
      </c>
      <c r="I979" s="6" t="s">
        <v>125</v>
      </c>
      <c r="J979" s="6" t="s">
        <v>126</v>
      </c>
      <c r="K979" s="6" t="s">
        <v>127</v>
      </c>
      <c r="L979" s="6" t="s">
        <v>128</v>
      </c>
      <c r="M979" s="194" t="s">
        <v>699</v>
      </c>
    </row>
    <row r="980" spans="1:13" x14ac:dyDescent="0.2">
      <c r="A980" s="206"/>
      <c r="C980" s="6">
        <v>1</v>
      </c>
      <c r="D980" s="14">
        <f>D999/C999</f>
        <v>19.149999999999999</v>
      </c>
      <c r="E980" s="6">
        <v>0</v>
      </c>
      <c r="F980" s="14">
        <f>Pe_Rob_1184[[#This Row],[V_av]]-Pe_Rob_1184[[#This Row],[V_prel]]</f>
        <v>19.149999999999999</v>
      </c>
      <c r="G980" s="194">
        <v>0</v>
      </c>
      <c r="I980" s="6">
        <v>1</v>
      </c>
      <c r="J980" s="14">
        <f>J1005/I1005</f>
        <v>12.076923076923077</v>
      </c>
      <c r="K980" s="6">
        <v>0</v>
      </c>
      <c r="L980" s="14">
        <f>Pe_Rob_1184129[[#This Row],[V_av]]-Pe_Rob_1184129[[#This Row],[V_prel]]</f>
        <v>12.076923076923077</v>
      </c>
      <c r="M980" s="194">
        <v>0</v>
      </c>
    </row>
    <row r="981" spans="1:13" x14ac:dyDescent="0.2">
      <c r="A981" s="206"/>
      <c r="C981" s="6">
        <v>2</v>
      </c>
      <c r="D981" s="14">
        <f t="shared" ref="D981:D998" si="193">$D$999/$C$999+F980</f>
        <v>38.299999999999997</v>
      </c>
      <c r="E981" s="6">
        <v>0</v>
      </c>
      <c r="F981" s="14">
        <f>Pe_Rob_1184[[#This Row],[V_av]]-Pe_Rob_1184[[#This Row],[V_prel]]</f>
        <v>38.299999999999997</v>
      </c>
      <c r="G981" s="188">
        <f>((D981-F980)/D981)/(C981-C980)</f>
        <v>0.5</v>
      </c>
      <c r="I981" s="6">
        <v>2</v>
      </c>
      <c r="J981" s="14">
        <f t="shared" ref="J981:J1004" si="194">$J$1005/$I$1005+L980</f>
        <v>24.153846153846153</v>
      </c>
      <c r="K981" s="6">
        <v>0</v>
      </c>
      <c r="L981" s="14">
        <f>Pe_Rob_1184129[[#This Row],[V_av]]-Pe_Rob_1184129[[#This Row],[V_prel]]</f>
        <v>24.153846153846153</v>
      </c>
      <c r="M981" s="188">
        <f>((J981-L980)/J981)/(I981-I980)</f>
        <v>0.5</v>
      </c>
    </row>
    <row r="982" spans="1:13" x14ac:dyDescent="0.2">
      <c r="A982" s="206"/>
      <c r="C982" s="6">
        <v>3</v>
      </c>
      <c r="D982" s="14">
        <f t="shared" si="193"/>
        <v>57.449999999999996</v>
      </c>
      <c r="E982" s="6">
        <v>0</v>
      </c>
      <c r="F982" s="14">
        <f>Pe_Rob_1184[[#This Row],[V_av]]-Pe_Rob_1184[[#This Row],[V_prel]]</f>
        <v>57.449999999999996</v>
      </c>
      <c r="G982" s="188">
        <f t="shared" ref="G982:G1009" si="195">((D982-F981)/D982)/(C982-C981)</f>
        <v>0.33333333333333331</v>
      </c>
      <c r="I982" s="6">
        <v>3</v>
      </c>
      <c r="J982" s="14">
        <f t="shared" si="194"/>
        <v>36.230769230769226</v>
      </c>
      <c r="K982" s="6">
        <v>0</v>
      </c>
      <c r="L982" s="14">
        <f>Pe_Rob_1184129[[#This Row],[V_av]]-Pe_Rob_1184129[[#This Row],[V_prel]]</f>
        <v>36.230769230769226</v>
      </c>
      <c r="M982" s="188">
        <f t="shared" ref="M982:M1009" si="196">((J982-L981)/J982)/(I982-I981)</f>
        <v>0.33333333333333326</v>
      </c>
    </row>
    <row r="983" spans="1:13" x14ac:dyDescent="0.2">
      <c r="A983" s="206"/>
      <c r="C983" s="6">
        <v>4</v>
      </c>
      <c r="D983" s="14">
        <f t="shared" si="193"/>
        <v>76.599999999999994</v>
      </c>
      <c r="E983" s="6">
        <v>0</v>
      </c>
      <c r="F983" s="14">
        <f>Pe_Rob_1184[[#This Row],[V_av]]-Pe_Rob_1184[[#This Row],[V_prel]]</f>
        <v>76.599999999999994</v>
      </c>
      <c r="G983" s="188">
        <f t="shared" si="195"/>
        <v>0.25</v>
      </c>
      <c r="I983" s="6">
        <v>4</v>
      </c>
      <c r="J983" s="14">
        <f t="shared" si="194"/>
        <v>48.307692307692307</v>
      </c>
      <c r="K983" s="6">
        <v>0</v>
      </c>
      <c r="L983" s="14">
        <f>Pe_Rob_1184129[[#This Row],[V_av]]-Pe_Rob_1184129[[#This Row],[V_prel]]</f>
        <v>48.307692307692307</v>
      </c>
      <c r="M983" s="188">
        <f t="shared" si="196"/>
        <v>0.25000000000000006</v>
      </c>
    </row>
    <row r="984" spans="1:13" x14ac:dyDescent="0.2">
      <c r="A984" s="206"/>
      <c r="C984" s="6">
        <v>5</v>
      </c>
      <c r="D984" s="14">
        <f t="shared" si="193"/>
        <v>95.75</v>
      </c>
      <c r="E984" s="6">
        <v>0</v>
      </c>
      <c r="F984" s="14">
        <f>Pe_Rob_1184[[#This Row],[V_av]]-Pe_Rob_1184[[#This Row],[V_prel]]</f>
        <v>95.75</v>
      </c>
      <c r="G984" s="188">
        <f t="shared" si="195"/>
        <v>0.20000000000000007</v>
      </c>
      <c r="I984" s="6">
        <v>5</v>
      </c>
      <c r="J984" s="14">
        <f t="shared" si="194"/>
        <v>60.384615384615387</v>
      </c>
      <c r="K984" s="6">
        <v>0</v>
      </c>
      <c r="L984" s="14">
        <f>Pe_Rob_1184129[[#This Row],[V_av]]-Pe_Rob_1184129[[#This Row],[V_prel]]</f>
        <v>60.384615384615387</v>
      </c>
      <c r="M984" s="188">
        <f t="shared" si="196"/>
        <v>0.20000000000000004</v>
      </c>
    </row>
    <row r="985" spans="1:13" x14ac:dyDescent="0.2">
      <c r="A985" s="206"/>
      <c r="C985" s="6">
        <v>6</v>
      </c>
      <c r="D985" s="14">
        <f t="shared" si="193"/>
        <v>114.9</v>
      </c>
      <c r="E985" s="6">
        <v>0</v>
      </c>
      <c r="F985" s="14">
        <f>Pe_Rob_1184[[#This Row],[V_av]]-Pe_Rob_1184[[#This Row],[V_prel]]</f>
        <v>114.9</v>
      </c>
      <c r="G985" s="188">
        <f t="shared" si="195"/>
        <v>0.16666666666666671</v>
      </c>
      <c r="I985" s="6">
        <v>6</v>
      </c>
      <c r="J985" s="14">
        <f t="shared" si="194"/>
        <v>72.461538461538467</v>
      </c>
      <c r="K985" s="6">
        <v>0</v>
      </c>
      <c r="L985" s="14">
        <f>Pe_Rob_1184129[[#This Row],[V_av]]-Pe_Rob_1184129[[#This Row],[V_prel]]</f>
        <v>72.461538461538467</v>
      </c>
      <c r="M985" s="188">
        <f t="shared" si="196"/>
        <v>0.16666666666666671</v>
      </c>
    </row>
    <row r="986" spans="1:13" x14ac:dyDescent="0.2">
      <c r="A986" s="495" t="s">
        <v>713</v>
      </c>
      <c r="C986" s="6">
        <v>7</v>
      </c>
      <c r="D986" s="14">
        <f t="shared" si="193"/>
        <v>134.05000000000001</v>
      </c>
      <c r="E986" s="6">
        <v>0</v>
      </c>
      <c r="F986" s="14">
        <f>Pe_Rob_1184[[#This Row],[V_av]]-Pe_Rob_1184[[#This Row],[V_prel]]</f>
        <v>134.05000000000001</v>
      </c>
      <c r="G986" s="188">
        <f t="shared" si="195"/>
        <v>0.14285714285714288</v>
      </c>
      <c r="I986" s="6">
        <v>7</v>
      </c>
      <c r="J986" s="14">
        <f t="shared" si="194"/>
        <v>84.538461538461547</v>
      </c>
      <c r="K986" s="6">
        <v>0</v>
      </c>
      <c r="L986" s="14">
        <f>Pe_Rob_1184129[[#This Row],[V_av]]-Pe_Rob_1184129[[#This Row],[V_prel]]</f>
        <v>84.538461538461547</v>
      </c>
      <c r="M986" s="188">
        <f t="shared" si="196"/>
        <v>0.14285714285714288</v>
      </c>
    </row>
    <row r="987" spans="1:13" x14ac:dyDescent="0.2">
      <c r="A987" s="495"/>
      <c r="C987" s="6">
        <v>8</v>
      </c>
      <c r="D987" s="14">
        <f t="shared" si="193"/>
        <v>153.20000000000002</v>
      </c>
      <c r="E987" s="6">
        <v>0</v>
      </c>
      <c r="F987" s="14">
        <f>Pe_Rob_1184[[#This Row],[V_av]]-Pe_Rob_1184[[#This Row],[V_prel]]</f>
        <v>153.20000000000002</v>
      </c>
      <c r="G987" s="188">
        <f t="shared" si="195"/>
        <v>0.12500000000000003</v>
      </c>
      <c r="I987" s="6">
        <v>8</v>
      </c>
      <c r="J987" s="14">
        <f t="shared" si="194"/>
        <v>96.615384615384627</v>
      </c>
      <c r="K987" s="6">
        <v>0</v>
      </c>
      <c r="L987" s="14">
        <f>Pe_Rob_1184129[[#This Row],[V_av]]-Pe_Rob_1184129[[#This Row],[V_prel]]</f>
        <v>96.615384615384627</v>
      </c>
      <c r="M987" s="188">
        <f t="shared" si="196"/>
        <v>0.12500000000000003</v>
      </c>
    </row>
    <row r="988" spans="1:13" x14ac:dyDescent="0.2">
      <c r="A988" s="495"/>
      <c r="C988" s="6">
        <v>9</v>
      </c>
      <c r="D988" s="14">
        <f t="shared" si="193"/>
        <v>172.35000000000002</v>
      </c>
      <c r="E988" s="6">
        <v>0</v>
      </c>
      <c r="F988" s="14">
        <f>Pe_Rob_1184[[#This Row],[V_av]]-Pe_Rob_1184[[#This Row],[V_prel]]</f>
        <v>172.35000000000002</v>
      </c>
      <c r="G988" s="188">
        <f t="shared" si="195"/>
        <v>0.11111111111111113</v>
      </c>
      <c r="I988" s="6">
        <v>9</v>
      </c>
      <c r="J988" s="14">
        <f t="shared" si="194"/>
        <v>108.69230769230771</v>
      </c>
      <c r="K988" s="6">
        <v>0</v>
      </c>
      <c r="L988" s="14">
        <f>Pe_Rob_1184129[[#This Row],[V_av]]-Pe_Rob_1184129[[#This Row],[V_prel]]</f>
        <v>108.69230769230771</v>
      </c>
      <c r="M988" s="188">
        <f t="shared" si="196"/>
        <v>0.11111111111111112</v>
      </c>
    </row>
    <row r="989" spans="1:13" x14ac:dyDescent="0.2">
      <c r="A989" s="495"/>
      <c r="C989" s="6">
        <v>10</v>
      </c>
      <c r="D989" s="14">
        <f t="shared" si="193"/>
        <v>191.50000000000003</v>
      </c>
      <c r="E989" s="6">
        <v>0</v>
      </c>
      <c r="F989" s="14">
        <f>Pe_Rob_1184[[#This Row],[V_av]]-Pe_Rob_1184[[#This Row],[V_prel]]</f>
        <v>191.50000000000003</v>
      </c>
      <c r="G989" s="188">
        <f t="shared" si="195"/>
        <v>0.10000000000000002</v>
      </c>
      <c r="I989" s="6">
        <v>10</v>
      </c>
      <c r="J989" s="14">
        <f t="shared" si="194"/>
        <v>120.76923076923079</v>
      </c>
      <c r="K989" s="6">
        <v>0</v>
      </c>
      <c r="L989" s="14">
        <f>Pe_Rob_1184129[[#This Row],[V_av]]-Pe_Rob_1184129[[#This Row],[V_prel]]</f>
        <v>120.76923076923079</v>
      </c>
      <c r="M989" s="188">
        <f t="shared" si="196"/>
        <v>0.1</v>
      </c>
    </row>
    <row r="990" spans="1:13" x14ac:dyDescent="0.2">
      <c r="A990" s="495"/>
      <c r="C990" s="6">
        <v>11</v>
      </c>
      <c r="D990" s="14">
        <f t="shared" si="193"/>
        <v>210.65000000000003</v>
      </c>
      <c r="E990" s="6">
        <v>0</v>
      </c>
      <c r="F990" s="14">
        <f>Pe_Rob_1184[[#This Row],[V_av]]-Pe_Rob_1184[[#This Row],[V_prel]]</f>
        <v>210.65000000000003</v>
      </c>
      <c r="G990" s="188">
        <f t="shared" si="195"/>
        <v>9.0909090909090925E-2</v>
      </c>
      <c r="I990" s="6">
        <v>11</v>
      </c>
      <c r="J990" s="14">
        <f t="shared" si="194"/>
        <v>132.84615384615387</v>
      </c>
      <c r="K990" s="6">
        <v>0</v>
      </c>
      <c r="L990" s="14">
        <f>Pe_Rob_1184129[[#This Row],[V_av]]-Pe_Rob_1184129[[#This Row],[V_prel]]</f>
        <v>132.84615384615387</v>
      </c>
      <c r="M990" s="188">
        <f t="shared" si="196"/>
        <v>9.0909090909090925E-2</v>
      </c>
    </row>
    <row r="991" spans="1:13" x14ac:dyDescent="0.2">
      <c r="A991" s="495"/>
      <c r="C991" s="6">
        <v>12</v>
      </c>
      <c r="D991" s="14">
        <f t="shared" si="193"/>
        <v>229.80000000000004</v>
      </c>
      <c r="E991" s="6">
        <v>0</v>
      </c>
      <c r="F991" s="14">
        <f>Pe_Rob_1184[[#This Row],[V_av]]-Pe_Rob_1184[[#This Row],[V_prel]]</f>
        <v>229.80000000000004</v>
      </c>
      <c r="G991" s="188">
        <f t="shared" si="195"/>
        <v>8.3333333333333343E-2</v>
      </c>
      <c r="I991" s="6">
        <v>12</v>
      </c>
      <c r="J991" s="14">
        <f t="shared" si="194"/>
        <v>144.92307692307693</v>
      </c>
      <c r="K991" s="6">
        <v>0</v>
      </c>
      <c r="L991" s="14">
        <f>Pe_Rob_1184129[[#This Row],[V_av]]-Pe_Rob_1184129[[#This Row],[V_prel]]</f>
        <v>144.92307692307693</v>
      </c>
      <c r="M991" s="188">
        <f t="shared" si="196"/>
        <v>8.3333333333333245E-2</v>
      </c>
    </row>
    <row r="992" spans="1:13" x14ac:dyDescent="0.2">
      <c r="A992" s="495"/>
      <c r="C992" s="6">
        <v>13</v>
      </c>
      <c r="D992" s="14">
        <f t="shared" si="193"/>
        <v>248.95000000000005</v>
      </c>
      <c r="E992" s="6">
        <v>0</v>
      </c>
      <c r="F992" s="14">
        <f>Pe_Rob_1184[[#This Row],[V_av]]-Pe_Rob_1184[[#This Row],[V_prel]]</f>
        <v>248.95000000000005</v>
      </c>
      <c r="G992" s="188">
        <f t="shared" si="195"/>
        <v>7.6923076923076927E-2</v>
      </c>
      <c r="I992" s="6">
        <v>13</v>
      </c>
      <c r="J992" s="14">
        <f t="shared" si="194"/>
        <v>157</v>
      </c>
      <c r="K992" s="6">
        <v>0</v>
      </c>
      <c r="L992" s="14">
        <f>Pe_Rob_1184129[[#This Row],[V_av]]-Pe_Rob_1184129[[#This Row],[V_prel]]</f>
        <v>157</v>
      </c>
      <c r="M992" s="188">
        <f t="shared" si="196"/>
        <v>7.6923076923076858E-2</v>
      </c>
    </row>
    <row r="993" spans="1:13" x14ac:dyDescent="0.2">
      <c r="A993" s="495"/>
      <c r="C993" s="6">
        <v>14</v>
      </c>
      <c r="D993" s="14">
        <f t="shared" si="193"/>
        <v>268.10000000000002</v>
      </c>
      <c r="E993" s="6">
        <v>0</v>
      </c>
      <c r="F993" s="14">
        <f>Pe_Rob_1184[[#This Row],[V_av]]-Pe_Rob_1184[[#This Row],[V_prel]]</f>
        <v>268.10000000000002</v>
      </c>
      <c r="G993" s="188">
        <f t="shared" si="195"/>
        <v>7.1428571428571341E-2</v>
      </c>
      <c r="I993" s="6">
        <v>14</v>
      </c>
      <c r="J993" s="14">
        <f t="shared" si="194"/>
        <v>169.07692307692307</v>
      </c>
      <c r="K993" s="6">
        <v>0</v>
      </c>
      <c r="L993" s="14">
        <f>Pe_Rob_1184129[[#This Row],[V_av]]-Pe_Rob_1184129[[#This Row],[V_prel]]</f>
        <v>169.07692307692307</v>
      </c>
      <c r="M993" s="188">
        <f t="shared" si="196"/>
        <v>7.1428571428571369E-2</v>
      </c>
    </row>
    <row r="994" spans="1:13" x14ac:dyDescent="0.2">
      <c r="A994" s="495"/>
      <c r="C994" s="6">
        <v>15</v>
      </c>
      <c r="D994" s="14">
        <f t="shared" si="193"/>
        <v>287.25</v>
      </c>
      <c r="E994" s="6">
        <v>0</v>
      </c>
      <c r="F994" s="14">
        <f>Pe_Rob_1184[[#This Row],[V_av]]-Pe_Rob_1184[[#This Row],[V_prel]]</f>
        <v>287.25</v>
      </c>
      <c r="G994" s="188">
        <f t="shared" si="195"/>
        <v>6.6666666666666582E-2</v>
      </c>
      <c r="I994" s="6">
        <v>15</v>
      </c>
      <c r="J994" s="14">
        <f t="shared" si="194"/>
        <v>181.15384615384613</v>
      </c>
      <c r="K994" s="6">
        <v>0</v>
      </c>
      <c r="L994" s="14">
        <f>Pe_Rob_1184129[[#This Row],[V_av]]-Pe_Rob_1184129[[#This Row],[V_prel]]</f>
        <v>181.15384615384613</v>
      </c>
      <c r="M994" s="188">
        <f t="shared" si="196"/>
        <v>6.666666666666661E-2</v>
      </c>
    </row>
    <row r="995" spans="1:13" x14ac:dyDescent="0.2">
      <c r="A995" s="495"/>
      <c r="C995" s="6">
        <v>16</v>
      </c>
      <c r="D995" s="14">
        <f t="shared" si="193"/>
        <v>306.39999999999998</v>
      </c>
      <c r="E995" s="6">
        <v>0</v>
      </c>
      <c r="F995" s="14">
        <f>Pe_Rob_1184[[#This Row],[V_av]]-Pe_Rob_1184[[#This Row],[V_prel]]</f>
        <v>306.39999999999998</v>
      </c>
      <c r="G995" s="188">
        <f t="shared" si="195"/>
        <v>6.2499999999999931E-2</v>
      </c>
      <c r="I995" s="6">
        <v>16</v>
      </c>
      <c r="J995" s="14">
        <f t="shared" si="194"/>
        <v>193.2307692307692</v>
      </c>
      <c r="K995" s="6">
        <v>0</v>
      </c>
      <c r="L995" s="14">
        <f>Pe_Rob_1184129[[#This Row],[V_av]]-Pe_Rob_1184129[[#This Row],[V_prel]]</f>
        <v>193.2307692307692</v>
      </c>
      <c r="M995" s="188">
        <f t="shared" si="196"/>
        <v>6.2499999999999951E-2</v>
      </c>
    </row>
    <row r="996" spans="1:13" x14ac:dyDescent="0.2">
      <c r="A996" s="495"/>
      <c r="C996" s="6">
        <v>17</v>
      </c>
      <c r="D996" s="14">
        <f t="shared" si="193"/>
        <v>325.54999999999995</v>
      </c>
      <c r="E996" s="6">
        <v>0</v>
      </c>
      <c r="F996" s="14">
        <f>Pe_Rob_1184[[#This Row],[V_av]]-Pe_Rob_1184[[#This Row],[V_prel]]</f>
        <v>325.54999999999995</v>
      </c>
      <c r="G996" s="188">
        <f t="shared" si="195"/>
        <v>5.8823529411764643E-2</v>
      </c>
      <c r="I996" s="6">
        <v>17</v>
      </c>
      <c r="J996" s="14">
        <f t="shared" si="194"/>
        <v>205.30769230769226</v>
      </c>
      <c r="K996" s="6">
        <v>0</v>
      </c>
      <c r="L996" s="14">
        <f>Pe_Rob_1184129[[#This Row],[V_av]]-Pe_Rob_1184129[[#This Row],[V_prel]]</f>
        <v>205.30769230769226</v>
      </c>
      <c r="M996" s="188">
        <f t="shared" si="196"/>
        <v>5.8823529411764663E-2</v>
      </c>
    </row>
    <row r="997" spans="1:13" x14ac:dyDescent="0.2">
      <c r="A997" s="495"/>
      <c r="C997" s="6">
        <v>18</v>
      </c>
      <c r="D997" s="14">
        <f t="shared" si="193"/>
        <v>344.69999999999993</v>
      </c>
      <c r="E997" s="6">
        <v>0</v>
      </c>
      <c r="F997" s="14">
        <f>Pe_Rob_1184[[#This Row],[V_av]]-Pe_Rob_1184[[#This Row],[V_prel]]</f>
        <v>344.69999999999993</v>
      </c>
      <c r="G997" s="188">
        <f t="shared" si="195"/>
        <v>5.5555555555555504E-2</v>
      </c>
      <c r="I997" s="6">
        <v>18</v>
      </c>
      <c r="J997" s="14">
        <f t="shared" si="194"/>
        <v>217.38461538461533</v>
      </c>
      <c r="K997" s="6">
        <v>0</v>
      </c>
      <c r="L997" s="14">
        <f>Pe_Rob_1184129[[#This Row],[V_av]]-Pe_Rob_1184129[[#This Row],[V_prel]]</f>
        <v>217.38461538461533</v>
      </c>
      <c r="M997" s="188">
        <f t="shared" si="196"/>
        <v>5.5555555555555518E-2</v>
      </c>
    </row>
    <row r="998" spans="1:13" x14ac:dyDescent="0.2">
      <c r="A998" s="495"/>
      <c r="C998" s="6">
        <v>19</v>
      </c>
      <c r="D998" s="14">
        <f t="shared" si="193"/>
        <v>363.84999999999991</v>
      </c>
      <c r="E998" s="6">
        <v>0</v>
      </c>
      <c r="F998" s="14">
        <f>Pe_Rob_1184[[#This Row],[V_av]]-Pe_Rob_1184[[#This Row],[V_prel]]</f>
        <v>363.84999999999991</v>
      </c>
      <c r="G998" s="188">
        <f t="shared" si="195"/>
        <v>5.263157894736837E-2</v>
      </c>
      <c r="I998" s="6">
        <v>19</v>
      </c>
      <c r="J998" s="14">
        <f t="shared" si="194"/>
        <v>229.4615384615384</v>
      </c>
      <c r="K998" s="6">
        <v>0</v>
      </c>
      <c r="L998" s="14">
        <f>Pe_Rob_1184129[[#This Row],[V_av]]-Pe_Rob_1184129[[#This Row],[V_prel]]</f>
        <v>229.4615384615384</v>
      </c>
      <c r="M998" s="188">
        <f t="shared" si="196"/>
        <v>5.263157894736839E-2</v>
      </c>
    </row>
    <row r="999" spans="1:13" x14ac:dyDescent="0.2">
      <c r="A999" s="495"/>
      <c r="C999" s="7">
        <v>20</v>
      </c>
      <c r="D999" s="7">
        <v>383</v>
      </c>
      <c r="E999" s="7">
        <v>314</v>
      </c>
      <c r="F999" s="7">
        <v>0</v>
      </c>
      <c r="G999" s="188">
        <f t="shared" si="195"/>
        <v>5.0000000000000239E-2</v>
      </c>
      <c r="I999" s="6">
        <v>20</v>
      </c>
      <c r="J999" s="14">
        <f t="shared" si="194"/>
        <v>241.53846153846146</v>
      </c>
      <c r="K999" s="6">
        <v>0</v>
      </c>
      <c r="L999" s="14">
        <f>Pe_Rob_1184129[[#This Row],[V_av]]-Pe_Rob_1184129[[#This Row],[V_prel]]</f>
        <v>241.53846153846146</v>
      </c>
      <c r="M999" s="188">
        <f t="shared" si="196"/>
        <v>4.9999999999999968E-2</v>
      </c>
    </row>
    <row r="1000" spans="1:13" x14ac:dyDescent="0.2">
      <c r="A1000" s="495"/>
      <c r="C1000" s="6">
        <v>21</v>
      </c>
      <c r="D1000" s="6">
        <v>0</v>
      </c>
      <c r="E1000" s="6">
        <v>0</v>
      </c>
      <c r="F1000" s="6">
        <v>0</v>
      </c>
      <c r="G1000" s="188" t="e">
        <f t="shared" si="195"/>
        <v>#DIV/0!</v>
      </c>
      <c r="I1000" s="6">
        <v>21</v>
      </c>
      <c r="J1000" s="14">
        <f t="shared" si="194"/>
        <v>253.61538461538453</v>
      </c>
      <c r="K1000" s="6">
        <v>0</v>
      </c>
      <c r="L1000" s="14">
        <f>Pe_Rob_1184129[[#This Row],[V_av]]-Pe_Rob_1184129[[#This Row],[V_prel]]</f>
        <v>253.61538461538453</v>
      </c>
      <c r="M1000" s="188">
        <f t="shared" si="196"/>
        <v>4.7619047619047596E-2</v>
      </c>
    </row>
    <row r="1001" spans="1:13" x14ac:dyDescent="0.2">
      <c r="A1001" s="495"/>
      <c r="C1001" s="6">
        <v>22</v>
      </c>
      <c r="D1001" s="6">
        <v>0</v>
      </c>
      <c r="E1001" s="6">
        <v>0</v>
      </c>
      <c r="F1001" s="6">
        <v>0</v>
      </c>
      <c r="G1001" s="188" t="e">
        <f t="shared" si="195"/>
        <v>#DIV/0!</v>
      </c>
      <c r="I1001" s="6">
        <v>22</v>
      </c>
      <c r="J1001" s="14">
        <f t="shared" si="194"/>
        <v>265.69230769230762</v>
      </c>
      <c r="K1001" s="6">
        <v>0</v>
      </c>
      <c r="L1001" s="14">
        <f>Pe_Rob_1184129[[#This Row],[V_av]]-Pe_Rob_1184129[[#This Row],[V_prel]]</f>
        <v>265.69230769230762</v>
      </c>
      <c r="M1001" s="188">
        <f t="shared" si="196"/>
        <v>4.5454545454545532E-2</v>
      </c>
    </row>
    <row r="1002" spans="1:13" x14ac:dyDescent="0.2">
      <c r="A1002" s="495"/>
      <c r="C1002" s="6">
        <v>23</v>
      </c>
      <c r="D1002" s="6">
        <v>0</v>
      </c>
      <c r="E1002" s="6">
        <v>0</v>
      </c>
      <c r="F1002" s="6">
        <v>0</v>
      </c>
      <c r="G1002" s="188" t="e">
        <f t="shared" si="195"/>
        <v>#DIV/0!</v>
      </c>
      <c r="I1002" s="6">
        <v>23</v>
      </c>
      <c r="J1002" s="14">
        <f t="shared" si="194"/>
        <v>277.76923076923072</v>
      </c>
      <c r="K1002" s="6">
        <v>0</v>
      </c>
      <c r="L1002" s="14">
        <f>Pe_Rob_1184129[[#This Row],[V_av]]-Pe_Rob_1184129[[#This Row],[V_prel]]</f>
        <v>277.76923076923072</v>
      </c>
      <c r="M1002" s="188">
        <f t="shared" si="196"/>
        <v>4.3478260869565286E-2</v>
      </c>
    </row>
    <row r="1003" spans="1:13" x14ac:dyDescent="0.2">
      <c r="A1003" s="495"/>
      <c r="C1003" s="6">
        <v>24</v>
      </c>
      <c r="D1003" s="6">
        <v>0</v>
      </c>
      <c r="E1003" s="6">
        <v>0</v>
      </c>
      <c r="F1003" s="6">
        <v>0</v>
      </c>
      <c r="G1003" s="188" t="e">
        <f t="shared" si="195"/>
        <v>#DIV/0!</v>
      </c>
      <c r="I1003" s="6">
        <v>24</v>
      </c>
      <c r="J1003" s="14">
        <f t="shared" si="194"/>
        <v>289.84615384615381</v>
      </c>
      <c r="K1003" s="6">
        <v>0</v>
      </c>
      <c r="L1003" s="14">
        <f>Pe_Rob_1184129[[#This Row],[V_av]]-Pe_Rob_1184129[[#This Row],[V_prel]]</f>
        <v>289.84615384615381</v>
      </c>
      <c r="M1003" s="188">
        <f t="shared" si="196"/>
        <v>4.1666666666666734E-2</v>
      </c>
    </row>
    <row r="1004" spans="1:13" x14ac:dyDescent="0.2">
      <c r="A1004" s="495"/>
      <c r="C1004" s="6">
        <v>25</v>
      </c>
      <c r="D1004" s="6">
        <v>0</v>
      </c>
      <c r="E1004" s="6">
        <v>0</v>
      </c>
      <c r="F1004" s="6">
        <v>0</v>
      </c>
      <c r="G1004" s="188" t="e">
        <f t="shared" si="195"/>
        <v>#DIV/0!</v>
      </c>
      <c r="I1004" s="6">
        <v>25</v>
      </c>
      <c r="J1004" s="14">
        <f t="shared" si="194"/>
        <v>301.92307692307691</v>
      </c>
      <c r="K1004" s="6">
        <v>0</v>
      </c>
      <c r="L1004" s="14">
        <f>Pe_Rob_1184129[[#This Row],[V_av]]-Pe_Rob_1184129[[#This Row],[V_prel]]</f>
        <v>301.92307692307691</v>
      </c>
      <c r="M1004" s="188">
        <f t="shared" si="196"/>
        <v>4.0000000000000063E-2</v>
      </c>
    </row>
    <row r="1005" spans="1:13" x14ac:dyDescent="0.2">
      <c r="A1005" s="495"/>
      <c r="C1005" s="6">
        <v>26</v>
      </c>
      <c r="D1005" s="6">
        <v>0</v>
      </c>
      <c r="E1005" s="6">
        <v>0</v>
      </c>
      <c r="F1005" s="6">
        <v>0</v>
      </c>
      <c r="G1005" s="188" t="e">
        <f t="shared" si="195"/>
        <v>#DIV/0!</v>
      </c>
      <c r="I1005" s="7">
        <v>26</v>
      </c>
      <c r="J1005" s="7">
        <v>314</v>
      </c>
      <c r="K1005" s="7">
        <v>314</v>
      </c>
      <c r="L1005" s="7">
        <v>0</v>
      </c>
      <c r="M1005" s="188">
        <f t="shared" si="196"/>
        <v>3.8461538461538519E-2</v>
      </c>
    </row>
    <row r="1006" spans="1:13" x14ac:dyDescent="0.2">
      <c r="A1006" s="495"/>
      <c r="C1006" s="6">
        <v>27</v>
      </c>
      <c r="D1006" s="6">
        <v>0</v>
      </c>
      <c r="E1006" s="6">
        <v>0</v>
      </c>
      <c r="F1006" s="6">
        <v>0</v>
      </c>
      <c r="G1006" s="188" t="e">
        <f t="shared" si="195"/>
        <v>#DIV/0!</v>
      </c>
      <c r="I1006" s="6">
        <v>27</v>
      </c>
      <c r="J1006" s="6">
        <v>0</v>
      </c>
      <c r="K1006" s="6">
        <v>0</v>
      </c>
      <c r="L1006" s="6">
        <v>0</v>
      </c>
      <c r="M1006" s="188" t="e">
        <f t="shared" si="196"/>
        <v>#DIV/0!</v>
      </c>
    </row>
    <row r="1007" spans="1:13" x14ac:dyDescent="0.2">
      <c r="A1007" s="495"/>
      <c r="C1007" s="6">
        <v>28</v>
      </c>
      <c r="D1007" s="6">
        <v>0</v>
      </c>
      <c r="E1007" s="6">
        <v>0</v>
      </c>
      <c r="F1007" s="6">
        <v>0</v>
      </c>
      <c r="G1007" s="188" t="e">
        <f t="shared" si="195"/>
        <v>#DIV/0!</v>
      </c>
      <c r="I1007" s="6">
        <v>28</v>
      </c>
      <c r="J1007" s="6">
        <v>0</v>
      </c>
      <c r="K1007" s="6">
        <v>0</v>
      </c>
      <c r="L1007" s="6">
        <v>0</v>
      </c>
      <c r="M1007" s="188" t="e">
        <f t="shared" si="196"/>
        <v>#DIV/0!</v>
      </c>
    </row>
    <row r="1008" spans="1:13" x14ac:dyDescent="0.2">
      <c r="A1008" s="495"/>
      <c r="C1008" s="6">
        <v>29</v>
      </c>
      <c r="D1008" s="6">
        <v>0</v>
      </c>
      <c r="E1008" s="6">
        <v>0</v>
      </c>
      <c r="F1008" s="6">
        <v>0</v>
      </c>
      <c r="G1008" s="188" t="e">
        <f t="shared" si="195"/>
        <v>#DIV/0!</v>
      </c>
      <c r="I1008" s="6">
        <v>29</v>
      </c>
      <c r="J1008" s="6">
        <v>0</v>
      </c>
      <c r="K1008" s="6">
        <v>0</v>
      </c>
      <c r="L1008" s="6">
        <v>0</v>
      </c>
      <c r="M1008" s="188" t="e">
        <f t="shared" si="196"/>
        <v>#DIV/0!</v>
      </c>
    </row>
    <row r="1009" spans="1:13" x14ac:dyDescent="0.2">
      <c r="A1009" s="495"/>
      <c r="C1009" s="6">
        <v>30</v>
      </c>
      <c r="D1009" s="6">
        <v>0</v>
      </c>
      <c r="E1009" s="6">
        <v>0</v>
      </c>
      <c r="F1009" s="6">
        <v>0</v>
      </c>
      <c r="G1009" s="188" t="e">
        <f t="shared" si="195"/>
        <v>#DIV/0!</v>
      </c>
      <c r="I1009" s="6">
        <v>30</v>
      </c>
      <c r="J1009" s="6">
        <v>0</v>
      </c>
      <c r="K1009" s="6">
        <v>0</v>
      </c>
      <c r="L1009" s="6">
        <v>0</v>
      </c>
      <c r="M1009" s="188" t="e">
        <f t="shared" si="196"/>
        <v>#DIV/0!</v>
      </c>
    </row>
  </sheetData>
  <sheetProtection algorithmName="SHA-512" hashValue="WZ1nUIBqjRnNWynaOf9gRMYhHjnkXEb1xq2CDBzN0JRtjNNx735VDGmlnOsjaUlykqGawHcCh8k7v/Ir/Sw8Ug==" saltValue="hYeciAuQKzNCWUILkh9DuQ==" spinCount="100000" sheet="1" objects="1" scenarios="1"/>
  <mergeCells count="24">
    <mergeCell ref="A859:A905"/>
    <mergeCell ref="A907:A928"/>
    <mergeCell ref="A986:A1009"/>
    <mergeCell ref="A543:A562"/>
    <mergeCell ref="A703:A753"/>
    <mergeCell ref="A757:A795"/>
    <mergeCell ref="A808:A857"/>
    <mergeCell ref="A609:A666"/>
    <mergeCell ref="A668:A700"/>
    <mergeCell ref="A165:A189"/>
    <mergeCell ref="A208:A238"/>
    <mergeCell ref="A87:A123"/>
    <mergeCell ref="A124:A162"/>
    <mergeCell ref="A3:A27"/>
    <mergeCell ref="A58:A84"/>
    <mergeCell ref="A450:A465"/>
    <mergeCell ref="A471:A488"/>
    <mergeCell ref="A493:A508"/>
    <mergeCell ref="A590:A607"/>
    <mergeCell ref="A240:A279"/>
    <mergeCell ref="A282:A305"/>
    <mergeCell ref="A331:A362"/>
    <mergeCell ref="A364:A405"/>
    <mergeCell ref="A408:A448"/>
  </mergeCells>
  <phoneticPr fontId="5" type="noConversion"/>
  <pageMargins left="0.7" right="0.7" top="0.75" bottom="0.75" header="0.3" footer="0.3"/>
  <tableParts count="66">
    <tablePart r:id="rId1"/>
    <tablePart r:id="rId2"/>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 r:id="rId23"/>
    <tablePart r:id="rId24"/>
    <tablePart r:id="rId25"/>
    <tablePart r:id="rId26"/>
    <tablePart r:id="rId27"/>
    <tablePart r:id="rId28"/>
    <tablePart r:id="rId29"/>
    <tablePart r:id="rId30"/>
    <tablePart r:id="rId31"/>
    <tablePart r:id="rId32"/>
    <tablePart r:id="rId33"/>
    <tablePart r:id="rId34"/>
    <tablePart r:id="rId35"/>
    <tablePart r:id="rId36"/>
    <tablePart r:id="rId37"/>
    <tablePart r:id="rId38"/>
    <tablePart r:id="rId39"/>
    <tablePart r:id="rId40"/>
    <tablePart r:id="rId41"/>
    <tablePart r:id="rId42"/>
    <tablePart r:id="rId43"/>
    <tablePart r:id="rId44"/>
    <tablePart r:id="rId45"/>
    <tablePart r:id="rId46"/>
    <tablePart r:id="rId47"/>
    <tablePart r:id="rId48"/>
    <tablePart r:id="rId49"/>
    <tablePart r:id="rId50"/>
    <tablePart r:id="rId51"/>
    <tablePart r:id="rId52"/>
    <tablePart r:id="rId53"/>
    <tablePart r:id="rId54"/>
    <tablePart r:id="rId55"/>
    <tablePart r:id="rId56"/>
    <tablePart r:id="rId57"/>
    <tablePart r:id="rId58"/>
    <tablePart r:id="rId59"/>
    <tablePart r:id="rId60"/>
    <tablePart r:id="rId61"/>
    <tablePart r:id="rId62"/>
    <tablePart r:id="rId63"/>
    <tablePart r:id="rId64"/>
    <tablePart r:id="rId65"/>
    <tablePart r:id="rId66"/>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20D895-202C-BC43-BCF9-5C1BCBD7A823}">
  <sheetPr>
    <tabColor theme="5"/>
  </sheetPr>
  <dimension ref="A1:G1561"/>
  <sheetViews>
    <sheetView workbookViewId="0">
      <selection activeCell="C859" sqref="C859"/>
    </sheetView>
  </sheetViews>
  <sheetFormatPr baseColWidth="10" defaultRowHeight="16" x14ac:dyDescent="0.2"/>
  <cols>
    <col min="1" max="1" width="10.83203125" style="3"/>
    <col min="2" max="2" width="87.33203125" bestFit="1" customWidth="1"/>
    <col min="3" max="3" width="10.83203125" style="3"/>
    <col min="4" max="4" width="90.5" bestFit="1" customWidth="1"/>
    <col min="5" max="7" width="10.83203125" style="3"/>
  </cols>
  <sheetData>
    <row r="1" spans="1:7" s="275" customFormat="1" x14ac:dyDescent="0.2">
      <c r="A1" s="94" t="s">
        <v>610</v>
      </c>
      <c r="B1" s="275" t="s">
        <v>277</v>
      </c>
      <c r="C1" s="94" t="s">
        <v>125</v>
      </c>
      <c r="D1" s="275" t="s">
        <v>998</v>
      </c>
      <c r="E1" s="94" t="s">
        <v>126</v>
      </c>
      <c r="F1" s="94" t="s">
        <v>127</v>
      </c>
      <c r="G1" s="94" t="s">
        <v>128</v>
      </c>
    </row>
    <row r="2" spans="1:7" x14ac:dyDescent="0.2">
      <c r="A2" s="3" t="s">
        <v>59</v>
      </c>
      <c r="B2" t="s">
        <v>936</v>
      </c>
      <c r="C2" s="3">
        <v>1</v>
      </c>
      <c r="D2" t="str">
        <f>CONCATENATE(B2,"_",C2)</f>
        <v>Douglas (ONF, Angelier 2007) - classe 1_1</v>
      </c>
      <c r="E2" s="3">
        <v>2.1111111111111112</v>
      </c>
      <c r="F2" s="3">
        <v>0</v>
      </c>
      <c r="G2" s="3">
        <v>2.1111111111111112</v>
      </c>
    </row>
    <row r="3" spans="1:7" x14ac:dyDescent="0.2">
      <c r="A3" s="3" t="s">
        <v>59</v>
      </c>
      <c r="B3" t="s">
        <v>936</v>
      </c>
      <c r="C3" s="3">
        <v>2</v>
      </c>
      <c r="D3" t="str">
        <f t="shared" ref="D3:D66" si="0">CONCATENATE(B3,"_",C3)</f>
        <v>Douglas (ONF, Angelier 2007) - classe 1_2</v>
      </c>
      <c r="E3" s="3">
        <v>4.2222222222222223</v>
      </c>
      <c r="F3" s="3">
        <v>0</v>
      </c>
      <c r="G3" s="3">
        <v>4.2222222222222223</v>
      </c>
    </row>
    <row r="4" spans="1:7" x14ac:dyDescent="0.2">
      <c r="A4" s="3" t="s">
        <v>59</v>
      </c>
      <c r="B4" t="s">
        <v>936</v>
      </c>
      <c r="C4" s="3">
        <v>3</v>
      </c>
      <c r="D4" t="str">
        <f t="shared" si="0"/>
        <v>Douglas (ONF, Angelier 2007) - classe 1_3</v>
      </c>
      <c r="E4" s="3">
        <v>6.3333333333333339</v>
      </c>
      <c r="F4" s="3">
        <v>0</v>
      </c>
      <c r="G4" s="3">
        <v>6.3333333333333339</v>
      </c>
    </row>
    <row r="5" spans="1:7" x14ac:dyDescent="0.2">
      <c r="A5" s="3" t="s">
        <v>59</v>
      </c>
      <c r="B5" t="s">
        <v>936</v>
      </c>
      <c r="C5" s="3">
        <v>4</v>
      </c>
      <c r="D5" t="str">
        <f t="shared" si="0"/>
        <v>Douglas (ONF, Angelier 2007) - classe 1_4</v>
      </c>
      <c r="E5" s="3">
        <v>8.4444444444444446</v>
      </c>
      <c r="F5" s="3">
        <v>0</v>
      </c>
      <c r="G5" s="3">
        <v>8.4444444444444446</v>
      </c>
    </row>
    <row r="6" spans="1:7" x14ac:dyDescent="0.2">
      <c r="A6" s="3" t="s">
        <v>59</v>
      </c>
      <c r="B6" t="s">
        <v>936</v>
      </c>
      <c r="C6" s="3">
        <v>5</v>
      </c>
      <c r="D6" t="str">
        <f t="shared" si="0"/>
        <v>Douglas (ONF, Angelier 2007) - classe 1_5</v>
      </c>
      <c r="E6" s="3">
        <v>10.555555555555555</v>
      </c>
      <c r="F6" s="3">
        <v>0</v>
      </c>
      <c r="G6" s="3">
        <v>10.555555555555555</v>
      </c>
    </row>
    <row r="7" spans="1:7" x14ac:dyDescent="0.2">
      <c r="A7" s="3" t="s">
        <v>59</v>
      </c>
      <c r="B7" t="s">
        <v>936</v>
      </c>
      <c r="C7" s="3">
        <v>6</v>
      </c>
      <c r="D7" t="str">
        <f t="shared" si="0"/>
        <v>Douglas (ONF, Angelier 2007) - classe 1_6</v>
      </c>
      <c r="E7" s="3">
        <v>12.666666666666666</v>
      </c>
      <c r="F7" s="3">
        <v>0</v>
      </c>
      <c r="G7" s="3">
        <v>12.666666666666666</v>
      </c>
    </row>
    <row r="8" spans="1:7" x14ac:dyDescent="0.2">
      <c r="A8" s="3" t="s">
        <v>59</v>
      </c>
      <c r="B8" t="s">
        <v>936</v>
      </c>
      <c r="C8" s="3">
        <v>7</v>
      </c>
      <c r="D8" t="str">
        <f t="shared" si="0"/>
        <v>Douglas (ONF, Angelier 2007) - classe 1_7</v>
      </c>
      <c r="E8" s="3">
        <v>14.777777777777777</v>
      </c>
      <c r="F8" s="3">
        <v>0</v>
      </c>
      <c r="G8" s="3">
        <v>14.777777777777777</v>
      </c>
    </row>
    <row r="9" spans="1:7" x14ac:dyDescent="0.2">
      <c r="A9" s="3" t="s">
        <v>59</v>
      </c>
      <c r="B9" t="s">
        <v>936</v>
      </c>
      <c r="C9" s="3">
        <v>8</v>
      </c>
      <c r="D9" t="str">
        <f t="shared" si="0"/>
        <v>Douglas (ONF, Angelier 2007) - classe 1_8</v>
      </c>
      <c r="E9" s="3">
        <v>16.888888888888889</v>
      </c>
      <c r="F9" s="3">
        <v>0</v>
      </c>
      <c r="G9" s="3">
        <v>16.888888888888889</v>
      </c>
    </row>
    <row r="10" spans="1:7" x14ac:dyDescent="0.2">
      <c r="A10" s="3" t="s">
        <v>59</v>
      </c>
      <c r="B10" t="s">
        <v>936</v>
      </c>
      <c r="C10" s="3">
        <v>9</v>
      </c>
      <c r="D10" t="str">
        <f t="shared" si="0"/>
        <v>Douglas (ONF, Angelier 2007) - classe 1_9</v>
      </c>
      <c r="E10" s="3">
        <v>19</v>
      </c>
      <c r="F10" s="3">
        <v>5</v>
      </c>
      <c r="G10" s="3">
        <v>13</v>
      </c>
    </row>
    <row r="11" spans="1:7" x14ac:dyDescent="0.2">
      <c r="A11" s="3" t="s">
        <v>59</v>
      </c>
      <c r="B11" t="s">
        <v>936</v>
      </c>
      <c r="C11" s="3">
        <v>10</v>
      </c>
      <c r="D11" t="str">
        <f t="shared" si="0"/>
        <v>Douglas (ONF, Angelier 2007) - classe 1_10</v>
      </c>
      <c r="E11" s="3">
        <v>33.833333333333329</v>
      </c>
      <c r="F11" s="3">
        <v>0</v>
      </c>
      <c r="G11" s="3">
        <v>33.833333333333329</v>
      </c>
    </row>
    <row r="12" spans="1:7" x14ac:dyDescent="0.2">
      <c r="A12" s="3" t="s">
        <v>59</v>
      </c>
      <c r="B12" t="s">
        <v>936</v>
      </c>
      <c r="C12" s="3">
        <v>11</v>
      </c>
      <c r="D12" t="str">
        <f t="shared" si="0"/>
        <v>Douglas (ONF, Angelier 2007) - classe 1_11</v>
      </c>
      <c r="E12" s="3">
        <v>54.666666666666657</v>
      </c>
      <c r="F12" s="3">
        <v>0</v>
      </c>
      <c r="G12" s="3">
        <v>54.666666666666657</v>
      </c>
    </row>
    <row r="13" spans="1:7" x14ac:dyDescent="0.2">
      <c r="A13" s="3" t="s">
        <v>59</v>
      </c>
      <c r="B13" t="s">
        <v>936</v>
      </c>
      <c r="C13" s="3">
        <v>12</v>
      </c>
      <c r="D13" t="str">
        <f t="shared" si="0"/>
        <v>Douglas (ONF, Angelier 2007) - classe 1_12</v>
      </c>
      <c r="E13" s="3">
        <v>75.499999999999986</v>
      </c>
      <c r="F13" s="3">
        <v>0</v>
      </c>
      <c r="G13" s="3">
        <v>75.499999999999986</v>
      </c>
    </row>
    <row r="14" spans="1:7" x14ac:dyDescent="0.2">
      <c r="A14" s="3" t="s">
        <v>59</v>
      </c>
      <c r="B14" t="s">
        <v>936</v>
      </c>
      <c r="C14" s="3">
        <v>13</v>
      </c>
      <c r="D14" t="str">
        <f t="shared" si="0"/>
        <v>Douglas (ONF, Angelier 2007) - classe 1_13</v>
      </c>
      <c r="E14" s="3">
        <v>96.333333333333314</v>
      </c>
      <c r="F14" s="3">
        <v>0</v>
      </c>
      <c r="G14" s="3">
        <v>96.333333333333314</v>
      </c>
    </row>
    <row r="15" spans="1:7" x14ac:dyDescent="0.2">
      <c r="A15" s="3" t="s">
        <v>59</v>
      </c>
      <c r="B15" t="s">
        <v>936</v>
      </c>
      <c r="C15" s="3">
        <v>14</v>
      </c>
      <c r="D15" t="str">
        <f t="shared" si="0"/>
        <v>Douglas (ONF, Angelier 2007) - classe 1_14</v>
      </c>
      <c r="E15" s="3">
        <v>117.16666666666664</v>
      </c>
      <c r="F15" s="3">
        <v>0</v>
      </c>
      <c r="G15" s="3">
        <v>117.16666666666664</v>
      </c>
    </row>
    <row r="16" spans="1:7" x14ac:dyDescent="0.2">
      <c r="A16" s="3" t="s">
        <v>59</v>
      </c>
      <c r="B16" t="s">
        <v>936</v>
      </c>
      <c r="C16" s="3">
        <v>15</v>
      </c>
      <c r="D16" t="str">
        <f t="shared" si="0"/>
        <v>Douglas (ONF, Angelier 2007) - classe 1_15</v>
      </c>
      <c r="E16" s="3">
        <v>138</v>
      </c>
      <c r="F16" s="3">
        <v>43</v>
      </c>
      <c r="G16" s="3">
        <v>95</v>
      </c>
    </row>
    <row r="17" spans="1:7" x14ac:dyDescent="0.2">
      <c r="A17" s="3" t="s">
        <v>59</v>
      </c>
      <c r="B17" t="s">
        <v>936</v>
      </c>
      <c r="C17" s="3">
        <v>16</v>
      </c>
      <c r="D17" t="str">
        <f t="shared" si="0"/>
        <v>Douglas (ONF, Angelier 2007) - classe 1_16</v>
      </c>
      <c r="E17" s="3">
        <v>127.42857142857143</v>
      </c>
      <c r="F17" s="3">
        <v>0</v>
      </c>
      <c r="G17" s="3">
        <v>127.42857142857143</v>
      </c>
    </row>
    <row r="18" spans="1:7" x14ac:dyDescent="0.2">
      <c r="A18" s="3" t="s">
        <v>59</v>
      </c>
      <c r="B18" t="s">
        <v>936</v>
      </c>
      <c r="C18" s="3">
        <v>17</v>
      </c>
      <c r="D18" t="str">
        <f t="shared" si="0"/>
        <v>Douglas (ONF, Angelier 2007) - classe 1_17</v>
      </c>
      <c r="E18" s="3">
        <v>159.85714285714286</v>
      </c>
      <c r="F18" s="3">
        <v>0</v>
      </c>
      <c r="G18" s="3">
        <v>159.85714285714286</v>
      </c>
    </row>
    <row r="19" spans="1:7" x14ac:dyDescent="0.2">
      <c r="A19" s="3" t="s">
        <v>59</v>
      </c>
      <c r="B19" t="s">
        <v>936</v>
      </c>
      <c r="C19" s="3">
        <v>18</v>
      </c>
      <c r="D19" t="str">
        <f t="shared" si="0"/>
        <v>Douglas (ONF, Angelier 2007) - classe 1_18</v>
      </c>
      <c r="E19" s="3">
        <v>192.28571428571428</v>
      </c>
      <c r="F19" s="3">
        <v>0</v>
      </c>
      <c r="G19" s="3">
        <v>192.28571428571428</v>
      </c>
    </row>
    <row r="20" spans="1:7" x14ac:dyDescent="0.2">
      <c r="A20" s="3" t="s">
        <v>59</v>
      </c>
      <c r="B20" t="s">
        <v>936</v>
      </c>
      <c r="C20" s="3">
        <v>19</v>
      </c>
      <c r="D20" t="str">
        <f t="shared" si="0"/>
        <v>Douglas (ONF, Angelier 2007) - classe 1_19</v>
      </c>
      <c r="E20" s="3">
        <v>224.71428571428572</v>
      </c>
      <c r="F20" s="3">
        <v>0</v>
      </c>
      <c r="G20" s="3">
        <v>224.71428571428572</v>
      </c>
    </row>
    <row r="21" spans="1:7" x14ac:dyDescent="0.2">
      <c r="A21" s="3" t="s">
        <v>59</v>
      </c>
      <c r="B21" t="s">
        <v>936</v>
      </c>
      <c r="C21" s="3">
        <v>20</v>
      </c>
      <c r="D21" t="str">
        <f t="shared" si="0"/>
        <v>Douglas (ONF, Angelier 2007) - classe 1_20</v>
      </c>
      <c r="E21" s="3">
        <v>257.14285714285717</v>
      </c>
      <c r="F21" s="3">
        <v>0</v>
      </c>
      <c r="G21" s="3">
        <v>257.14285714285717</v>
      </c>
    </row>
    <row r="22" spans="1:7" x14ac:dyDescent="0.2">
      <c r="A22" s="3" t="s">
        <v>59</v>
      </c>
      <c r="B22" t="s">
        <v>936</v>
      </c>
      <c r="C22" s="3">
        <v>21</v>
      </c>
      <c r="D22" t="str">
        <f t="shared" si="0"/>
        <v>Douglas (ONF, Angelier 2007) - classe 1_21</v>
      </c>
      <c r="E22" s="3">
        <v>289.57142857142861</v>
      </c>
      <c r="F22" s="3">
        <v>0</v>
      </c>
      <c r="G22" s="3">
        <v>289.57142857142861</v>
      </c>
    </row>
    <row r="23" spans="1:7" x14ac:dyDescent="0.2">
      <c r="A23" s="3" t="s">
        <v>59</v>
      </c>
      <c r="B23" t="s">
        <v>936</v>
      </c>
      <c r="C23" s="3">
        <v>22</v>
      </c>
      <c r="D23" t="str">
        <f t="shared" si="0"/>
        <v>Douglas (ONF, Angelier 2007) - classe 1_22</v>
      </c>
      <c r="E23" s="3">
        <v>322</v>
      </c>
      <c r="F23" s="3">
        <v>76</v>
      </c>
      <c r="G23" s="3">
        <v>246</v>
      </c>
    </row>
    <row r="24" spans="1:7" x14ac:dyDescent="0.2">
      <c r="A24" s="3" t="s">
        <v>59</v>
      </c>
      <c r="B24" t="s">
        <v>936</v>
      </c>
      <c r="C24" s="3">
        <v>23</v>
      </c>
      <c r="D24" t="str">
        <f t="shared" si="0"/>
        <v>Douglas (ONF, Angelier 2007) - classe 1_23</v>
      </c>
      <c r="E24" s="3">
        <v>280.625</v>
      </c>
      <c r="F24" s="3">
        <v>0</v>
      </c>
      <c r="G24" s="3">
        <v>280.625</v>
      </c>
    </row>
    <row r="25" spans="1:7" x14ac:dyDescent="0.2">
      <c r="A25" s="3" t="s">
        <v>59</v>
      </c>
      <c r="B25" t="s">
        <v>936</v>
      </c>
      <c r="C25" s="3">
        <v>24</v>
      </c>
      <c r="D25" t="str">
        <f t="shared" si="0"/>
        <v>Douglas (ONF, Angelier 2007) - classe 1_24</v>
      </c>
      <c r="E25" s="3">
        <v>315.25</v>
      </c>
      <c r="F25" s="3">
        <v>0</v>
      </c>
      <c r="G25" s="3">
        <v>315.25</v>
      </c>
    </row>
    <row r="26" spans="1:7" x14ac:dyDescent="0.2">
      <c r="A26" s="3" t="s">
        <v>59</v>
      </c>
      <c r="B26" t="s">
        <v>936</v>
      </c>
      <c r="C26" s="3">
        <v>25</v>
      </c>
      <c r="D26" t="str">
        <f t="shared" si="0"/>
        <v>Douglas (ONF, Angelier 2007) - classe 1_25</v>
      </c>
      <c r="E26" s="3">
        <v>349.875</v>
      </c>
      <c r="F26" s="3">
        <v>0</v>
      </c>
      <c r="G26" s="3">
        <v>349.875</v>
      </c>
    </row>
    <row r="27" spans="1:7" x14ac:dyDescent="0.2">
      <c r="A27" s="3" t="s">
        <v>59</v>
      </c>
      <c r="B27" t="s">
        <v>936</v>
      </c>
      <c r="C27" s="3">
        <v>26</v>
      </c>
      <c r="D27" t="str">
        <f t="shared" si="0"/>
        <v>Douglas (ONF, Angelier 2007) - classe 1_26</v>
      </c>
      <c r="E27" s="3">
        <v>384.5</v>
      </c>
      <c r="F27" s="3">
        <v>0</v>
      </c>
      <c r="G27" s="3">
        <v>384.5</v>
      </c>
    </row>
    <row r="28" spans="1:7" x14ac:dyDescent="0.2">
      <c r="A28" s="3" t="s">
        <v>59</v>
      </c>
      <c r="B28" t="s">
        <v>936</v>
      </c>
      <c r="C28" s="3">
        <v>27</v>
      </c>
      <c r="D28" t="str">
        <f t="shared" si="0"/>
        <v>Douglas (ONF, Angelier 2007) - classe 1_27</v>
      </c>
      <c r="E28" s="3">
        <v>419.125</v>
      </c>
      <c r="F28" s="3">
        <v>0</v>
      </c>
      <c r="G28" s="3">
        <v>419.125</v>
      </c>
    </row>
    <row r="29" spans="1:7" x14ac:dyDescent="0.2">
      <c r="A29" s="3" t="s">
        <v>59</v>
      </c>
      <c r="B29" t="s">
        <v>936</v>
      </c>
      <c r="C29" s="3">
        <v>28</v>
      </c>
      <c r="D29" t="str">
        <f t="shared" si="0"/>
        <v>Douglas (ONF, Angelier 2007) - classe 1_28</v>
      </c>
      <c r="E29" s="3">
        <v>453.75</v>
      </c>
      <c r="F29" s="3">
        <v>0</v>
      </c>
      <c r="G29" s="3">
        <v>453.75</v>
      </c>
    </row>
    <row r="30" spans="1:7" x14ac:dyDescent="0.2">
      <c r="A30" s="3" t="s">
        <v>59</v>
      </c>
      <c r="B30" t="s">
        <v>936</v>
      </c>
      <c r="C30" s="3">
        <v>29</v>
      </c>
      <c r="D30" t="str">
        <f t="shared" si="0"/>
        <v>Douglas (ONF, Angelier 2007) - classe 1_29</v>
      </c>
      <c r="E30" s="3">
        <v>488.375</v>
      </c>
      <c r="F30" s="3">
        <v>0</v>
      </c>
      <c r="G30" s="3">
        <v>488.375</v>
      </c>
    </row>
    <row r="31" spans="1:7" x14ac:dyDescent="0.2">
      <c r="A31" s="3" t="s">
        <v>59</v>
      </c>
      <c r="B31" t="s">
        <v>936</v>
      </c>
      <c r="C31" s="3">
        <v>30</v>
      </c>
      <c r="D31" t="str">
        <f t="shared" si="0"/>
        <v>Douglas (ONF, Angelier 2007) - classe 1_30</v>
      </c>
      <c r="E31" s="3">
        <v>523</v>
      </c>
      <c r="F31" s="3">
        <v>97</v>
      </c>
      <c r="G31" s="3">
        <v>426</v>
      </c>
    </row>
    <row r="32" spans="1:7" x14ac:dyDescent="0.2">
      <c r="A32" s="3" t="s">
        <v>59</v>
      </c>
      <c r="B32" t="s">
        <v>938</v>
      </c>
      <c r="C32" s="3">
        <v>1</v>
      </c>
      <c r="D32" t="str">
        <f t="shared" si="0"/>
        <v>Douglas (ONF, Angelier 2007) - classe 2_1</v>
      </c>
      <c r="E32" s="3">
        <v>2.2727272727272729</v>
      </c>
      <c r="F32" s="3">
        <v>0</v>
      </c>
      <c r="G32" s="3">
        <v>2.2727272727272729</v>
      </c>
    </row>
    <row r="33" spans="1:7" x14ac:dyDescent="0.2">
      <c r="A33" s="3" t="s">
        <v>59</v>
      </c>
      <c r="B33" t="s">
        <v>938</v>
      </c>
      <c r="C33" s="3">
        <v>2</v>
      </c>
      <c r="D33" t="str">
        <f t="shared" si="0"/>
        <v>Douglas (ONF, Angelier 2007) - classe 2_2</v>
      </c>
      <c r="E33" s="3">
        <v>4.5454545454545459</v>
      </c>
      <c r="F33" s="3">
        <v>0</v>
      </c>
      <c r="G33" s="3">
        <v>4.5454545454545459</v>
      </c>
    </row>
    <row r="34" spans="1:7" x14ac:dyDescent="0.2">
      <c r="A34" s="3" t="s">
        <v>59</v>
      </c>
      <c r="B34" t="s">
        <v>938</v>
      </c>
      <c r="C34" s="3">
        <v>3</v>
      </c>
      <c r="D34" t="str">
        <f t="shared" si="0"/>
        <v>Douglas (ONF, Angelier 2007) - classe 2_3</v>
      </c>
      <c r="E34" s="3">
        <v>6.8181818181818183</v>
      </c>
      <c r="F34" s="3">
        <v>0</v>
      </c>
      <c r="G34" s="3">
        <v>6.8181818181818183</v>
      </c>
    </row>
    <row r="35" spans="1:7" x14ac:dyDescent="0.2">
      <c r="A35" s="3" t="s">
        <v>59</v>
      </c>
      <c r="B35" t="s">
        <v>938</v>
      </c>
      <c r="C35" s="3">
        <v>4</v>
      </c>
      <c r="D35" t="str">
        <f t="shared" si="0"/>
        <v>Douglas (ONF, Angelier 2007) - classe 2_4</v>
      </c>
      <c r="E35" s="3">
        <v>9.0909090909090917</v>
      </c>
      <c r="F35" s="3">
        <v>0</v>
      </c>
      <c r="G35" s="3">
        <v>9.0909090909090917</v>
      </c>
    </row>
    <row r="36" spans="1:7" x14ac:dyDescent="0.2">
      <c r="A36" s="3" t="s">
        <v>59</v>
      </c>
      <c r="B36" t="s">
        <v>938</v>
      </c>
      <c r="C36" s="3">
        <v>5</v>
      </c>
      <c r="D36" t="str">
        <f t="shared" si="0"/>
        <v>Douglas (ONF, Angelier 2007) - classe 2_5</v>
      </c>
      <c r="E36" s="3">
        <v>11.363636363636365</v>
      </c>
      <c r="F36" s="3">
        <v>0</v>
      </c>
      <c r="G36" s="3">
        <v>11.363636363636365</v>
      </c>
    </row>
    <row r="37" spans="1:7" x14ac:dyDescent="0.2">
      <c r="A37" s="3" t="s">
        <v>59</v>
      </c>
      <c r="B37" t="s">
        <v>938</v>
      </c>
      <c r="C37" s="3">
        <v>6</v>
      </c>
      <c r="D37" t="str">
        <f t="shared" si="0"/>
        <v>Douglas (ONF, Angelier 2007) - classe 2_6</v>
      </c>
      <c r="E37" s="3">
        <v>13.636363636363638</v>
      </c>
      <c r="F37" s="3">
        <v>0</v>
      </c>
      <c r="G37" s="3">
        <v>13.636363636363638</v>
      </c>
    </row>
    <row r="38" spans="1:7" x14ac:dyDescent="0.2">
      <c r="A38" s="3" t="s">
        <v>59</v>
      </c>
      <c r="B38" t="s">
        <v>938</v>
      </c>
      <c r="C38" s="3">
        <v>7</v>
      </c>
      <c r="D38" t="str">
        <f t="shared" si="0"/>
        <v>Douglas (ONF, Angelier 2007) - classe 2_7</v>
      </c>
      <c r="E38" s="3">
        <v>15.909090909090912</v>
      </c>
      <c r="F38" s="3">
        <v>0</v>
      </c>
      <c r="G38" s="3">
        <v>15.909090909090912</v>
      </c>
    </row>
    <row r="39" spans="1:7" x14ac:dyDescent="0.2">
      <c r="A39" s="3" t="s">
        <v>59</v>
      </c>
      <c r="B39" t="s">
        <v>938</v>
      </c>
      <c r="C39" s="3">
        <v>8</v>
      </c>
      <c r="D39" t="str">
        <f t="shared" si="0"/>
        <v>Douglas (ONF, Angelier 2007) - classe 2_8</v>
      </c>
      <c r="E39" s="3">
        <v>18.181818181818183</v>
      </c>
      <c r="F39" s="3">
        <v>0</v>
      </c>
      <c r="G39" s="3">
        <v>18.181818181818183</v>
      </c>
    </row>
    <row r="40" spans="1:7" x14ac:dyDescent="0.2">
      <c r="A40" s="3" t="s">
        <v>59</v>
      </c>
      <c r="B40" t="s">
        <v>938</v>
      </c>
      <c r="C40" s="3">
        <v>9</v>
      </c>
      <c r="D40" t="str">
        <f t="shared" si="0"/>
        <v>Douglas (ONF, Angelier 2007) - classe 2_9</v>
      </c>
      <c r="E40" s="3">
        <v>20.454545454545457</v>
      </c>
      <c r="F40" s="3">
        <v>0</v>
      </c>
      <c r="G40" s="3">
        <v>20.454545454545457</v>
      </c>
    </row>
    <row r="41" spans="1:7" x14ac:dyDescent="0.2">
      <c r="A41" s="3" t="s">
        <v>59</v>
      </c>
      <c r="B41" t="s">
        <v>938</v>
      </c>
      <c r="C41" s="3">
        <v>10</v>
      </c>
      <c r="D41" t="str">
        <f t="shared" si="0"/>
        <v>Douglas (ONF, Angelier 2007) - classe 2_10</v>
      </c>
      <c r="E41" s="3">
        <v>22.72727272727273</v>
      </c>
      <c r="F41" s="3">
        <v>0</v>
      </c>
      <c r="G41" s="3">
        <v>22.72727272727273</v>
      </c>
    </row>
    <row r="42" spans="1:7" x14ac:dyDescent="0.2">
      <c r="A42" s="3" t="s">
        <v>59</v>
      </c>
      <c r="B42" t="s">
        <v>938</v>
      </c>
      <c r="C42" s="3">
        <v>11</v>
      </c>
      <c r="D42" t="str">
        <f t="shared" si="0"/>
        <v>Douglas (ONF, Angelier 2007) - classe 2_11</v>
      </c>
      <c r="E42" s="3">
        <v>25</v>
      </c>
      <c r="F42" s="3">
        <v>7</v>
      </c>
      <c r="G42" s="3">
        <v>18</v>
      </c>
    </row>
    <row r="43" spans="1:7" x14ac:dyDescent="0.2">
      <c r="A43" s="3" t="s">
        <v>59</v>
      </c>
      <c r="B43" t="s">
        <v>938</v>
      </c>
      <c r="C43" s="3">
        <v>12</v>
      </c>
      <c r="D43" t="str">
        <f t="shared" si="0"/>
        <v>Douglas (ONF, Angelier 2007) - classe 2_12</v>
      </c>
      <c r="E43" s="3">
        <v>34.714285714285715</v>
      </c>
      <c r="F43" s="3">
        <v>0</v>
      </c>
      <c r="G43" s="3">
        <v>34.714285714285715</v>
      </c>
    </row>
    <row r="44" spans="1:7" x14ac:dyDescent="0.2">
      <c r="A44" s="3" t="s">
        <v>59</v>
      </c>
      <c r="B44" t="s">
        <v>938</v>
      </c>
      <c r="C44" s="3">
        <v>13</v>
      </c>
      <c r="D44" t="str">
        <f t="shared" si="0"/>
        <v>Douglas (ONF, Angelier 2007) - classe 2_13</v>
      </c>
      <c r="E44" s="3">
        <v>51.428571428571431</v>
      </c>
      <c r="F44" s="3">
        <v>0</v>
      </c>
      <c r="G44" s="3">
        <v>51.428571428571431</v>
      </c>
    </row>
    <row r="45" spans="1:7" x14ac:dyDescent="0.2">
      <c r="A45" s="3" t="s">
        <v>59</v>
      </c>
      <c r="B45" t="s">
        <v>938</v>
      </c>
      <c r="C45" s="3">
        <v>14</v>
      </c>
      <c r="D45" t="str">
        <f t="shared" si="0"/>
        <v>Douglas (ONF, Angelier 2007) - classe 2_14</v>
      </c>
      <c r="E45" s="3">
        <v>68.142857142857139</v>
      </c>
      <c r="F45" s="3">
        <v>0</v>
      </c>
      <c r="G45" s="3">
        <v>68.142857142857139</v>
      </c>
    </row>
    <row r="46" spans="1:7" x14ac:dyDescent="0.2">
      <c r="A46" s="3" t="s">
        <v>59</v>
      </c>
      <c r="B46" t="s">
        <v>938</v>
      </c>
      <c r="C46" s="3">
        <v>15</v>
      </c>
      <c r="D46" t="str">
        <f t="shared" si="0"/>
        <v>Douglas (ONF, Angelier 2007) - classe 2_15</v>
      </c>
      <c r="E46" s="3">
        <v>84.857142857142861</v>
      </c>
      <c r="F46" s="3">
        <v>0</v>
      </c>
      <c r="G46" s="3">
        <v>84.857142857142861</v>
      </c>
    </row>
    <row r="47" spans="1:7" x14ac:dyDescent="0.2">
      <c r="A47" s="3" t="s">
        <v>59</v>
      </c>
      <c r="B47" t="s">
        <v>938</v>
      </c>
      <c r="C47" s="3">
        <v>16</v>
      </c>
      <c r="D47" t="str">
        <f t="shared" si="0"/>
        <v>Douglas (ONF, Angelier 2007) - classe 2_16</v>
      </c>
      <c r="E47" s="3">
        <v>101.57142857142858</v>
      </c>
      <c r="F47" s="3">
        <v>0</v>
      </c>
      <c r="G47" s="3">
        <v>101.57142857142858</v>
      </c>
    </row>
    <row r="48" spans="1:7" x14ac:dyDescent="0.2">
      <c r="A48" s="3" t="s">
        <v>59</v>
      </c>
      <c r="B48" t="s">
        <v>938</v>
      </c>
      <c r="C48" s="3">
        <v>17</v>
      </c>
      <c r="D48" t="str">
        <f t="shared" si="0"/>
        <v>Douglas (ONF, Angelier 2007) - classe 2_17</v>
      </c>
      <c r="E48" s="3">
        <v>118.28571428571431</v>
      </c>
      <c r="F48" s="3">
        <v>0</v>
      </c>
      <c r="G48" s="3">
        <v>118.28571428571431</v>
      </c>
    </row>
    <row r="49" spans="1:7" x14ac:dyDescent="0.2">
      <c r="A49" s="3" t="s">
        <v>59</v>
      </c>
      <c r="B49" t="s">
        <v>938</v>
      </c>
      <c r="C49" s="3">
        <v>18</v>
      </c>
      <c r="D49" t="str">
        <f t="shared" si="0"/>
        <v>Douglas (ONF, Angelier 2007) - classe 2_18</v>
      </c>
      <c r="E49" s="3">
        <v>135</v>
      </c>
      <c r="F49" s="3">
        <v>48</v>
      </c>
      <c r="G49" s="3">
        <v>86</v>
      </c>
    </row>
    <row r="50" spans="1:7" x14ac:dyDescent="0.2">
      <c r="A50" s="3" t="s">
        <v>59</v>
      </c>
      <c r="B50" t="s">
        <v>938</v>
      </c>
      <c r="C50" s="3">
        <v>19</v>
      </c>
      <c r="D50" t="str">
        <f t="shared" si="0"/>
        <v>Douglas (ONF, Angelier 2007) - classe 2_19</v>
      </c>
      <c r="E50" s="3">
        <v>109</v>
      </c>
      <c r="F50" s="3">
        <v>0</v>
      </c>
      <c r="G50" s="3">
        <v>109</v>
      </c>
    </row>
    <row r="51" spans="1:7" x14ac:dyDescent="0.2">
      <c r="A51" s="3" t="s">
        <v>59</v>
      </c>
      <c r="B51" t="s">
        <v>938</v>
      </c>
      <c r="C51" s="3">
        <v>20</v>
      </c>
      <c r="D51" t="str">
        <f t="shared" si="0"/>
        <v>Douglas (ONF, Angelier 2007) - classe 2_20</v>
      </c>
      <c r="E51" s="3">
        <v>132</v>
      </c>
      <c r="F51" s="3">
        <v>0</v>
      </c>
      <c r="G51" s="3">
        <v>132</v>
      </c>
    </row>
    <row r="52" spans="1:7" x14ac:dyDescent="0.2">
      <c r="A52" s="3" t="s">
        <v>59</v>
      </c>
      <c r="B52" t="s">
        <v>938</v>
      </c>
      <c r="C52" s="3">
        <v>21</v>
      </c>
      <c r="D52" t="str">
        <f t="shared" si="0"/>
        <v>Douglas (ONF, Angelier 2007) - classe 2_21</v>
      </c>
      <c r="E52" s="3">
        <v>155</v>
      </c>
      <c r="F52" s="3">
        <v>0</v>
      </c>
      <c r="G52" s="3">
        <v>155</v>
      </c>
    </row>
    <row r="53" spans="1:7" x14ac:dyDescent="0.2">
      <c r="A53" s="3" t="s">
        <v>59</v>
      </c>
      <c r="B53" t="s">
        <v>938</v>
      </c>
      <c r="C53" s="3">
        <v>22</v>
      </c>
      <c r="D53" t="str">
        <f t="shared" si="0"/>
        <v>Douglas (ONF, Angelier 2007) - classe 2_22</v>
      </c>
      <c r="E53" s="3">
        <v>178</v>
      </c>
      <c r="F53" s="3">
        <v>0</v>
      </c>
      <c r="G53" s="3">
        <v>178</v>
      </c>
    </row>
    <row r="54" spans="1:7" x14ac:dyDescent="0.2">
      <c r="A54" s="3" t="s">
        <v>59</v>
      </c>
      <c r="B54" t="s">
        <v>938</v>
      </c>
      <c r="C54" s="3">
        <v>23</v>
      </c>
      <c r="D54" t="str">
        <f t="shared" si="0"/>
        <v>Douglas (ONF, Angelier 2007) - classe 2_23</v>
      </c>
      <c r="E54" s="3">
        <v>201</v>
      </c>
      <c r="F54" s="3">
        <v>0</v>
      </c>
      <c r="G54" s="3">
        <v>201</v>
      </c>
    </row>
    <row r="55" spans="1:7" x14ac:dyDescent="0.2">
      <c r="A55" s="3" t="s">
        <v>59</v>
      </c>
      <c r="B55" t="s">
        <v>938</v>
      </c>
      <c r="C55" s="3">
        <v>24</v>
      </c>
      <c r="D55" t="str">
        <f t="shared" si="0"/>
        <v>Douglas (ONF, Angelier 2007) - classe 2_24</v>
      </c>
      <c r="E55" s="3">
        <v>224</v>
      </c>
      <c r="F55" s="3">
        <v>0</v>
      </c>
      <c r="G55" s="3">
        <v>224</v>
      </c>
    </row>
    <row r="56" spans="1:7" x14ac:dyDescent="0.2">
      <c r="A56" s="3" t="s">
        <v>59</v>
      </c>
      <c r="B56" t="s">
        <v>938</v>
      </c>
      <c r="C56" s="3">
        <v>25</v>
      </c>
      <c r="D56" t="str">
        <f t="shared" si="0"/>
        <v>Douglas (ONF, Angelier 2007) - classe 2_25</v>
      </c>
      <c r="E56" s="3">
        <v>247</v>
      </c>
      <c r="F56" s="3">
        <v>0</v>
      </c>
      <c r="G56" s="3">
        <v>247</v>
      </c>
    </row>
    <row r="57" spans="1:7" x14ac:dyDescent="0.2">
      <c r="A57" s="3" t="s">
        <v>59</v>
      </c>
      <c r="B57" t="s">
        <v>938</v>
      </c>
      <c r="C57" s="3">
        <v>26</v>
      </c>
      <c r="D57" t="str">
        <f t="shared" si="0"/>
        <v>Douglas (ONF, Angelier 2007) - classe 2_26</v>
      </c>
      <c r="E57" s="3">
        <v>270</v>
      </c>
      <c r="F57" s="3">
        <v>0</v>
      </c>
      <c r="G57" s="3">
        <v>270</v>
      </c>
    </row>
    <row r="58" spans="1:7" x14ac:dyDescent="0.2">
      <c r="A58" s="3" t="s">
        <v>59</v>
      </c>
      <c r="B58" t="s">
        <v>938</v>
      </c>
      <c r="C58" s="3">
        <v>27</v>
      </c>
      <c r="D58" t="str">
        <f t="shared" si="0"/>
        <v>Douglas (ONF, Angelier 2007) - classe 2_27</v>
      </c>
      <c r="E58" s="3">
        <v>293</v>
      </c>
      <c r="F58" s="3">
        <v>72</v>
      </c>
      <c r="G58" s="3">
        <v>221</v>
      </c>
    </row>
    <row r="59" spans="1:7" x14ac:dyDescent="0.2">
      <c r="A59" s="3" t="s">
        <v>59</v>
      </c>
      <c r="B59" t="s">
        <v>938</v>
      </c>
      <c r="C59" s="3">
        <v>28</v>
      </c>
      <c r="D59" t="str">
        <f t="shared" si="0"/>
        <v>Douglas (ONF, Angelier 2007) - classe 2_28</v>
      </c>
      <c r="E59" s="3">
        <v>244.54545454545456</v>
      </c>
      <c r="F59" s="3">
        <v>0</v>
      </c>
      <c r="G59" s="3">
        <v>244.54545454545456</v>
      </c>
    </row>
    <row r="60" spans="1:7" x14ac:dyDescent="0.2">
      <c r="A60" s="3" t="s">
        <v>59</v>
      </c>
      <c r="B60" t="s">
        <v>938</v>
      </c>
      <c r="C60" s="3">
        <v>29</v>
      </c>
      <c r="D60" t="str">
        <f t="shared" si="0"/>
        <v>Douglas (ONF, Angelier 2007) - classe 2_29</v>
      </c>
      <c r="E60" s="3">
        <v>268.09090909090912</v>
      </c>
      <c r="F60" s="3">
        <v>0</v>
      </c>
      <c r="G60" s="3">
        <v>268.09090909090912</v>
      </c>
    </row>
    <row r="61" spans="1:7" x14ac:dyDescent="0.2">
      <c r="A61" s="3" t="s">
        <v>59</v>
      </c>
      <c r="B61" t="s">
        <v>938</v>
      </c>
      <c r="C61" s="3">
        <v>30</v>
      </c>
      <c r="D61" t="str">
        <f t="shared" si="0"/>
        <v>Douglas (ONF, Angelier 2007) - classe 2_30</v>
      </c>
      <c r="E61" s="3">
        <v>291.63636363636368</v>
      </c>
      <c r="F61" s="3">
        <v>0</v>
      </c>
      <c r="G61" s="3">
        <v>291.63636363636368</v>
      </c>
    </row>
    <row r="62" spans="1:7" x14ac:dyDescent="0.2">
      <c r="A62" s="3" t="s">
        <v>59</v>
      </c>
      <c r="B62" t="s">
        <v>937</v>
      </c>
      <c r="C62" s="3">
        <v>1</v>
      </c>
      <c r="D62" t="str">
        <f t="shared" si="0"/>
        <v>Douglas (ONF, Angelier 2007) - classe 3_1</v>
      </c>
      <c r="E62" s="3">
        <v>2.1214285714285714</v>
      </c>
      <c r="F62" s="3">
        <v>0</v>
      </c>
      <c r="G62" s="3">
        <v>2.1214285714285714</v>
      </c>
    </row>
    <row r="63" spans="1:7" x14ac:dyDescent="0.2">
      <c r="A63" s="3" t="s">
        <v>59</v>
      </c>
      <c r="B63" t="s">
        <v>937</v>
      </c>
      <c r="C63" s="3">
        <v>2</v>
      </c>
      <c r="D63" t="str">
        <f t="shared" si="0"/>
        <v>Douglas (ONF, Angelier 2007) - classe 3_2</v>
      </c>
      <c r="E63" s="3">
        <v>4.2428571428571429</v>
      </c>
      <c r="F63" s="3">
        <v>0</v>
      </c>
      <c r="G63" s="3">
        <v>4.2428571428571429</v>
      </c>
    </row>
    <row r="64" spans="1:7" x14ac:dyDescent="0.2">
      <c r="A64" s="3" t="s">
        <v>59</v>
      </c>
      <c r="B64" t="s">
        <v>937</v>
      </c>
      <c r="C64" s="3">
        <v>3</v>
      </c>
      <c r="D64" t="str">
        <f t="shared" si="0"/>
        <v>Douglas (ONF, Angelier 2007) - classe 3_3</v>
      </c>
      <c r="E64" s="3">
        <v>6.3642857142857139</v>
      </c>
      <c r="F64" s="3">
        <v>0</v>
      </c>
      <c r="G64" s="3">
        <v>6.3642857142857139</v>
      </c>
    </row>
    <row r="65" spans="1:7" x14ac:dyDescent="0.2">
      <c r="A65" s="3" t="s">
        <v>59</v>
      </c>
      <c r="B65" t="s">
        <v>937</v>
      </c>
      <c r="C65" s="3">
        <v>4</v>
      </c>
      <c r="D65" t="str">
        <f t="shared" si="0"/>
        <v>Douglas (ONF, Angelier 2007) - classe 3_4</v>
      </c>
      <c r="E65" s="3">
        <v>8.4857142857142858</v>
      </c>
      <c r="F65" s="3">
        <v>0</v>
      </c>
      <c r="G65" s="3">
        <v>8.4857142857142858</v>
      </c>
    </row>
    <row r="66" spans="1:7" x14ac:dyDescent="0.2">
      <c r="A66" s="3" t="s">
        <v>59</v>
      </c>
      <c r="B66" t="s">
        <v>937</v>
      </c>
      <c r="C66" s="3">
        <v>5</v>
      </c>
      <c r="D66" t="str">
        <f t="shared" si="0"/>
        <v>Douglas (ONF, Angelier 2007) - classe 3_5</v>
      </c>
      <c r="E66" s="3">
        <v>10.607142857142858</v>
      </c>
      <c r="F66" s="3">
        <v>0</v>
      </c>
      <c r="G66" s="3">
        <v>10.607142857142858</v>
      </c>
    </row>
    <row r="67" spans="1:7" x14ac:dyDescent="0.2">
      <c r="A67" s="3" t="s">
        <v>59</v>
      </c>
      <c r="B67" t="s">
        <v>937</v>
      </c>
      <c r="C67" s="3">
        <v>6</v>
      </c>
      <c r="D67" t="str">
        <f t="shared" ref="D67:D130" si="1">CONCATENATE(B67,"_",C67)</f>
        <v>Douglas (ONF, Angelier 2007) - classe 3_6</v>
      </c>
      <c r="E67" s="3">
        <v>12.72857142857143</v>
      </c>
      <c r="F67" s="3">
        <v>0</v>
      </c>
      <c r="G67" s="3">
        <v>12.72857142857143</v>
      </c>
    </row>
    <row r="68" spans="1:7" x14ac:dyDescent="0.2">
      <c r="A68" s="3" t="s">
        <v>59</v>
      </c>
      <c r="B68" t="s">
        <v>937</v>
      </c>
      <c r="C68" s="3">
        <v>7</v>
      </c>
      <c r="D68" t="str">
        <f t="shared" si="1"/>
        <v>Douglas (ONF, Angelier 2007) - classe 3_7</v>
      </c>
      <c r="E68" s="3">
        <v>14.850000000000001</v>
      </c>
      <c r="F68" s="3">
        <v>0</v>
      </c>
      <c r="G68" s="3">
        <v>14.850000000000001</v>
      </c>
    </row>
    <row r="69" spans="1:7" x14ac:dyDescent="0.2">
      <c r="A69" s="3" t="s">
        <v>59</v>
      </c>
      <c r="B69" t="s">
        <v>937</v>
      </c>
      <c r="C69" s="3">
        <v>8</v>
      </c>
      <c r="D69" t="str">
        <f t="shared" si="1"/>
        <v>Douglas (ONF, Angelier 2007) - classe 3_8</v>
      </c>
      <c r="E69" s="3">
        <v>16.971428571428572</v>
      </c>
      <c r="F69" s="3">
        <v>0</v>
      </c>
      <c r="G69" s="3">
        <v>16.971428571428572</v>
      </c>
    </row>
    <row r="70" spans="1:7" x14ac:dyDescent="0.2">
      <c r="A70" s="3" t="s">
        <v>59</v>
      </c>
      <c r="B70" t="s">
        <v>937</v>
      </c>
      <c r="C70" s="3">
        <v>9</v>
      </c>
      <c r="D70" t="str">
        <f t="shared" si="1"/>
        <v>Douglas (ONF, Angelier 2007) - classe 3_9</v>
      </c>
      <c r="E70" s="3">
        <v>19.092857142857142</v>
      </c>
      <c r="F70" s="3">
        <v>0</v>
      </c>
      <c r="G70" s="3">
        <v>19.092857142857142</v>
      </c>
    </row>
    <row r="71" spans="1:7" x14ac:dyDescent="0.2">
      <c r="A71" s="3" t="s">
        <v>59</v>
      </c>
      <c r="B71" t="s">
        <v>937</v>
      </c>
      <c r="C71" s="3">
        <v>10</v>
      </c>
      <c r="D71" t="str">
        <f t="shared" si="1"/>
        <v>Douglas (ONF, Angelier 2007) - classe 3_10</v>
      </c>
      <c r="E71" s="3">
        <v>21.214285714285712</v>
      </c>
      <c r="F71" s="3">
        <v>0</v>
      </c>
      <c r="G71" s="3">
        <v>21.214285714285712</v>
      </c>
    </row>
    <row r="72" spans="1:7" x14ac:dyDescent="0.2">
      <c r="A72" s="3" t="s">
        <v>59</v>
      </c>
      <c r="B72" t="s">
        <v>937</v>
      </c>
      <c r="C72" s="3">
        <v>11</v>
      </c>
      <c r="D72" t="str">
        <f t="shared" si="1"/>
        <v>Douglas (ONF, Angelier 2007) - classe 3_11</v>
      </c>
      <c r="E72" s="3">
        <v>23.335714285714282</v>
      </c>
      <c r="F72" s="3">
        <v>0</v>
      </c>
      <c r="G72" s="3">
        <v>23.335714285714282</v>
      </c>
    </row>
    <row r="73" spans="1:7" x14ac:dyDescent="0.2">
      <c r="A73" s="3" t="s">
        <v>59</v>
      </c>
      <c r="B73" t="s">
        <v>937</v>
      </c>
      <c r="C73" s="3">
        <v>12</v>
      </c>
      <c r="D73" t="str">
        <f t="shared" si="1"/>
        <v>Douglas (ONF, Angelier 2007) - classe 3_12</v>
      </c>
      <c r="E73" s="3">
        <v>25.457142857142852</v>
      </c>
      <c r="F73" s="3">
        <v>0</v>
      </c>
      <c r="G73" s="3">
        <v>25.457142857142852</v>
      </c>
    </row>
    <row r="74" spans="1:7" x14ac:dyDescent="0.2">
      <c r="A74" s="3" t="s">
        <v>59</v>
      </c>
      <c r="B74" t="s">
        <v>937</v>
      </c>
      <c r="C74" s="3">
        <v>13</v>
      </c>
      <c r="D74" t="str">
        <f t="shared" si="1"/>
        <v>Douglas (ONF, Angelier 2007) - classe 3_13</v>
      </c>
      <c r="E74" s="3">
        <v>27.578571428571422</v>
      </c>
      <c r="F74" s="3">
        <v>0</v>
      </c>
      <c r="G74" s="3">
        <v>27.578571428571422</v>
      </c>
    </row>
    <row r="75" spans="1:7" x14ac:dyDescent="0.2">
      <c r="A75" s="3" t="s">
        <v>59</v>
      </c>
      <c r="B75" t="s">
        <v>937</v>
      </c>
      <c r="C75" s="3">
        <v>14</v>
      </c>
      <c r="D75" t="str">
        <f t="shared" si="1"/>
        <v>Douglas (ONF, Angelier 2007) - classe 3_14</v>
      </c>
      <c r="E75" s="3">
        <v>29.7</v>
      </c>
      <c r="F75" s="3">
        <v>8.8999999999999986</v>
      </c>
      <c r="G75" s="3">
        <v>20.8</v>
      </c>
    </row>
    <row r="76" spans="1:7" x14ac:dyDescent="0.2">
      <c r="A76" s="3" t="s">
        <v>59</v>
      </c>
      <c r="B76" t="s">
        <v>937</v>
      </c>
      <c r="C76" s="3">
        <v>15</v>
      </c>
      <c r="D76" t="str">
        <f t="shared" si="1"/>
        <v>Douglas (ONF, Angelier 2007) - classe 3_15</v>
      </c>
      <c r="E76" s="3">
        <v>33.340000000000003</v>
      </c>
      <c r="F76" s="3">
        <v>0</v>
      </c>
      <c r="G76" s="3">
        <v>33.340000000000003</v>
      </c>
    </row>
    <row r="77" spans="1:7" x14ac:dyDescent="0.2">
      <c r="A77" s="3" t="s">
        <v>59</v>
      </c>
      <c r="B77" t="s">
        <v>937</v>
      </c>
      <c r="C77" s="3">
        <v>16</v>
      </c>
      <c r="D77" t="str">
        <f t="shared" si="1"/>
        <v>Douglas (ONF, Angelier 2007) - classe 3_16</v>
      </c>
      <c r="E77" s="3">
        <v>45.88</v>
      </c>
      <c r="F77" s="3">
        <v>0</v>
      </c>
      <c r="G77" s="3">
        <v>45.88</v>
      </c>
    </row>
    <row r="78" spans="1:7" x14ac:dyDescent="0.2">
      <c r="A78" s="3" t="s">
        <v>59</v>
      </c>
      <c r="B78" t="s">
        <v>937</v>
      </c>
      <c r="C78" s="3">
        <v>17</v>
      </c>
      <c r="D78" t="str">
        <f t="shared" si="1"/>
        <v>Douglas (ONF, Angelier 2007) - classe 3_17</v>
      </c>
      <c r="E78" s="3">
        <v>58.42</v>
      </c>
      <c r="F78" s="3">
        <v>0</v>
      </c>
      <c r="G78" s="3">
        <v>58.42</v>
      </c>
    </row>
    <row r="79" spans="1:7" x14ac:dyDescent="0.2">
      <c r="A79" s="3" t="s">
        <v>59</v>
      </c>
      <c r="B79" t="s">
        <v>937</v>
      </c>
      <c r="C79" s="3">
        <v>18</v>
      </c>
      <c r="D79" t="str">
        <f t="shared" si="1"/>
        <v>Douglas (ONF, Angelier 2007) - classe 3_18</v>
      </c>
      <c r="E79" s="3">
        <v>70.960000000000008</v>
      </c>
      <c r="F79" s="3">
        <v>0</v>
      </c>
      <c r="G79" s="3">
        <v>70.960000000000008</v>
      </c>
    </row>
    <row r="80" spans="1:7" x14ac:dyDescent="0.2">
      <c r="A80" s="3" t="s">
        <v>59</v>
      </c>
      <c r="B80" t="s">
        <v>937</v>
      </c>
      <c r="C80" s="3">
        <v>19</v>
      </c>
      <c r="D80" t="str">
        <f t="shared" si="1"/>
        <v>Douglas (ONF, Angelier 2007) - classe 3_19</v>
      </c>
      <c r="E80" s="3">
        <v>83.5</v>
      </c>
      <c r="F80" s="3">
        <v>0</v>
      </c>
      <c r="G80" s="3">
        <v>83.5</v>
      </c>
    </row>
    <row r="81" spans="1:7" x14ac:dyDescent="0.2">
      <c r="A81" s="3" t="s">
        <v>59</v>
      </c>
      <c r="B81" t="s">
        <v>937</v>
      </c>
      <c r="C81" s="3">
        <v>20</v>
      </c>
      <c r="D81" t="str">
        <f t="shared" si="1"/>
        <v>Douglas (ONF, Angelier 2007) - classe 3_20</v>
      </c>
      <c r="E81" s="3">
        <v>96.039999999999992</v>
      </c>
      <c r="F81" s="3">
        <v>0</v>
      </c>
      <c r="G81" s="3">
        <v>96.039999999999992</v>
      </c>
    </row>
    <row r="82" spans="1:7" x14ac:dyDescent="0.2">
      <c r="A82" s="3" t="s">
        <v>59</v>
      </c>
      <c r="B82" t="s">
        <v>937</v>
      </c>
      <c r="C82" s="3">
        <v>21</v>
      </c>
      <c r="D82" t="str">
        <f t="shared" si="1"/>
        <v>Douglas (ONF, Angelier 2007) - classe 3_21</v>
      </c>
      <c r="E82" s="3">
        <v>108.57999999999998</v>
      </c>
      <c r="F82" s="3">
        <v>0</v>
      </c>
      <c r="G82" s="3">
        <v>108.57999999999998</v>
      </c>
    </row>
    <row r="83" spans="1:7" x14ac:dyDescent="0.2">
      <c r="A83" s="3" t="s">
        <v>59</v>
      </c>
      <c r="B83" t="s">
        <v>937</v>
      </c>
      <c r="C83" s="3">
        <v>22</v>
      </c>
      <c r="D83" t="str">
        <f t="shared" si="1"/>
        <v>Douglas (ONF, Angelier 2007) - classe 3_22</v>
      </c>
      <c r="E83" s="3">
        <v>121.11999999999998</v>
      </c>
      <c r="F83" s="3">
        <v>0</v>
      </c>
      <c r="G83" s="3">
        <v>121.11999999999998</v>
      </c>
    </row>
    <row r="84" spans="1:7" x14ac:dyDescent="0.2">
      <c r="A84" s="3" t="s">
        <v>59</v>
      </c>
      <c r="B84" t="s">
        <v>937</v>
      </c>
      <c r="C84" s="3">
        <v>23</v>
      </c>
      <c r="D84" t="str">
        <f t="shared" si="1"/>
        <v>Douglas (ONF, Angelier 2007) - classe 3_23</v>
      </c>
      <c r="E84" s="3">
        <v>133.65999999999997</v>
      </c>
      <c r="F84" s="3">
        <v>0</v>
      </c>
      <c r="G84" s="3">
        <v>133.65999999999997</v>
      </c>
    </row>
    <row r="85" spans="1:7" x14ac:dyDescent="0.2">
      <c r="A85" s="3" t="s">
        <v>59</v>
      </c>
      <c r="B85" t="s">
        <v>937</v>
      </c>
      <c r="C85" s="3">
        <v>24</v>
      </c>
      <c r="D85" t="str">
        <f t="shared" si="1"/>
        <v>Douglas (ONF, Angelier 2007) - classe 3_24</v>
      </c>
      <c r="E85" s="3">
        <v>146.19999999999999</v>
      </c>
      <c r="F85" s="3">
        <v>58.799999999999983</v>
      </c>
      <c r="G85" s="3">
        <v>87.4</v>
      </c>
    </row>
    <row r="86" spans="1:7" x14ac:dyDescent="0.2">
      <c r="A86" s="3" t="s">
        <v>59</v>
      </c>
      <c r="B86" t="s">
        <v>937</v>
      </c>
      <c r="C86" s="3">
        <v>25</v>
      </c>
      <c r="D86" t="str">
        <f t="shared" si="1"/>
        <v>Douglas (ONF, Angelier 2007) - classe 3_25</v>
      </c>
      <c r="E86" s="3">
        <v>102.33076923076923</v>
      </c>
      <c r="F86" s="3">
        <v>0</v>
      </c>
      <c r="G86" s="3">
        <v>102.33076923076923</v>
      </c>
    </row>
    <row r="87" spans="1:7" x14ac:dyDescent="0.2">
      <c r="A87" s="3" t="s">
        <v>59</v>
      </c>
      <c r="B87" t="s">
        <v>937</v>
      </c>
      <c r="C87" s="3">
        <v>26</v>
      </c>
      <c r="D87" t="str">
        <f t="shared" si="1"/>
        <v>Douglas (ONF, Angelier 2007) - classe 3_26</v>
      </c>
      <c r="E87" s="3">
        <v>117.26153846153846</v>
      </c>
      <c r="F87" s="3">
        <v>0</v>
      </c>
      <c r="G87" s="3">
        <v>117.26153846153846</v>
      </c>
    </row>
    <row r="88" spans="1:7" x14ac:dyDescent="0.2">
      <c r="A88" s="3" t="s">
        <v>59</v>
      </c>
      <c r="B88" t="s">
        <v>937</v>
      </c>
      <c r="C88" s="3">
        <v>27</v>
      </c>
      <c r="D88" t="str">
        <f t="shared" si="1"/>
        <v>Douglas (ONF, Angelier 2007) - classe 3_27</v>
      </c>
      <c r="E88" s="3">
        <v>132.19230769230771</v>
      </c>
      <c r="F88" s="3">
        <v>0</v>
      </c>
      <c r="G88" s="3">
        <v>132.19230769230771</v>
      </c>
    </row>
    <row r="89" spans="1:7" x14ac:dyDescent="0.2">
      <c r="A89" s="3" t="s">
        <v>59</v>
      </c>
      <c r="B89" t="s">
        <v>937</v>
      </c>
      <c r="C89" s="3">
        <v>28</v>
      </c>
      <c r="D89" t="str">
        <f t="shared" si="1"/>
        <v>Douglas (ONF, Angelier 2007) - classe 3_28</v>
      </c>
      <c r="E89" s="3">
        <v>147.12307692307695</v>
      </c>
      <c r="F89" s="3">
        <v>0</v>
      </c>
      <c r="G89" s="3">
        <v>147.12307692307695</v>
      </c>
    </row>
    <row r="90" spans="1:7" x14ac:dyDescent="0.2">
      <c r="A90" s="3" t="s">
        <v>59</v>
      </c>
      <c r="B90" t="s">
        <v>937</v>
      </c>
      <c r="C90" s="3">
        <v>29</v>
      </c>
      <c r="D90" t="str">
        <f t="shared" si="1"/>
        <v>Douglas (ONF, Angelier 2007) - classe 3_29</v>
      </c>
      <c r="E90" s="3">
        <v>162.05384615384619</v>
      </c>
      <c r="F90" s="3">
        <v>0</v>
      </c>
      <c r="G90" s="3">
        <v>162.05384615384619</v>
      </c>
    </row>
    <row r="91" spans="1:7" x14ac:dyDescent="0.2">
      <c r="A91" s="3" t="s">
        <v>59</v>
      </c>
      <c r="B91" t="s">
        <v>937</v>
      </c>
      <c r="C91" s="3">
        <v>30</v>
      </c>
      <c r="D91" t="str">
        <f t="shared" si="1"/>
        <v>Douglas (ONF, Angelier 2007) - classe 3_30</v>
      </c>
      <c r="E91" s="3">
        <v>176.98461538461544</v>
      </c>
      <c r="F91" s="3">
        <v>0</v>
      </c>
      <c r="G91" s="3">
        <v>176.98461538461544</v>
      </c>
    </row>
    <row r="92" spans="1:7" x14ac:dyDescent="0.2">
      <c r="A92" s="3" t="s">
        <v>59</v>
      </c>
      <c r="B92" t="s">
        <v>939</v>
      </c>
      <c r="C92" s="3">
        <v>1</v>
      </c>
      <c r="D92" t="str">
        <f t="shared" si="1"/>
        <v>Douglas - Ouest du Massif Central (INRA, N.Decourt, 1972) - classe 1_1</v>
      </c>
      <c r="E92" s="3">
        <v>12.6</v>
      </c>
      <c r="F92" s="3">
        <v>0</v>
      </c>
      <c r="G92" s="3">
        <v>12.6</v>
      </c>
    </row>
    <row r="93" spans="1:7" x14ac:dyDescent="0.2">
      <c r="A93" s="3" t="s">
        <v>59</v>
      </c>
      <c r="B93" t="s">
        <v>939</v>
      </c>
      <c r="C93" s="3">
        <v>2</v>
      </c>
      <c r="D93" t="str">
        <f t="shared" si="1"/>
        <v>Douglas - Ouest du Massif Central (INRA, N.Decourt, 1972) - classe 1_2</v>
      </c>
      <c r="E93" s="3">
        <v>25.2</v>
      </c>
      <c r="F93" s="3">
        <v>0</v>
      </c>
      <c r="G93" s="3">
        <v>25.2</v>
      </c>
    </row>
    <row r="94" spans="1:7" x14ac:dyDescent="0.2">
      <c r="A94" s="3" t="s">
        <v>59</v>
      </c>
      <c r="B94" t="s">
        <v>939</v>
      </c>
      <c r="C94" s="3">
        <v>3</v>
      </c>
      <c r="D94" t="str">
        <f t="shared" si="1"/>
        <v>Douglas - Ouest du Massif Central (INRA, N.Decourt, 1972) - classe 1_3</v>
      </c>
      <c r="E94" s="3">
        <v>37.799999999999997</v>
      </c>
      <c r="F94" s="3">
        <v>0</v>
      </c>
      <c r="G94" s="3">
        <v>37.799999999999997</v>
      </c>
    </row>
    <row r="95" spans="1:7" x14ac:dyDescent="0.2">
      <c r="A95" s="3" t="s">
        <v>59</v>
      </c>
      <c r="B95" t="s">
        <v>939</v>
      </c>
      <c r="C95" s="3">
        <v>4</v>
      </c>
      <c r="D95" t="str">
        <f t="shared" si="1"/>
        <v>Douglas - Ouest du Massif Central (INRA, N.Decourt, 1972) - classe 1_4</v>
      </c>
      <c r="E95" s="3">
        <v>50.4</v>
      </c>
      <c r="F95" s="3">
        <v>0</v>
      </c>
      <c r="G95" s="3">
        <v>50.4</v>
      </c>
    </row>
    <row r="96" spans="1:7" x14ac:dyDescent="0.2">
      <c r="A96" s="3" t="s">
        <v>59</v>
      </c>
      <c r="B96" t="s">
        <v>939</v>
      </c>
      <c r="C96" s="3">
        <v>5</v>
      </c>
      <c r="D96" t="str">
        <f t="shared" si="1"/>
        <v>Douglas - Ouest du Massif Central (INRA, N.Decourt, 1972) - classe 1_5</v>
      </c>
      <c r="E96" s="3">
        <v>63</v>
      </c>
      <c r="F96" s="3">
        <v>0</v>
      </c>
      <c r="G96" s="3">
        <v>63</v>
      </c>
    </row>
    <row r="97" spans="1:7" x14ac:dyDescent="0.2">
      <c r="A97" s="3" t="s">
        <v>59</v>
      </c>
      <c r="B97" t="s">
        <v>939</v>
      </c>
      <c r="C97" s="3">
        <v>6</v>
      </c>
      <c r="D97" t="str">
        <f t="shared" si="1"/>
        <v>Douglas - Ouest du Massif Central (INRA, N.Decourt, 1972) - classe 1_6</v>
      </c>
      <c r="E97" s="3">
        <v>75.599999999999994</v>
      </c>
      <c r="F97" s="3">
        <v>0</v>
      </c>
      <c r="G97" s="3">
        <v>75.599999999999994</v>
      </c>
    </row>
    <row r="98" spans="1:7" x14ac:dyDescent="0.2">
      <c r="A98" s="3" t="s">
        <v>59</v>
      </c>
      <c r="B98" t="s">
        <v>939</v>
      </c>
      <c r="C98" s="3">
        <v>7</v>
      </c>
      <c r="D98" t="str">
        <f t="shared" si="1"/>
        <v>Douglas - Ouest du Massif Central (INRA, N.Decourt, 1972) - classe 1_7</v>
      </c>
      <c r="E98" s="3">
        <v>88.199999999999989</v>
      </c>
      <c r="F98" s="3">
        <v>0</v>
      </c>
      <c r="G98" s="3">
        <v>88.199999999999989</v>
      </c>
    </row>
    <row r="99" spans="1:7" x14ac:dyDescent="0.2">
      <c r="A99" s="3" t="s">
        <v>59</v>
      </c>
      <c r="B99" t="s">
        <v>939</v>
      </c>
      <c r="C99" s="3">
        <v>8</v>
      </c>
      <c r="D99" t="str">
        <f t="shared" si="1"/>
        <v>Douglas - Ouest du Massif Central (INRA, N.Decourt, 1972) - classe 1_8</v>
      </c>
      <c r="E99" s="3">
        <v>100.79999999999998</v>
      </c>
      <c r="F99" s="3">
        <v>0</v>
      </c>
      <c r="G99" s="3">
        <v>100.79999999999998</v>
      </c>
    </row>
    <row r="100" spans="1:7" x14ac:dyDescent="0.2">
      <c r="A100" s="3" t="s">
        <v>59</v>
      </c>
      <c r="B100" t="s">
        <v>939</v>
      </c>
      <c r="C100" s="3">
        <v>9</v>
      </c>
      <c r="D100" t="str">
        <f t="shared" si="1"/>
        <v>Douglas - Ouest du Massif Central (INRA, N.Decourt, 1972) - classe 1_9</v>
      </c>
      <c r="E100" s="3">
        <v>113.39999999999998</v>
      </c>
      <c r="F100" s="3">
        <v>0</v>
      </c>
      <c r="G100" s="3">
        <v>113.39999999999998</v>
      </c>
    </row>
    <row r="101" spans="1:7" x14ac:dyDescent="0.2">
      <c r="A101" s="3" t="s">
        <v>59</v>
      </c>
      <c r="B101" t="s">
        <v>939</v>
      </c>
      <c r="C101" s="3">
        <v>10</v>
      </c>
      <c r="D101" t="str">
        <f t="shared" si="1"/>
        <v>Douglas - Ouest du Massif Central (INRA, N.Decourt, 1972) - classe 1_10</v>
      </c>
      <c r="E101" s="3">
        <v>125.99999999999997</v>
      </c>
      <c r="F101" s="3">
        <v>0</v>
      </c>
      <c r="G101" s="3">
        <v>125.99999999999997</v>
      </c>
    </row>
    <row r="102" spans="1:7" x14ac:dyDescent="0.2">
      <c r="A102" s="3" t="s">
        <v>59</v>
      </c>
      <c r="B102" t="s">
        <v>939</v>
      </c>
      <c r="C102" s="3">
        <v>11</v>
      </c>
      <c r="D102" t="str">
        <f t="shared" si="1"/>
        <v>Douglas - Ouest du Massif Central (INRA, N.Decourt, 1972) - classe 1_11</v>
      </c>
      <c r="E102" s="3">
        <v>138.59999999999997</v>
      </c>
      <c r="F102" s="3">
        <v>0</v>
      </c>
      <c r="G102" s="3">
        <v>138.59999999999997</v>
      </c>
    </row>
    <row r="103" spans="1:7" x14ac:dyDescent="0.2">
      <c r="A103" s="3" t="s">
        <v>59</v>
      </c>
      <c r="B103" t="s">
        <v>939</v>
      </c>
      <c r="C103" s="3">
        <v>12</v>
      </c>
      <c r="D103" t="str">
        <f t="shared" si="1"/>
        <v>Douglas - Ouest du Massif Central (INRA, N.Decourt, 1972) - classe 1_12</v>
      </c>
      <c r="E103" s="3">
        <v>151.19999999999996</v>
      </c>
      <c r="F103" s="3">
        <v>0</v>
      </c>
      <c r="G103" s="3">
        <v>151.19999999999996</v>
      </c>
    </row>
    <row r="104" spans="1:7" x14ac:dyDescent="0.2">
      <c r="A104" s="3" t="s">
        <v>59</v>
      </c>
      <c r="B104" t="s">
        <v>939</v>
      </c>
      <c r="C104" s="3">
        <v>13</v>
      </c>
      <c r="D104" t="str">
        <f t="shared" si="1"/>
        <v>Douglas - Ouest du Massif Central (INRA, N.Decourt, 1972) - classe 1_13</v>
      </c>
      <c r="E104" s="3">
        <v>163.79999999999995</v>
      </c>
      <c r="F104" s="3">
        <v>0</v>
      </c>
      <c r="G104" s="3">
        <v>163.79999999999995</v>
      </c>
    </row>
    <row r="105" spans="1:7" x14ac:dyDescent="0.2">
      <c r="A105" s="3" t="s">
        <v>59</v>
      </c>
      <c r="B105" t="s">
        <v>939</v>
      </c>
      <c r="C105" s="3">
        <v>14</v>
      </c>
      <c r="D105" t="str">
        <f t="shared" si="1"/>
        <v>Douglas - Ouest du Massif Central (INRA, N.Decourt, 1972) - classe 1_14</v>
      </c>
      <c r="E105" s="3">
        <v>176.39999999999995</v>
      </c>
      <c r="F105" s="3">
        <v>0</v>
      </c>
      <c r="G105" s="3">
        <v>176.39999999999995</v>
      </c>
    </row>
    <row r="106" spans="1:7" x14ac:dyDescent="0.2">
      <c r="A106" s="3" t="s">
        <v>59</v>
      </c>
      <c r="B106" t="s">
        <v>939</v>
      </c>
      <c r="C106" s="3">
        <v>15</v>
      </c>
      <c r="D106" t="str">
        <f t="shared" si="1"/>
        <v>Douglas - Ouest du Massif Central (INRA, N.Decourt, 1972) - classe 1_15</v>
      </c>
      <c r="E106" s="3">
        <v>189</v>
      </c>
      <c r="F106" s="3">
        <v>0</v>
      </c>
      <c r="G106" s="3">
        <v>189</v>
      </c>
    </row>
    <row r="107" spans="1:7" x14ac:dyDescent="0.2">
      <c r="A107" s="3" t="s">
        <v>59</v>
      </c>
      <c r="B107" t="s">
        <v>939</v>
      </c>
      <c r="C107" s="3">
        <v>16</v>
      </c>
      <c r="D107" t="str">
        <f t="shared" si="1"/>
        <v>Douglas - Ouest du Massif Central (INRA, N.Decourt, 1972) - classe 1_16</v>
      </c>
      <c r="E107" s="3">
        <v>217.4</v>
      </c>
      <c r="F107" s="3">
        <v>0</v>
      </c>
      <c r="G107" s="3">
        <v>217.4</v>
      </c>
    </row>
    <row r="108" spans="1:7" x14ac:dyDescent="0.2">
      <c r="A108" s="3" t="s">
        <v>59</v>
      </c>
      <c r="B108" t="s">
        <v>939</v>
      </c>
      <c r="C108" s="3">
        <v>17</v>
      </c>
      <c r="D108" t="str">
        <f t="shared" si="1"/>
        <v>Douglas - Ouest du Massif Central (INRA, N.Decourt, 1972) - classe 1_17</v>
      </c>
      <c r="E108" s="3">
        <v>245.8</v>
      </c>
      <c r="F108" s="3">
        <v>0</v>
      </c>
      <c r="G108" s="3">
        <v>245.8</v>
      </c>
    </row>
    <row r="109" spans="1:7" x14ac:dyDescent="0.2">
      <c r="A109" s="3" t="s">
        <v>59</v>
      </c>
      <c r="B109" t="s">
        <v>939</v>
      </c>
      <c r="C109" s="3">
        <v>18</v>
      </c>
      <c r="D109" t="str">
        <f t="shared" si="1"/>
        <v>Douglas - Ouest du Massif Central (INRA, N.Decourt, 1972) - classe 1_18</v>
      </c>
      <c r="E109" s="3">
        <v>274.2</v>
      </c>
      <c r="F109" s="3">
        <v>0</v>
      </c>
      <c r="G109" s="3">
        <v>274.2</v>
      </c>
    </row>
    <row r="110" spans="1:7" x14ac:dyDescent="0.2">
      <c r="A110" s="3" t="s">
        <v>59</v>
      </c>
      <c r="B110" t="s">
        <v>939</v>
      </c>
      <c r="C110" s="3">
        <v>19</v>
      </c>
      <c r="D110" t="str">
        <f t="shared" si="1"/>
        <v>Douglas - Ouest du Massif Central (INRA, N.Decourt, 1972) - classe 1_19</v>
      </c>
      <c r="E110" s="3">
        <v>302.59999999999997</v>
      </c>
      <c r="F110" s="3">
        <v>0</v>
      </c>
      <c r="G110" s="3">
        <v>302.59999999999997</v>
      </c>
    </row>
    <row r="111" spans="1:7" x14ac:dyDescent="0.2">
      <c r="A111" s="3" t="s">
        <v>59</v>
      </c>
      <c r="B111" t="s">
        <v>939</v>
      </c>
      <c r="C111" s="3">
        <v>20</v>
      </c>
      <c r="D111" t="str">
        <f t="shared" si="1"/>
        <v>Douglas - Ouest du Massif Central (INRA, N.Decourt, 1972) - classe 1_20</v>
      </c>
      <c r="E111" s="3">
        <v>331</v>
      </c>
      <c r="F111" s="3">
        <v>11</v>
      </c>
      <c r="G111" s="3">
        <v>320</v>
      </c>
    </row>
    <row r="112" spans="1:7" x14ac:dyDescent="0.2">
      <c r="A112" s="3" t="s">
        <v>59</v>
      </c>
      <c r="B112" t="s">
        <v>939</v>
      </c>
      <c r="C112" s="3">
        <v>21</v>
      </c>
      <c r="D112" t="str">
        <f t="shared" si="1"/>
        <v>Douglas - Ouest du Massif Central (INRA, N.Decourt, 1972) - classe 1_21</v>
      </c>
      <c r="E112" s="3">
        <v>349.8</v>
      </c>
      <c r="F112" s="3">
        <v>0</v>
      </c>
      <c r="G112" s="3">
        <v>349.8</v>
      </c>
    </row>
    <row r="113" spans="1:7" x14ac:dyDescent="0.2">
      <c r="A113" s="3" t="s">
        <v>59</v>
      </c>
      <c r="B113" t="s">
        <v>939</v>
      </c>
      <c r="C113" s="3">
        <v>22</v>
      </c>
      <c r="D113" t="str">
        <f t="shared" si="1"/>
        <v>Douglas - Ouest du Massif Central (INRA, N.Decourt, 1972) - classe 1_22</v>
      </c>
      <c r="E113" s="3">
        <v>379.6</v>
      </c>
      <c r="F113" s="3">
        <v>0</v>
      </c>
      <c r="G113" s="3">
        <v>379.6</v>
      </c>
    </row>
    <row r="114" spans="1:7" x14ac:dyDescent="0.2">
      <c r="A114" s="3" t="s">
        <v>59</v>
      </c>
      <c r="B114" t="s">
        <v>939</v>
      </c>
      <c r="C114" s="3">
        <v>23</v>
      </c>
      <c r="D114" t="str">
        <f t="shared" si="1"/>
        <v>Douglas - Ouest du Massif Central (INRA, N.Decourt, 1972) - classe 1_23</v>
      </c>
      <c r="E114" s="3">
        <v>409.40000000000003</v>
      </c>
      <c r="F114" s="3">
        <v>0</v>
      </c>
      <c r="G114" s="3">
        <v>409.40000000000003</v>
      </c>
    </row>
    <row r="115" spans="1:7" x14ac:dyDescent="0.2">
      <c r="A115" s="3" t="s">
        <v>59</v>
      </c>
      <c r="B115" t="s">
        <v>939</v>
      </c>
      <c r="C115" s="3">
        <v>24</v>
      </c>
      <c r="D115" t="str">
        <f t="shared" si="1"/>
        <v>Douglas - Ouest du Massif Central (INRA, N.Decourt, 1972) - classe 1_24</v>
      </c>
      <c r="E115" s="3">
        <v>439.20000000000005</v>
      </c>
      <c r="F115" s="3">
        <v>0</v>
      </c>
      <c r="G115" s="3">
        <v>439.20000000000005</v>
      </c>
    </row>
    <row r="116" spans="1:7" x14ac:dyDescent="0.2">
      <c r="A116" s="3" t="s">
        <v>59</v>
      </c>
      <c r="B116" t="s">
        <v>939</v>
      </c>
      <c r="C116" s="3">
        <v>25</v>
      </c>
      <c r="D116" t="str">
        <f t="shared" si="1"/>
        <v>Douglas - Ouest du Massif Central (INRA, N.Decourt, 1972) - classe 1_25</v>
      </c>
      <c r="E116" s="3">
        <v>469</v>
      </c>
      <c r="F116" s="3">
        <v>46</v>
      </c>
      <c r="G116" s="3">
        <v>423</v>
      </c>
    </row>
    <row r="117" spans="1:7" x14ac:dyDescent="0.2">
      <c r="A117" s="3" t="s">
        <v>59</v>
      </c>
      <c r="B117" t="s">
        <v>939</v>
      </c>
      <c r="C117" s="3">
        <v>26</v>
      </c>
      <c r="D117" t="str">
        <f t="shared" si="1"/>
        <v>Douglas - Ouest du Massif Central (INRA, N.Decourt, 1972) - classe 1_26</v>
      </c>
      <c r="E117" s="3">
        <v>450.4</v>
      </c>
      <c r="F117" s="3">
        <v>0</v>
      </c>
      <c r="G117" s="3">
        <v>450.4</v>
      </c>
    </row>
    <row r="118" spans="1:7" x14ac:dyDescent="0.2">
      <c r="A118" s="3" t="s">
        <v>59</v>
      </c>
      <c r="B118" t="s">
        <v>939</v>
      </c>
      <c r="C118" s="3">
        <v>27</v>
      </c>
      <c r="D118" t="str">
        <f t="shared" si="1"/>
        <v>Douglas - Ouest du Massif Central (INRA, N.Decourt, 1972) - classe 1_27</v>
      </c>
      <c r="E118" s="3">
        <v>477.79999999999995</v>
      </c>
      <c r="F118" s="3">
        <v>0</v>
      </c>
      <c r="G118" s="3">
        <v>477.79999999999995</v>
      </c>
    </row>
    <row r="119" spans="1:7" x14ac:dyDescent="0.2">
      <c r="A119" s="3" t="s">
        <v>59</v>
      </c>
      <c r="B119" t="s">
        <v>939</v>
      </c>
      <c r="C119" s="3">
        <v>28</v>
      </c>
      <c r="D119" t="str">
        <f t="shared" si="1"/>
        <v>Douglas - Ouest du Massif Central (INRA, N.Decourt, 1972) - classe 1_28</v>
      </c>
      <c r="E119" s="3">
        <v>505.19999999999993</v>
      </c>
      <c r="F119" s="3">
        <v>0</v>
      </c>
      <c r="G119" s="3">
        <v>505.19999999999993</v>
      </c>
    </row>
    <row r="120" spans="1:7" x14ac:dyDescent="0.2">
      <c r="A120" s="3" t="s">
        <v>59</v>
      </c>
      <c r="B120" t="s">
        <v>939</v>
      </c>
      <c r="C120" s="3">
        <v>29</v>
      </c>
      <c r="D120" t="str">
        <f t="shared" si="1"/>
        <v>Douglas - Ouest du Massif Central (INRA, N.Decourt, 1972) - classe 1_29</v>
      </c>
      <c r="E120" s="3">
        <v>532.59999999999991</v>
      </c>
      <c r="F120" s="3">
        <v>0</v>
      </c>
      <c r="G120" s="3">
        <v>532.59999999999991</v>
      </c>
    </row>
    <row r="121" spans="1:7" x14ac:dyDescent="0.2">
      <c r="A121" s="3" t="s">
        <v>59</v>
      </c>
      <c r="B121" t="s">
        <v>939</v>
      </c>
      <c r="C121" s="3">
        <v>30</v>
      </c>
      <c r="D121" t="str">
        <f t="shared" si="1"/>
        <v>Douglas - Ouest du Massif Central (INRA, N.Decourt, 1972) - classe 1_30</v>
      </c>
      <c r="E121" s="3">
        <v>560</v>
      </c>
      <c r="F121" s="3">
        <v>67</v>
      </c>
      <c r="G121" s="3">
        <v>493</v>
      </c>
    </row>
    <row r="122" spans="1:7" x14ac:dyDescent="0.2">
      <c r="A122" s="3" t="s">
        <v>59</v>
      </c>
      <c r="B122" t="s">
        <v>940</v>
      </c>
      <c r="C122" s="3">
        <v>1</v>
      </c>
      <c r="D122" t="str">
        <f t="shared" si="1"/>
        <v>Douglas - Ouest du Massif Central (INRA, N.Decourt, 1972) - classe 2_1</v>
      </c>
      <c r="E122" s="3">
        <v>8.4</v>
      </c>
      <c r="F122" s="3">
        <v>0</v>
      </c>
      <c r="G122" s="3">
        <v>8.4</v>
      </c>
    </row>
    <row r="123" spans="1:7" x14ac:dyDescent="0.2">
      <c r="A123" s="3" t="s">
        <v>59</v>
      </c>
      <c r="B123" t="s">
        <v>940</v>
      </c>
      <c r="C123" s="3">
        <v>2</v>
      </c>
      <c r="D123" t="str">
        <f t="shared" si="1"/>
        <v>Douglas - Ouest du Massif Central (INRA, N.Decourt, 1972) - classe 2_2</v>
      </c>
      <c r="E123" s="3">
        <v>16.8</v>
      </c>
      <c r="F123" s="3">
        <v>0</v>
      </c>
      <c r="G123" s="3">
        <v>16.8</v>
      </c>
    </row>
    <row r="124" spans="1:7" x14ac:dyDescent="0.2">
      <c r="A124" s="3" t="s">
        <v>59</v>
      </c>
      <c r="B124" t="s">
        <v>940</v>
      </c>
      <c r="C124" s="3">
        <v>3</v>
      </c>
      <c r="D124" t="str">
        <f t="shared" si="1"/>
        <v>Douglas - Ouest du Massif Central (INRA, N.Decourt, 1972) - classe 2_3</v>
      </c>
      <c r="E124" s="3">
        <v>25.200000000000003</v>
      </c>
      <c r="F124" s="3">
        <v>0</v>
      </c>
      <c r="G124" s="3">
        <v>25.200000000000003</v>
      </c>
    </row>
    <row r="125" spans="1:7" x14ac:dyDescent="0.2">
      <c r="A125" s="3" t="s">
        <v>59</v>
      </c>
      <c r="B125" t="s">
        <v>940</v>
      </c>
      <c r="C125" s="3">
        <v>4</v>
      </c>
      <c r="D125" t="str">
        <f t="shared" si="1"/>
        <v>Douglas - Ouest du Massif Central (INRA, N.Decourt, 1972) - classe 2_4</v>
      </c>
      <c r="E125" s="3">
        <v>33.6</v>
      </c>
      <c r="F125" s="3">
        <v>0</v>
      </c>
      <c r="G125" s="3">
        <v>33.6</v>
      </c>
    </row>
    <row r="126" spans="1:7" x14ac:dyDescent="0.2">
      <c r="A126" s="3" t="s">
        <v>59</v>
      </c>
      <c r="B126" t="s">
        <v>940</v>
      </c>
      <c r="C126" s="3">
        <v>5</v>
      </c>
      <c r="D126" t="str">
        <f t="shared" si="1"/>
        <v>Douglas - Ouest du Massif Central (INRA, N.Decourt, 1972) - classe 2_5</v>
      </c>
      <c r="E126" s="3">
        <v>42</v>
      </c>
      <c r="F126" s="3">
        <v>0</v>
      </c>
      <c r="G126" s="3">
        <v>42</v>
      </c>
    </row>
    <row r="127" spans="1:7" x14ac:dyDescent="0.2">
      <c r="A127" s="3" t="s">
        <v>59</v>
      </c>
      <c r="B127" t="s">
        <v>940</v>
      </c>
      <c r="C127" s="3">
        <v>6</v>
      </c>
      <c r="D127" t="str">
        <f t="shared" si="1"/>
        <v>Douglas - Ouest du Massif Central (INRA, N.Decourt, 1972) - classe 2_6</v>
      </c>
      <c r="E127" s="3">
        <v>50.4</v>
      </c>
      <c r="F127" s="3">
        <v>0</v>
      </c>
      <c r="G127" s="3">
        <v>50.4</v>
      </c>
    </row>
    <row r="128" spans="1:7" x14ac:dyDescent="0.2">
      <c r="A128" s="3" t="s">
        <v>59</v>
      </c>
      <c r="B128" t="s">
        <v>940</v>
      </c>
      <c r="C128" s="3">
        <v>7</v>
      </c>
      <c r="D128" t="str">
        <f t="shared" si="1"/>
        <v>Douglas - Ouest du Massif Central (INRA, N.Decourt, 1972) - classe 2_7</v>
      </c>
      <c r="E128" s="3">
        <v>58.8</v>
      </c>
      <c r="F128" s="3">
        <v>0</v>
      </c>
      <c r="G128" s="3">
        <v>58.8</v>
      </c>
    </row>
    <row r="129" spans="1:7" x14ac:dyDescent="0.2">
      <c r="A129" s="3" t="s">
        <v>59</v>
      </c>
      <c r="B129" t="s">
        <v>940</v>
      </c>
      <c r="C129" s="3">
        <v>8</v>
      </c>
      <c r="D129" t="str">
        <f t="shared" si="1"/>
        <v>Douglas - Ouest du Massif Central (INRA, N.Decourt, 1972) - classe 2_8</v>
      </c>
      <c r="E129" s="3">
        <v>67.2</v>
      </c>
      <c r="F129" s="3">
        <v>0</v>
      </c>
      <c r="G129" s="3">
        <v>67.2</v>
      </c>
    </row>
    <row r="130" spans="1:7" x14ac:dyDescent="0.2">
      <c r="A130" s="3" t="s">
        <v>59</v>
      </c>
      <c r="B130" t="s">
        <v>940</v>
      </c>
      <c r="C130" s="3">
        <v>9</v>
      </c>
      <c r="D130" t="str">
        <f t="shared" si="1"/>
        <v>Douglas - Ouest du Massif Central (INRA, N.Decourt, 1972) - classe 2_9</v>
      </c>
      <c r="E130" s="3">
        <v>75.600000000000009</v>
      </c>
      <c r="F130" s="3">
        <v>0</v>
      </c>
      <c r="G130" s="3">
        <v>75.600000000000009</v>
      </c>
    </row>
    <row r="131" spans="1:7" x14ac:dyDescent="0.2">
      <c r="A131" s="3" t="s">
        <v>59</v>
      </c>
      <c r="B131" t="s">
        <v>940</v>
      </c>
      <c r="C131" s="3">
        <v>10</v>
      </c>
      <c r="D131" t="str">
        <f t="shared" ref="D131:D194" si="2">CONCATENATE(B131,"_",C131)</f>
        <v>Douglas - Ouest du Massif Central (INRA, N.Decourt, 1972) - classe 2_10</v>
      </c>
      <c r="E131" s="3">
        <v>84.000000000000014</v>
      </c>
      <c r="F131" s="3">
        <v>0</v>
      </c>
      <c r="G131" s="3">
        <v>84.000000000000014</v>
      </c>
    </row>
    <row r="132" spans="1:7" x14ac:dyDescent="0.2">
      <c r="A132" s="3" t="s">
        <v>59</v>
      </c>
      <c r="B132" t="s">
        <v>940</v>
      </c>
      <c r="C132" s="3">
        <v>11</v>
      </c>
      <c r="D132" t="str">
        <f t="shared" si="2"/>
        <v>Douglas - Ouest du Massif Central (INRA, N.Decourt, 1972) - classe 2_11</v>
      </c>
      <c r="E132" s="3">
        <v>92.40000000000002</v>
      </c>
      <c r="F132" s="3">
        <v>0</v>
      </c>
      <c r="G132" s="3">
        <v>92.40000000000002</v>
      </c>
    </row>
    <row r="133" spans="1:7" x14ac:dyDescent="0.2">
      <c r="A133" s="3" t="s">
        <v>59</v>
      </c>
      <c r="B133" t="s">
        <v>940</v>
      </c>
      <c r="C133" s="3">
        <v>12</v>
      </c>
      <c r="D133" t="str">
        <f t="shared" si="2"/>
        <v>Douglas - Ouest du Massif Central (INRA, N.Decourt, 1972) - classe 2_12</v>
      </c>
      <c r="E133" s="3">
        <v>100.80000000000003</v>
      </c>
      <c r="F133" s="3">
        <v>0</v>
      </c>
      <c r="G133" s="3">
        <v>100.80000000000003</v>
      </c>
    </row>
    <row r="134" spans="1:7" x14ac:dyDescent="0.2">
      <c r="A134" s="3" t="s">
        <v>59</v>
      </c>
      <c r="B134" t="s">
        <v>940</v>
      </c>
      <c r="C134" s="3">
        <v>13</v>
      </c>
      <c r="D134" t="str">
        <f t="shared" si="2"/>
        <v>Douglas - Ouest du Massif Central (INRA, N.Decourt, 1972) - classe 2_13</v>
      </c>
      <c r="E134" s="3">
        <v>109.20000000000003</v>
      </c>
      <c r="F134" s="3">
        <v>0</v>
      </c>
      <c r="G134" s="3">
        <v>109.20000000000003</v>
      </c>
    </row>
    <row r="135" spans="1:7" x14ac:dyDescent="0.2">
      <c r="A135" s="3" t="s">
        <v>59</v>
      </c>
      <c r="B135" t="s">
        <v>940</v>
      </c>
      <c r="C135" s="3">
        <v>14</v>
      </c>
      <c r="D135" t="str">
        <f t="shared" si="2"/>
        <v>Douglas - Ouest du Massif Central (INRA, N.Decourt, 1972) - classe 2_14</v>
      </c>
      <c r="E135" s="3">
        <v>117.60000000000004</v>
      </c>
      <c r="F135" s="3">
        <v>0</v>
      </c>
      <c r="G135" s="3">
        <v>117.60000000000004</v>
      </c>
    </row>
    <row r="136" spans="1:7" x14ac:dyDescent="0.2">
      <c r="A136" s="3" t="s">
        <v>59</v>
      </c>
      <c r="B136" t="s">
        <v>940</v>
      </c>
      <c r="C136" s="3">
        <v>15</v>
      </c>
      <c r="D136" t="str">
        <f t="shared" si="2"/>
        <v>Douglas - Ouest du Massif Central (INRA, N.Decourt, 1972) - classe 2_15</v>
      </c>
      <c r="E136" s="3">
        <v>126</v>
      </c>
      <c r="F136" s="3">
        <v>0</v>
      </c>
      <c r="G136" s="3">
        <v>126</v>
      </c>
    </row>
    <row r="137" spans="1:7" x14ac:dyDescent="0.2">
      <c r="A137" s="3" t="s">
        <v>59</v>
      </c>
      <c r="B137" t="s">
        <v>940</v>
      </c>
      <c r="C137" s="3">
        <v>16</v>
      </c>
      <c r="D137" t="str">
        <f t="shared" si="2"/>
        <v>Douglas - Ouest du Massif Central (INRA, N.Decourt, 1972) - classe 2_16</v>
      </c>
      <c r="E137" s="3">
        <v>148.4</v>
      </c>
      <c r="F137" s="3">
        <v>0</v>
      </c>
      <c r="G137" s="3">
        <v>148.4</v>
      </c>
    </row>
    <row r="138" spans="1:7" x14ac:dyDescent="0.2">
      <c r="A138" s="3" t="s">
        <v>59</v>
      </c>
      <c r="B138" t="s">
        <v>940</v>
      </c>
      <c r="C138" s="3">
        <v>17</v>
      </c>
      <c r="D138" t="str">
        <f t="shared" si="2"/>
        <v>Douglas - Ouest du Massif Central (INRA, N.Decourt, 1972) - classe 2_17</v>
      </c>
      <c r="E138" s="3">
        <v>170.8</v>
      </c>
      <c r="F138" s="3">
        <v>0</v>
      </c>
      <c r="G138" s="3">
        <v>170.8</v>
      </c>
    </row>
    <row r="139" spans="1:7" x14ac:dyDescent="0.2">
      <c r="A139" s="3" t="s">
        <v>59</v>
      </c>
      <c r="B139" t="s">
        <v>940</v>
      </c>
      <c r="C139" s="3">
        <v>18</v>
      </c>
      <c r="D139" t="str">
        <f t="shared" si="2"/>
        <v>Douglas - Ouest du Massif Central (INRA, N.Decourt, 1972) - classe 2_18</v>
      </c>
      <c r="E139" s="3">
        <v>193.20000000000002</v>
      </c>
      <c r="F139" s="3">
        <v>0</v>
      </c>
      <c r="G139" s="3">
        <v>193.20000000000002</v>
      </c>
    </row>
    <row r="140" spans="1:7" x14ac:dyDescent="0.2">
      <c r="A140" s="3" t="s">
        <v>59</v>
      </c>
      <c r="B140" t="s">
        <v>940</v>
      </c>
      <c r="C140" s="3">
        <v>19</v>
      </c>
      <c r="D140" t="str">
        <f t="shared" si="2"/>
        <v>Douglas - Ouest du Massif Central (INRA, N.Decourt, 1972) - classe 2_19</v>
      </c>
      <c r="E140" s="3">
        <v>215.60000000000002</v>
      </c>
      <c r="F140" s="3">
        <v>0</v>
      </c>
      <c r="G140" s="3">
        <v>215.60000000000002</v>
      </c>
    </row>
    <row r="141" spans="1:7" x14ac:dyDescent="0.2">
      <c r="A141" s="3" t="s">
        <v>59</v>
      </c>
      <c r="B141" t="s">
        <v>940</v>
      </c>
      <c r="C141" s="3">
        <v>20</v>
      </c>
      <c r="D141" t="str">
        <f t="shared" si="2"/>
        <v>Douglas - Ouest du Massif Central (INRA, N.Decourt, 1972) - classe 2_20</v>
      </c>
      <c r="E141" s="3">
        <v>238</v>
      </c>
      <c r="F141" s="3">
        <v>0</v>
      </c>
      <c r="G141" s="3">
        <v>238</v>
      </c>
    </row>
    <row r="142" spans="1:7" x14ac:dyDescent="0.2">
      <c r="A142" s="3" t="s">
        <v>59</v>
      </c>
      <c r="B142" t="s">
        <v>940</v>
      </c>
      <c r="C142" s="3">
        <v>21</v>
      </c>
      <c r="D142" t="str">
        <f t="shared" si="2"/>
        <v>Douglas - Ouest du Massif Central (INRA, N.Decourt, 1972) - classe 2_21</v>
      </c>
      <c r="E142" s="3">
        <v>264.8</v>
      </c>
      <c r="F142" s="3">
        <v>0</v>
      </c>
      <c r="G142" s="3">
        <v>264.8</v>
      </c>
    </row>
    <row r="143" spans="1:7" x14ac:dyDescent="0.2">
      <c r="A143" s="3" t="s">
        <v>59</v>
      </c>
      <c r="B143" t="s">
        <v>940</v>
      </c>
      <c r="C143" s="3">
        <v>22</v>
      </c>
      <c r="D143" t="str">
        <f t="shared" si="2"/>
        <v>Douglas - Ouest du Massif Central (INRA, N.Decourt, 1972) - classe 2_22</v>
      </c>
      <c r="E143" s="3">
        <v>291.60000000000002</v>
      </c>
      <c r="F143" s="3">
        <v>0</v>
      </c>
      <c r="G143" s="3">
        <v>291.60000000000002</v>
      </c>
    </row>
    <row r="144" spans="1:7" x14ac:dyDescent="0.2">
      <c r="A144" s="3" t="s">
        <v>59</v>
      </c>
      <c r="B144" t="s">
        <v>940</v>
      </c>
      <c r="C144" s="3">
        <v>23</v>
      </c>
      <c r="D144" t="str">
        <f t="shared" si="2"/>
        <v>Douglas - Ouest du Massif Central (INRA, N.Decourt, 1972) - classe 2_23</v>
      </c>
      <c r="E144" s="3">
        <v>318.40000000000003</v>
      </c>
      <c r="F144" s="3">
        <v>0</v>
      </c>
      <c r="G144" s="3">
        <v>318.40000000000003</v>
      </c>
    </row>
    <row r="145" spans="1:7" x14ac:dyDescent="0.2">
      <c r="A145" s="3" t="s">
        <v>59</v>
      </c>
      <c r="B145" t="s">
        <v>940</v>
      </c>
      <c r="C145" s="3">
        <v>24</v>
      </c>
      <c r="D145" t="str">
        <f t="shared" si="2"/>
        <v>Douglas - Ouest du Massif Central (INRA, N.Decourt, 1972) - classe 2_24</v>
      </c>
      <c r="E145" s="3">
        <v>345.20000000000005</v>
      </c>
      <c r="F145" s="3">
        <v>0</v>
      </c>
      <c r="G145" s="3">
        <v>345.20000000000005</v>
      </c>
    </row>
    <row r="146" spans="1:7" x14ac:dyDescent="0.2">
      <c r="A146" s="3" t="s">
        <v>59</v>
      </c>
      <c r="B146" t="s">
        <v>940</v>
      </c>
      <c r="C146" s="3">
        <v>25</v>
      </c>
      <c r="D146" t="str">
        <f t="shared" si="2"/>
        <v>Douglas - Ouest du Massif Central (INRA, N.Decourt, 1972) - classe 2_25</v>
      </c>
      <c r="E146" s="3">
        <v>372</v>
      </c>
      <c r="F146" s="3">
        <v>21</v>
      </c>
      <c r="G146" s="3">
        <v>351</v>
      </c>
    </row>
    <row r="147" spans="1:7" x14ac:dyDescent="0.2">
      <c r="A147" s="3" t="s">
        <v>59</v>
      </c>
      <c r="B147" t="s">
        <v>940</v>
      </c>
      <c r="C147" s="3">
        <v>26</v>
      </c>
      <c r="D147" t="str">
        <f t="shared" si="2"/>
        <v>Douglas - Ouest du Massif Central (INRA, N.Decourt, 1972) - classe 2_26</v>
      </c>
      <c r="E147" s="3">
        <v>377.6</v>
      </c>
      <c r="F147" s="3">
        <v>0</v>
      </c>
      <c r="G147" s="3">
        <v>377.6</v>
      </c>
    </row>
    <row r="148" spans="1:7" x14ac:dyDescent="0.2">
      <c r="A148" s="3" t="s">
        <v>59</v>
      </c>
      <c r="B148" t="s">
        <v>940</v>
      </c>
      <c r="C148" s="3">
        <v>27</v>
      </c>
      <c r="D148" t="str">
        <f t="shared" si="2"/>
        <v>Douglas - Ouest du Massif Central (INRA, N.Decourt, 1972) - classe 2_27</v>
      </c>
      <c r="E148" s="3">
        <v>404.20000000000005</v>
      </c>
      <c r="F148" s="3">
        <v>0</v>
      </c>
      <c r="G148" s="3">
        <v>404.20000000000005</v>
      </c>
    </row>
    <row r="149" spans="1:7" x14ac:dyDescent="0.2">
      <c r="A149" s="3" t="s">
        <v>59</v>
      </c>
      <c r="B149" t="s">
        <v>940</v>
      </c>
      <c r="C149" s="3">
        <v>28</v>
      </c>
      <c r="D149" t="str">
        <f t="shared" si="2"/>
        <v>Douglas - Ouest du Massif Central (INRA, N.Decourt, 1972) - classe 2_28</v>
      </c>
      <c r="E149" s="3">
        <v>430.80000000000007</v>
      </c>
      <c r="F149" s="3">
        <v>0</v>
      </c>
      <c r="G149" s="3">
        <v>430.80000000000007</v>
      </c>
    </row>
    <row r="150" spans="1:7" x14ac:dyDescent="0.2">
      <c r="A150" s="3" t="s">
        <v>59</v>
      </c>
      <c r="B150" t="s">
        <v>940</v>
      </c>
      <c r="C150" s="3">
        <v>29</v>
      </c>
      <c r="D150" t="str">
        <f t="shared" si="2"/>
        <v>Douglas - Ouest du Massif Central (INRA, N.Decourt, 1972) - classe 2_29</v>
      </c>
      <c r="E150" s="3">
        <v>457.40000000000009</v>
      </c>
      <c r="F150" s="3">
        <v>0</v>
      </c>
      <c r="G150" s="3">
        <v>457.40000000000009</v>
      </c>
    </row>
    <row r="151" spans="1:7" x14ac:dyDescent="0.2">
      <c r="A151" s="3" t="s">
        <v>59</v>
      </c>
      <c r="B151" t="s">
        <v>940</v>
      </c>
      <c r="C151" s="3">
        <v>30</v>
      </c>
      <c r="D151" t="str">
        <f t="shared" si="2"/>
        <v>Douglas - Ouest du Massif Central (INRA, N.Decourt, 1972) - classe 2_30</v>
      </c>
      <c r="E151" s="3">
        <v>484</v>
      </c>
      <c r="F151" s="3">
        <v>48</v>
      </c>
      <c r="G151" s="3">
        <v>436</v>
      </c>
    </row>
    <row r="152" spans="1:7" x14ac:dyDescent="0.2">
      <c r="A152" s="3" t="s">
        <v>59</v>
      </c>
      <c r="B152" t="s">
        <v>941</v>
      </c>
      <c r="C152" s="3">
        <v>1</v>
      </c>
      <c r="D152" t="str">
        <f t="shared" si="2"/>
        <v>Douglas - Ouest du Massif Central (INRA, N.Decourt, 1972) - classe 3_1</v>
      </c>
      <c r="E152" s="3">
        <v>5.1333333333333337</v>
      </c>
      <c r="F152" s="3">
        <v>0</v>
      </c>
      <c r="G152" s="3">
        <v>5.1333333333333337</v>
      </c>
    </row>
    <row r="153" spans="1:7" x14ac:dyDescent="0.2">
      <c r="A153" s="3" t="s">
        <v>59</v>
      </c>
      <c r="B153" t="s">
        <v>941</v>
      </c>
      <c r="C153" s="3">
        <v>2</v>
      </c>
      <c r="D153" t="str">
        <f t="shared" si="2"/>
        <v>Douglas - Ouest du Massif Central (INRA, N.Decourt, 1972) - classe 3_2</v>
      </c>
      <c r="E153" s="3">
        <v>10.266666666666667</v>
      </c>
      <c r="F153" s="3">
        <v>0</v>
      </c>
      <c r="G153" s="3">
        <v>10.266666666666667</v>
      </c>
    </row>
    <row r="154" spans="1:7" x14ac:dyDescent="0.2">
      <c r="A154" s="3" t="s">
        <v>59</v>
      </c>
      <c r="B154" t="s">
        <v>941</v>
      </c>
      <c r="C154" s="3">
        <v>3</v>
      </c>
      <c r="D154" t="str">
        <f t="shared" si="2"/>
        <v>Douglas - Ouest du Massif Central (INRA, N.Decourt, 1972) - classe 3_3</v>
      </c>
      <c r="E154" s="3">
        <v>15.400000000000002</v>
      </c>
      <c r="F154" s="3">
        <v>0</v>
      </c>
      <c r="G154" s="3">
        <v>15.400000000000002</v>
      </c>
    </row>
    <row r="155" spans="1:7" x14ac:dyDescent="0.2">
      <c r="A155" s="3" t="s">
        <v>59</v>
      </c>
      <c r="B155" t="s">
        <v>941</v>
      </c>
      <c r="C155" s="3">
        <v>4</v>
      </c>
      <c r="D155" t="str">
        <f t="shared" si="2"/>
        <v>Douglas - Ouest du Massif Central (INRA, N.Decourt, 1972) - classe 3_4</v>
      </c>
      <c r="E155" s="3">
        <v>20.533333333333335</v>
      </c>
      <c r="F155" s="3">
        <v>0</v>
      </c>
      <c r="G155" s="3">
        <v>20.533333333333335</v>
      </c>
    </row>
    <row r="156" spans="1:7" x14ac:dyDescent="0.2">
      <c r="A156" s="3" t="s">
        <v>59</v>
      </c>
      <c r="B156" t="s">
        <v>941</v>
      </c>
      <c r="C156" s="3">
        <v>5</v>
      </c>
      <c r="D156" t="str">
        <f t="shared" si="2"/>
        <v>Douglas - Ouest du Massif Central (INRA, N.Decourt, 1972) - classe 3_5</v>
      </c>
      <c r="E156" s="3">
        <v>25.666666666666668</v>
      </c>
      <c r="F156" s="3">
        <v>0</v>
      </c>
      <c r="G156" s="3">
        <v>25.666666666666668</v>
      </c>
    </row>
    <row r="157" spans="1:7" x14ac:dyDescent="0.2">
      <c r="A157" s="3" t="s">
        <v>59</v>
      </c>
      <c r="B157" t="s">
        <v>941</v>
      </c>
      <c r="C157" s="3">
        <v>6</v>
      </c>
      <c r="D157" t="str">
        <f t="shared" si="2"/>
        <v>Douglas - Ouest du Massif Central (INRA, N.Decourt, 1972) - classe 3_6</v>
      </c>
      <c r="E157" s="3">
        <v>30.8</v>
      </c>
      <c r="F157" s="3">
        <v>0</v>
      </c>
      <c r="G157" s="3">
        <v>30.8</v>
      </c>
    </row>
    <row r="158" spans="1:7" x14ac:dyDescent="0.2">
      <c r="A158" s="3" t="s">
        <v>59</v>
      </c>
      <c r="B158" t="s">
        <v>941</v>
      </c>
      <c r="C158" s="3">
        <v>7</v>
      </c>
      <c r="D158" t="str">
        <f t="shared" si="2"/>
        <v>Douglas - Ouest du Massif Central (INRA, N.Decourt, 1972) - classe 3_7</v>
      </c>
      <c r="E158" s="3">
        <v>35.933333333333337</v>
      </c>
      <c r="F158" s="3">
        <v>0</v>
      </c>
      <c r="G158" s="3">
        <v>35.933333333333337</v>
      </c>
    </row>
    <row r="159" spans="1:7" x14ac:dyDescent="0.2">
      <c r="A159" s="3" t="s">
        <v>59</v>
      </c>
      <c r="B159" t="s">
        <v>941</v>
      </c>
      <c r="C159" s="3">
        <v>8</v>
      </c>
      <c r="D159" t="str">
        <f t="shared" si="2"/>
        <v>Douglas - Ouest du Massif Central (INRA, N.Decourt, 1972) - classe 3_8</v>
      </c>
      <c r="E159" s="3">
        <v>41.06666666666667</v>
      </c>
      <c r="F159" s="3">
        <v>0</v>
      </c>
      <c r="G159" s="3">
        <v>41.06666666666667</v>
      </c>
    </row>
    <row r="160" spans="1:7" x14ac:dyDescent="0.2">
      <c r="A160" s="3" t="s">
        <v>59</v>
      </c>
      <c r="B160" t="s">
        <v>941</v>
      </c>
      <c r="C160" s="3">
        <v>9</v>
      </c>
      <c r="D160" t="str">
        <f t="shared" si="2"/>
        <v>Douglas - Ouest du Massif Central (INRA, N.Decourt, 1972) - classe 3_9</v>
      </c>
      <c r="E160" s="3">
        <v>46.2</v>
      </c>
      <c r="F160" s="3">
        <v>0</v>
      </c>
      <c r="G160" s="3">
        <v>46.2</v>
      </c>
    </row>
    <row r="161" spans="1:7" x14ac:dyDescent="0.2">
      <c r="A161" s="3" t="s">
        <v>59</v>
      </c>
      <c r="B161" t="s">
        <v>941</v>
      </c>
      <c r="C161" s="3">
        <v>10</v>
      </c>
      <c r="D161" t="str">
        <f t="shared" si="2"/>
        <v>Douglas - Ouest du Massif Central (INRA, N.Decourt, 1972) - classe 3_10</v>
      </c>
      <c r="E161" s="3">
        <v>51.333333333333336</v>
      </c>
      <c r="F161" s="3">
        <v>0</v>
      </c>
      <c r="G161" s="3">
        <v>51.333333333333336</v>
      </c>
    </row>
    <row r="162" spans="1:7" x14ac:dyDescent="0.2">
      <c r="A162" s="3" t="s">
        <v>59</v>
      </c>
      <c r="B162" t="s">
        <v>941</v>
      </c>
      <c r="C162" s="3">
        <v>11</v>
      </c>
      <c r="D162" t="str">
        <f t="shared" si="2"/>
        <v>Douglas - Ouest du Massif Central (INRA, N.Decourt, 1972) - classe 3_11</v>
      </c>
      <c r="E162" s="3">
        <v>56.466666666666669</v>
      </c>
      <c r="F162" s="3">
        <v>0</v>
      </c>
      <c r="G162" s="3">
        <v>56.466666666666669</v>
      </c>
    </row>
    <row r="163" spans="1:7" x14ac:dyDescent="0.2">
      <c r="A163" s="3" t="s">
        <v>59</v>
      </c>
      <c r="B163" t="s">
        <v>941</v>
      </c>
      <c r="C163" s="3">
        <v>12</v>
      </c>
      <c r="D163" t="str">
        <f t="shared" si="2"/>
        <v>Douglas - Ouest du Massif Central (INRA, N.Decourt, 1972) - classe 3_12</v>
      </c>
      <c r="E163" s="3">
        <v>61.6</v>
      </c>
      <c r="F163" s="3">
        <v>0</v>
      </c>
      <c r="G163" s="3">
        <v>61.6</v>
      </c>
    </row>
    <row r="164" spans="1:7" x14ac:dyDescent="0.2">
      <c r="A164" s="3" t="s">
        <v>59</v>
      </c>
      <c r="B164" t="s">
        <v>941</v>
      </c>
      <c r="C164" s="3">
        <v>13</v>
      </c>
      <c r="D164" t="str">
        <f t="shared" si="2"/>
        <v>Douglas - Ouest du Massif Central (INRA, N.Decourt, 1972) - classe 3_13</v>
      </c>
      <c r="E164" s="3">
        <v>66.733333333333334</v>
      </c>
      <c r="F164" s="3">
        <v>0</v>
      </c>
      <c r="G164" s="3">
        <v>66.733333333333334</v>
      </c>
    </row>
    <row r="165" spans="1:7" x14ac:dyDescent="0.2">
      <c r="A165" s="3" t="s">
        <v>59</v>
      </c>
      <c r="B165" t="s">
        <v>941</v>
      </c>
      <c r="C165" s="3">
        <v>14</v>
      </c>
      <c r="D165" t="str">
        <f t="shared" si="2"/>
        <v>Douglas - Ouest du Massif Central (INRA, N.Decourt, 1972) - classe 3_14</v>
      </c>
      <c r="E165" s="3">
        <v>71.866666666666674</v>
      </c>
      <c r="F165" s="3">
        <v>0</v>
      </c>
      <c r="G165" s="3">
        <v>71.866666666666674</v>
      </c>
    </row>
    <row r="166" spans="1:7" x14ac:dyDescent="0.2">
      <c r="A166" s="3" t="s">
        <v>59</v>
      </c>
      <c r="B166" t="s">
        <v>941</v>
      </c>
      <c r="C166" s="3">
        <v>15</v>
      </c>
      <c r="D166" t="str">
        <f t="shared" si="2"/>
        <v>Douglas - Ouest du Massif Central (INRA, N.Decourt, 1972) - classe 3_15</v>
      </c>
      <c r="E166" s="3">
        <v>77</v>
      </c>
      <c r="F166" s="3">
        <v>0</v>
      </c>
      <c r="G166" s="3">
        <v>77</v>
      </c>
    </row>
    <row r="167" spans="1:7" x14ac:dyDescent="0.2">
      <c r="A167" s="3" t="s">
        <v>59</v>
      </c>
      <c r="B167" t="s">
        <v>941</v>
      </c>
      <c r="C167" s="3">
        <v>16</v>
      </c>
      <c r="D167" t="str">
        <f t="shared" si="2"/>
        <v>Douglas - Ouest du Massif Central (INRA, N.Decourt, 1972) - classe 3_16</v>
      </c>
      <c r="E167" s="3">
        <v>93.2</v>
      </c>
      <c r="F167" s="3">
        <v>0</v>
      </c>
      <c r="G167" s="3">
        <v>93.2</v>
      </c>
    </row>
    <row r="168" spans="1:7" x14ac:dyDescent="0.2">
      <c r="A168" s="3" t="s">
        <v>59</v>
      </c>
      <c r="B168" t="s">
        <v>941</v>
      </c>
      <c r="C168" s="3">
        <v>17</v>
      </c>
      <c r="D168" t="str">
        <f t="shared" si="2"/>
        <v>Douglas - Ouest du Massif Central (INRA, N.Decourt, 1972) - classe 3_17</v>
      </c>
      <c r="E168" s="3">
        <v>109.4</v>
      </c>
      <c r="F168" s="3">
        <v>0</v>
      </c>
      <c r="G168" s="3">
        <v>109.4</v>
      </c>
    </row>
    <row r="169" spans="1:7" x14ac:dyDescent="0.2">
      <c r="A169" s="3" t="s">
        <v>59</v>
      </c>
      <c r="B169" t="s">
        <v>941</v>
      </c>
      <c r="C169" s="3">
        <v>18</v>
      </c>
      <c r="D169" t="str">
        <f t="shared" si="2"/>
        <v>Douglas - Ouest du Massif Central (INRA, N.Decourt, 1972) - classe 3_18</v>
      </c>
      <c r="E169" s="3">
        <v>125.60000000000001</v>
      </c>
      <c r="F169" s="3">
        <v>0</v>
      </c>
      <c r="G169" s="3">
        <v>125.60000000000001</v>
      </c>
    </row>
    <row r="170" spans="1:7" x14ac:dyDescent="0.2">
      <c r="A170" s="3" t="s">
        <v>59</v>
      </c>
      <c r="B170" t="s">
        <v>941</v>
      </c>
      <c r="C170" s="3">
        <v>19</v>
      </c>
      <c r="D170" t="str">
        <f t="shared" si="2"/>
        <v>Douglas - Ouest du Massif Central (INRA, N.Decourt, 1972) - classe 3_19</v>
      </c>
      <c r="E170" s="3">
        <v>141.80000000000001</v>
      </c>
      <c r="F170" s="3">
        <v>0</v>
      </c>
      <c r="G170" s="3">
        <v>141.80000000000001</v>
      </c>
    </row>
    <row r="171" spans="1:7" x14ac:dyDescent="0.2">
      <c r="A171" s="3" t="s">
        <v>59</v>
      </c>
      <c r="B171" t="s">
        <v>941</v>
      </c>
      <c r="C171" s="3">
        <v>20</v>
      </c>
      <c r="D171" t="str">
        <f t="shared" si="2"/>
        <v>Douglas - Ouest du Massif Central (INRA, N.Decourt, 1972) - classe 3_20</v>
      </c>
      <c r="E171" s="3">
        <v>158</v>
      </c>
      <c r="F171" s="3">
        <v>0</v>
      </c>
      <c r="G171" s="3">
        <v>158</v>
      </c>
    </row>
    <row r="172" spans="1:7" x14ac:dyDescent="0.2">
      <c r="A172" s="3" t="s">
        <v>59</v>
      </c>
      <c r="B172" t="s">
        <v>941</v>
      </c>
      <c r="C172" s="3">
        <v>21</v>
      </c>
      <c r="D172" t="str">
        <f t="shared" si="2"/>
        <v>Douglas - Ouest du Massif Central (INRA, N.Decourt, 1972) - classe 3_21</v>
      </c>
      <c r="E172" s="3">
        <v>179.8</v>
      </c>
      <c r="F172" s="3">
        <v>0</v>
      </c>
      <c r="G172" s="3">
        <v>179.8</v>
      </c>
    </row>
    <row r="173" spans="1:7" x14ac:dyDescent="0.2">
      <c r="A173" s="3" t="s">
        <v>59</v>
      </c>
      <c r="B173" t="s">
        <v>941</v>
      </c>
      <c r="C173" s="3">
        <v>22</v>
      </c>
      <c r="D173" t="str">
        <f t="shared" si="2"/>
        <v>Douglas - Ouest du Massif Central (INRA, N.Decourt, 1972) - classe 3_22</v>
      </c>
      <c r="E173" s="3">
        <v>201.60000000000002</v>
      </c>
      <c r="F173" s="3">
        <v>0</v>
      </c>
      <c r="G173" s="3">
        <v>201.60000000000002</v>
      </c>
    </row>
    <row r="174" spans="1:7" x14ac:dyDescent="0.2">
      <c r="A174" s="3" t="s">
        <v>59</v>
      </c>
      <c r="B174" t="s">
        <v>941</v>
      </c>
      <c r="C174" s="3">
        <v>23</v>
      </c>
      <c r="D174" t="str">
        <f t="shared" si="2"/>
        <v>Douglas - Ouest du Massif Central (INRA, N.Decourt, 1972) - classe 3_23</v>
      </c>
      <c r="E174" s="3">
        <v>223.40000000000003</v>
      </c>
      <c r="F174" s="3">
        <v>0</v>
      </c>
      <c r="G174" s="3">
        <v>223.40000000000003</v>
      </c>
    </row>
    <row r="175" spans="1:7" x14ac:dyDescent="0.2">
      <c r="A175" s="3" t="s">
        <v>59</v>
      </c>
      <c r="B175" t="s">
        <v>941</v>
      </c>
      <c r="C175" s="3">
        <v>24</v>
      </c>
      <c r="D175" t="str">
        <f t="shared" si="2"/>
        <v>Douglas - Ouest du Massif Central (INRA, N.Decourt, 1972) - classe 3_24</v>
      </c>
      <c r="E175" s="3">
        <v>245.20000000000005</v>
      </c>
      <c r="F175" s="3">
        <v>0</v>
      </c>
      <c r="G175" s="3">
        <v>245.20000000000005</v>
      </c>
    </row>
    <row r="176" spans="1:7" x14ac:dyDescent="0.2">
      <c r="A176" s="3" t="s">
        <v>59</v>
      </c>
      <c r="B176" t="s">
        <v>941</v>
      </c>
      <c r="C176" s="3">
        <v>25</v>
      </c>
      <c r="D176" t="str">
        <f t="shared" si="2"/>
        <v>Douglas - Ouest du Massif Central (INRA, N.Decourt, 1972) - classe 3_25</v>
      </c>
      <c r="E176" s="3">
        <v>267</v>
      </c>
      <c r="F176" s="3">
        <v>0</v>
      </c>
      <c r="G176" s="3">
        <v>267</v>
      </c>
    </row>
    <row r="177" spans="1:7" x14ac:dyDescent="0.2">
      <c r="A177" s="3" t="s">
        <v>59</v>
      </c>
      <c r="B177" t="s">
        <v>941</v>
      </c>
      <c r="C177" s="3">
        <v>26</v>
      </c>
      <c r="D177" t="str">
        <f t="shared" si="2"/>
        <v>Douglas - Ouest du Massif Central (INRA, N.Decourt, 1972) - classe 3_26</v>
      </c>
      <c r="E177" s="3">
        <v>291.8</v>
      </c>
      <c r="F177" s="3">
        <v>0</v>
      </c>
      <c r="G177" s="3">
        <v>291.8</v>
      </c>
    </row>
    <row r="178" spans="1:7" x14ac:dyDescent="0.2">
      <c r="A178" s="3" t="s">
        <v>59</v>
      </c>
      <c r="B178" t="s">
        <v>941</v>
      </c>
      <c r="C178" s="3">
        <v>27</v>
      </c>
      <c r="D178" t="str">
        <f t="shared" si="2"/>
        <v>Douglas - Ouest du Massif Central (INRA, N.Decourt, 1972) - classe 3_27</v>
      </c>
      <c r="E178" s="3">
        <v>316.60000000000002</v>
      </c>
      <c r="F178" s="3">
        <v>0</v>
      </c>
      <c r="G178" s="3">
        <v>316.60000000000002</v>
      </c>
    </row>
    <row r="179" spans="1:7" x14ac:dyDescent="0.2">
      <c r="A179" s="3" t="s">
        <v>59</v>
      </c>
      <c r="B179" t="s">
        <v>941</v>
      </c>
      <c r="C179" s="3">
        <v>28</v>
      </c>
      <c r="D179" t="str">
        <f t="shared" si="2"/>
        <v>Douglas - Ouest du Massif Central (INRA, N.Decourt, 1972) - classe 3_28</v>
      </c>
      <c r="E179" s="3">
        <v>341.40000000000003</v>
      </c>
      <c r="F179" s="3">
        <v>0</v>
      </c>
      <c r="G179" s="3">
        <v>341.40000000000003</v>
      </c>
    </row>
    <row r="180" spans="1:7" x14ac:dyDescent="0.2">
      <c r="A180" s="3" t="s">
        <v>59</v>
      </c>
      <c r="B180" t="s">
        <v>941</v>
      </c>
      <c r="C180" s="3">
        <v>29</v>
      </c>
      <c r="D180" t="str">
        <f t="shared" si="2"/>
        <v>Douglas - Ouest du Massif Central (INRA, N.Decourt, 1972) - classe 3_29</v>
      </c>
      <c r="E180" s="3">
        <v>366.20000000000005</v>
      </c>
      <c r="F180" s="3">
        <v>0</v>
      </c>
      <c r="G180" s="3">
        <v>366.20000000000005</v>
      </c>
    </row>
    <row r="181" spans="1:7" x14ac:dyDescent="0.2">
      <c r="A181" s="3" t="s">
        <v>59</v>
      </c>
      <c r="B181" t="s">
        <v>941</v>
      </c>
      <c r="C181" s="3">
        <v>30</v>
      </c>
      <c r="D181" t="str">
        <f t="shared" si="2"/>
        <v>Douglas - Ouest du Massif Central (INRA, N.Decourt, 1972) - classe 3_30</v>
      </c>
      <c r="E181" s="3">
        <v>391</v>
      </c>
      <c r="F181" s="3">
        <v>25</v>
      </c>
      <c r="G181" s="3">
        <v>366</v>
      </c>
    </row>
    <row r="182" spans="1:7" x14ac:dyDescent="0.2">
      <c r="A182" s="3" t="s">
        <v>74</v>
      </c>
      <c r="B182" t="s">
        <v>942</v>
      </c>
      <c r="C182" s="3">
        <v>1</v>
      </c>
      <c r="D182" t="str">
        <f t="shared" si="2"/>
        <v>Sapin pectiné (ONF, Abt 2014) - classe 1_1</v>
      </c>
      <c r="E182" s="3">
        <v>6.3461538461538458</v>
      </c>
      <c r="F182" s="3">
        <v>0</v>
      </c>
      <c r="G182" s="3">
        <v>6.3461538461538458</v>
      </c>
    </row>
    <row r="183" spans="1:7" x14ac:dyDescent="0.2">
      <c r="A183" s="3" t="s">
        <v>74</v>
      </c>
      <c r="B183" t="s">
        <v>942</v>
      </c>
      <c r="C183" s="3">
        <v>2</v>
      </c>
      <c r="D183" t="str">
        <f t="shared" si="2"/>
        <v>Sapin pectiné (ONF, Abt 2014) - classe 1_2</v>
      </c>
      <c r="E183" s="3">
        <v>12.692307692307692</v>
      </c>
      <c r="F183" s="3">
        <v>0</v>
      </c>
      <c r="G183" s="3">
        <v>12.692307692307692</v>
      </c>
    </row>
    <row r="184" spans="1:7" x14ac:dyDescent="0.2">
      <c r="A184" s="3" t="s">
        <v>74</v>
      </c>
      <c r="B184" t="s">
        <v>942</v>
      </c>
      <c r="C184" s="3">
        <v>3</v>
      </c>
      <c r="D184" t="str">
        <f t="shared" si="2"/>
        <v>Sapin pectiné (ONF, Abt 2014) - classe 1_3</v>
      </c>
      <c r="E184" s="3">
        <v>19.038461538461537</v>
      </c>
      <c r="F184" s="3">
        <v>0</v>
      </c>
      <c r="G184" s="3">
        <v>19.038461538461537</v>
      </c>
    </row>
    <row r="185" spans="1:7" x14ac:dyDescent="0.2">
      <c r="A185" s="3" t="s">
        <v>74</v>
      </c>
      <c r="B185" t="s">
        <v>942</v>
      </c>
      <c r="C185" s="3">
        <v>4</v>
      </c>
      <c r="D185" t="str">
        <f t="shared" si="2"/>
        <v>Sapin pectiné (ONF, Abt 2014) - classe 1_4</v>
      </c>
      <c r="E185" s="3">
        <v>25.384615384615383</v>
      </c>
      <c r="F185" s="3">
        <v>0</v>
      </c>
      <c r="G185" s="3">
        <v>25.384615384615383</v>
      </c>
    </row>
    <row r="186" spans="1:7" x14ac:dyDescent="0.2">
      <c r="A186" s="3" t="s">
        <v>74</v>
      </c>
      <c r="B186" t="s">
        <v>942</v>
      </c>
      <c r="C186" s="3">
        <v>5</v>
      </c>
      <c r="D186" t="str">
        <f t="shared" si="2"/>
        <v>Sapin pectiné (ONF, Abt 2014) - classe 1_5</v>
      </c>
      <c r="E186" s="3">
        <v>31.73076923076923</v>
      </c>
      <c r="F186" s="3">
        <v>0</v>
      </c>
      <c r="G186" s="3">
        <v>31.73076923076923</v>
      </c>
    </row>
    <row r="187" spans="1:7" x14ac:dyDescent="0.2">
      <c r="A187" s="3" t="s">
        <v>74</v>
      </c>
      <c r="B187" t="s">
        <v>942</v>
      </c>
      <c r="C187" s="3">
        <v>6</v>
      </c>
      <c r="D187" t="str">
        <f t="shared" si="2"/>
        <v>Sapin pectiné (ONF, Abt 2014) - classe 1_6</v>
      </c>
      <c r="E187" s="3">
        <v>38.076923076923073</v>
      </c>
      <c r="F187" s="3">
        <v>0</v>
      </c>
      <c r="G187" s="3">
        <v>38.076923076923073</v>
      </c>
    </row>
    <row r="188" spans="1:7" x14ac:dyDescent="0.2">
      <c r="A188" s="3" t="s">
        <v>74</v>
      </c>
      <c r="B188" t="s">
        <v>942</v>
      </c>
      <c r="C188" s="3">
        <v>7</v>
      </c>
      <c r="D188" t="str">
        <f t="shared" si="2"/>
        <v>Sapin pectiné (ONF, Abt 2014) - classe 1_7</v>
      </c>
      <c r="E188" s="3">
        <v>44.42307692307692</v>
      </c>
      <c r="F188" s="3">
        <v>0</v>
      </c>
      <c r="G188" s="3">
        <v>44.42307692307692</v>
      </c>
    </row>
    <row r="189" spans="1:7" x14ac:dyDescent="0.2">
      <c r="A189" s="3" t="s">
        <v>74</v>
      </c>
      <c r="B189" t="s">
        <v>942</v>
      </c>
      <c r="C189" s="3">
        <v>8</v>
      </c>
      <c r="D189" t="str">
        <f t="shared" si="2"/>
        <v>Sapin pectiné (ONF, Abt 2014) - classe 1_8</v>
      </c>
      <c r="E189" s="3">
        <v>50.769230769230766</v>
      </c>
      <c r="F189" s="3">
        <v>0</v>
      </c>
      <c r="G189" s="3">
        <v>50.769230769230766</v>
      </c>
    </row>
    <row r="190" spans="1:7" x14ac:dyDescent="0.2">
      <c r="A190" s="3" t="s">
        <v>74</v>
      </c>
      <c r="B190" t="s">
        <v>942</v>
      </c>
      <c r="C190" s="3">
        <v>9</v>
      </c>
      <c r="D190" t="str">
        <f t="shared" si="2"/>
        <v>Sapin pectiné (ONF, Abt 2014) - classe 1_9</v>
      </c>
      <c r="E190" s="3">
        <v>57.115384615384613</v>
      </c>
      <c r="F190" s="3">
        <v>0</v>
      </c>
      <c r="G190" s="3">
        <v>57.115384615384613</v>
      </c>
    </row>
    <row r="191" spans="1:7" x14ac:dyDescent="0.2">
      <c r="A191" s="3" t="s">
        <v>74</v>
      </c>
      <c r="B191" t="s">
        <v>942</v>
      </c>
      <c r="C191" s="3">
        <v>10</v>
      </c>
      <c r="D191" t="str">
        <f t="shared" si="2"/>
        <v>Sapin pectiné (ONF, Abt 2014) - classe 1_10</v>
      </c>
      <c r="E191" s="3">
        <v>63.46153846153846</v>
      </c>
      <c r="F191" s="3">
        <v>0</v>
      </c>
      <c r="G191" s="3">
        <v>63.46153846153846</v>
      </c>
    </row>
    <row r="192" spans="1:7" x14ac:dyDescent="0.2">
      <c r="A192" s="3" t="s">
        <v>74</v>
      </c>
      <c r="B192" t="s">
        <v>942</v>
      </c>
      <c r="C192" s="3">
        <v>11</v>
      </c>
      <c r="D192" t="str">
        <f t="shared" si="2"/>
        <v>Sapin pectiné (ONF, Abt 2014) - classe 1_11</v>
      </c>
      <c r="E192" s="3">
        <v>69.807692307692307</v>
      </c>
      <c r="F192" s="3">
        <v>0</v>
      </c>
      <c r="G192" s="3">
        <v>69.807692307692307</v>
      </c>
    </row>
    <row r="193" spans="1:7" x14ac:dyDescent="0.2">
      <c r="A193" s="3" t="s">
        <v>74</v>
      </c>
      <c r="B193" t="s">
        <v>942</v>
      </c>
      <c r="C193" s="3">
        <v>12</v>
      </c>
      <c r="D193" t="str">
        <f t="shared" si="2"/>
        <v>Sapin pectiné (ONF, Abt 2014) - classe 1_12</v>
      </c>
      <c r="E193" s="3">
        <v>76.153846153846146</v>
      </c>
      <c r="F193" s="3">
        <v>0</v>
      </c>
      <c r="G193" s="3">
        <v>76.153846153846146</v>
      </c>
    </row>
    <row r="194" spans="1:7" x14ac:dyDescent="0.2">
      <c r="A194" s="3" t="s">
        <v>74</v>
      </c>
      <c r="B194" t="s">
        <v>942</v>
      </c>
      <c r="C194" s="3">
        <v>13</v>
      </c>
      <c r="D194" t="str">
        <f t="shared" si="2"/>
        <v>Sapin pectiné (ONF, Abt 2014) - classe 1_13</v>
      </c>
      <c r="E194" s="3">
        <v>82.499999999999986</v>
      </c>
      <c r="F194" s="3">
        <v>0</v>
      </c>
      <c r="G194" s="3">
        <v>82.499999999999986</v>
      </c>
    </row>
    <row r="195" spans="1:7" x14ac:dyDescent="0.2">
      <c r="A195" s="3" t="s">
        <v>74</v>
      </c>
      <c r="B195" t="s">
        <v>942</v>
      </c>
      <c r="C195" s="3">
        <v>14</v>
      </c>
      <c r="D195" t="str">
        <f t="shared" ref="D195:D258" si="3">CONCATENATE(B195,"_",C195)</f>
        <v>Sapin pectiné (ONF, Abt 2014) - classe 1_14</v>
      </c>
      <c r="E195" s="3">
        <v>88.846153846153825</v>
      </c>
      <c r="F195" s="3">
        <v>0</v>
      </c>
      <c r="G195" s="3">
        <v>88.846153846153825</v>
      </c>
    </row>
    <row r="196" spans="1:7" x14ac:dyDescent="0.2">
      <c r="A196" s="3" t="s">
        <v>74</v>
      </c>
      <c r="B196" t="s">
        <v>942</v>
      </c>
      <c r="C196" s="3">
        <v>15</v>
      </c>
      <c r="D196" t="str">
        <f t="shared" si="3"/>
        <v>Sapin pectiné (ONF, Abt 2014) - classe 1_15</v>
      </c>
      <c r="E196" s="3">
        <v>95.192307692307665</v>
      </c>
      <c r="F196" s="3">
        <v>0</v>
      </c>
      <c r="G196" s="3">
        <v>95.192307692307665</v>
      </c>
    </row>
    <row r="197" spans="1:7" x14ac:dyDescent="0.2">
      <c r="A197" s="3" t="s">
        <v>74</v>
      </c>
      <c r="B197" t="s">
        <v>942</v>
      </c>
      <c r="C197" s="3">
        <v>16</v>
      </c>
      <c r="D197" t="str">
        <f t="shared" si="3"/>
        <v>Sapin pectiné (ONF, Abt 2014) - classe 1_16</v>
      </c>
      <c r="E197" s="3">
        <v>101.5384615384615</v>
      </c>
      <c r="F197" s="3">
        <v>0</v>
      </c>
      <c r="G197" s="3">
        <v>101.5384615384615</v>
      </c>
    </row>
    <row r="198" spans="1:7" x14ac:dyDescent="0.2">
      <c r="A198" s="3" t="s">
        <v>74</v>
      </c>
      <c r="B198" t="s">
        <v>942</v>
      </c>
      <c r="C198" s="3">
        <v>17</v>
      </c>
      <c r="D198" t="str">
        <f t="shared" si="3"/>
        <v>Sapin pectiné (ONF, Abt 2014) - classe 1_17</v>
      </c>
      <c r="E198" s="3">
        <v>107.88461538461534</v>
      </c>
      <c r="F198" s="3">
        <v>0</v>
      </c>
      <c r="G198" s="3">
        <v>107.88461538461534</v>
      </c>
    </row>
    <row r="199" spans="1:7" x14ac:dyDescent="0.2">
      <c r="A199" s="3" t="s">
        <v>74</v>
      </c>
      <c r="B199" t="s">
        <v>942</v>
      </c>
      <c r="C199" s="3">
        <v>18</v>
      </c>
      <c r="D199" t="str">
        <f t="shared" si="3"/>
        <v>Sapin pectiné (ONF, Abt 2014) - classe 1_18</v>
      </c>
      <c r="E199" s="3">
        <v>114.23076923076918</v>
      </c>
      <c r="F199" s="3">
        <v>0</v>
      </c>
      <c r="G199" s="3">
        <v>114.23076923076918</v>
      </c>
    </row>
    <row r="200" spans="1:7" x14ac:dyDescent="0.2">
      <c r="A200" s="3" t="s">
        <v>74</v>
      </c>
      <c r="B200" t="s">
        <v>942</v>
      </c>
      <c r="C200" s="3">
        <v>19</v>
      </c>
      <c r="D200" t="str">
        <f t="shared" si="3"/>
        <v>Sapin pectiné (ONF, Abt 2014) - classe 1_19</v>
      </c>
      <c r="E200" s="3">
        <v>120.57692307692302</v>
      </c>
      <c r="F200" s="3">
        <v>0</v>
      </c>
      <c r="G200" s="3">
        <v>120.57692307692302</v>
      </c>
    </row>
    <row r="201" spans="1:7" x14ac:dyDescent="0.2">
      <c r="A201" s="3" t="s">
        <v>74</v>
      </c>
      <c r="B201" t="s">
        <v>942</v>
      </c>
      <c r="C201" s="3">
        <v>20</v>
      </c>
      <c r="D201" t="str">
        <f t="shared" si="3"/>
        <v>Sapin pectiné (ONF, Abt 2014) - classe 1_20</v>
      </c>
      <c r="E201" s="3">
        <v>126.92307692307686</v>
      </c>
      <c r="F201" s="3">
        <v>0</v>
      </c>
      <c r="G201" s="3">
        <v>126.92307692307686</v>
      </c>
    </row>
    <row r="202" spans="1:7" x14ac:dyDescent="0.2">
      <c r="A202" s="3" t="s">
        <v>74</v>
      </c>
      <c r="B202" t="s">
        <v>942</v>
      </c>
      <c r="C202" s="3">
        <v>21</v>
      </c>
      <c r="D202" t="str">
        <f t="shared" si="3"/>
        <v>Sapin pectiné (ONF, Abt 2014) - classe 1_21</v>
      </c>
      <c r="E202" s="3">
        <v>133.26923076923072</v>
      </c>
      <c r="F202" s="3">
        <v>0</v>
      </c>
      <c r="G202" s="3">
        <v>133.26923076923072</v>
      </c>
    </row>
    <row r="203" spans="1:7" x14ac:dyDescent="0.2">
      <c r="A203" s="3" t="s">
        <v>74</v>
      </c>
      <c r="B203" t="s">
        <v>942</v>
      </c>
      <c r="C203" s="3">
        <v>22</v>
      </c>
      <c r="D203" t="str">
        <f t="shared" si="3"/>
        <v>Sapin pectiné (ONF, Abt 2014) - classe 1_22</v>
      </c>
      <c r="E203" s="3">
        <v>139.61538461538456</v>
      </c>
      <c r="F203" s="3">
        <v>0</v>
      </c>
      <c r="G203" s="3">
        <v>139.61538461538456</v>
      </c>
    </row>
    <row r="204" spans="1:7" x14ac:dyDescent="0.2">
      <c r="A204" s="3" t="s">
        <v>74</v>
      </c>
      <c r="B204" t="s">
        <v>942</v>
      </c>
      <c r="C204" s="3">
        <v>23</v>
      </c>
      <c r="D204" t="str">
        <f t="shared" si="3"/>
        <v>Sapin pectiné (ONF, Abt 2014) - classe 1_23</v>
      </c>
      <c r="E204" s="3">
        <v>145.9615384615384</v>
      </c>
      <c r="F204" s="3">
        <v>0</v>
      </c>
      <c r="G204" s="3">
        <v>145.9615384615384</v>
      </c>
    </row>
    <row r="205" spans="1:7" x14ac:dyDescent="0.2">
      <c r="A205" s="3" t="s">
        <v>74</v>
      </c>
      <c r="B205" t="s">
        <v>942</v>
      </c>
      <c r="C205" s="3">
        <v>24</v>
      </c>
      <c r="D205" t="str">
        <f t="shared" si="3"/>
        <v>Sapin pectiné (ONF, Abt 2014) - classe 1_24</v>
      </c>
      <c r="E205" s="3">
        <v>152.30769230769224</v>
      </c>
      <c r="F205" s="3">
        <v>0</v>
      </c>
      <c r="G205" s="3">
        <v>152.30769230769224</v>
      </c>
    </row>
    <row r="206" spans="1:7" x14ac:dyDescent="0.2">
      <c r="A206" s="3" t="s">
        <v>74</v>
      </c>
      <c r="B206" t="s">
        <v>942</v>
      </c>
      <c r="C206" s="3">
        <v>25</v>
      </c>
      <c r="D206" t="str">
        <f t="shared" si="3"/>
        <v>Sapin pectiné (ONF, Abt 2014) - classe 1_25</v>
      </c>
      <c r="E206" s="3">
        <v>158.65384615384608</v>
      </c>
      <c r="F206" s="3">
        <v>0</v>
      </c>
      <c r="G206" s="3">
        <v>158.65384615384608</v>
      </c>
    </row>
    <row r="207" spans="1:7" x14ac:dyDescent="0.2">
      <c r="A207" s="3" t="s">
        <v>74</v>
      </c>
      <c r="B207" t="s">
        <v>942</v>
      </c>
      <c r="C207" s="3">
        <v>26</v>
      </c>
      <c r="D207" t="str">
        <f t="shared" si="3"/>
        <v>Sapin pectiné (ONF, Abt 2014) - classe 1_26</v>
      </c>
      <c r="E207" s="3">
        <v>164.99999999999991</v>
      </c>
      <c r="F207" s="3">
        <v>0</v>
      </c>
      <c r="G207" s="3">
        <v>164.99999999999991</v>
      </c>
    </row>
    <row r="208" spans="1:7" x14ac:dyDescent="0.2">
      <c r="A208" s="3" t="s">
        <v>74</v>
      </c>
      <c r="B208" t="s">
        <v>942</v>
      </c>
      <c r="C208" s="3">
        <v>27</v>
      </c>
      <c r="D208" t="str">
        <f t="shared" si="3"/>
        <v>Sapin pectiné (ONF, Abt 2014) - classe 1_27</v>
      </c>
      <c r="E208" s="3">
        <v>171.34615384615375</v>
      </c>
      <c r="F208" s="3">
        <v>0</v>
      </c>
      <c r="G208" s="3">
        <v>171.34615384615375</v>
      </c>
    </row>
    <row r="209" spans="1:7" x14ac:dyDescent="0.2">
      <c r="A209" s="3" t="s">
        <v>74</v>
      </c>
      <c r="B209" t="s">
        <v>942</v>
      </c>
      <c r="C209" s="3">
        <v>28</v>
      </c>
      <c r="D209" t="str">
        <f t="shared" si="3"/>
        <v>Sapin pectiné (ONF, Abt 2014) - classe 1_28</v>
      </c>
      <c r="E209" s="3">
        <v>177.69230769230759</v>
      </c>
      <c r="F209" s="3">
        <v>0</v>
      </c>
      <c r="G209" s="3">
        <v>177.69230769230759</v>
      </c>
    </row>
    <row r="210" spans="1:7" x14ac:dyDescent="0.2">
      <c r="A210" s="3" t="s">
        <v>74</v>
      </c>
      <c r="B210" t="s">
        <v>942</v>
      </c>
      <c r="C210" s="3">
        <v>29</v>
      </c>
      <c r="D210" t="str">
        <f t="shared" si="3"/>
        <v>Sapin pectiné (ONF, Abt 2014) - classe 1_29</v>
      </c>
      <c r="E210" s="3">
        <v>184.03846153846143</v>
      </c>
      <c r="F210" s="3">
        <v>0</v>
      </c>
      <c r="G210" s="3">
        <v>184.03846153846143</v>
      </c>
    </row>
    <row r="211" spans="1:7" x14ac:dyDescent="0.2">
      <c r="A211" s="3" t="s">
        <v>74</v>
      </c>
      <c r="B211" t="s">
        <v>942</v>
      </c>
      <c r="C211" s="3">
        <v>30</v>
      </c>
      <c r="D211" t="str">
        <f t="shared" si="3"/>
        <v>Sapin pectiné (ONF, Abt 2014) - classe 1_30</v>
      </c>
      <c r="E211" s="3">
        <v>190.38461538461527</v>
      </c>
      <c r="F211" s="3">
        <v>0</v>
      </c>
      <c r="G211" s="3">
        <v>190.38461538461527</v>
      </c>
    </row>
    <row r="212" spans="1:7" x14ac:dyDescent="0.2">
      <c r="A212" s="3" t="s">
        <v>74</v>
      </c>
      <c r="B212" t="s">
        <v>943</v>
      </c>
      <c r="C212" s="3">
        <v>1</v>
      </c>
      <c r="D212" t="str">
        <f t="shared" si="3"/>
        <v>Sapin pectiné (ONF, Abt 2014) - classe 2_1</v>
      </c>
      <c r="E212" s="3">
        <v>5.0769230769230766</v>
      </c>
      <c r="F212" s="3">
        <v>0</v>
      </c>
      <c r="G212" s="3">
        <v>5.0769230769230766</v>
      </c>
    </row>
    <row r="213" spans="1:7" x14ac:dyDescent="0.2">
      <c r="A213" s="3" t="s">
        <v>74</v>
      </c>
      <c r="B213" t="s">
        <v>943</v>
      </c>
      <c r="C213" s="3">
        <v>2</v>
      </c>
      <c r="D213" t="str">
        <f t="shared" si="3"/>
        <v>Sapin pectiné (ONF, Abt 2014) - classe 2_2</v>
      </c>
      <c r="E213" s="3">
        <v>10.153846153846153</v>
      </c>
      <c r="F213" s="3">
        <v>0</v>
      </c>
      <c r="G213" s="3">
        <v>10.153846153846153</v>
      </c>
    </row>
    <row r="214" spans="1:7" x14ac:dyDescent="0.2">
      <c r="A214" s="3" t="s">
        <v>74</v>
      </c>
      <c r="B214" t="s">
        <v>943</v>
      </c>
      <c r="C214" s="3">
        <v>3</v>
      </c>
      <c r="D214" t="str">
        <f t="shared" si="3"/>
        <v>Sapin pectiné (ONF, Abt 2014) - classe 2_3</v>
      </c>
      <c r="E214" s="3">
        <v>15.23076923076923</v>
      </c>
      <c r="F214" s="3">
        <v>0</v>
      </c>
      <c r="G214" s="3">
        <v>15.23076923076923</v>
      </c>
    </row>
    <row r="215" spans="1:7" x14ac:dyDescent="0.2">
      <c r="A215" s="3" t="s">
        <v>74</v>
      </c>
      <c r="B215" t="s">
        <v>943</v>
      </c>
      <c r="C215" s="3">
        <v>4</v>
      </c>
      <c r="D215" t="str">
        <f t="shared" si="3"/>
        <v>Sapin pectiné (ONF, Abt 2014) - classe 2_4</v>
      </c>
      <c r="E215" s="3">
        <v>20.307692307692307</v>
      </c>
      <c r="F215" s="3">
        <v>0</v>
      </c>
      <c r="G215" s="3">
        <v>20.307692307692307</v>
      </c>
    </row>
    <row r="216" spans="1:7" x14ac:dyDescent="0.2">
      <c r="A216" s="3" t="s">
        <v>74</v>
      </c>
      <c r="B216" t="s">
        <v>943</v>
      </c>
      <c r="C216" s="3">
        <v>5</v>
      </c>
      <c r="D216" t="str">
        <f t="shared" si="3"/>
        <v>Sapin pectiné (ONF, Abt 2014) - classe 2_5</v>
      </c>
      <c r="E216" s="3">
        <v>25.384615384615383</v>
      </c>
      <c r="F216" s="3">
        <v>0</v>
      </c>
      <c r="G216" s="3">
        <v>25.384615384615383</v>
      </c>
    </row>
    <row r="217" spans="1:7" x14ac:dyDescent="0.2">
      <c r="A217" s="3" t="s">
        <v>74</v>
      </c>
      <c r="B217" t="s">
        <v>943</v>
      </c>
      <c r="C217" s="3">
        <v>6</v>
      </c>
      <c r="D217" t="str">
        <f t="shared" si="3"/>
        <v>Sapin pectiné (ONF, Abt 2014) - classe 2_6</v>
      </c>
      <c r="E217" s="3">
        <v>30.46153846153846</v>
      </c>
      <c r="F217" s="3">
        <v>0</v>
      </c>
      <c r="G217" s="3">
        <v>30.46153846153846</v>
      </c>
    </row>
    <row r="218" spans="1:7" x14ac:dyDescent="0.2">
      <c r="A218" s="3" t="s">
        <v>74</v>
      </c>
      <c r="B218" t="s">
        <v>943</v>
      </c>
      <c r="C218" s="3">
        <v>7</v>
      </c>
      <c r="D218" t="str">
        <f t="shared" si="3"/>
        <v>Sapin pectiné (ONF, Abt 2014) - classe 2_7</v>
      </c>
      <c r="E218" s="3">
        <v>35.538461538461533</v>
      </c>
      <c r="F218" s="3">
        <v>0</v>
      </c>
      <c r="G218" s="3">
        <v>35.538461538461533</v>
      </c>
    </row>
    <row r="219" spans="1:7" x14ac:dyDescent="0.2">
      <c r="A219" s="3" t="s">
        <v>74</v>
      </c>
      <c r="B219" t="s">
        <v>943</v>
      </c>
      <c r="C219" s="3">
        <v>8</v>
      </c>
      <c r="D219" t="str">
        <f t="shared" si="3"/>
        <v>Sapin pectiné (ONF, Abt 2014) - classe 2_8</v>
      </c>
      <c r="E219" s="3">
        <v>40.615384615384613</v>
      </c>
      <c r="F219" s="3">
        <v>0</v>
      </c>
      <c r="G219" s="3">
        <v>40.615384615384613</v>
      </c>
    </row>
    <row r="220" spans="1:7" x14ac:dyDescent="0.2">
      <c r="A220" s="3" t="s">
        <v>74</v>
      </c>
      <c r="B220" t="s">
        <v>943</v>
      </c>
      <c r="C220" s="3">
        <v>9</v>
      </c>
      <c r="D220" t="str">
        <f t="shared" si="3"/>
        <v>Sapin pectiné (ONF, Abt 2014) - classe 2_9</v>
      </c>
      <c r="E220" s="3">
        <v>45.692307692307693</v>
      </c>
      <c r="F220" s="3">
        <v>0</v>
      </c>
      <c r="G220" s="3">
        <v>45.692307692307693</v>
      </c>
    </row>
    <row r="221" spans="1:7" x14ac:dyDescent="0.2">
      <c r="A221" s="3" t="s">
        <v>74</v>
      </c>
      <c r="B221" t="s">
        <v>943</v>
      </c>
      <c r="C221" s="3">
        <v>10</v>
      </c>
      <c r="D221" t="str">
        <f t="shared" si="3"/>
        <v>Sapin pectiné (ONF, Abt 2014) - classe 2_10</v>
      </c>
      <c r="E221" s="3">
        <v>50.769230769230774</v>
      </c>
      <c r="F221" s="3">
        <v>0</v>
      </c>
      <c r="G221" s="3">
        <v>50.769230769230774</v>
      </c>
    </row>
    <row r="222" spans="1:7" x14ac:dyDescent="0.2">
      <c r="A222" s="3" t="s">
        <v>74</v>
      </c>
      <c r="B222" t="s">
        <v>943</v>
      </c>
      <c r="C222" s="3">
        <v>11</v>
      </c>
      <c r="D222" t="str">
        <f t="shared" si="3"/>
        <v>Sapin pectiné (ONF, Abt 2014) - classe 2_11</v>
      </c>
      <c r="E222" s="3">
        <v>55.846153846153854</v>
      </c>
      <c r="F222" s="3">
        <v>0</v>
      </c>
      <c r="G222" s="3">
        <v>55.846153846153854</v>
      </c>
    </row>
    <row r="223" spans="1:7" x14ac:dyDescent="0.2">
      <c r="A223" s="3" t="s">
        <v>74</v>
      </c>
      <c r="B223" t="s">
        <v>943</v>
      </c>
      <c r="C223" s="3">
        <v>12</v>
      </c>
      <c r="D223" t="str">
        <f t="shared" si="3"/>
        <v>Sapin pectiné (ONF, Abt 2014) - classe 2_12</v>
      </c>
      <c r="E223" s="3">
        <v>60.923076923076934</v>
      </c>
      <c r="F223" s="3">
        <v>0</v>
      </c>
      <c r="G223" s="3">
        <v>60.923076923076934</v>
      </c>
    </row>
    <row r="224" spans="1:7" x14ac:dyDescent="0.2">
      <c r="A224" s="3" t="s">
        <v>74</v>
      </c>
      <c r="B224" t="s">
        <v>943</v>
      </c>
      <c r="C224" s="3">
        <v>13</v>
      </c>
      <c r="D224" t="str">
        <f t="shared" si="3"/>
        <v>Sapin pectiné (ONF, Abt 2014) - classe 2_13</v>
      </c>
      <c r="E224" s="3">
        <v>66.000000000000014</v>
      </c>
      <c r="F224" s="3">
        <v>0</v>
      </c>
      <c r="G224" s="3">
        <v>66.000000000000014</v>
      </c>
    </row>
    <row r="225" spans="1:7" x14ac:dyDescent="0.2">
      <c r="A225" s="3" t="s">
        <v>74</v>
      </c>
      <c r="B225" t="s">
        <v>943</v>
      </c>
      <c r="C225" s="3">
        <v>14</v>
      </c>
      <c r="D225" t="str">
        <f t="shared" si="3"/>
        <v>Sapin pectiné (ONF, Abt 2014) - classe 2_14</v>
      </c>
      <c r="E225" s="3">
        <v>71.076923076923094</v>
      </c>
      <c r="F225" s="3">
        <v>0</v>
      </c>
      <c r="G225" s="3">
        <v>71.076923076923094</v>
      </c>
    </row>
    <row r="226" spans="1:7" x14ac:dyDescent="0.2">
      <c r="A226" s="3" t="s">
        <v>74</v>
      </c>
      <c r="B226" t="s">
        <v>943</v>
      </c>
      <c r="C226" s="3">
        <v>15</v>
      </c>
      <c r="D226" t="str">
        <f t="shared" si="3"/>
        <v>Sapin pectiné (ONF, Abt 2014) - classe 2_15</v>
      </c>
      <c r="E226" s="3">
        <v>76.153846153846175</v>
      </c>
      <c r="F226" s="3">
        <v>0</v>
      </c>
      <c r="G226" s="3">
        <v>76.153846153846175</v>
      </c>
    </row>
    <row r="227" spans="1:7" x14ac:dyDescent="0.2">
      <c r="A227" s="3" t="s">
        <v>74</v>
      </c>
      <c r="B227" t="s">
        <v>943</v>
      </c>
      <c r="C227" s="3">
        <v>16</v>
      </c>
      <c r="D227" t="str">
        <f t="shared" si="3"/>
        <v>Sapin pectiné (ONF, Abt 2014) - classe 2_16</v>
      </c>
      <c r="E227" s="3">
        <v>81.230769230769255</v>
      </c>
      <c r="F227" s="3">
        <v>0</v>
      </c>
      <c r="G227" s="3">
        <v>81.230769230769255</v>
      </c>
    </row>
    <row r="228" spans="1:7" x14ac:dyDescent="0.2">
      <c r="A228" s="3" t="s">
        <v>74</v>
      </c>
      <c r="B228" t="s">
        <v>943</v>
      </c>
      <c r="C228" s="3">
        <v>17</v>
      </c>
      <c r="D228" t="str">
        <f t="shared" si="3"/>
        <v>Sapin pectiné (ONF, Abt 2014) - classe 2_17</v>
      </c>
      <c r="E228" s="3">
        <v>86.307692307692335</v>
      </c>
      <c r="F228" s="3">
        <v>0</v>
      </c>
      <c r="G228" s="3">
        <v>86.307692307692335</v>
      </c>
    </row>
    <row r="229" spans="1:7" x14ac:dyDescent="0.2">
      <c r="A229" s="3" t="s">
        <v>74</v>
      </c>
      <c r="B229" t="s">
        <v>943</v>
      </c>
      <c r="C229" s="3">
        <v>18</v>
      </c>
      <c r="D229" t="str">
        <f t="shared" si="3"/>
        <v>Sapin pectiné (ONF, Abt 2014) - classe 2_18</v>
      </c>
      <c r="E229" s="3">
        <v>91.384615384615415</v>
      </c>
      <c r="F229" s="3">
        <v>0</v>
      </c>
      <c r="G229" s="3">
        <v>91.384615384615415</v>
      </c>
    </row>
    <row r="230" spans="1:7" x14ac:dyDescent="0.2">
      <c r="A230" s="3" t="s">
        <v>74</v>
      </c>
      <c r="B230" t="s">
        <v>943</v>
      </c>
      <c r="C230" s="3">
        <v>19</v>
      </c>
      <c r="D230" t="str">
        <f t="shared" si="3"/>
        <v>Sapin pectiné (ONF, Abt 2014) - classe 2_19</v>
      </c>
      <c r="E230" s="3">
        <v>96.461538461538495</v>
      </c>
      <c r="F230" s="3">
        <v>0</v>
      </c>
      <c r="G230" s="3">
        <v>96.461538461538495</v>
      </c>
    </row>
    <row r="231" spans="1:7" x14ac:dyDescent="0.2">
      <c r="A231" s="3" t="s">
        <v>74</v>
      </c>
      <c r="B231" t="s">
        <v>943</v>
      </c>
      <c r="C231" s="3">
        <v>20</v>
      </c>
      <c r="D231" t="str">
        <f t="shared" si="3"/>
        <v>Sapin pectiné (ONF, Abt 2014) - classe 2_20</v>
      </c>
      <c r="E231" s="3">
        <v>101.53846153846158</v>
      </c>
      <c r="F231" s="3">
        <v>0</v>
      </c>
      <c r="G231" s="3">
        <v>101.53846153846158</v>
      </c>
    </row>
    <row r="232" spans="1:7" x14ac:dyDescent="0.2">
      <c r="A232" s="3" t="s">
        <v>74</v>
      </c>
      <c r="B232" t="s">
        <v>943</v>
      </c>
      <c r="C232" s="3">
        <v>21</v>
      </c>
      <c r="D232" t="str">
        <f t="shared" si="3"/>
        <v>Sapin pectiné (ONF, Abt 2014) - classe 2_21</v>
      </c>
      <c r="E232" s="3">
        <v>106.61538461538466</v>
      </c>
      <c r="F232" s="3">
        <v>0</v>
      </c>
      <c r="G232" s="3">
        <v>106.61538461538466</v>
      </c>
    </row>
    <row r="233" spans="1:7" x14ac:dyDescent="0.2">
      <c r="A233" s="3" t="s">
        <v>74</v>
      </c>
      <c r="B233" t="s">
        <v>943</v>
      </c>
      <c r="C233" s="3">
        <v>22</v>
      </c>
      <c r="D233" t="str">
        <f t="shared" si="3"/>
        <v>Sapin pectiné (ONF, Abt 2014) - classe 2_22</v>
      </c>
      <c r="E233" s="3">
        <v>111.69230769230774</v>
      </c>
      <c r="F233" s="3">
        <v>0</v>
      </c>
      <c r="G233" s="3">
        <v>111.69230769230774</v>
      </c>
    </row>
    <row r="234" spans="1:7" x14ac:dyDescent="0.2">
      <c r="A234" s="3" t="s">
        <v>74</v>
      </c>
      <c r="B234" t="s">
        <v>943</v>
      </c>
      <c r="C234" s="3">
        <v>23</v>
      </c>
      <c r="D234" t="str">
        <f t="shared" si="3"/>
        <v>Sapin pectiné (ONF, Abt 2014) - classe 2_23</v>
      </c>
      <c r="E234" s="3">
        <v>116.76923076923082</v>
      </c>
      <c r="F234" s="3">
        <v>0</v>
      </c>
      <c r="G234" s="3">
        <v>116.76923076923082</v>
      </c>
    </row>
    <row r="235" spans="1:7" x14ac:dyDescent="0.2">
      <c r="A235" s="3" t="s">
        <v>74</v>
      </c>
      <c r="B235" t="s">
        <v>943</v>
      </c>
      <c r="C235" s="3">
        <v>24</v>
      </c>
      <c r="D235" t="str">
        <f t="shared" si="3"/>
        <v>Sapin pectiné (ONF, Abt 2014) - classe 2_24</v>
      </c>
      <c r="E235" s="3">
        <v>121.8461538461539</v>
      </c>
      <c r="F235" s="3">
        <v>0</v>
      </c>
      <c r="G235" s="3">
        <v>121.8461538461539</v>
      </c>
    </row>
    <row r="236" spans="1:7" x14ac:dyDescent="0.2">
      <c r="A236" s="3" t="s">
        <v>74</v>
      </c>
      <c r="B236" t="s">
        <v>943</v>
      </c>
      <c r="C236" s="3">
        <v>25</v>
      </c>
      <c r="D236" t="str">
        <f t="shared" si="3"/>
        <v>Sapin pectiné (ONF, Abt 2014) - classe 2_25</v>
      </c>
      <c r="E236" s="3">
        <v>126.92307692307698</v>
      </c>
      <c r="F236" s="3">
        <v>0</v>
      </c>
      <c r="G236" s="3">
        <v>126.92307692307698</v>
      </c>
    </row>
    <row r="237" spans="1:7" x14ac:dyDescent="0.2">
      <c r="A237" s="3" t="s">
        <v>74</v>
      </c>
      <c r="B237" t="s">
        <v>943</v>
      </c>
      <c r="C237" s="3">
        <v>26</v>
      </c>
      <c r="D237" t="str">
        <f t="shared" si="3"/>
        <v>Sapin pectiné (ONF, Abt 2014) - classe 2_26</v>
      </c>
      <c r="E237" s="3">
        <v>132.00000000000006</v>
      </c>
      <c r="F237" s="3">
        <v>0</v>
      </c>
      <c r="G237" s="3">
        <v>132.00000000000006</v>
      </c>
    </row>
    <row r="238" spans="1:7" x14ac:dyDescent="0.2">
      <c r="A238" s="3" t="s">
        <v>74</v>
      </c>
      <c r="B238" t="s">
        <v>943</v>
      </c>
      <c r="C238" s="3">
        <v>27</v>
      </c>
      <c r="D238" t="str">
        <f t="shared" si="3"/>
        <v>Sapin pectiné (ONF, Abt 2014) - classe 2_27</v>
      </c>
      <c r="E238" s="3">
        <v>137.07692307692312</v>
      </c>
      <c r="F238" s="3">
        <v>0</v>
      </c>
      <c r="G238" s="3">
        <v>137.07692307692312</v>
      </c>
    </row>
    <row r="239" spans="1:7" x14ac:dyDescent="0.2">
      <c r="A239" s="3" t="s">
        <v>74</v>
      </c>
      <c r="B239" t="s">
        <v>943</v>
      </c>
      <c r="C239" s="3">
        <v>28</v>
      </c>
      <c r="D239" t="str">
        <f t="shared" si="3"/>
        <v>Sapin pectiné (ONF, Abt 2014) - classe 2_28</v>
      </c>
      <c r="E239" s="3">
        <v>142.15384615384619</v>
      </c>
      <c r="F239" s="3">
        <v>0</v>
      </c>
      <c r="G239" s="3">
        <v>142.15384615384619</v>
      </c>
    </row>
    <row r="240" spans="1:7" x14ac:dyDescent="0.2">
      <c r="A240" s="3" t="s">
        <v>74</v>
      </c>
      <c r="B240" t="s">
        <v>943</v>
      </c>
      <c r="C240" s="3">
        <v>29</v>
      </c>
      <c r="D240" t="str">
        <f t="shared" si="3"/>
        <v>Sapin pectiné (ONF, Abt 2014) - classe 2_29</v>
      </c>
      <c r="E240" s="3">
        <v>147.23076923076925</v>
      </c>
      <c r="F240" s="3">
        <v>0</v>
      </c>
      <c r="G240" s="3">
        <v>147.23076923076925</v>
      </c>
    </row>
    <row r="241" spans="1:7" x14ac:dyDescent="0.2">
      <c r="A241" s="3" t="s">
        <v>74</v>
      </c>
      <c r="B241" t="s">
        <v>943</v>
      </c>
      <c r="C241" s="3">
        <v>30</v>
      </c>
      <c r="D241" t="str">
        <f t="shared" si="3"/>
        <v>Sapin pectiné (ONF, Abt 2014) - classe 2_30</v>
      </c>
      <c r="E241" s="3">
        <v>152.30769230769232</v>
      </c>
      <c r="F241" s="3">
        <v>0</v>
      </c>
      <c r="G241" s="3">
        <v>152.30769230769232</v>
      </c>
    </row>
    <row r="242" spans="1:7" x14ac:dyDescent="0.2">
      <c r="A242" s="3" t="s">
        <v>74</v>
      </c>
      <c r="B242" t="s">
        <v>944</v>
      </c>
      <c r="C242" s="3">
        <v>1</v>
      </c>
      <c r="D242" t="str">
        <f t="shared" si="3"/>
        <v>Sapin pectiné (ONF, Abt 2014) - classe 3_1</v>
      </c>
      <c r="E242" s="3">
        <v>3.9189189189189189</v>
      </c>
      <c r="F242" s="3">
        <v>0</v>
      </c>
      <c r="G242" s="3">
        <v>3.9189189189189189</v>
      </c>
    </row>
    <row r="243" spans="1:7" x14ac:dyDescent="0.2">
      <c r="A243" s="3" t="s">
        <v>74</v>
      </c>
      <c r="B243" t="s">
        <v>944</v>
      </c>
      <c r="C243" s="3">
        <v>2</v>
      </c>
      <c r="D243" t="str">
        <f t="shared" si="3"/>
        <v>Sapin pectiné (ONF, Abt 2014) - classe 3_2</v>
      </c>
      <c r="E243" s="3">
        <v>7.8378378378378377</v>
      </c>
      <c r="F243" s="3">
        <v>0</v>
      </c>
      <c r="G243" s="3">
        <v>7.8378378378378377</v>
      </c>
    </row>
    <row r="244" spans="1:7" x14ac:dyDescent="0.2">
      <c r="A244" s="3" t="s">
        <v>74</v>
      </c>
      <c r="B244" t="s">
        <v>944</v>
      </c>
      <c r="C244" s="3">
        <v>3</v>
      </c>
      <c r="D244" t="str">
        <f t="shared" si="3"/>
        <v>Sapin pectiné (ONF, Abt 2014) - classe 3_3</v>
      </c>
      <c r="E244" s="3">
        <v>11.756756756756756</v>
      </c>
      <c r="F244" s="3">
        <v>0</v>
      </c>
      <c r="G244" s="3">
        <v>11.756756756756756</v>
      </c>
    </row>
    <row r="245" spans="1:7" x14ac:dyDescent="0.2">
      <c r="A245" s="3" t="s">
        <v>74</v>
      </c>
      <c r="B245" t="s">
        <v>944</v>
      </c>
      <c r="C245" s="3">
        <v>4</v>
      </c>
      <c r="D245" t="str">
        <f t="shared" si="3"/>
        <v>Sapin pectiné (ONF, Abt 2014) - classe 3_4</v>
      </c>
      <c r="E245" s="3">
        <v>15.675675675675675</v>
      </c>
      <c r="F245" s="3">
        <v>0</v>
      </c>
      <c r="G245" s="3">
        <v>15.675675675675675</v>
      </c>
    </row>
    <row r="246" spans="1:7" x14ac:dyDescent="0.2">
      <c r="A246" s="3" t="s">
        <v>74</v>
      </c>
      <c r="B246" t="s">
        <v>944</v>
      </c>
      <c r="C246" s="3">
        <v>5</v>
      </c>
      <c r="D246" t="str">
        <f t="shared" si="3"/>
        <v>Sapin pectiné (ONF, Abt 2014) - classe 3_5</v>
      </c>
      <c r="E246" s="3">
        <v>19.594594594594593</v>
      </c>
      <c r="F246" s="3">
        <v>0</v>
      </c>
      <c r="G246" s="3">
        <v>19.594594594594593</v>
      </c>
    </row>
    <row r="247" spans="1:7" x14ac:dyDescent="0.2">
      <c r="A247" s="3" t="s">
        <v>74</v>
      </c>
      <c r="B247" t="s">
        <v>944</v>
      </c>
      <c r="C247" s="3">
        <v>6</v>
      </c>
      <c r="D247" t="str">
        <f t="shared" si="3"/>
        <v>Sapin pectiné (ONF, Abt 2014) - classe 3_6</v>
      </c>
      <c r="E247" s="3">
        <v>23.513513513513512</v>
      </c>
      <c r="F247" s="3">
        <v>0</v>
      </c>
      <c r="G247" s="3">
        <v>23.513513513513512</v>
      </c>
    </row>
    <row r="248" spans="1:7" x14ac:dyDescent="0.2">
      <c r="A248" s="3" t="s">
        <v>74</v>
      </c>
      <c r="B248" t="s">
        <v>944</v>
      </c>
      <c r="C248" s="3">
        <v>7</v>
      </c>
      <c r="D248" t="str">
        <f t="shared" si="3"/>
        <v>Sapin pectiné (ONF, Abt 2014) - classe 3_7</v>
      </c>
      <c r="E248" s="3">
        <v>27.432432432432432</v>
      </c>
      <c r="F248" s="3">
        <v>0</v>
      </c>
      <c r="G248" s="3">
        <v>27.432432432432432</v>
      </c>
    </row>
    <row r="249" spans="1:7" x14ac:dyDescent="0.2">
      <c r="A249" s="3" t="s">
        <v>74</v>
      </c>
      <c r="B249" t="s">
        <v>944</v>
      </c>
      <c r="C249" s="3">
        <v>8</v>
      </c>
      <c r="D249" t="str">
        <f t="shared" si="3"/>
        <v>Sapin pectiné (ONF, Abt 2014) - classe 3_8</v>
      </c>
      <c r="E249" s="3">
        <v>31.351351351351351</v>
      </c>
      <c r="F249" s="3">
        <v>0</v>
      </c>
      <c r="G249" s="3">
        <v>31.351351351351351</v>
      </c>
    </row>
    <row r="250" spans="1:7" x14ac:dyDescent="0.2">
      <c r="A250" s="3" t="s">
        <v>74</v>
      </c>
      <c r="B250" t="s">
        <v>944</v>
      </c>
      <c r="C250" s="3">
        <v>9</v>
      </c>
      <c r="D250" t="str">
        <f t="shared" si="3"/>
        <v>Sapin pectiné (ONF, Abt 2014) - classe 3_9</v>
      </c>
      <c r="E250" s="3">
        <v>35.270270270270267</v>
      </c>
      <c r="F250" s="3">
        <v>0</v>
      </c>
      <c r="G250" s="3">
        <v>35.270270270270267</v>
      </c>
    </row>
    <row r="251" spans="1:7" x14ac:dyDescent="0.2">
      <c r="A251" s="3" t="s">
        <v>74</v>
      </c>
      <c r="B251" t="s">
        <v>944</v>
      </c>
      <c r="C251" s="3">
        <v>10</v>
      </c>
      <c r="D251" t="str">
        <f t="shared" si="3"/>
        <v>Sapin pectiné (ONF, Abt 2014) - classe 3_10</v>
      </c>
      <c r="E251" s="3">
        <v>39.189189189189186</v>
      </c>
      <c r="F251" s="3">
        <v>0</v>
      </c>
      <c r="G251" s="3">
        <v>39.189189189189186</v>
      </c>
    </row>
    <row r="252" spans="1:7" x14ac:dyDescent="0.2">
      <c r="A252" s="3" t="s">
        <v>74</v>
      </c>
      <c r="B252" t="s">
        <v>944</v>
      </c>
      <c r="C252" s="3">
        <v>11</v>
      </c>
      <c r="D252" t="str">
        <f t="shared" si="3"/>
        <v>Sapin pectiné (ONF, Abt 2014) - classe 3_11</v>
      </c>
      <c r="E252" s="3">
        <v>43.108108108108105</v>
      </c>
      <c r="F252" s="3">
        <v>0</v>
      </c>
      <c r="G252" s="3">
        <v>43.108108108108105</v>
      </c>
    </row>
    <row r="253" spans="1:7" x14ac:dyDescent="0.2">
      <c r="A253" s="3" t="s">
        <v>74</v>
      </c>
      <c r="B253" t="s">
        <v>944</v>
      </c>
      <c r="C253" s="3">
        <v>12</v>
      </c>
      <c r="D253" t="str">
        <f t="shared" si="3"/>
        <v>Sapin pectiné (ONF, Abt 2014) - classe 3_12</v>
      </c>
      <c r="E253" s="3">
        <v>47.027027027027025</v>
      </c>
      <c r="F253" s="3">
        <v>0</v>
      </c>
      <c r="G253" s="3">
        <v>47.027027027027025</v>
      </c>
    </row>
    <row r="254" spans="1:7" x14ac:dyDescent="0.2">
      <c r="A254" s="3" t="s">
        <v>74</v>
      </c>
      <c r="B254" t="s">
        <v>944</v>
      </c>
      <c r="C254" s="3">
        <v>13</v>
      </c>
      <c r="D254" t="str">
        <f t="shared" si="3"/>
        <v>Sapin pectiné (ONF, Abt 2014) - classe 3_13</v>
      </c>
      <c r="E254" s="3">
        <v>50.945945945945944</v>
      </c>
      <c r="F254" s="3">
        <v>0</v>
      </c>
      <c r="G254" s="3">
        <v>50.945945945945944</v>
      </c>
    </row>
    <row r="255" spans="1:7" x14ac:dyDescent="0.2">
      <c r="A255" s="3" t="s">
        <v>74</v>
      </c>
      <c r="B255" t="s">
        <v>944</v>
      </c>
      <c r="C255" s="3">
        <v>14</v>
      </c>
      <c r="D255" t="str">
        <f t="shared" si="3"/>
        <v>Sapin pectiné (ONF, Abt 2014) - classe 3_14</v>
      </c>
      <c r="E255" s="3">
        <v>54.864864864864863</v>
      </c>
      <c r="F255" s="3">
        <v>0</v>
      </c>
      <c r="G255" s="3">
        <v>54.864864864864863</v>
      </c>
    </row>
    <row r="256" spans="1:7" x14ac:dyDescent="0.2">
      <c r="A256" s="3" t="s">
        <v>74</v>
      </c>
      <c r="B256" t="s">
        <v>944</v>
      </c>
      <c r="C256" s="3">
        <v>15</v>
      </c>
      <c r="D256" t="str">
        <f t="shared" si="3"/>
        <v>Sapin pectiné (ONF, Abt 2014) - classe 3_15</v>
      </c>
      <c r="E256" s="3">
        <v>58.783783783783782</v>
      </c>
      <c r="F256" s="3">
        <v>0</v>
      </c>
      <c r="G256" s="3">
        <v>58.783783783783782</v>
      </c>
    </row>
    <row r="257" spans="1:7" x14ac:dyDescent="0.2">
      <c r="A257" s="3" t="s">
        <v>74</v>
      </c>
      <c r="B257" t="s">
        <v>944</v>
      </c>
      <c r="C257" s="3">
        <v>16</v>
      </c>
      <c r="D257" t="str">
        <f t="shared" si="3"/>
        <v>Sapin pectiné (ONF, Abt 2014) - classe 3_16</v>
      </c>
      <c r="E257" s="3">
        <v>62.702702702702702</v>
      </c>
      <c r="F257" s="3">
        <v>0</v>
      </c>
      <c r="G257" s="3">
        <v>62.702702702702702</v>
      </c>
    </row>
    <row r="258" spans="1:7" x14ac:dyDescent="0.2">
      <c r="A258" s="3" t="s">
        <v>74</v>
      </c>
      <c r="B258" t="s">
        <v>944</v>
      </c>
      <c r="C258" s="3">
        <v>17</v>
      </c>
      <c r="D258" t="str">
        <f t="shared" si="3"/>
        <v>Sapin pectiné (ONF, Abt 2014) - classe 3_17</v>
      </c>
      <c r="E258" s="3">
        <v>66.621621621621614</v>
      </c>
      <c r="F258" s="3">
        <v>0</v>
      </c>
      <c r="G258" s="3">
        <v>66.621621621621614</v>
      </c>
    </row>
    <row r="259" spans="1:7" x14ac:dyDescent="0.2">
      <c r="A259" s="3" t="s">
        <v>74</v>
      </c>
      <c r="B259" t="s">
        <v>944</v>
      </c>
      <c r="C259" s="3">
        <v>18</v>
      </c>
      <c r="D259" t="str">
        <f t="shared" ref="D259:D322" si="4">CONCATENATE(B259,"_",C259)</f>
        <v>Sapin pectiné (ONF, Abt 2014) - classe 3_18</v>
      </c>
      <c r="E259" s="3">
        <v>70.540540540540533</v>
      </c>
      <c r="F259" s="3">
        <v>0</v>
      </c>
      <c r="G259" s="3">
        <v>70.540540540540533</v>
      </c>
    </row>
    <row r="260" spans="1:7" x14ac:dyDescent="0.2">
      <c r="A260" s="3" t="s">
        <v>74</v>
      </c>
      <c r="B260" t="s">
        <v>944</v>
      </c>
      <c r="C260" s="3">
        <v>19</v>
      </c>
      <c r="D260" t="str">
        <f t="shared" si="4"/>
        <v>Sapin pectiné (ONF, Abt 2014) - classe 3_19</v>
      </c>
      <c r="E260" s="3">
        <v>74.459459459459453</v>
      </c>
      <c r="F260" s="3">
        <v>0</v>
      </c>
      <c r="G260" s="3">
        <v>74.459459459459453</v>
      </c>
    </row>
    <row r="261" spans="1:7" x14ac:dyDescent="0.2">
      <c r="A261" s="3" t="s">
        <v>74</v>
      </c>
      <c r="B261" t="s">
        <v>944</v>
      </c>
      <c r="C261" s="3">
        <v>20</v>
      </c>
      <c r="D261" t="str">
        <f t="shared" si="4"/>
        <v>Sapin pectiné (ONF, Abt 2014) - classe 3_20</v>
      </c>
      <c r="E261" s="3">
        <v>78.378378378378372</v>
      </c>
      <c r="F261" s="3">
        <v>0</v>
      </c>
      <c r="G261" s="3">
        <v>78.378378378378372</v>
      </c>
    </row>
    <row r="262" spans="1:7" x14ac:dyDescent="0.2">
      <c r="A262" s="3" t="s">
        <v>74</v>
      </c>
      <c r="B262" t="s">
        <v>944</v>
      </c>
      <c r="C262" s="3">
        <v>21</v>
      </c>
      <c r="D262" t="str">
        <f t="shared" si="4"/>
        <v>Sapin pectiné (ONF, Abt 2014) - classe 3_21</v>
      </c>
      <c r="E262" s="3">
        <v>82.297297297297291</v>
      </c>
      <c r="F262" s="3">
        <v>0</v>
      </c>
      <c r="G262" s="3">
        <v>82.297297297297291</v>
      </c>
    </row>
    <row r="263" spans="1:7" x14ac:dyDescent="0.2">
      <c r="A263" s="3" t="s">
        <v>74</v>
      </c>
      <c r="B263" t="s">
        <v>944</v>
      </c>
      <c r="C263" s="3">
        <v>22</v>
      </c>
      <c r="D263" t="str">
        <f t="shared" si="4"/>
        <v>Sapin pectiné (ONF, Abt 2014) - classe 3_22</v>
      </c>
      <c r="E263" s="3">
        <v>86.21621621621621</v>
      </c>
      <c r="F263" s="3">
        <v>0</v>
      </c>
      <c r="G263" s="3">
        <v>86.21621621621621</v>
      </c>
    </row>
    <row r="264" spans="1:7" x14ac:dyDescent="0.2">
      <c r="A264" s="3" t="s">
        <v>74</v>
      </c>
      <c r="B264" t="s">
        <v>944</v>
      </c>
      <c r="C264" s="3">
        <v>23</v>
      </c>
      <c r="D264" t="str">
        <f t="shared" si="4"/>
        <v>Sapin pectiné (ONF, Abt 2014) - classe 3_23</v>
      </c>
      <c r="E264" s="3">
        <v>90.13513513513513</v>
      </c>
      <c r="F264" s="3">
        <v>0</v>
      </c>
      <c r="G264" s="3">
        <v>90.13513513513513</v>
      </c>
    </row>
    <row r="265" spans="1:7" x14ac:dyDescent="0.2">
      <c r="A265" s="3" t="s">
        <v>74</v>
      </c>
      <c r="B265" t="s">
        <v>944</v>
      </c>
      <c r="C265" s="3">
        <v>24</v>
      </c>
      <c r="D265" t="str">
        <f t="shared" si="4"/>
        <v>Sapin pectiné (ONF, Abt 2014) - classe 3_24</v>
      </c>
      <c r="E265" s="3">
        <v>94.054054054054049</v>
      </c>
      <c r="F265" s="3">
        <v>0</v>
      </c>
      <c r="G265" s="3">
        <v>94.054054054054049</v>
      </c>
    </row>
    <row r="266" spans="1:7" x14ac:dyDescent="0.2">
      <c r="A266" s="3" t="s">
        <v>74</v>
      </c>
      <c r="B266" t="s">
        <v>944</v>
      </c>
      <c r="C266" s="3">
        <v>25</v>
      </c>
      <c r="D266" t="str">
        <f t="shared" si="4"/>
        <v>Sapin pectiné (ONF, Abt 2014) - classe 3_25</v>
      </c>
      <c r="E266" s="3">
        <v>97.972972972972968</v>
      </c>
      <c r="F266" s="3">
        <v>0</v>
      </c>
      <c r="G266" s="3">
        <v>97.972972972972968</v>
      </c>
    </row>
    <row r="267" spans="1:7" x14ac:dyDescent="0.2">
      <c r="A267" s="3" t="s">
        <v>74</v>
      </c>
      <c r="B267" t="s">
        <v>944</v>
      </c>
      <c r="C267" s="3">
        <v>26</v>
      </c>
      <c r="D267" t="str">
        <f t="shared" si="4"/>
        <v>Sapin pectiné (ONF, Abt 2014) - classe 3_26</v>
      </c>
      <c r="E267" s="3">
        <v>101.89189189189189</v>
      </c>
      <c r="F267" s="3">
        <v>0</v>
      </c>
      <c r="G267" s="3">
        <v>101.89189189189189</v>
      </c>
    </row>
    <row r="268" spans="1:7" x14ac:dyDescent="0.2">
      <c r="A268" s="3" t="s">
        <v>74</v>
      </c>
      <c r="B268" t="s">
        <v>944</v>
      </c>
      <c r="C268" s="3">
        <v>27</v>
      </c>
      <c r="D268" t="str">
        <f t="shared" si="4"/>
        <v>Sapin pectiné (ONF, Abt 2014) - classe 3_27</v>
      </c>
      <c r="E268" s="3">
        <v>105.81081081081081</v>
      </c>
      <c r="F268" s="3">
        <v>0</v>
      </c>
      <c r="G268" s="3">
        <v>105.81081081081081</v>
      </c>
    </row>
    <row r="269" spans="1:7" x14ac:dyDescent="0.2">
      <c r="A269" s="3" t="s">
        <v>74</v>
      </c>
      <c r="B269" t="s">
        <v>944</v>
      </c>
      <c r="C269" s="3">
        <v>28</v>
      </c>
      <c r="D269" t="str">
        <f t="shared" si="4"/>
        <v>Sapin pectiné (ONF, Abt 2014) - classe 3_28</v>
      </c>
      <c r="E269" s="3">
        <v>109.72972972972973</v>
      </c>
      <c r="F269" s="3">
        <v>0</v>
      </c>
      <c r="G269" s="3">
        <v>109.72972972972973</v>
      </c>
    </row>
    <row r="270" spans="1:7" x14ac:dyDescent="0.2">
      <c r="A270" s="3" t="s">
        <v>74</v>
      </c>
      <c r="B270" t="s">
        <v>944</v>
      </c>
      <c r="C270" s="3">
        <v>29</v>
      </c>
      <c r="D270" t="str">
        <f t="shared" si="4"/>
        <v>Sapin pectiné (ONF, Abt 2014) - classe 3_29</v>
      </c>
      <c r="E270" s="3">
        <v>113.64864864864865</v>
      </c>
      <c r="F270" s="3">
        <v>0</v>
      </c>
      <c r="G270" s="3">
        <v>113.64864864864865</v>
      </c>
    </row>
    <row r="271" spans="1:7" x14ac:dyDescent="0.2">
      <c r="A271" s="3" t="s">
        <v>74</v>
      </c>
      <c r="B271" t="s">
        <v>944</v>
      </c>
      <c r="C271" s="3">
        <v>30</v>
      </c>
      <c r="D271" t="str">
        <f t="shared" si="4"/>
        <v>Sapin pectiné (ONF, Abt 2014) - classe 3_30</v>
      </c>
      <c r="E271" s="3">
        <v>117.56756756756756</v>
      </c>
      <c r="F271" s="3">
        <v>0</v>
      </c>
      <c r="G271" s="3">
        <v>117.56756756756756</v>
      </c>
    </row>
    <row r="272" spans="1:7" x14ac:dyDescent="0.2">
      <c r="A272" s="3" t="s">
        <v>69</v>
      </c>
      <c r="B272" t="s">
        <v>994</v>
      </c>
      <c r="C272" s="3">
        <v>1</v>
      </c>
      <c r="D272" t="str">
        <f t="shared" si="4"/>
        <v>Mélèze d'Europe (https://orbi.uliege.be/bitstream/2268/23101/1/fw61_17-24_2002.pdf)_1</v>
      </c>
      <c r="E272" s="3">
        <v>8.5833333333333339</v>
      </c>
      <c r="F272" s="3">
        <v>0</v>
      </c>
      <c r="G272" s="3">
        <v>8.5833333333333339</v>
      </c>
    </row>
    <row r="273" spans="1:7" x14ac:dyDescent="0.2">
      <c r="A273" s="3" t="s">
        <v>69</v>
      </c>
      <c r="B273" t="s">
        <v>994</v>
      </c>
      <c r="C273" s="3">
        <v>2</v>
      </c>
      <c r="D273" t="str">
        <f t="shared" si="4"/>
        <v>Mélèze d'Europe (https://orbi.uliege.be/bitstream/2268/23101/1/fw61_17-24_2002.pdf)_2</v>
      </c>
      <c r="E273" s="3">
        <v>13.138888888888889</v>
      </c>
      <c r="F273" s="3">
        <v>0</v>
      </c>
      <c r="G273" s="3">
        <v>17.166666666666668</v>
      </c>
    </row>
    <row r="274" spans="1:7" x14ac:dyDescent="0.2">
      <c r="A274" s="3" t="s">
        <v>69</v>
      </c>
      <c r="B274" t="s">
        <v>994</v>
      </c>
      <c r="C274" s="3">
        <v>3</v>
      </c>
      <c r="D274" t="str">
        <f t="shared" si="4"/>
        <v>Mélèze d'Europe (https://orbi.uliege.be/bitstream/2268/23101/1/fw61_17-24_2002.pdf)_3</v>
      </c>
      <c r="E274" s="3">
        <v>21.722222222222221</v>
      </c>
      <c r="F274" s="3">
        <v>0</v>
      </c>
      <c r="G274" s="3">
        <v>25.75</v>
      </c>
    </row>
    <row r="275" spans="1:7" x14ac:dyDescent="0.2">
      <c r="A275" s="3" t="s">
        <v>69</v>
      </c>
      <c r="B275" t="s">
        <v>994</v>
      </c>
      <c r="C275" s="3">
        <v>4</v>
      </c>
      <c r="D275" t="str">
        <f t="shared" si="4"/>
        <v>Mélèze d'Europe (https://orbi.uliege.be/bitstream/2268/23101/1/fw61_17-24_2002.pdf)_4</v>
      </c>
      <c r="E275" s="3">
        <v>30.305555555555554</v>
      </c>
      <c r="F275" s="3">
        <v>0</v>
      </c>
      <c r="G275" s="3">
        <v>34.333333333333336</v>
      </c>
    </row>
    <row r="276" spans="1:7" x14ac:dyDescent="0.2">
      <c r="A276" s="3" t="s">
        <v>69</v>
      </c>
      <c r="B276" t="s">
        <v>994</v>
      </c>
      <c r="C276" s="3">
        <v>5</v>
      </c>
      <c r="D276" t="str">
        <f t="shared" si="4"/>
        <v>Mélèze d'Europe (https://orbi.uliege.be/bitstream/2268/23101/1/fw61_17-24_2002.pdf)_5</v>
      </c>
      <c r="E276" s="3">
        <v>38.888888888888893</v>
      </c>
      <c r="F276" s="3">
        <v>0</v>
      </c>
      <c r="G276" s="3">
        <v>42.916666666666671</v>
      </c>
    </row>
    <row r="277" spans="1:7" x14ac:dyDescent="0.2">
      <c r="A277" s="3" t="s">
        <v>69</v>
      </c>
      <c r="B277" t="s">
        <v>994</v>
      </c>
      <c r="C277" s="3">
        <v>6</v>
      </c>
      <c r="D277" t="str">
        <f t="shared" si="4"/>
        <v>Mélèze d'Europe (https://orbi.uliege.be/bitstream/2268/23101/1/fw61_17-24_2002.pdf)_6</v>
      </c>
      <c r="E277" s="3">
        <v>47.472222222222229</v>
      </c>
      <c r="F277" s="3">
        <v>0</v>
      </c>
      <c r="G277" s="3">
        <v>51.500000000000007</v>
      </c>
    </row>
    <row r="278" spans="1:7" x14ac:dyDescent="0.2">
      <c r="A278" s="3" t="s">
        <v>69</v>
      </c>
      <c r="B278" t="s">
        <v>994</v>
      </c>
      <c r="C278" s="3">
        <v>7</v>
      </c>
      <c r="D278" t="str">
        <f t="shared" si="4"/>
        <v>Mélèze d'Europe (https://orbi.uliege.be/bitstream/2268/23101/1/fw61_17-24_2002.pdf)_7</v>
      </c>
      <c r="E278" s="3">
        <v>56.055555555555564</v>
      </c>
      <c r="F278" s="3">
        <v>0</v>
      </c>
      <c r="G278" s="3">
        <v>60.083333333333343</v>
      </c>
    </row>
    <row r="279" spans="1:7" x14ac:dyDescent="0.2">
      <c r="A279" s="3" t="s">
        <v>69</v>
      </c>
      <c r="B279" t="s">
        <v>994</v>
      </c>
      <c r="C279" s="3">
        <v>8</v>
      </c>
      <c r="D279" t="str">
        <f t="shared" si="4"/>
        <v>Mélèze d'Europe (https://orbi.uliege.be/bitstream/2268/23101/1/fw61_17-24_2002.pdf)_8</v>
      </c>
      <c r="E279" s="3">
        <v>64.6388888888889</v>
      </c>
      <c r="F279" s="3">
        <v>0</v>
      </c>
      <c r="G279" s="3">
        <v>68.666666666666671</v>
      </c>
    </row>
    <row r="280" spans="1:7" x14ac:dyDescent="0.2">
      <c r="A280" s="3" t="s">
        <v>69</v>
      </c>
      <c r="B280" t="s">
        <v>994</v>
      </c>
      <c r="C280" s="3">
        <v>9</v>
      </c>
      <c r="D280" t="str">
        <f t="shared" si="4"/>
        <v>Mélèze d'Europe (https://orbi.uliege.be/bitstream/2268/23101/1/fw61_17-24_2002.pdf)_9</v>
      </c>
      <c r="E280" s="3">
        <v>73.222222222222229</v>
      </c>
      <c r="F280" s="3">
        <v>0</v>
      </c>
      <c r="G280" s="3">
        <v>77.25</v>
      </c>
    </row>
    <row r="281" spans="1:7" x14ac:dyDescent="0.2">
      <c r="A281" s="3" t="s">
        <v>69</v>
      </c>
      <c r="B281" t="s">
        <v>994</v>
      </c>
      <c r="C281" s="3">
        <v>10</v>
      </c>
      <c r="D281" t="str">
        <f t="shared" si="4"/>
        <v>Mélèze d'Europe (https://orbi.uliege.be/bitstream/2268/23101/1/fw61_17-24_2002.pdf)_10</v>
      </c>
      <c r="E281" s="3">
        <v>81.805555555555557</v>
      </c>
      <c r="F281" s="3">
        <v>0</v>
      </c>
      <c r="G281" s="3">
        <v>85.833333333333329</v>
      </c>
    </row>
    <row r="282" spans="1:7" x14ac:dyDescent="0.2">
      <c r="A282" s="3" t="s">
        <v>69</v>
      </c>
      <c r="B282" t="s">
        <v>994</v>
      </c>
      <c r="C282" s="3">
        <v>11</v>
      </c>
      <c r="D282" t="str">
        <f t="shared" si="4"/>
        <v>Mélèze d'Europe (https://orbi.uliege.be/bitstream/2268/23101/1/fw61_17-24_2002.pdf)_11</v>
      </c>
      <c r="E282" s="3">
        <v>90.388888888888886</v>
      </c>
      <c r="F282" s="3">
        <v>0</v>
      </c>
      <c r="G282" s="3">
        <v>94.416666666666657</v>
      </c>
    </row>
    <row r="283" spans="1:7" x14ac:dyDescent="0.2">
      <c r="A283" s="3" t="s">
        <v>69</v>
      </c>
      <c r="B283" t="s">
        <v>994</v>
      </c>
      <c r="C283" s="3">
        <v>12</v>
      </c>
      <c r="D283" t="str">
        <f t="shared" si="4"/>
        <v>Mélèze d'Europe (https://orbi.uliege.be/bitstream/2268/23101/1/fw61_17-24_2002.pdf)_12</v>
      </c>
      <c r="E283" s="3">
        <v>103</v>
      </c>
      <c r="F283" s="3">
        <v>18</v>
      </c>
      <c r="G283" s="3">
        <v>85</v>
      </c>
    </row>
    <row r="284" spans="1:7" x14ac:dyDescent="0.2">
      <c r="A284" s="3" t="s">
        <v>69</v>
      </c>
      <c r="B284" t="s">
        <v>994</v>
      </c>
      <c r="C284" s="3">
        <v>13</v>
      </c>
      <c r="D284" t="str">
        <f t="shared" si="4"/>
        <v>Mélèze d'Europe (https://orbi.uliege.be/bitstream/2268/23101/1/fw61_17-24_2002.pdf)_13</v>
      </c>
      <c r="E284" s="3">
        <v>108</v>
      </c>
      <c r="F284" s="3">
        <v>0</v>
      </c>
      <c r="G284" s="3">
        <v>108</v>
      </c>
    </row>
    <row r="285" spans="1:7" x14ac:dyDescent="0.2">
      <c r="A285" s="3" t="s">
        <v>69</v>
      </c>
      <c r="B285" t="s">
        <v>994</v>
      </c>
      <c r="C285" s="3">
        <v>14</v>
      </c>
      <c r="D285" t="str">
        <f t="shared" si="4"/>
        <v>Mélèze d'Europe (https://orbi.uliege.be/bitstream/2268/23101/1/fw61_17-24_2002.pdf)_14</v>
      </c>
      <c r="E285" s="3">
        <v>131</v>
      </c>
      <c r="F285" s="3">
        <v>0</v>
      </c>
      <c r="G285" s="3">
        <v>131</v>
      </c>
    </row>
    <row r="286" spans="1:7" x14ac:dyDescent="0.2">
      <c r="A286" s="3" t="s">
        <v>69</v>
      </c>
      <c r="B286" t="s">
        <v>994</v>
      </c>
      <c r="C286" s="3">
        <v>15</v>
      </c>
      <c r="D286" t="str">
        <f t="shared" si="4"/>
        <v>Mélèze d'Europe (https://orbi.uliege.be/bitstream/2268/23101/1/fw61_17-24_2002.pdf)_15</v>
      </c>
      <c r="E286" s="3">
        <v>154</v>
      </c>
      <c r="F286" s="3">
        <v>0</v>
      </c>
      <c r="G286" s="3">
        <v>154</v>
      </c>
    </row>
    <row r="287" spans="1:7" x14ac:dyDescent="0.2">
      <c r="A287" s="3" t="s">
        <v>69</v>
      </c>
      <c r="B287" t="s">
        <v>994</v>
      </c>
      <c r="C287" s="3">
        <v>16</v>
      </c>
      <c r="D287" t="str">
        <f t="shared" si="4"/>
        <v>Mélèze d'Europe (https://orbi.uliege.be/bitstream/2268/23101/1/fw61_17-24_2002.pdf)_16</v>
      </c>
      <c r="E287" s="3">
        <v>177</v>
      </c>
      <c r="F287" s="3">
        <v>0</v>
      </c>
      <c r="G287" s="3">
        <v>177</v>
      </c>
    </row>
    <row r="288" spans="1:7" x14ac:dyDescent="0.2">
      <c r="A288" s="3" t="s">
        <v>69</v>
      </c>
      <c r="B288" t="s">
        <v>994</v>
      </c>
      <c r="C288" s="3">
        <v>17</v>
      </c>
      <c r="D288" t="str">
        <f t="shared" si="4"/>
        <v>Mélèze d'Europe (https://orbi.uliege.be/bitstream/2268/23101/1/fw61_17-24_2002.pdf)_17</v>
      </c>
      <c r="E288" s="3">
        <v>200</v>
      </c>
      <c r="F288" s="3">
        <v>0</v>
      </c>
      <c r="G288" s="3">
        <v>200</v>
      </c>
    </row>
    <row r="289" spans="1:7" x14ac:dyDescent="0.2">
      <c r="A289" s="3" t="s">
        <v>69</v>
      </c>
      <c r="B289" t="s">
        <v>994</v>
      </c>
      <c r="C289" s="3">
        <v>18</v>
      </c>
      <c r="D289" t="str">
        <f t="shared" si="4"/>
        <v>Mélèze d'Europe (https://orbi.uliege.be/bitstream/2268/23101/1/fw61_17-24_2002.pdf)_18</v>
      </c>
      <c r="E289" s="3">
        <v>223</v>
      </c>
      <c r="F289" s="3">
        <v>84</v>
      </c>
      <c r="G289" s="3">
        <v>139</v>
      </c>
    </row>
    <row r="290" spans="1:7" x14ac:dyDescent="0.2">
      <c r="A290" s="3" t="s">
        <v>69</v>
      </c>
      <c r="B290" t="s">
        <v>994</v>
      </c>
      <c r="C290" s="3">
        <v>19</v>
      </c>
      <c r="D290" t="str">
        <f t="shared" si="4"/>
        <v>Mélèze d'Europe (https://orbi.uliege.be/bitstream/2268/23101/1/fw61_17-24_2002.pdf)_19</v>
      </c>
      <c r="E290" s="3">
        <v>158.16666666666666</v>
      </c>
      <c r="F290" s="3">
        <v>0</v>
      </c>
      <c r="G290" s="3">
        <v>158.16666666666666</v>
      </c>
    </row>
    <row r="291" spans="1:7" x14ac:dyDescent="0.2">
      <c r="A291" s="3" t="s">
        <v>69</v>
      </c>
      <c r="B291" t="s">
        <v>994</v>
      </c>
      <c r="C291" s="3">
        <v>20</v>
      </c>
      <c r="D291" t="str">
        <f t="shared" si="4"/>
        <v>Mélèze d'Europe (https://orbi.uliege.be/bitstream/2268/23101/1/fw61_17-24_2002.pdf)_20</v>
      </c>
      <c r="E291" s="3">
        <v>177.33333333333331</v>
      </c>
      <c r="F291" s="3">
        <v>0</v>
      </c>
      <c r="G291" s="3">
        <v>177.33333333333334</v>
      </c>
    </row>
    <row r="292" spans="1:7" x14ac:dyDescent="0.2">
      <c r="A292" s="3" t="s">
        <v>69</v>
      </c>
      <c r="B292" t="s">
        <v>994</v>
      </c>
      <c r="C292" s="3">
        <v>21</v>
      </c>
      <c r="D292" t="str">
        <f t="shared" si="4"/>
        <v>Mélèze d'Europe (https://orbi.uliege.be/bitstream/2268/23101/1/fw61_17-24_2002.pdf)_21</v>
      </c>
      <c r="E292" s="3">
        <v>196.49999999999997</v>
      </c>
      <c r="F292" s="3">
        <v>0</v>
      </c>
      <c r="G292" s="3">
        <v>196.5</v>
      </c>
    </row>
    <row r="293" spans="1:7" x14ac:dyDescent="0.2">
      <c r="A293" s="3" t="s">
        <v>69</v>
      </c>
      <c r="B293" t="s">
        <v>994</v>
      </c>
      <c r="C293" s="3">
        <v>22</v>
      </c>
      <c r="D293" t="str">
        <f t="shared" si="4"/>
        <v>Mélèze d'Europe (https://orbi.uliege.be/bitstream/2268/23101/1/fw61_17-24_2002.pdf)_22</v>
      </c>
      <c r="E293" s="3">
        <v>215.66666666666663</v>
      </c>
      <c r="F293" s="3">
        <v>0</v>
      </c>
      <c r="G293" s="3">
        <v>215.66666666666669</v>
      </c>
    </row>
    <row r="294" spans="1:7" x14ac:dyDescent="0.2">
      <c r="A294" s="3" t="s">
        <v>69</v>
      </c>
      <c r="B294" t="s">
        <v>994</v>
      </c>
      <c r="C294" s="3">
        <v>23</v>
      </c>
      <c r="D294" t="str">
        <f t="shared" si="4"/>
        <v>Mélèze d'Europe (https://orbi.uliege.be/bitstream/2268/23101/1/fw61_17-24_2002.pdf)_23</v>
      </c>
      <c r="E294" s="3">
        <v>234.83333333333329</v>
      </c>
      <c r="F294" s="3">
        <v>0</v>
      </c>
      <c r="G294" s="3">
        <v>234.83333333333331</v>
      </c>
    </row>
    <row r="295" spans="1:7" x14ac:dyDescent="0.2">
      <c r="A295" s="3" t="s">
        <v>69</v>
      </c>
      <c r="B295" t="s">
        <v>994</v>
      </c>
      <c r="C295" s="3">
        <v>24</v>
      </c>
      <c r="D295" t="str">
        <f t="shared" si="4"/>
        <v>Mélèze d'Europe (https://orbi.uliege.be/bitstream/2268/23101/1/fw61_17-24_2002.pdf)_24</v>
      </c>
      <c r="E295" s="3">
        <v>254</v>
      </c>
      <c r="F295" s="3">
        <v>74</v>
      </c>
      <c r="G295" s="3">
        <v>180</v>
      </c>
    </row>
    <row r="296" spans="1:7" x14ac:dyDescent="0.2">
      <c r="A296" s="3" t="s">
        <v>69</v>
      </c>
      <c r="B296" t="s">
        <v>994</v>
      </c>
      <c r="C296" s="3">
        <v>25</v>
      </c>
      <c r="D296" t="str">
        <f t="shared" si="4"/>
        <v>Mélèze d'Europe (https://orbi.uliege.be/bitstream/2268/23101/1/fw61_17-24_2002.pdf)_25</v>
      </c>
      <c r="E296" s="3">
        <v>196.66666666666666</v>
      </c>
      <c r="F296" s="3">
        <v>0</v>
      </c>
      <c r="G296" s="3">
        <v>196.66666666666666</v>
      </c>
    </row>
    <row r="297" spans="1:7" x14ac:dyDescent="0.2">
      <c r="A297" s="3" t="s">
        <v>69</v>
      </c>
      <c r="B297" t="s">
        <v>994</v>
      </c>
      <c r="C297" s="3">
        <v>26</v>
      </c>
      <c r="D297" t="str">
        <f t="shared" si="4"/>
        <v>Mélèze d'Europe (https://orbi.uliege.be/bitstream/2268/23101/1/fw61_17-24_2002.pdf)_26</v>
      </c>
      <c r="E297" s="3">
        <v>213.33333333333331</v>
      </c>
      <c r="F297" s="3">
        <v>0</v>
      </c>
      <c r="G297" s="3">
        <v>213.33333333333334</v>
      </c>
    </row>
    <row r="298" spans="1:7" x14ac:dyDescent="0.2">
      <c r="A298" s="3" t="s">
        <v>69</v>
      </c>
      <c r="B298" t="s">
        <v>994</v>
      </c>
      <c r="C298" s="3">
        <v>27</v>
      </c>
      <c r="D298" t="str">
        <f t="shared" si="4"/>
        <v>Mélèze d'Europe (https://orbi.uliege.be/bitstream/2268/23101/1/fw61_17-24_2002.pdf)_27</v>
      </c>
      <c r="E298" s="3">
        <v>229.99999999999997</v>
      </c>
      <c r="F298" s="3">
        <v>0</v>
      </c>
      <c r="G298" s="3">
        <v>230</v>
      </c>
    </row>
    <row r="299" spans="1:7" x14ac:dyDescent="0.2">
      <c r="A299" s="3" t="s">
        <v>69</v>
      </c>
      <c r="B299" t="s">
        <v>994</v>
      </c>
      <c r="C299" s="3">
        <v>28</v>
      </c>
      <c r="D299" t="str">
        <f t="shared" si="4"/>
        <v>Mélèze d'Europe (https://orbi.uliege.be/bitstream/2268/23101/1/fw61_17-24_2002.pdf)_28</v>
      </c>
      <c r="E299" s="3">
        <v>246.66666666666663</v>
      </c>
      <c r="F299" s="3">
        <v>0</v>
      </c>
      <c r="G299" s="3">
        <v>246.66666666666669</v>
      </c>
    </row>
    <row r="300" spans="1:7" x14ac:dyDescent="0.2">
      <c r="A300" s="3" t="s">
        <v>69</v>
      </c>
      <c r="B300" t="s">
        <v>994</v>
      </c>
      <c r="C300" s="3">
        <v>29</v>
      </c>
      <c r="D300" t="str">
        <f t="shared" si="4"/>
        <v>Mélèze d'Europe (https://orbi.uliege.be/bitstream/2268/23101/1/fw61_17-24_2002.pdf)_29</v>
      </c>
      <c r="E300" s="3">
        <v>263.33333333333331</v>
      </c>
      <c r="F300" s="3">
        <v>0</v>
      </c>
      <c r="G300" s="3">
        <v>263.33333333333331</v>
      </c>
    </row>
    <row r="301" spans="1:7" x14ac:dyDescent="0.2">
      <c r="A301" s="3" t="s">
        <v>69</v>
      </c>
      <c r="B301" t="s">
        <v>994</v>
      </c>
      <c r="C301" s="3">
        <v>30</v>
      </c>
      <c r="D301" t="str">
        <f t="shared" si="4"/>
        <v>Mélèze d'Europe (https://orbi.uliege.be/bitstream/2268/23101/1/fw61_17-24_2002.pdf)_30</v>
      </c>
      <c r="E301" s="3">
        <v>280</v>
      </c>
      <c r="F301" s="3">
        <v>63</v>
      </c>
      <c r="G301" s="3">
        <v>218</v>
      </c>
    </row>
    <row r="302" spans="1:7" x14ac:dyDescent="0.2">
      <c r="A302" s="3" t="s">
        <v>60</v>
      </c>
      <c r="B302" t="s">
        <v>949</v>
      </c>
      <c r="C302" s="3">
        <v>1</v>
      </c>
      <c r="D302" t="str">
        <f t="shared" si="4"/>
        <v>Pin sylvestre - Sologne (INRA, N. Decourt, 1965) - classe 1_1</v>
      </c>
      <c r="E302" s="3">
        <v>5</v>
      </c>
      <c r="F302" s="3">
        <v>0</v>
      </c>
      <c r="G302" s="3">
        <v>5</v>
      </c>
    </row>
    <row r="303" spans="1:7" x14ac:dyDescent="0.2">
      <c r="A303" s="3" t="s">
        <v>60</v>
      </c>
      <c r="B303" t="s">
        <v>949</v>
      </c>
      <c r="C303" s="3">
        <v>2</v>
      </c>
      <c r="D303" t="str">
        <f t="shared" si="4"/>
        <v>Pin sylvestre - Sologne (INRA, N. Decourt, 1965) - classe 1_2</v>
      </c>
      <c r="E303" s="3">
        <v>10</v>
      </c>
      <c r="F303" s="3">
        <v>0</v>
      </c>
      <c r="G303" s="3">
        <v>10</v>
      </c>
    </row>
    <row r="304" spans="1:7" x14ac:dyDescent="0.2">
      <c r="A304" s="3" t="s">
        <v>60</v>
      </c>
      <c r="B304" t="s">
        <v>949</v>
      </c>
      <c r="C304" s="3">
        <v>3</v>
      </c>
      <c r="D304" t="str">
        <f t="shared" si="4"/>
        <v>Pin sylvestre - Sologne (INRA, N. Decourt, 1965) - classe 1_3</v>
      </c>
      <c r="E304" s="3">
        <v>15</v>
      </c>
      <c r="F304" s="3">
        <v>0</v>
      </c>
      <c r="G304" s="3">
        <v>15</v>
      </c>
    </row>
    <row r="305" spans="1:7" x14ac:dyDescent="0.2">
      <c r="A305" s="3" t="s">
        <v>60</v>
      </c>
      <c r="B305" t="s">
        <v>949</v>
      </c>
      <c r="C305" s="3">
        <v>4</v>
      </c>
      <c r="D305" t="str">
        <f t="shared" si="4"/>
        <v>Pin sylvestre - Sologne (INRA, N. Decourt, 1965) - classe 1_4</v>
      </c>
      <c r="E305" s="3">
        <v>20</v>
      </c>
      <c r="F305" s="3">
        <v>0</v>
      </c>
      <c r="G305" s="3">
        <v>20</v>
      </c>
    </row>
    <row r="306" spans="1:7" x14ac:dyDescent="0.2">
      <c r="A306" s="3" t="s">
        <v>60</v>
      </c>
      <c r="B306" t="s">
        <v>949</v>
      </c>
      <c r="C306" s="3">
        <v>5</v>
      </c>
      <c r="D306" t="str">
        <f t="shared" si="4"/>
        <v>Pin sylvestre - Sologne (INRA, N. Decourt, 1965) - classe 1_5</v>
      </c>
      <c r="E306" s="3">
        <v>25</v>
      </c>
      <c r="F306" s="3">
        <v>0</v>
      </c>
      <c r="G306" s="3">
        <v>25</v>
      </c>
    </row>
    <row r="307" spans="1:7" x14ac:dyDescent="0.2">
      <c r="A307" s="3" t="s">
        <v>60</v>
      </c>
      <c r="B307" t="s">
        <v>949</v>
      </c>
      <c r="C307" s="3">
        <v>6</v>
      </c>
      <c r="D307" t="str">
        <f t="shared" si="4"/>
        <v>Pin sylvestre - Sologne (INRA, N. Decourt, 1965) - classe 1_6</v>
      </c>
      <c r="E307" s="3">
        <v>30</v>
      </c>
      <c r="F307" s="3">
        <v>0</v>
      </c>
      <c r="G307" s="3">
        <v>30</v>
      </c>
    </row>
    <row r="308" spans="1:7" x14ac:dyDescent="0.2">
      <c r="A308" s="3" t="s">
        <v>60</v>
      </c>
      <c r="B308" t="s">
        <v>949</v>
      </c>
      <c r="C308" s="3">
        <v>7</v>
      </c>
      <c r="D308" t="str">
        <f t="shared" si="4"/>
        <v>Pin sylvestre - Sologne (INRA, N. Decourt, 1965) - classe 1_7</v>
      </c>
      <c r="E308" s="3">
        <v>35</v>
      </c>
      <c r="F308" s="3">
        <v>0</v>
      </c>
      <c r="G308" s="3">
        <v>35</v>
      </c>
    </row>
    <row r="309" spans="1:7" x14ac:dyDescent="0.2">
      <c r="A309" s="3" t="s">
        <v>60</v>
      </c>
      <c r="B309" t="s">
        <v>949</v>
      </c>
      <c r="C309" s="3">
        <v>8</v>
      </c>
      <c r="D309" t="str">
        <f t="shared" si="4"/>
        <v>Pin sylvestre - Sologne (INRA, N. Decourt, 1965) - classe 1_8</v>
      </c>
      <c r="E309" s="3">
        <v>40</v>
      </c>
      <c r="F309" s="3">
        <v>0</v>
      </c>
      <c r="G309" s="3">
        <v>40</v>
      </c>
    </row>
    <row r="310" spans="1:7" x14ac:dyDescent="0.2">
      <c r="A310" s="3" t="s">
        <v>60</v>
      </c>
      <c r="B310" t="s">
        <v>949</v>
      </c>
      <c r="C310" s="3">
        <v>9</v>
      </c>
      <c r="D310" t="str">
        <f t="shared" si="4"/>
        <v>Pin sylvestre - Sologne (INRA, N. Decourt, 1965) - classe 1_9</v>
      </c>
      <c r="E310" s="3">
        <v>45</v>
      </c>
      <c r="F310" s="3">
        <v>0</v>
      </c>
      <c r="G310" s="3">
        <v>45</v>
      </c>
    </row>
    <row r="311" spans="1:7" x14ac:dyDescent="0.2">
      <c r="A311" s="3" t="s">
        <v>60</v>
      </c>
      <c r="B311" t="s">
        <v>949</v>
      </c>
      <c r="C311" s="3">
        <v>10</v>
      </c>
      <c r="D311" t="str">
        <f t="shared" si="4"/>
        <v>Pin sylvestre - Sologne (INRA, N. Decourt, 1965) - classe 1_10</v>
      </c>
      <c r="E311" s="3">
        <v>50</v>
      </c>
      <c r="F311" s="3">
        <v>0</v>
      </c>
      <c r="G311" s="3">
        <v>50</v>
      </c>
    </row>
    <row r="312" spans="1:7" x14ac:dyDescent="0.2">
      <c r="A312" s="3" t="s">
        <v>60</v>
      </c>
      <c r="B312" t="s">
        <v>949</v>
      </c>
      <c r="C312" s="3">
        <v>11</v>
      </c>
      <c r="D312" t="str">
        <f t="shared" si="4"/>
        <v>Pin sylvestre - Sologne (INRA, N. Decourt, 1965) - classe 1_11</v>
      </c>
      <c r="E312" s="3">
        <v>55</v>
      </c>
      <c r="F312" s="3">
        <v>0</v>
      </c>
      <c r="G312" s="3">
        <v>55</v>
      </c>
    </row>
    <row r="313" spans="1:7" x14ac:dyDescent="0.2">
      <c r="A313" s="3" t="s">
        <v>60</v>
      </c>
      <c r="B313" t="s">
        <v>949</v>
      </c>
      <c r="C313" s="3">
        <v>12</v>
      </c>
      <c r="D313" t="str">
        <f t="shared" si="4"/>
        <v>Pin sylvestre - Sologne (INRA, N. Decourt, 1965) - classe 1_12</v>
      </c>
      <c r="E313" s="3">
        <v>60</v>
      </c>
      <c r="F313" s="3">
        <v>0</v>
      </c>
      <c r="G313" s="3">
        <v>60</v>
      </c>
    </row>
    <row r="314" spans="1:7" x14ac:dyDescent="0.2">
      <c r="A314" s="3" t="s">
        <v>60</v>
      </c>
      <c r="B314" t="s">
        <v>949</v>
      </c>
      <c r="C314" s="3">
        <v>13</v>
      </c>
      <c r="D314" t="str">
        <f t="shared" si="4"/>
        <v>Pin sylvestre - Sologne (INRA, N. Decourt, 1965) - classe 1_13</v>
      </c>
      <c r="E314" s="3">
        <v>65</v>
      </c>
      <c r="F314" s="3">
        <v>0</v>
      </c>
      <c r="G314" s="3">
        <v>65</v>
      </c>
    </row>
    <row r="315" spans="1:7" x14ac:dyDescent="0.2">
      <c r="A315" s="3" t="s">
        <v>60</v>
      </c>
      <c r="B315" t="s">
        <v>949</v>
      </c>
      <c r="C315" s="3">
        <v>14</v>
      </c>
      <c r="D315" t="str">
        <f t="shared" si="4"/>
        <v>Pin sylvestre - Sologne (INRA, N. Decourt, 1965) - classe 1_14</v>
      </c>
      <c r="E315" s="3">
        <v>70</v>
      </c>
      <c r="F315" s="3">
        <v>0</v>
      </c>
      <c r="G315" s="3">
        <v>70</v>
      </c>
    </row>
    <row r="316" spans="1:7" x14ac:dyDescent="0.2">
      <c r="A316" s="3" t="s">
        <v>60</v>
      </c>
      <c r="B316" t="s">
        <v>949</v>
      </c>
      <c r="C316" s="3">
        <v>15</v>
      </c>
      <c r="D316" t="str">
        <f t="shared" si="4"/>
        <v>Pin sylvestre - Sologne (INRA, N. Decourt, 1965) - classe 1_15</v>
      </c>
      <c r="E316" s="3">
        <v>75</v>
      </c>
      <c r="F316" s="3">
        <v>0</v>
      </c>
      <c r="G316" s="3">
        <v>75</v>
      </c>
    </row>
    <row r="317" spans="1:7" x14ac:dyDescent="0.2">
      <c r="A317" s="3" t="s">
        <v>60</v>
      </c>
      <c r="B317" t="s">
        <v>949</v>
      </c>
      <c r="C317" s="3">
        <v>16</v>
      </c>
      <c r="D317" t="str">
        <f t="shared" si="4"/>
        <v>Pin sylvestre - Sologne (INRA, N. Decourt, 1965) - classe 1_16</v>
      </c>
      <c r="E317" s="3">
        <v>80</v>
      </c>
      <c r="F317" s="3">
        <v>0</v>
      </c>
      <c r="G317" s="3">
        <v>80</v>
      </c>
    </row>
    <row r="318" spans="1:7" x14ac:dyDescent="0.2">
      <c r="A318" s="3" t="s">
        <v>60</v>
      </c>
      <c r="B318" t="s">
        <v>949</v>
      </c>
      <c r="C318" s="3">
        <v>17</v>
      </c>
      <c r="D318" t="str">
        <f t="shared" si="4"/>
        <v>Pin sylvestre - Sologne (INRA, N. Decourt, 1965) - classe 1_17</v>
      </c>
      <c r="E318" s="3">
        <v>85</v>
      </c>
      <c r="F318" s="3">
        <v>0</v>
      </c>
      <c r="G318" s="3">
        <v>85</v>
      </c>
    </row>
    <row r="319" spans="1:7" x14ac:dyDescent="0.2">
      <c r="A319" s="3" t="s">
        <v>60</v>
      </c>
      <c r="B319" t="s">
        <v>949</v>
      </c>
      <c r="C319" s="3">
        <v>18</v>
      </c>
      <c r="D319" t="str">
        <f t="shared" si="4"/>
        <v>Pin sylvestre - Sologne (INRA, N. Decourt, 1965) - classe 1_18</v>
      </c>
      <c r="E319" s="3">
        <v>90</v>
      </c>
      <c r="F319" s="3">
        <v>0</v>
      </c>
      <c r="G319" s="3">
        <v>90</v>
      </c>
    </row>
    <row r="320" spans="1:7" x14ac:dyDescent="0.2">
      <c r="A320" s="3" t="s">
        <v>60</v>
      </c>
      <c r="B320" t="s">
        <v>949</v>
      </c>
      <c r="C320" s="3">
        <v>19</v>
      </c>
      <c r="D320" t="str">
        <f t="shared" si="4"/>
        <v>Pin sylvestre - Sologne (INRA, N. Decourt, 1965) - classe 1_19</v>
      </c>
      <c r="E320" s="3">
        <v>95</v>
      </c>
      <c r="F320" s="3">
        <v>0</v>
      </c>
      <c r="G320" s="3">
        <v>95</v>
      </c>
    </row>
    <row r="321" spans="1:7" x14ac:dyDescent="0.2">
      <c r="A321" s="3" t="s">
        <v>60</v>
      </c>
      <c r="B321" t="s">
        <v>949</v>
      </c>
      <c r="C321" s="3">
        <v>20</v>
      </c>
      <c r="D321" t="str">
        <f t="shared" si="4"/>
        <v>Pin sylvestre - Sologne (INRA, N. Decourt, 1965) - classe 1_20</v>
      </c>
      <c r="E321" s="3">
        <v>100</v>
      </c>
      <c r="F321" s="3">
        <v>13</v>
      </c>
      <c r="G321" s="3">
        <v>87</v>
      </c>
    </row>
    <row r="322" spans="1:7" x14ac:dyDescent="0.2">
      <c r="A322" s="3" t="s">
        <v>60</v>
      </c>
      <c r="B322" t="s">
        <v>949</v>
      </c>
      <c r="C322" s="3">
        <v>21</v>
      </c>
      <c r="D322" t="str">
        <f t="shared" si="4"/>
        <v>Pin sylvestre - Sologne (INRA, N. Decourt, 1965) - classe 1_21</v>
      </c>
      <c r="E322" s="3">
        <v>104.8</v>
      </c>
      <c r="F322" s="3">
        <v>0</v>
      </c>
      <c r="G322" s="3">
        <v>104.8</v>
      </c>
    </row>
    <row r="323" spans="1:7" x14ac:dyDescent="0.2">
      <c r="A323" s="3" t="s">
        <v>60</v>
      </c>
      <c r="B323" t="s">
        <v>949</v>
      </c>
      <c r="C323" s="3">
        <v>22</v>
      </c>
      <c r="D323" t="str">
        <f t="shared" ref="D323:D386" si="5">CONCATENATE(B323,"_",C323)</f>
        <v>Pin sylvestre - Sologne (INRA, N. Decourt, 1965) - classe 1_22</v>
      </c>
      <c r="E323" s="3">
        <v>122.6</v>
      </c>
      <c r="F323" s="3">
        <v>0</v>
      </c>
      <c r="G323" s="3">
        <v>122.6</v>
      </c>
    </row>
    <row r="324" spans="1:7" x14ac:dyDescent="0.2">
      <c r="A324" s="3" t="s">
        <v>60</v>
      </c>
      <c r="B324" t="s">
        <v>949</v>
      </c>
      <c r="C324" s="3">
        <v>23</v>
      </c>
      <c r="D324" t="str">
        <f t="shared" si="5"/>
        <v>Pin sylvestre - Sologne (INRA, N. Decourt, 1965) - classe 1_23</v>
      </c>
      <c r="E324" s="3">
        <v>140.4</v>
      </c>
      <c r="F324" s="3">
        <v>0</v>
      </c>
      <c r="G324" s="3">
        <v>140.4</v>
      </c>
    </row>
    <row r="325" spans="1:7" x14ac:dyDescent="0.2">
      <c r="A325" s="3" t="s">
        <v>60</v>
      </c>
      <c r="B325" t="s">
        <v>949</v>
      </c>
      <c r="C325" s="3">
        <v>24</v>
      </c>
      <c r="D325" t="str">
        <f t="shared" si="5"/>
        <v>Pin sylvestre - Sologne (INRA, N. Decourt, 1965) - classe 1_24</v>
      </c>
      <c r="E325" s="3">
        <v>158.20000000000002</v>
      </c>
      <c r="F325" s="3">
        <v>0</v>
      </c>
      <c r="G325" s="3">
        <v>158.20000000000002</v>
      </c>
    </row>
    <row r="326" spans="1:7" x14ac:dyDescent="0.2">
      <c r="A326" s="3" t="s">
        <v>60</v>
      </c>
      <c r="B326" t="s">
        <v>949</v>
      </c>
      <c r="C326" s="3">
        <v>25</v>
      </c>
      <c r="D326" t="str">
        <f t="shared" si="5"/>
        <v>Pin sylvestre - Sologne (INRA, N. Decourt, 1965) - classe 1_25</v>
      </c>
      <c r="E326" s="3">
        <v>176</v>
      </c>
      <c r="F326" s="3">
        <v>41</v>
      </c>
      <c r="G326" s="3">
        <v>135</v>
      </c>
    </row>
    <row r="327" spans="1:7" x14ac:dyDescent="0.2">
      <c r="A327" s="3" t="s">
        <v>60</v>
      </c>
      <c r="B327" t="s">
        <v>949</v>
      </c>
      <c r="C327" s="3">
        <v>26</v>
      </c>
      <c r="D327" t="str">
        <f t="shared" si="5"/>
        <v>Pin sylvestre - Sologne (INRA, N. Decourt, 1965) - classe 1_26</v>
      </c>
      <c r="E327" s="3">
        <v>155.4</v>
      </c>
      <c r="F327" s="3">
        <v>0</v>
      </c>
      <c r="G327" s="3">
        <v>155.4</v>
      </c>
    </row>
    <row r="328" spans="1:7" x14ac:dyDescent="0.2">
      <c r="A328" s="3" t="s">
        <v>60</v>
      </c>
      <c r="B328" t="s">
        <v>949</v>
      </c>
      <c r="C328" s="3">
        <v>27</v>
      </c>
      <c r="D328" t="str">
        <f t="shared" si="5"/>
        <v>Pin sylvestre - Sologne (INRA, N. Decourt, 1965) - classe 1_27</v>
      </c>
      <c r="E328" s="3">
        <v>175.8</v>
      </c>
      <c r="F328" s="3">
        <v>0</v>
      </c>
      <c r="G328" s="3">
        <v>175.8</v>
      </c>
    </row>
    <row r="329" spans="1:7" x14ac:dyDescent="0.2">
      <c r="A329" s="3" t="s">
        <v>60</v>
      </c>
      <c r="B329" t="s">
        <v>949</v>
      </c>
      <c r="C329" s="3">
        <v>28</v>
      </c>
      <c r="D329" t="str">
        <f t="shared" si="5"/>
        <v>Pin sylvestre - Sologne (INRA, N. Decourt, 1965) - classe 1_28</v>
      </c>
      <c r="E329" s="3">
        <v>196.20000000000002</v>
      </c>
      <c r="F329" s="3">
        <v>0</v>
      </c>
      <c r="G329" s="3">
        <v>196.20000000000002</v>
      </c>
    </row>
    <row r="330" spans="1:7" x14ac:dyDescent="0.2">
      <c r="A330" s="3" t="s">
        <v>60</v>
      </c>
      <c r="B330" t="s">
        <v>949</v>
      </c>
      <c r="C330" s="3">
        <v>29</v>
      </c>
      <c r="D330" t="str">
        <f t="shared" si="5"/>
        <v>Pin sylvestre - Sologne (INRA, N. Decourt, 1965) - classe 1_29</v>
      </c>
      <c r="E330" s="3">
        <v>216.60000000000002</v>
      </c>
      <c r="F330" s="3">
        <v>0</v>
      </c>
      <c r="G330" s="3">
        <v>216.60000000000002</v>
      </c>
    </row>
    <row r="331" spans="1:7" x14ac:dyDescent="0.2">
      <c r="A331" s="3" t="s">
        <v>60</v>
      </c>
      <c r="B331" t="s">
        <v>949</v>
      </c>
      <c r="C331" s="3">
        <v>30</v>
      </c>
      <c r="D331" t="str">
        <f t="shared" si="5"/>
        <v>Pin sylvestre - Sologne (INRA, N. Decourt, 1965) - classe 1_30</v>
      </c>
      <c r="E331" s="3">
        <v>237</v>
      </c>
      <c r="F331" s="3">
        <v>58</v>
      </c>
      <c r="G331" s="3">
        <v>179</v>
      </c>
    </row>
    <row r="332" spans="1:7" x14ac:dyDescent="0.2">
      <c r="A332" s="3" t="s">
        <v>60</v>
      </c>
      <c r="B332" t="s">
        <v>950</v>
      </c>
      <c r="C332" s="3">
        <v>1</v>
      </c>
      <c r="D332" t="str">
        <f t="shared" si="5"/>
        <v>Pin sylvestre - Sologne (INRA, N. Decourt, 1965) - classe 2_1</v>
      </c>
      <c r="E332" s="3">
        <v>3.8181818181818183</v>
      </c>
      <c r="F332" s="3">
        <v>0</v>
      </c>
      <c r="G332" s="3">
        <v>3.8181818181818183</v>
      </c>
    </row>
    <row r="333" spans="1:7" x14ac:dyDescent="0.2">
      <c r="A333" s="3" t="s">
        <v>60</v>
      </c>
      <c r="B333" t="s">
        <v>950</v>
      </c>
      <c r="C333" s="3">
        <v>2</v>
      </c>
      <c r="D333" t="str">
        <f t="shared" si="5"/>
        <v>Pin sylvestre - Sologne (INRA, N. Decourt, 1965) - classe 2_2</v>
      </c>
      <c r="E333" s="3">
        <v>7.6363636363636367</v>
      </c>
      <c r="F333" s="3">
        <v>0</v>
      </c>
      <c r="G333" s="3">
        <v>7.6363636363636367</v>
      </c>
    </row>
    <row r="334" spans="1:7" x14ac:dyDescent="0.2">
      <c r="A334" s="3" t="s">
        <v>60</v>
      </c>
      <c r="B334" t="s">
        <v>950</v>
      </c>
      <c r="C334" s="3">
        <v>3</v>
      </c>
      <c r="D334" t="str">
        <f t="shared" si="5"/>
        <v>Pin sylvestre - Sologne (INRA, N. Decourt, 1965) - classe 2_3</v>
      </c>
      <c r="E334" s="3">
        <v>11.454545454545455</v>
      </c>
      <c r="F334" s="3">
        <v>0</v>
      </c>
      <c r="G334" s="3">
        <v>11.454545454545455</v>
      </c>
    </row>
    <row r="335" spans="1:7" x14ac:dyDescent="0.2">
      <c r="A335" s="3" t="s">
        <v>60</v>
      </c>
      <c r="B335" t="s">
        <v>950</v>
      </c>
      <c r="C335" s="3">
        <v>4</v>
      </c>
      <c r="D335" t="str">
        <f t="shared" si="5"/>
        <v>Pin sylvestre - Sologne (INRA, N. Decourt, 1965) - classe 2_4</v>
      </c>
      <c r="E335" s="3">
        <v>15.272727272727273</v>
      </c>
      <c r="F335" s="3">
        <v>0</v>
      </c>
      <c r="G335" s="3">
        <v>15.272727272727273</v>
      </c>
    </row>
    <row r="336" spans="1:7" x14ac:dyDescent="0.2">
      <c r="A336" s="3" t="s">
        <v>60</v>
      </c>
      <c r="B336" t="s">
        <v>950</v>
      </c>
      <c r="C336" s="3">
        <v>5</v>
      </c>
      <c r="D336" t="str">
        <f t="shared" si="5"/>
        <v>Pin sylvestre - Sologne (INRA, N. Decourt, 1965) - classe 2_5</v>
      </c>
      <c r="E336" s="3">
        <v>19.090909090909093</v>
      </c>
      <c r="F336" s="3">
        <v>0</v>
      </c>
      <c r="G336" s="3">
        <v>19.090909090909093</v>
      </c>
    </row>
    <row r="337" spans="1:7" x14ac:dyDescent="0.2">
      <c r="A337" s="3" t="s">
        <v>60</v>
      </c>
      <c r="B337" t="s">
        <v>950</v>
      </c>
      <c r="C337" s="3">
        <v>6</v>
      </c>
      <c r="D337" t="str">
        <f t="shared" si="5"/>
        <v>Pin sylvestre - Sologne (INRA, N. Decourt, 1965) - classe 2_6</v>
      </c>
      <c r="E337" s="3">
        <v>22.909090909090914</v>
      </c>
      <c r="F337" s="3">
        <v>0</v>
      </c>
      <c r="G337" s="3">
        <v>22.909090909090914</v>
      </c>
    </row>
    <row r="338" spans="1:7" x14ac:dyDescent="0.2">
      <c r="A338" s="3" t="s">
        <v>60</v>
      </c>
      <c r="B338" t="s">
        <v>950</v>
      </c>
      <c r="C338" s="3">
        <v>7</v>
      </c>
      <c r="D338" t="str">
        <f t="shared" si="5"/>
        <v>Pin sylvestre - Sologne (INRA, N. Decourt, 1965) - classe 2_7</v>
      </c>
      <c r="E338" s="3">
        <v>26.727272727272734</v>
      </c>
      <c r="F338" s="3">
        <v>0</v>
      </c>
      <c r="G338" s="3">
        <v>26.727272727272734</v>
      </c>
    </row>
    <row r="339" spans="1:7" x14ac:dyDescent="0.2">
      <c r="A339" s="3" t="s">
        <v>60</v>
      </c>
      <c r="B339" t="s">
        <v>950</v>
      </c>
      <c r="C339" s="3">
        <v>8</v>
      </c>
      <c r="D339" t="str">
        <f t="shared" si="5"/>
        <v>Pin sylvestre - Sologne (INRA, N. Decourt, 1965) - classe 2_8</v>
      </c>
      <c r="E339" s="3">
        <v>30.545454545454554</v>
      </c>
      <c r="F339" s="3">
        <v>0</v>
      </c>
      <c r="G339" s="3">
        <v>30.545454545454554</v>
      </c>
    </row>
    <row r="340" spans="1:7" x14ac:dyDescent="0.2">
      <c r="A340" s="3" t="s">
        <v>60</v>
      </c>
      <c r="B340" t="s">
        <v>950</v>
      </c>
      <c r="C340" s="3">
        <v>9</v>
      </c>
      <c r="D340" t="str">
        <f t="shared" si="5"/>
        <v>Pin sylvestre - Sologne (INRA, N. Decourt, 1965) - classe 2_9</v>
      </c>
      <c r="E340" s="3">
        <v>34.363636363636374</v>
      </c>
      <c r="F340" s="3">
        <v>0</v>
      </c>
      <c r="G340" s="3">
        <v>34.363636363636374</v>
      </c>
    </row>
    <row r="341" spans="1:7" x14ac:dyDescent="0.2">
      <c r="A341" s="3" t="s">
        <v>60</v>
      </c>
      <c r="B341" t="s">
        <v>950</v>
      </c>
      <c r="C341" s="3">
        <v>10</v>
      </c>
      <c r="D341" t="str">
        <f t="shared" si="5"/>
        <v>Pin sylvestre - Sologne (INRA, N. Decourt, 1965) - classe 2_10</v>
      </c>
      <c r="E341" s="3">
        <v>38.181818181818194</v>
      </c>
      <c r="F341" s="3">
        <v>0</v>
      </c>
      <c r="G341" s="3">
        <v>38.181818181818194</v>
      </c>
    </row>
    <row r="342" spans="1:7" x14ac:dyDescent="0.2">
      <c r="A342" s="3" t="s">
        <v>60</v>
      </c>
      <c r="B342" t="s">
        <v>950</v>
      </c>
      <c r="C342" s="3">
        <v>11</v>
      </c>
      <c r="D342" t="str">
        <f t="shared" si="5"/>
        <v>Pin sylvestre - Sologne (INRA, N. Decourt, 1965) - classe 2_11</v>
      </c>
      <c r="E342" s="3">
        <v>42.000000000000014</v>
      </c>
      <c r="F342" s="3">
        <v>0</v>
      </c>
      <c r="G342" s="3">
        <v>42.000000000000014</v>
      </c>
    </row>
    <row r="343" spans="1:7" x14ac:dyDescent="0.2">
      <c r="A343" s="3" t="s">
        <v>60</v>
      </c>
      <c r="B343" t="s">
        <v>950</v>
      </c>
      <c r="C343" s="3">
        <v>12</v>
      </c>
      <c r="D343" t="str">
        <f t="shared" si="5"/>
        <v>Pin sylvestre - Sologne (INRA, N. Decourt, 1965) - classe 2_12</v>
      </c>
      <c r="E343" s="3">
        <v>45.818181818181834</v>
      </c>
      <c r="F343" s="3">
        <v>0</v>
      </c>
      <c r="G343" s="3">
        <v>45.818181818181834</v>
      </c>
    </row>
    <row r="344" spans="1:7" x14ac:dyDescent="0.2">
      <c r="A344" s="3" t="s">
        <v>60</v>
      </c>
      <c r="B344" t="s">
        <v>950</v>
      </c>
      <c r="C344" s="3">
        <v>13</v>
      </c>
      <c r="D344" t="str">
        <f t="shared" si="5"/>
        <v>Pin sylvestre - Sologne (INRA, N. Decourt, 1965) - classe 2_13</v>
      </c>
      <c r="E344" s="3">
        <v>49.636363636363654</v>
      </c>
      <c r="F344" s="3">
        <v>0</v>
      </c>
      <c r="G344" s="3">
        <v>49.636363636363654</v>
      </c>
    </row>
    <row r="345" spans="1:7" x14ac:dyDescent="0.2">
      <c r="A345" s="3" t="s">
        <v>60</v>
      </c>
      <c r="B345" t="s">
        <v>950</v>
      </c>
      <c r="C345" s="3">
        <v>14</v>
      </c>
      <c r="D345" t="str">
        <f t="shared" si="5"/>
        <v>Pin sylvestre - Sologne (INRA, N. Decourt, 1965) - classe 2_14</v>
      </c>
      <c r="E345" s="3">
        <v>53.454545454545475</v>
      </c>
      <c r="F345" s="3">
        <v>0</v>
      </c>
      <c r="G345" s="3">
        <v>53.454545454545475</v>
      </c>
    </row>
    <row r="346" spans="1:7" x14ac:dyDescent="0.2">
      <c r="A346" s="3" t="s">
        <v>60</v>
      </c>
      <c r="B346" t="s">
        <v>950</v>
      </c>
      <c r="C346" s="3">
        <v>15</v>
      </c>
      <c r="D346" t="str">
        <f t="shared" si="5"/>
        <v>Pin sylvestre - Sologne (INRA, N. Decourt, 1965) - classe 2_15</v>
      </c>
      <c r="E346" s="3">
        <v>57.272727272727295</v>
      </c>
      <c r="F346" s="3">
        <v>0</v>
      </c>
      <c r="G346" s="3">
        <v>57.272727272727295</v>
      </c>
    </row>
    <row r="347" spans="1:7" x14ac:dyDescent="0.2">
      <c r="A347" s="3" t="s">
        <v>60</v>
      </c>
      <c r="B347" t="s">
        <v>950</v>
      </c>
      <c r="C347" s="3">
        <v>16</v>
      </c>
      <c r="D347" t="str">
        <f t="shared" si="5"/>
        <v>Pin sylvestre - Sologne (INRA, N. Decourt, 1965) - classe 2_16</v>
      </c>
      <c r="E347" s="3">
        <v>61.090909090909115</v>
      </c>
      <c r="F347" s="3">
        <v>0</v>
      </c>
      <c r="G347" s="3">
        <v>61.090909090909115</v>
      </c>
    </row>
    <row r="348" spans="1:7" x14ac:dyDescent="0.2">
      <c r="A348" s="3" t="s">
        <v>60</v>
      </c>
      <c r="B348" t="s">
        <v>950</v>
      </c>
      <c r="C348" s="3">
        <v>17</v>
      </c>
      <c r="D348" t="str">
        <f t="shared" si="5"/>
        <v>Pin sylvestre - Sologne (INRA, N. Decourt, 1965) - classe 2_17</v>
      </c>
      <c r="E348" s="3">
        <v>64.909090909090935</v>
      </c>
      <c r="F348" s="3">
        <v>0</v>
      </c>
      <c r="G348" s="3">
        <v>64.909090909090935</v>
      </c>
    </row>
    <row r="349" spans="1:7" x14ac:dyDescent="0.2">
      <c r="A349" s="3" t="s">
        <v>60</v>
      </c>
      <c r="B349" t="s">
        <v>950</v>
      </c>
      <c r="C349" s="3">
        <v>18</v>
      </c>
      <c r="D349" t="str">
        <f t="shared" si="5"/>
        <v>Pin sylvestre - Sologne (INRA, N. Decourt, 1965) - classe 2_18</v>
      </c>
      <c r="E349" s="3">
        <v>68.727272727272748</v>
      </c>
      <c r="F349" s="3">
        <v>0</v>
      </c>
      <c r="G349" s="3">
        <v>68.727272727272748</v>
      </c>
    </row>
    <row r="350" spans="1:7" x14ac:dyDescent="0.2">
      <c r="A350" s="3" t="s">
        <v>60</v>
      </c>
      <c r="B350" t="s">
        <v>950</v>
      </c>
      <c r="C350" s="3">
        <v>19</v>
      </c>
      <c r="D350" t="str">
        <f t="shared" si="5"/>
        <v>Pin sylvestre - Sologne (INRA, N. Decourt, 1965) - classe 2_19</v>
      </c>
      <c r="E350" s="3">
        <v>72.545454545454561</v>
      </c>
      <c r="F350" s="3">
        <v>0</v>
      </c>
      <c r="G350" s="3">
        <v>72.545454545454561</v>
      </c>
    </row>
    <row r="351" spans="1:7" x14ac:dyDescent="0.2">
      <c r="A351" s="3" t="s">
        <v>60</v>
      </c>
      <c r="B351" t="s">
        <v>950</v>
      </c>
      <c r="C351" s="3">
        <v>20</v>
      </c>
      <c r="D351" t="str">
        <f t="shared" si="5"/>
        <v>Pin sylvestre - Sologne (INRA, N. Decourt, 1965) - classe 2_20</v>
      </c>
      <c r="E351" s="3">
        <v>76.363636363636374</v>
      </c>
      <c r="F351" s="3">
        <v>0</v>
      </c>
      <c r="G351" s="3">
        <v>76.363636363636374</v>
      </c>
    </row>
    <row r="352" spans="1:7" x14ac:dyDescent="0.2">
      <c r="A352" s="3" t="s">
        <v>60</v>
      </c>
      <c r="B352" t="s">
        <v>950</v>
      </c>
      <c r="C352" s="3">
        <v>21</v>
      </c>
      <c r="D352" t="str">
        <f t="shared" si="5"/>
        <v>Pin sylvestre - Sologne (INRA, N. Decourt, 1965) - classe 2_21</v>
      </c>
      <c r="E352" s="3">
        <v>80.181818181818187</v>
      </c>
      <c r="F352" s="3">
        <v>0</v>
      </c>
      <c r="G352" s="3">
        <v>80.181818181818187</v>
      </c>
    </row>
    <row r="353" spans="1:7" x14ac:dyDescent="0.2">
      <c r="A353" s="3" t="s">
        <v>60</v>
      </c>
      <c r="B353" t="s">
        <v>950</v>
      </c>
      <c r="C353" s="3">
        <v>22</v>
      </c>
      <c r="D353" t="str">
        <f t="shared" si="5"/>
        <v>Pin sylvestre - Sologne (INRA, N. Decourt, 1965) - classe 2_22</v>
      </c>
      <c r="E353" s="3">
        <v>84</v>
      </c>
      <c r="F353" s="3">
        <v>0</v>
      </c>
      <c r="G353" s="3">
        <v>84</v>
      </c>
    </row>
    <row r="354" spans="1:7" x14ac:dyDescent="0.2">
      <c r="A354" s="3" t="s">
        <v>60</v>
      </c>
      <c r="B354" t="s">
        <v>950</v>
      </c>
      <c r="C354" s="3">
        <v>23</v>
      </c>
      <c r="D354" t="str">
        <f t="shared" si="5"/>
        <v>Pin sylvestre - Sologne (INRA, N. Decourt, 1965) - classe 2_23</v>
      </c>
      <c r="E354" s="3">
        <v>99.666666666666671</v>
      </c>
      <c r="F354" s="3">
        <v>0</v>
      </c>
      <c r="G354" s="3">
        <v>99.666666666666671</v>
      </c>
    </row>
    <row r="355" spans="1:7" x14ac:dyDescent="0.2">
      <c r="A355" s="3" t="s">
        <v>60</v>
      </c>
      <c r="B355" t="s">
        <v>950</v>
      </c>
      <c r="C355" s="3">
        <v>24</v>
      </c>
      <c r="D355" t="str">
        <f t="shared" si="5"/>
        <v>Pin sylvestre - Sologne (INRA, N. Decourt, 1965) - classe 2_24</v>
      </c>
      <c r="E355" s="3">
        <v>115.33333333333334</v>
      </c>
      <c r="F355" s="3">
        <v>0</v>
      </c>
      <c r="G355" s="3">
        <v>115.33333333333334</v>
      </c>
    </row>
    <row r="356" spans="1:7" x14ac:dyDescent="0.2">
      <c r="A356" s="3" t="s">
        <v>60</v>
      </c>
      <c r="B356" t="s">
        <v>950</v>
      </c>
      <c r="C356" s="3">
        <v>25</v>
      </c>
      <c r="D356" t="str">
        <f t="shared" si="5"/>
        <v>Pin sylvestre - Sologne (INRA, N. Decourt, 1965) - classe 2_25</v>
      </c>
      <c r="E356" s="3">
        <v>131</v>
      </c>
      <c r="F356" s="3">
        <v>21</v>
      </c>
      <c r="G356" s="3">
        <v>110</v>
      </c>
    </row>
    <row r="357" spans="1:7" x14ac:dyDescent="0.2">
      <c r="A357" s="3" t="s">
        <v>60</v>
      </c>
      <c r="B357" t="s">
        <v>950</v>
      </c>
      <c r="C357" s="3">
        <v>26</v>
      </c>
      <c r="D357" t="str">
        <f t="shared" si="5"/>
        <v>Pin sylvestre - Sologne (INRA, N. Decourt, 1965) - classe 2_26</v>
      </c>
      <c r="E357" s="3">
        <v>124.4</v>
      </c>
      <c r="F357" s="3">
        <v>0</v>
      </c>
      <c r="G357" s="3">
        <v>124.4</v>
      </c>
    </row>
    <row r="358" spans="1:7" x14ac:dyDescent="0.2">
      <c r="A358" s="3" t="s">
        <v>60</v>
      </c>
      <c r="B358" t="s">
        <v>950</v>
      </c>
      <c r="C358" s="3">
        <v>27</v>
      </c>
      <c r="D358" t="str">
        <f t="shared" si="5"/>
        <v>Pin sylvestre - Sologne (INRA, N. Decourt, 1965) - classe 2_27</v>
      </c>
      <c r="E358" s="3">
        <v>138.80000000000001</v>
      </c>
      <c r="F358" s="3">
        <v>0</v>
      </c>
      <c r="G358" s="3">
        <v>138.80000000000001</v>
      </c>
    </row>
    <row r="359" spans="1:7" x14ac:dyDescent="0.2">
      <c r="A359" s="3" t="s">
        <v>60</v>
      </c>
      <c r="B359" t="s">
        <v>950</v>
      </c>
      <c r="C359" s="3">
        <v>28</v>
      </c>
      <c r="D359" t="str">
        <f t="shared" si="5"/>
        <v>Pin sylvestre - Sologne (INRA, N. Decourt, 1965) - classe 2_28</v>
      </c>
      <c r="E359" s="3">
        <v>153.20000000000002</v>
      </c>
      <c r="F359" s="3">
        <v>0</v>
      </c>
      <c r="G359" s="3">
        <v>153.20000000000002</v>
      </c>
    </row>
    <row r="360" spans="1:7" x14ac:dyDescent="0.2">
      <c r="A360" s="3" t="s">
        <v>60</v>
      </c>
      <c r="B360" t="s">
        <v>950</v>
      </c>
      <c r="C360" s="3">
        <v>29</v>
      </c>
      <c r="D360" t="str">
        <f t="shared" si="5"/>
        <v>Pin sylvestre - Sologne (INRA, N. Decourt, 1965) - classe 2_29</v>
      </c>
      <c r="E360" s="3">
        <v>167.60000000000002</v>
      </c>
      <c r="F360" s="3">
        <v>0</v>
      </c>
      <c r="G360" s="3">
        <v>167.60000000000002</v>
      </c>
    </row>
    <row r="361" spans="1:7" x14ac:dyDescent="0.2">
      <c r="A361" s="3" t="s">
        <v>60</v>
      </c>
      <c r="B361" t="s">
        <v>950</v>
      </c>
      <c r="C361" s="3">
        <v>30</v>
      </c>
      <c r="D361" t="str">
        <f t="shared" si="5"/>
        <v>Pin sylvestre - Sologne (INRA, N. Decourt, 1965) - classe 2_30</v>
      </c>
      <c r="E361" s="3">
        <v>182</v>
      </c>
      <c r="F361" s="3">
        <v>36</v>
      </c>
      <c r="G361" s="3">
        <v>146</v>
      </c>
    </row>
    <row r="362" spans="1:7" x14ac:dyDescent="0.2">
      <c r="A362" s="3" t="s">
        <v>60</v>
      </c>
      <c r="B362" t="s">
        <v>951</v>
      </c>
      <c r="C362" s="3">
        <v>1</v>
      </c>
      <c r="D362" t="str">
        <f t="shared" si="5"/>
        <v>Pin sylvestre - Sologne (INRA, N. Decourt, 1965) - classe 3_1</v>
      </c>
      <c r="E362" s="3">
        <v>3.92</v>
      </c>
      <c r="F362" s="3">
        <v>0</v>
      </c>
      <c r="G362" s="3">
        <v>3.92</v>
      </c>
    </row>
    <row r="363" spans="1:7" x14ac:dyDescent="0.2">
      <c r="A363" s="3" t="s">
        <v>60</v>
      </c>
      <c r="B363" t="s">
        <v>951</v>
      </c>
      <c r="C363" s="3">
        <v>2</v>
      </c>
      <c r="D363" t="str">
        <f t="shared" si="5"/>
        <v>Pin sylvestre - Sologne (INRA, N. Decourt, 1965) - classe 3_2</v>
      </c>
      <c r="E363" s="3">
        <v>7.84</v>
      </c>
      <c r="F363" s="3">
        <v>0</v>
      </c>
      <c r="G363" s="3">
        <v>7.84</v>
      </c>
    </row>
    <row r="364" spans="1:7" x14ac:dyDescent="0.2">
      <c r="A364" s="3" t="s">
        <v>60</v>
      </c>
      <c r="B364" t="s">
        <v>951</v>
      </c>
      <c r="C364" s="3">
        <v>3</v>
      </c>
      <c r="D364" t="str">
        <f t="shared" si="5"/>
        <v>Pin sylvestre - Sologne (INRA, N. Decourt, 1965) - classe 3_3</v>
      </c>
      <c r="E364" s="3">
        <v>11.76</v>
      </c>
      <c r="F364" s="3">
        <v>0</v>
      </c>
      <c r="G364" s="3">
        <v>11.76</v>
      </c>
    </row>
    <row r="365" spans="1:7" x14ac:dyDescent="0.2">
      <c r="A365" s="3" t="s">
        <v>60</v>
      </c>
      <c r="B365" t="s">
        <v>951</v>
      </c>
      <c r="C365" s="3">
        <v>4</v>
      </c>
      <c r="D365" t="str">
        <f t="shared" si="5"/>
        <v>Pin sylvestre - Sologne (INRA, N. Decourt, 1965) - classe 3_4</v>
      </c>
      <c r="E365" s="3">
        <v>15.68</v>
      </c>
      <c r="F365" s="3">
        <v>0</v>
      </c>
      <c r="G365" s="3">
        <v>15.68</v>
      </c>
    </row>
    <row r="366" spans="1:7" x14ac:dyDescent="0.2">
      <c r="A366" s="3" t="s">
        <v>60</v>
      </c>
      <c r="B366" t="s">
        <v>951</v>
      </c>
      <c r="C366" s="3">
        <v>5</v>
      </c>
      <c r="D366" t="str">
        <f t="shared" si="5"/>
        <v>Pin sylvestre - Sologne (INRA, N. Decourt, 1965) - classe 3_5</v>
      </c>
      <c r="E366" s="3">
        <v>19.600000000000001</v>
      </c>
      <c r="F366" s="3">
        <v>0</v>
      </c>
      <c r="G366" s="3">
        <v>19.600000000000001</v>
      </c>
    </row>
    <row r="367" spans="1:7" x14ac:dyDescent="0.2">
      <c r="A367" s="3" t="s">
        <v>60</v>
      </c>
      <c r="B367" t="s">
        <v>951</v>
      </c>
      <c r="C367" s="3">
        <v>6</v>
      </c>
      <c r="D367" t="str">
        <f t="shared" si="5"/>
        <v>Pin sylvestre - Sologne (INRA, N. Decourt, 1965) - classe 3_6</v>
      </c>
      <c r="E367" s="3">
        <v>23.520000000000003</v>
      </c>
      <c r="F367" s="3">
        <v>0</v>
      </c>
      <c r="G367" s="3">
        <v>23.520000000000003</v>
      </c>
    </row>
    <row r="368" spans="1:7" x14ac:dyDescent="0.2">
      <c r="A368" s="3" t="s">
        <v>60</v>
      </c>
      <c r="B368" t="s">
        <v>951</v>
      </c>
      <c r="C368" s="3">
        <v>7</v>
      </c>
      <c r="D368" t="str">
        <f t="shared" si="5"/>
        <v>Pin sylvestre - Sologne (INRA, N. Decourt, 1965) - classe 3_7</v>
      </c>
      <c r="E368" s="3">
        <v>27.440000000000005</v>
      </c>
      <c r="F368" s="3">
        <v>0</v>
      </c>
      <c r="G368" s="3">
        <v>27.440000000000005</v>
      </c>
    </row>
    <row r="369" spans="1:7" x14ac:dyDescent="0.2">
      <c r="A369" s="3" t="s">
        <v>60</v>
      </c>
      <c r="B369" t="s">
        <v>951</v>
      </c>
      <c r="C369" s="3">
        <v>8</v>
      </c>
      <c r="D369" t="str">
        <f t="shared" si="5"/>
        <v>Pin sylvestre - Sologne (INRA, N. Decourt, 1965) - classe 3_8</v>
      </c>
      <c r="E369" s="3">
        <v>31.360000000000007</v>
      </c>
      <c r="F369" s="3">
        <v>0</v>
      </c>
      <c r="G369" s="3">
        <v>31.360000000000007</v>
      </c>
    </row>
    <row r="370" spans="1:7" x14ac:dyDescent="0.2">
      <c r="A370" s="3" t="s">
        <v>60</v>
      </c>
      <c r="B370" t="s">
        <v>951</v>
      </c>
      <c r="C370" s="3">
        <v>9</v>
      </c>
      <c r="D370" t="str">
        <f t="shared" si="5"/>
        <v>Pin sylvestre - Sologne (INRA, N. Decourt, 1965) - classe 3_9</v>
      </c>
      <c r="E370" s="3">
        <v>35.280000000000008</v>
      </c>
      <c r="F370" s="3">
        <v>0</v>
      </c>
      <c r="G370" s="3">
        <v>35.280000000000008</v>
      </c>
    </row>
    <row r="371" spans="1:7" x14ac:dyDescent="0.2">
      <c r="A371" s="3" t="s">
        <v>60</v>
      </c>
      <c r="B371" t="s">
        <v>951</v>
      </c>
      <c r="C371" s="3">
        <v>10</v>
      </c>
      <c r="D371" t="str">
        <f t="shared" si="5"/>
        <v>Pin sylvestre - Sologne (INRA, N. Decourt, 1965) - classe 3_10</v>
      </c>
      <c r="E371" s="3">
        <v>39.20000000000001</v>
      </c>
      <c r="F371" s="3">
        <v>0</v>
      </c>
      <c r="G371" s="3">
        <v>39.20000000000001</v>
      </c>
    </row>
    <row r="372" spans="1:7" x14ac:dyDescent="0.2">
      <c r="A372" s="3" t="s">
        <v>60</v>
      </c>
      <c r="B372" t="s">
        <v>951</v>
      </c>
      <c r="C372" s="3">
        <v>11</v>
      </c>
      <c r="D372" t="str">
        <f t="shared" si="5"/>
        <v>Pin sylvestre - Sologne (INRA, N. Decourt, 1965) - classe 3_11</v>
      </c>
      <c r="E372" s="3">
        <v>43.120000000000012</v>
      </c>
      <c r="F372" s="3">
        <v>0</v>
      </c>
      <c r="G372" s="3">
        <v>43.120000000000012</v>
      </c>
    </row>
    <row r="373" spans="1:7" x14ac:dyDescent="0.2">
      <c r="A373" s="3" t="s">
        <v>60</v>
      </c>
      <c r="B373" t="s">
        <v>951</v>
      </c>
      <c r="C373" s="3">
        <v>12</v>
      </c>
      <c r="D373" t="str">
        <f t="shared" si="5"/>
        <v>Pin sylvestre - Sologne (INRA, N. Decourt, 1965) - classe 3_12</v>
      </c>
      <c r="E373" s="3">
        <v>47.040000000000013</v>
      </c>
      <c r="F373" s="3">
        <v>0</v>
      </c>
      <c r="G373" s="3">
        <v>47.040000000000013</v>
      </c>
    </row>
    <row r="374" spans="1:7" x14ac:dyDescent="0.2">
      <c r="A374" s="3" t="s">
        <v>60</v>
      </c>
      <c r="B374" t="s">
        <v>951</v>
      </c>
      <c r="C374" s="3">
        <v>13</v>
      </c>
      <c r="D374" t="str">
        <f t="shared" si="5"/>
        <v>Pin sylvestre - Sologne (INRA, N. Decourt, 1965) - classe 3_13</v>
      </c>
      <c r="E374" s="3">
        <v>50.960000000000015</v>
      </c>
      <c r="F374" s="3">
        <v>0</v>
      </c>
      <c r="G374" s="3">
        <v>50.960000000000015</v>
      </c>
    </row>
    <row r="375" spans="1:7" x14ac:dyDescent="0.2">
      <c r="A375" s="3" t="s">
        <v>60</v>
      </c>
      <c r="B375" t="s">
        <v>951</v>
      </c>
      <c r="C375" s="3">
        <v>14</v>
      </c>
      <c r="D375" t="str">
        <f t="shared" si="5"/>
        <v>Pin sylvestre - Sologne (INRA, N. Decourt, 1965) - classe 3_14</v>
      </c>
      <c r="E375" s="3">
        <v>54.880000000000017</v>
      </c>
      <c r="F375" s="3">
        <v>0</v>
      </c>
      <c r="G375" s="3">
        <v>54.880000000000017</v>
      </c>
    </row>
    <row r="376" spans="1:7" x14ac:dyDescent="0.2">
      <c r="A376" s="3" t="s">
        <v>60</v>
      </c>
      <c r="B376" t="s">
        <v>951</v>
      </c>
      <c r="C376" s="3">
        <v>15</v>
      </c>
      <c r="D376" t="str">
        <f t="shared" si="5"/>
        <v>Pin sylvestre - Sologne (INRA, N. Decourt, 1965) - classe 3_15</v>
      </c>
      <c r="E376" s="3">
        <v>58.800000000000018</v>
      </c>
      <c r="F376" s="3">
        <v>0</v>
      </c>
      <c r="G376" s="3">
        <v>58.800000000000018</v>
      </c>
    </row>
    <row r="377" spans="1:7" x14ac:dyDescent="0.2">
      <c r="A377" s="3" t="s">
        <v>60</v>
      </c>
      <c r="B377" t="s">
        <v>951</v>
      </c>
      <c r="C377" s="3">
        <v>16</v>
      </c>
      <c r="D377" t="str">
        <f t="shared" si="5"/>
        <v>Pin sylvestre - Sologne (INRA, N. Decourt, 1965) - classe 3_16</v>
      </c>
      <c r="E377" s="3">
        <v>62.72000000000002</v>
      </c>
      <c r="F377" s="3">
        <v>0</v>
      </c>
      <c r="G377" s="3">
        <v>62.72000000000002</v>
      </c>
    </row>
    <row r="378" spans="1:7" x14ac:dyDescent="0.2">
      <c r="A378" s="3" t="s">
        <v>60</v>
      </c>
      <c r="B378" t="s">
        <v>951</v>
      </c>
      <c r="C378" s="3">
        <v>17</v>
      </c>
      <c r="D378" t="str">
        <f t="shared" si="5"/>
        <v>Pin sylvestre - Sologne (INRA, N. Decourt, 1965) - classe 3_17</v>
      </c>
      <c r="E378" s="3">
        <v>66.640000000000015</v>
      </c>
      <c r="F378" s="3">
        <v>0</v>
      </c>
      <c r="G378" s="3">
        <v>66.640000000000015</v>
      </c>
    </row>
    <row r="379" spans="1:7" x14ac:dyDescent="0.2">
      <c r="A379" s="3" t="s">
        <v>60</v>
      </c>
      <c r="B379" t="s">
        <v>951</v>
      </c>
      <c r="C379" s="3">
        <v>18</v>
      </c>
      <c r="D379" t="str">
        <f t="shared" si="5"/>
        <v>Pin sylvestre - Sologne (INRA, N. Decourt, 1965) - classe 3_18</v>
      </c>
      <c r="E379" s="3">
        <v>70.560000000000016</v>
      </c>
      <c r="F379" s="3">
        <v>0</v>
      </c>
      <c r="G379" s="3">
        <v>70.560000000000016</v>
      </c>
    </row>
    <row r="380" spans="1:7" x14ac:dyDescent="0.2">
      <c r="A380" s="3" t="s">
        <v>60</v>
      </c>
      <c r="B380" t="s">
        <v>951</v>
      </c>
      <c r="C380" s="3">
        <v>19</v>
      </c>
      <c r="D380" t="str">
        <f t="shared" si="5"/>
        <v>Pin sylvestre - Sologne (INRA, N. Decourt, 1965) - classe 3_19</v>
      </c>
      <c r="E380" s="3">
        <v>74.480000000000018</v>
      </c>
      <c r="F380" s="3">
        <v>0</v>
      </c>
      <c r="G380" s="3">
        <v>74.480000000000018</v>
      </c>
    </row>
    <row r="381" spans="1:7" x14ac:dyDescent="0.2">
      <c r="A381" s="3" t="s">
        <v>60</v>
      </c>
      <c r="B381" t="s">
        <v>951</v>
      </c>
      <c r="C381" s="3">
        <v>20</v>
      </c>
      <c r="D381" t="str">
        <f t="shared" si="5"/>
        <v>Pin sylvestre - Sologne (INRA, N. Decourt, 1965) - classe 3_20</v>
      </c>
      <c r="E381" s="3">
        <v>78.40000000000002</v>
      </c>
      <c r="F381" s="3">
        <v>0</v>
      </c>
      <c r="G381" s="3">
        <v>78.40000000000002</v>
      </c>
    </row>
    <row r="382" spans="1:7" x14ac:dyDescent="0.2">
      <c r="A382" s="3" t="s">
        <v>60</v>
      </c>
      <c r="B382" t="s">
        <v>951</v>
      </c>
      <c r="C382" s="3">
        <v>21</v>
      </c>
      <c r="D382" t="str">
        <f t="shared" si="5"/>
        <v>Pin sylvestre - Sologne (INRA, N. Decourt, 1965) - classe 3_21</v>
      </c>
      <c r="E382" s="3">
        <v>82.320000000000022</v>
      </c>
      <c r="F382" s="3">
        <v>0</v>
      </c>
      <c r="G382" s="3">
        <v>82.320000000000022</v>
      </c>
    </row>
    <row r="383" spans="1:7" x14ac:dyDescent="0.2">
      <c r="A383" s="3" t="s">
        <v>60</v>
      </c>
      <c r="B383" t="s">
        <v>951</v>
      </c>
      <c r="C383" s="3">
        <v>22</v>
      </c>
      <c r="D383" t="str">
        <f t="shared" si="5"/>
        <v>Pin sylvestre - Sologne (INRA, N. Decourt, 1965) - classe 3_22</v>
      </c>
      <c r="E383" s="3">
        <v>86.240000000000023</v>
      </c>
      <c r="F383" s="3">
        <v>0</v>
      </c>
      <c r="G383" s="3">
        <v>86.240000000000023</v>
      </c>
    </row>
    <row r="384" spans="1:7" x14ac:dyDescent="0.2">
      <c r="A384" s="3" t="s">
        <v>60</v>
      </c>
      <c r="B384" t="s">
        <v>951</v>
      </c>
      <c r="C384" s="3">
        <v>23</v>
      </c>
      <c r="D384" t="str">
        <f t="shared" si="5"/>
        <v>Pin sylvestre - Sologne (INRA, N. Decourt, 1965) - classe 3_23</v>
      </c>
      <c r="E384" s="3">
        <v>90.160000000000025</v>
      </c>
      <c r="F384" s="3">
        <v>0</v>
      </c>
      <c r="G384" s="3">
        <v>90.160000000000025</v>
      </c>
    </row>
    <row r="385" spans="1:7" x14ac:dyDescent="0.2">
      <c r="A385" s="3" t="s">
        <v>60</v>
      </c>
      <c r="B385" t="s">
        <v>951</v>
      </c>
      <c r="C385" s="3">
        <v>24</v>
      </c>
      <c r="D385" t="str">
        <f t="shared" si="5"/>
        <v>Pin sylvestre - Sologne (INRA, N. Decourt, 1965) - classe 3_24</v>
      </c>
      <c r="E385" s="3">
        <v>94.080000000000027</v>
      </c>
      <c r="F385" s="3">
        <v>0</v>
      </c>
      <c r="G385" s="3">
        <v>94.080000000000027</v>
      </c>
    </row>
    <row r="386" spans="1:7" x14ac:dyDescent="0.2">
      <c r="A386" s="3" t="s">
        <v>60</v>
      </c>
      <c r="B386" t="s">
        <v>951</v>
      </c>
      <c r="C386" s="3">
        <v>25</v>
      </c>
      <c r="D386" t="str">
        <f t="shared" si="5"/>
        <v>Pin sylvestre - Sologne (INRA, N. Decourt, 1965) - classe 3_25</v>
      </c>
      <c r="E386" s="3">
        <v>98</v>
      </c>
      <c r="F386" s="3">
        <v>12</v>
      </c>
      <c r="G386" s="3">
        <v>86</v>
      </c>
    </row>
    <row r="387" spans="1:7" x14ac:dyDescent="0.2">
      <c r="A387" s="3" t="s">
        <v>60</v>
      </c>
      <c r="B387" t="s">
        <v>951</v>
      </c>
      <c r="C387" s="3">
        <v>26</v>
      </c>
      <c r="D387" t="str">
        <f t="shared" ref="D387:D450" si="6">CONCATENATE(B387,"_",C387)</f>
        <v>Pin sylvestre - Sologne (INRA, N. Decourt, 1965) - classe 3_26</v>
      </c>
      <c r="E387" s="3">
        <v>96.8</v>
      </c>
      <c r="F387" s="3">
        <v>0</v>
      </c>
      <c r="G387" s="3">
        <v>96.8</v>
      </c>
    </row>
    <row r="388" spans="1:7" x14ac:dyDescent="0.2">
      <c r="A388" s="3" t="s">
        <v>60</v>
      </c>
      <c r="B388" t="s">
        <v>951</v>
      </c>
      <c r="C388" s="3">
        <v>27</v>
      </c>
      <c r="D388" t="str">
        <f t="shared" si="6"/>
        <v>Pin sylvestre - Sologne (INRA, N. Decourt, 1965) - classe 3_27</v>
      </c>
      <c r="E388" s="3">
        <v>107.6</v>
      </c>
      <c r="F388" s="3">
        <v>0</v>
      </c>
      <c r="G388" s="3">
        <v>107.6</v>
      </c>
    </row>
    <row r="389" spans="1:7" x14ac:dyDescent="0.2">
      <c r="A389" s="3" t="s">
        <v>60</v>
      </c>
      <c r="B389" t="s">
        <v>951</v>
      </c>
      <c r="C389" s="3">
        <v>28</v>
      </c>
      <c r="D389" t="str">
        <f t="shared" si="6"/>
        <v>Pin sylvestre - Sologne (INRA, N. Decourt, 1965) - classe 3_28</v>
      </c>
      <c r="E389" s="3">
        <v>118.39999999999999</v>
      </c>
      <c r="F389" s="3">
        <v>0</v>
      </c>
      <c r="G389" s="3">
        <v>118.39999999999999</v>
      </c>
    </row>
    <row r="390" spans="1:7" x14ac:dyDescent="0.2">
      <c r="A390" s="3" t="s">
        <v>60</v>
      </c>
      <c r="B390" t="s">
        <v>951</v>
      </c>
      <c r="C390" s="3">
        <v>29</v>
      </c>
      <c r="D390" t="str">
        <f t="shared" si="6"/>
        <v>Pin sylvestre - Sologne (INRA, N. Decourt, 1965) - classe 3_29</v>
      </c>
      <c r="E390" s="3">
        <v>129.19999999999999</v>
      </c>
      <c r="F390" s="3">
        <v>0</v>
      </c>
      <c r="G390" s="3">
        <v>129.19999999999999</v>
      </c>
    </row>
    <row r="391" spans="1:7" x14ac:dyDescent="0.2">
      <c r="A391" s="3" t="s">
        <v>60</v>
      </c>
      <c r="B391" t="s">
        <v>951</v>
      </c>
      <c r="C391" s="3">
        <v>30</v>
      </c>
      <c r="D391" t="str">
        <f t="shared" si="6"/>
        <v>Pin sylvestre - Sologne (INRA, N. Decourt, 1965) - classe 3_30</v>
      </c>
      <c r="E391" s="3">
        <v>140</v>
      </c>
      <c r="F391" s="3">
        <v>23</v>
      </c>
      <c r="G391" s="3">
        <v>117</v>
      </c>
    </row>
    <row r="392" spans="1:7" x14ac:dyDescent="0.2">
      <c r="A392" s="3" t="s">
        <v>60</v>
      </c>
      <c r="B392" t="s">
        <v>952</v>
      </c>
      <c r="C392" s="3">
        <v>1</v>
      </c>
      <c r="D392" t="str">
        <f t="shared" si="6"/>
        <v>Pin sylvestre - Sologne (INRA, N. Decourt, 1965) - classe 4_1</v>
      </c>
      <c r="E392" s="3">
        <v>3.2666666666666666</v>
      </c>
      <c r="F392" s="3">
        <v>0</v>
      </c>
      <c r="G392" s="3">
        <v>3.2666666666666666</v>
      </c>
    </row>
    <row r="393" spans="1:7" x14ac:dyDescent="0.2">
      <c r="A393" s="3" t="s">
        <v>60</v>
      </c>
      <c r="B393" t="s">
        <v>952</v>
      </c>
      <c r="C393" s="3">
        <v>2</v>
      </c>
      <c r="D393" t="str">
        <f t="shared" si="6"/>
        <v>Pin sylvestre - Sologne (INRA, N. Decourt, 1965) - classe 4_2</v>
      </c>
      <c r="E393" s="3">
        <v>6.5333333333333332</v>
      </c>
      <c r="F393" s="3">
        <v>0</v>
      </c>
      <c r="G393" s="3">
        <v>6.5333333333333332</v>
      </c>
    </row>
    <row r="394" spans="1:7" x14ac:dyDescent="0.2">
      <c r="A394" s="3" t="s">
        <v>60</v>
      </c>
      <c r="B394" t="s">
        <v>952</v>
      </c>
      <c r="C394" s="3">
        <v>3</v>
      </c>
      <c r="D394" t="str">
        <f t="shared" si="6"/>
        <v>Pin sylvestre - Sologne (INRA, N. Decourt, 1965) - classe 4_3</v>
      </c>
      <c r="E394" s="3">
        <v>9.8000000000000007</v>
      </c>
      <c r="F394" s="3">
        <v>0</v>
      </c>
      <c r="G394" s="3">
        <v>9.8000000000000007</v>
      </c>
    </row>
    <row r="395" spans="1:7" x14ac:dyDescent="0.2">
      <c r="A395" s="3" t="s">
        <v>60</v>
      </c>
      <c r="B395" t="s">
        <v>952</v>
      </c>
      <c r="C395" s="3">
        <v>4</v>
      </c>
      <c r="D395" t="str">
        <f t="shared" si="6"/>
        <v>Pin sylvestre - Sologne (INRA, N. Decourt, 1965) - classe 4_4</v>
      </c>
      <c r="E395" s="3">
        <v>13.066666666666666</v>
      </c>
      <c r="F395" s="3">
        <v>0</v>
      </c>
      <c r="G395" s="3">
        <v>13.066666666666666</v>
      </c>
    </row>
    <row r="396" spans="1:7" x14ac:dyDescent="0.2">
      <c r="A396" s="3" t="s">
        <v>60</v>
      </c>
      <c r="B396" t="s">
        <v>952</v>
      </c>
      <c r="C396" s="3">
        <v>5</v>
      </c>
      <c r="D396" t="str">
        <f t="shared" si="6"/>
        <v>Pin sylvestre - Sologne (INRA, N. Decourt, 1965) - classe 4_5</v>
      </c>
      <c r="E396" s="3">
        <v>16.333333333333332</v>
      </c>
      <c r="F396" s="3">
        <v>0</v>
      </c>
      <c r="G396" s="3">
        <v>16.333333333333332</v>
      </c>
    </row>
    <row r="397" spans="1:7" x14ac:dyDescent="0.2">
      <c r="A397" s="3" t="s">
        <v>60</v>
      </c>
      <c r="B397" t="s">
        <v>952</v>
      </c>
      <c r="C397" s="3">
        <v>6</v>
      </c>
      <c r="D397" t="str">
        <f t="shared" si="6"/>
        <v>Pin sylvestre - Sologne (INRA, N. Decourt, 1965) - classe 4_6</v>
      </c>
      <c r="E397" s="3">
        <v>19.599999999999998</v>
      </c>
      <c r="F397" s="3">
        <v>0</v>
      </c>
      <c r="G397" s="3">
        <v>19.599999999999998</v>
      </c>
    </row>
    <row r="398" spans="1:7" x14ac:dyDescent="0.2">
      <c r="A398" s="3" t="s">
        <v>60</v>
      </c>
      <c r="B398" t="s">
        <v>952</v>
      </c>
      <c r="C398" s="3">
        <v>7</v>
      </c>
      <c r="D398" t="str">
        <f t="shared" si="6"/>
        <v>Pin sylvestre - Sologne (INRA, N. Decourt, 1965) - classe 4_7</v>
      </c>
      <c r="E398" s="3">
        <v>22.866666666666664</v>
      </c>
      <c r="F398" s="3">
        <v>0</v>
      </c>
      <c r="G398" s="3">
        <v>22.866666666666664</v>
      </c>
    </row>
    <row r="399" spans="1:7" x14ac:dyDescent="0.2">
      <c r="A399" s="3" t="s">
        <v>60</v>
      </c>
      <c r="B399" t="s">
        <v>952</v>
      </c>
      <c r="C399" s="3">
        <v>8</v>
      </c>
      <c r="D399" t="str">
        <f t="shared" si="6"/>
        <v>Pin sylvestre - Sologne (INRA, N. Decourt, 1965) - classe 4_8</v>
      </c>
      <c r="E399" s="3">
        <v>26.133333333333329</v>
      </c>
      <c r="F399" s="3">
        <v>0</v>
      </c>
      <c r="G399" s="3">
        <v>26.133333333333329</v>
      </c>
    </row>
    <row r="400" spans="1:7" x14ac:dyDescent="0.2">
      <c r="A400" s="3" t="s">
        <v>60</v>
      </c>
      <c r="B400" t="s">
        <v>952</v>
      </c>
      <c r="C400" s="3">
        <v>9</v>
      </c>
      <c r="D400" t="str">
        <f t="shared" si="6"/>
        <v>Pin sylvestre - Sologne (INRA, N. Decourt, 1965) - classe 4_9</v>
      </c>
      <c r="E400" s="3">
        <v>29.399999999999995</v>
      </c>
      <c r="F400" s="3">
        <v>0</v>
      </c>
      <c r="G400" s="3">
        <v>29.399999999999995</v>
      </c>
    </row>
    <row r="401" spans="1:7" x14ac:dyDescent="0.2">
      <c r="A401" s="3" t="s">
        <v>60</v>
      </c>
      <c r="B401" t="s">
        <v>952</v>
      </c>
      <c r="C401" s="3">
        <v>10</v>
      </c>
      <c r="D401" t="str">
        <f t="shared" si="6"/>
        <v>Pin sylvestre - Sologne (INRA, N. Decourt, 1965) - classe 4_10</v>
      </c>
      <c r="E401" s="3">
        <v>32.666666666666664</v>
      </c>
      <c r="F401" s="3">
        <v>0</v>
      </c>
      <c r="G401" s="3">
        <v>32.666666666666664</v>
      </c>
    </row>
    <row r="402" spans="1:7" x14ac:dyDescent="0.2">
      <c r="A402" s="3" t="s">
        <v>60</v>
      </c>
      <c r="B402" t="s">
        <v>952</v>
      </c>
      <c r="C402" s="3">
        <v>11</v>
      </c>
      <c r="D402" t="str">
        <f t="shared" si="6"/>
        <v>Pin sylvestre - Sologne (INRA, N. Decourt, 1965) - classe 4_11</v>
      </c>
      <c r="E402" s="3">
        <v>35.93333333333333</v>
      </c>
      <c r="F402" s="3">
        <v>0</v>
      </c>
      <c r="G402" s="3">
        <v>35.93333333333333</v>
      </c>
    </row>
    <row r="403" spans="1:7" x14ac:dyDescent="0.2">
      <c r="A403" s="3" t="s">
        <v>60</v>
      </c>
      <c r="B403" t="s">
        <v>952</v>
      </c>
      <c r="C403" s="3">
        <v>12</v>
      </c>
      <c r="D403" t="str">
        <f t="shared" si="6"/>
        <v>Pin sylvestre - Sologne (INRA, N. Decourt, 1965) - classe 4_12</v>
      </c>
      <c r="E403" s="3">
        <v>39.199999999999996</v>
      </c>
      <c r="F403" s="3">
        <v>0</v>
      </c>
      <c r="G403" s="3">
        <v>39.199999999999996</v>
      </c>
    </row>
    <row r="404" spans="1:7" x14ac:dyDescent="0.2">
      <c r="A404" s="3" t="s">
        <v>60</v>
      </c>
      <c r="B404" t="s">
        <v>952</v>
      </c>
      <c r="C404" s="3">
        <v>13</v>
      </c>
      <c r="D404" t="str">
        <f t="shared" si="6"/>
        <v>Pin sylvestre - Sologne (INRA, N. Decourt, 1965) - classe 4_13</v>
      </c>
      <c r="E404" s="3">
        <v>42.466666666666661</v>
      </c>
      <c r="F404" s="3">
        <v>0</v>
      </c>
      <c r="G404" s="3">
        <v>42.466666666666661</v>
      </c>
    </row>
    <row r="405" spans="1:7" x14ac:dyDescent="0.2">
      <c r="A405" s="3" t="s">
        <v>60</v>
      </c>
      <c r="B405" t="s">
        <v>952</v>
      </c>
      <c r="C405" s="3">
        <v>14</v>
      </c>
      <c r="D405" t="str">
        <f t="shared" si="6"/>
        <v>Pin sylvestre - Sologne (INRA, N. Decourt, 1965) - classe 4_14</v>
      </c>
      <c r="E405" s="3">
        <v>45.733333333333327</v>
      </c>
      <c r="F405" s="3">
        <v>0</v>
      </c>
      <c r="G405" s="3">
        <v>45.733333333333327</v>
      </c>
    </row>
    <row r="406" spans="1:7" x14ac:dyDescent="0.2">
      <c r="A406" s="3" t="s">
        <v>60</v>
      </c>
      <c r="B406" t="s">
        <v>952</v>
      </c>
      <c r="C406" s="3">
        <v>15</v>
      </c>
      <c r="D406" t="str">
        <f t="shared" si="6"/>
        <v>Pin sylvestre - Sologne (INRA, N. Decourt, 1965) - classe 4_15</v>
      </c>
      <c r="E406" s="3">
        <v>48.999999999999993</v>
      </c>
      <c r="F406" s="3">
        <v>0</v>
      </c>
      <c r="G406" s="3">
        <v>48.999999999999993</v>
      </c>
    </row>
    <row r="407" spans="1:7" x14ac:dyDescent="0.2">
      <c r="A407" s="3" t="s">
        <v>60</v>
      </c>
      <c r="B407" t="s">
        <v>952</v>
      </c>
      <c r="C407" s="3">
        <v>16</v>
      </c>
      <c r="D407" t="str">
        <f t="shared" si="6"/>
        <v>Pin sylvestre - Sologne (INRA, N. Decourt, 1965) - classe 4_16</v>
      </c>
      <c r="E407" s="3">
        <v>52.266666666666659</v>
      </c>
      <c r="F407" s="3">
        <v>0</v>
      </c>
      <c r="G407" s="3">
        <v>52.266666666666659</v>
      </c>
    </row>
    <row r="408" spans="1:7" x14ac:dyDescent="0.2">
      <c r="A408" s="3" t="s">
        <v>60</v>
      </c>
      <c r="B408" t="s">
        <v>952</v>
      </c>
      <c r="C408" s="3">
        <v>17</v>
      </c>
      <c r="D408" t="str">
        <f t="shared" si="6"/>
        <v>Pin sylvestre - Sologne (INRA, N. Decourt, 1965) - classe 4_17</v>
      </c>
      <c r="E408" s="3">
        <v>55.533333333333324</v>
      </c>
      <c r="F408" s="3">
        <v>0</v>
      </c>
      <c r="G408" s="3">
        <v>55.533333333333324</v>
      </c>
    </row>
    <row r="409" spans="1:7" x14ac:dyDescent="0.2">
      <c r="A409" s="3" t="s">
        <v>60</v>
      </c>
      <c r="B409" t="s">
        <v>952</v>
      </c>
      <c r="C409" s="3">
        <v>18</v>
      </c>
      <c r="D409" t="str">
        <f t="shared" si="6"/>
        <v>Pin sylvestre - Sologne (INRA, N. Decourt, 1965) - classe 4_18</v>
      </c>
      <c r="E409" s="3">
        <v>58.79999999999999</v>
      </c>
      <c r="F409" s="3">
        <v>0</v>
      </c>
      <c r="G409" s="3">
        <v>58.79999999999999</v>
      </c>
    </row>
    <row r="410" spans="1:7" x14ac:dyDescent="0.2">
      <c r="A410" s="3" t="s">
        <v>60</v>
      </c>
      <c r="B410" t="s">
        <v>952</v>
      </c>
      <c r="C410" s="3">
        <v>19</v>
      </c>
      <c r="D410" t="str">
        <f t="shared" si="6"/>
        <v>Pin sylvestre - Sologne (INRA, N. Decourt, 1965) - classe 4_19</v>
      </c>
      <c r="E410" s="3">
        <v>62.066666666666656</v>
      </c>
      <c r="F410" s="3">
        <v>0</v>
      </c>
      <c r="G410" s="3">
        <v>62.066666666666656</v>
      </c>
    </row>
    <row r="411" spans="1:7" x14ac:dyDescent="0.2">
      <c r="A411" s="3" t="s">
        <v>60</v>
      </c>
      <c r="B411" t="s">
        <v>952</v>
      </c>
      <c r="C411" s="3">
        <v>20</v>
      </c>
      <c r="D411" t="str">
        <f t="shared" si="6"/>
        <v>Pin sylvestre - Sologne (INRA, N. Decourt, 1965) - classe 4_20</v>
      </c>
      <c r="E411" s="3">
        <v>65.333333333333329</v>
      </c>
      <c r="F411" s="3">
        <v>0</v>
      </c>
      <c r="G411" s="3">
        <v>65.333333333333329</v>
      </c>
    </row>
    <row r="412" spans="1:7" x14ac:dyDescent="0.2">
      <c r="A412" s="3" t="s">
        <v>60</v>
      </c>
      <c r="B412" t="s">
        <v>952</v>
      </c>
      <c r="C412" s="3">
        <v>21</v>
      </c>
      <c r="D412" t="str">
        <f t="shared" si="6"/>
        <v>Pin sylvestre - Sologne (INRA, N. Decourt, 1965) - classe 4_21</v>
      </c>
      <c r="E412" s="3">
        <v>68.599999999999994</v>
      </c>
      <c r="F412" s="3">
        <v>0</v>
      </c>
      <c r="G412" s="3">
        <v>68.599999999999994</v>
      </c>
    </row>
    <row r="413" spans="1:7" x14ac:dyDescent="0.2">
      <c r="A413" s="3" t="s">
        <v>60</v>
      </c>
      <c r="B413" t="s">
        <v>952</v>
      </c>
      <c r="C413" s="3">
        <v>22</v>
      </c>
      <c r="D413" t="str">
        <f t="shared" si="6"/>
        <v>Pin sylvestre - Sologne (INRA, N. Decourt, 1965) - classe 4_22</v>
      </c>
      <c r="E413" s="3">
        <v>71.86666666666666</v>
      </c>
      <c r="F413" s="3">
        <v>0</v>
      </c>
      <c r="G413" s="3">
        <v>71.86666666666666</v>
      </c>
    </row>
    <row r="414" spans="1:7" x14ac:dyDescent="0.2">
      <c r="A414" s="3" t="s">
        <v>60</v>
      </c>
      <c r="B414" t="s">
        <v>952</v>
      </c>
      <c r="C414" s="3">
        <v>23</v>
      </c>
      <c r="D414" t="str">
        <f t="shared" si="6"/>
        <v>Pin sylvestre - Sologne (INRA, N. Decourt, 1965) - classe 4_23</v>
      </c>
      <c r="E414" s="3">
        <v>75.133333333333326</v>
      </c>
      <c r="F414" s="3">
        <v>0</v>
      </c>
      <c r="G414" s="3">
        <v>75.133333333333326</v>
      </c>
    </row>
    <row r="415" spans="1:7" x14ac:dyDescent="0.2">
      <c r="A415" s="3" t="s">
        <v>60</v>
      </c>
      <c r="B415" t="s">
        <v>952</v>
      </c>
      <c r="C415" s="3">
        <v>24</v>
      </c>
      <c r="D415" t="str">
        <f t="shared" si="6"/>
        <v>Pin sylvestre - Sologne (INRA, N. Decourt, 1965) - classe 4_24</v>
      </c>
      <c r="E415" s="3">
        <v>78.399999999999991</v>
      </c>
      <c r="F415" s="3">
        <v>0</v>
      </c>
      <c r="G415" s="3">
        <v>78.399999999999991</v>
      </c>
    </row>
    <row r="416" spans="1:7" x14ac:dyDescent="0.2">
      <c r="A416" s="3" t="s">
        <v>60</v>
      </c>
      <c r="B416" t="s">
        <v>952</v>
      </c>
      <c r="C416" s="3">
        <v>25</v>
      </c>
      <c r="D416" t="str">
        <f t="shared" si="6"/>
        <v>Pin sylvestre - Sologne (INRA, N. Decourt, 1965) - classe 4_25</v>
      </c>
      <c r="E416" s="3">
        <v>81.666666666666657</v>
      </c>
      <c r="F416" s="3">
        <v>0</v>
      </c>
      <c r="G416" s="3">
        <v>81.666666666666657</v>
      </c>
    </row>
    <row r="417" spans="1:7" x14ac:dyDescent="0.2">
      <c r="A417" s="3" t="s">
        <v>60</v>
      </c>
      <c r="B417" t="s">
        <v>952</v>
      </c>
      <c r="C417" s="3">
        <v>26</v>
      </c>
      <c r="D417" t="str">
        <f t="shared" si="6"/>
        <v>Pin sylvestre - Sologne (INRA, N. Decourt, 1965) - classe 4_26</v>
      </c>
      <c r="E417" s="3">
        <v>84.933333333333323</v>
      </c>
      <c r="F417" s="3">
        <v>0</v>
      </c>
      <c r="G417" s="3">
        <v>84.933333333333323</v>
      </c>
    </row>
    <row r="418" spans="1:7" x14ac:dyDescent="0.2">
      <c r="A418" s="3" t="s">
        <v>60</v>
      </c>
      <c r="B418" t="s">
        <v>952</v>
      </c>
      <c r="C418" s="3">
        <v>27</v>
      </c>
      <c r="D418" t="str">
        <f t="shared" si="6"/>
        <v>Pin sylvestre - Sologne (INRA, N. Decourt, 1965) - classe 4_27</v>
      </c>
      <c r="E418" s="3">
        <v>88.199999999999989</v>
      </c>
      <c r="F418" s="3">
        <v>0</v>
      </c>
      <c r="G418" s="3">
        <v>88.199999999999989</v>
      </c>
    </row>
    <row r="419" spans="1:7" x14ac:dyDescent="0.2">
      <c r="A419" s="3" t="s">
        <v>60</v>
      </c>
      <c r="B419" t="s">
        <v>952</v>
      </c>
      <c r="C419" s="3">
        <v>28</v>
      </c>
      <c r="D419" t="str">
        <f t="shared" si="6"/>
        <v>Pin sylvestre - Sologne (INRA, N. Decourt, 1965) - classe 4_28</v>
      </c>
      <c r="E419" s="3">
        <v>91.466666666666654</v>
      </c>
      <c r="F419" s="3">
        <v>0</v>
      </c>
      <c r="G419" s="3">
        <v>91.466666666666654</v>
      </c>
    </row>
    <row r="420" spans="1:7" x14ac:dyDescent="0.2">
      <c r="A420" s="3" t="s">
        <v>60</v>
      </c>
      <c r="B420" t="s">
        <v>952</v>
      </c>
      <c r="C420" s="3">
        <v>29</v>
      </c>
      <c r="D420" t="str">
        <f t="shared" si="6"/>
        <v>Pin sylvestre - Sologne (INRA, N. Decourt, 1965) - classe 4_29</v>
      </c>
      <c r="E420" s="3">
        <v>94.73333333333332</v>
      </c>
      <c r="F420" s="3">
        <v>0</v>
      </c>
      <c r="G420" s="3">
        <v>94.73333333333332</v>
      </c>
    </row>
    <row r="421" spans="1:7" x14ac:dyDescent="0.2">
      <c r="A421" s="3" t="s">
        <v>60</v>
      </c>
      <c r="B421" t="s">
        <v>952</v>
      </c>
      <c r="C421" s="3">
        <v>30</v>
      </c>
      <c r="D421" t="str">
        <f t="shared" si="6"/>
        <v>Pin sylvestre - Sologne (INRA, N. Decourt, 1965) - classe 4_30</v>
      </c>
      <c r="E421" s="3">
        <v>98</v>
      </c>
      <c r="F421" s="3">
        <v>12</v>
      </c>
      <c r="G421" s="3">
        <v>86</v>
      </c>
    </row>
    <row r="422" spans="1:7" x14ac:dyDescent="0.2">
      <c r="A422" s="3" t="s">
        <v>60</v>
      </c>
      <c r="B422" t="s">
        <v>953</v>
      </c>
      <c r="C422" s="3">
        <v>1</v>
      </c>
      <c r="D422" t="str">
        <f t="shared" si="6"/>
        <v>Pin sylvestre - Sologne (INRA, N. Decourt, 1965) - classe 5_1</v>
      </c>
      <c r="E422" s="3">
        <v>2.5135135135135136</v>
      </c>
      <c r="F422" s="3">
        <v>0</v>
      </c>
      <c r="G422" s="3">
        <v>2.5135135135135136</v>
      </c>
    </row>
    <row r="423" spans="1:7" x14ac:dyDescent="0.2">
      <c r="A423" s="3" t="s">
        <v>60</v>
      </c>
      <c r="B423" t="s">
        <v>953</v>
      </c>
      <c r="C423" s="3">
        <v>2</v>
      </c>
      <c r="D423" t="str">
        <f t="shared" si="6"/>
        <v>Pin sylvestre - Sologne (INRA, N. Decourt, 1965) - classe 5_2</v>
      </c>
      <c r="E423" s="3">
        <v>5.0270270270270272</v>
      </c>
      <c r="F423" s="3">
        <v>0</v>
      </c>
      <c r="G423" s="3">
        <v>5.0270270270270272</v>
      </c>
    </row>
    <row r="424" spans="1:7" x14ac:dyDescent="0.2">
      <c r="A424" s="3" t="s">
        <v>60</v>
      </c>
      <c r="B424" t="s">
        <v>953</v>
      </c>
      <c r="C424" s="3">
        <v>3</v>
      </c>
      <c r="D424" t="str">
        <f t="shared" si="6"/>
        <v>Pin sylvestre - Sologne (INRA, N. Decourt, 1965) - classe 5_3</v>
      </c>
      <c r="E424" s="3">
        <v>7.5405405405405403</v>
      </c>
      <c r="F424" s="3">
        <v>0</v>
      </c>
      <c r="G424" s="3">
        <v>7.5405405405405403</v>
      </c>
    </row>
    <row r="425" spans="1:7" x14ac:dyDescent="0.2">
      <c r="A425" s="3" t="s">
        <v>60</v>
      </c>
      <c r="B425" t="s">
        <v>953</v>
      </c>
      <c r="C425" s="3">
        <v>4</v>
      </c>
      <c r="D425" t="str">
        <f t="shared" si="6"/>
        <v>Pin sylvestre - Sologne (INRA, N. Decourt, 1965) - classe 5_4</v>
      </c>
      <c r="E425" s="3">
        <v>10.054054054054054</v>
      </c>
      <c r="F425" s="3">
        <v>0</v>
      </c>
      <c r="G425" s="3">
        <v>10.054054054054054</v>
      </c>
    </row>
    <row r="426" spans="1:7" x14ac:dyDescent="0.2">
      <c r="A426" s="3" t="s">
        <v>60</v>
      </c>
      <c r="B426" t="s">
        <v>953</v>
      </c>
      <c r="C426" s="3">
        <v>5</v>
      </c>
      <c r="D426" t="str">
        <f t="shared" si="6"/>
        <v>Pin sylvestre - Sologne (INRA, N. Decourt, 1965) - classe 5_5</v>
      </c>
      <c r="E426" s="3">
        <v>12.567567567567568</v>
      </c>
      <c r="F426" s="3">
        <v>0</v>
      </c>
      <c r="G426" s="3">
        <v>12.567567567567568</v>
      </c>
    </row>
    <row r="427" spans="1:7" x14ac:dyDescent="0.2">
      <c r="A427" s="3" t="s">
        <v>60</v>
      </c>
      <c r="B427" t="s">
        <v>953</v>
      </c>
      <c r="C427" s="3">
        <v>6</v>
      </c>
      <c r="D427" t="str">
        <f t="shared" si="6"/>
        <v>Pin sylvestre - Sologne (INRA, N. Decourt, 1965) - classe 5_6</v>
      </c>
      <c r="E427" s="3">
        <v>15.081081081081082</v>
      </c>
      <c r="F427" s="3">
        <v>0</v>
      </c>
      <c r="G427" s="3">
        <v>15.081081081081082</v>
      </c>
    </row>
    <row r="428" spans="1:7" x14ac:dyDescent="0.2">
      <c r="A428" s="3" t="s">
        <v>60</v>
      </c>
      <c r="B428" t="s">
        <v>953</v>
      </c>
      <c r="C428" s="3">
        <v>7</v>
      </c>
      <c r="D428" t="str">
        <f t="shared" si="6"/>
        <v>Pin sylvestre - Sologne (INRA, N. Decourt, 1965) - classe 5_7</v>
      </c>
      <c r="E428" s="3">
        <v>17.594594594594597</v>
      </c>
      <c r="F428" s="3">
        <v>0</v>
      </c>
      <c r="G428" s="3">
        <v>17.594594594594597</v>
      </c>
    </row>
    <row r="429" spans="1:7" x14ac:dyDescent="0.2">
      <c r="A429" s="3" t="s">
        <v>60</v>
      </c>
      <c r="B429" t="s">
        <v>953</v>
      </c>
      <c r="C429" s="3">
        <v>8</v>
      </c>
      <c r="D429" t="str">
        <f t="shared" si="6"/>
        <v>Pin sylvestre - Sologne (INRA, N. Decourt, 1965) - classe 5_8</v>
      </c>
      <c r="E429" s="3">
        <v>20.108108108108109</v>
      </c>
      <c r="F429" s="3">
        <v>0</v>
      </c>
      <c r="G429" s="3">
        <v>20.108108108108109</v>
      </c>
    </row>
    <row r="430" spans="1:7" x14ac:dyDescent="0.2">
      <c r="A430" s="3" t="s">
        <v>60</v>
      </c>
      <c r="B430" t="s">
        <v>953</v>
      </c>
      <c r="C430" s="3">
        <v>9</v>
      </c>
      <c r="D430" t="str">
        <f t="shared" si="6"/>
        <v>Pin sylvestre - Sologne (INRA, N. Decourt, 1965) - classe 5_9</v>
      </c>
      <c r="E430" s="3">
        <v>22.621621621621621</v>
      </c>
      <c r="F430" s="3">
        <v>0</v>
      </c>
      <c r="G430" s="3">
        <v>22.621621621621621</v>
      </c>
    </row>
    <row r="431" spans="1:7" x14ac:dyDescent="0.2">
      <c r="A431" s="3" t="s">
        <v>60</v>
      </c>
      <c r="B431" t="s">
        <v>953</v>
      </c>
      <c r="C431" s="3">
        <v>10</v>
      </c>
      <c r="D431" t="str">
        <f t="shared" si="6"/>
        <v>Pin sylvestre - Sologne (INRA, N. Decourt, 1965) - classe 5_10</v>
      </c>
      <c r="E431" s="3">
        <v>25.135135135135133</v>
      </c>
      <c r="F431" s="3">
        <v>0</v>
      </c>
      <c r="G431" s="3">
        <v>25.135135135135133</v>
      </c>
    </row>
    <row r="432" spans="1:7" x14ac:dyDescent="0.2">
      <c r="A432" s="3" t="s">
        <v>60</v>
      </c>
      <c r="B432" t="s">
        <v>953</v>
      </c>
      <c r="C432" s="3">
        <v>11</v>
      </c>
      <c r="D432" t="str">
        <f t="shared" si="6"/>
        <v>Pin sylvestre - Sologne (INRA, N. Decourt, 1965) - classe 5_11</v>
      </c>
      <c r="E432" s="3">
        <v>27.648648648648646</v>
      </c>
      <c r="F432" s="3">
        <v>0</v>
      </c>
      <c r="G432" s="3">
        <v>27.648648648648646</v>
      </c>
    </row>
    <row r="433" spans="1:7" x14ac:dyDescent="0.2">
      <c r="A433" s="3" t="s">
        <v>60</v>
      </c>
      <c r="B433" t="s">
        <v>953</v>
      </c>
      <c r="C433" s="3">
        <v>12</v>
      </c>
      <c r="D433" t="str">
        <f t="shared" si="6"/>
        <v>Pin sylvestre - Sologne (INRA, N. Decourt, 1965) - classe 5_12</v>
      </c>
      <c r="E433" s="3">
        <v>30.162162162162158</v>
      </c>
      <c r="F433" s="3">
        <v>0</v>
      </c>
      <c r="G433" s="3">
        <v>30.162162162162158</v>
      </c>
    </row>
    <row r="434" spans="1:7" x14ac:dyDescent="0.2">
      <c r="A434" s="3" t="s">
        <v>60</v>
      </c>
      <c r="B434" t="s">
        <v>953</v>
      </c>
      <c r="C434" s="3">
        <v>13</v>
      </c>
      <c r="D434" t="str">
        <f t="shared" si="6"/>
        <v>Pin sylvestre - Sologne (INRA, N. Decourt, 1965) - classe 5_13</v>
      </c>
      <c r="E434" s="3">
        <v>32.67567567567567</v>
      </c>
      <c r="F434" s="3">
        <v>0</v>
      </c>
      <c r="G434" s="3">
        <v>32.67567567567567</v>
      </c>
    </row>
    <row r="435" spans="1:7" x14ac:dyDescent="0.2">
      <c r="A435" s="3" t="s">
        <v>60</v>
      </c>
      <c r="B435" t="s">
        <v>953</v>
      </c>
      <c r="C435" s="3">
        <v>14</v>
      </c>
      <c r="D435" t="str">
        <f t="shared" si="6"/>
        <v>Pin sylvestre - Sologne (INRA, N. Decourt, 1965) - classe 5_14</v>
      </c>
      <c r="E435" s="3">
        <v>35.189189189189186</v>
      </c>
      <c r="F435" s="3">
        <v>0</v>
      </c>
      <c r="G435" s="3">
        <v>35.189189189189186</v>
      </c>
    </row>
    <row r="436" spans="1:7" x14ac:dyDescent="0.2">
      <c r="A436" s="3" t="s">
        <v>60</v>
      </c>
      <c r="B436" t="s">
        <v>953</v>
      </c>
      <c r="C436" s="3">
        <v>15</v>
      </c>
      <c r="D436" t="str">
        <f t="shared" si="6"/>
        <v>Pin sylvestre - Sologne (INRA, N. Decourt, 1965) - classe 5_15</v>
      </c>
      <c r="E436" s="3">
        <v>37.702702702702702</v>
      </c>
      <c r="F436" s="3">
        <v>0</v>
      </c>
      <c r="G436" s="3">
        <v>37.702702702702702</v>
      </c>
    </row>
    <row r="437" spans="1:7" x14ac:dyDescent="0.2">
      <c r="A437" s="3" t="s">
        <v>60</v>
      </c>
      <c r="B437" t="s">
        <v>953</v>
      </c>
      <c r="C437" s="3">
        <v>16</v>
      </c>
      <c r="D437" t="str">
        <f t="shared" si="6"/>
        <v>Pin sylvestre - Sologne (INRA, N. Decourt, 1965) - classe 5_16</v>
      </c>
      <c r="E437" s="3">
        <v>40.216216216216218</v>
      </c>
      <c r="F437" s="3">
        <v>0</v>
      </c>
      <c r="G437" s="3">
        <v>40.216216216216218</v>
      </c>
    </row>
    <row r="438" spans="1:7" x14ac:dyDescent="0.2">
      <c r="A438" s="3" t="s">
        <v>60</v>
      </c>
      <c r="B438" t="s">
        <v>953</v>
      </c>
      <c r="C438" s="3">
        <v>17</v>
      </c>
      <c r="D438" t="str">
        <f t="shared" si="6"/>
        <v>Pin sylvestre - Sologne (INRA, N. Decourt, 1965) - classe 5_17</v>
      </c>
      <c r="E438" s="3">
        <v>42.729729729729733</v>
      </c>
      <c r="F438" s="3">
        <v>0</v>
      </c>
      <c r="G438" s="3">
        <v>42.729729729729733</v>
      </c>
    </row>
    <row r="439" spans="1:7" x14ac:dyDescent="0.2">
      <c r="A439" s="3" t="s">
        <v>60</v>
      </c>
      <c r="B439" t="s">
        <v>953</v>
      </c>
      <c r="C439" s="3">
        <v>18</v>
      </c>
      <c r="D439" t="str">
        <f t="shared" si="6"/>
        <v>Pin sylvestre - Sologne (INRA, N. Decourt, 1965) - classe 5_18</v>
      </c>
      <c r="E439" s="3">
        <v>45.243243243243249</v>
      </c>
      <c r="F439" s="3">
        <v>0</v>
      </c>
      <c r="G439" s="3">
        <v>45.243243243243249</v>
      </c>
    </row>
    <row r="440" spans="1:7" x14ac:dyDescent="0.2">
      <c r="A440" s="3" t="s">
        <v>60</v>
      </c>
      <c r="B440" t="s">
        <v>953</v>
      </c>
      <c r="C440" s="3">
        <v>19</v>
      </c>
      <c r="D440" t="str">
        <f t="shared" si="6"/>
        <v>Pin sylvestre - Sologne (INRA, N. Decourt, 1965) - classe 5_19</v>
      </c>
      <c r="E440" s="3">
        <v>47.756756756756765</v>
      </c>
      <c r="F440" s="3">
        <v>0</v>
      </c>
      <c r="G440" s="3">
        <v>47.756756756756765</v>
      </c>
    </row>
    <row r="441" spans="1:7" x14ac:dyDescent="0.2">
      <c r="A441" s="3" t="s">
        <v>60</v>
      </c>
      <c r="B441" t="s">
        <v>953</v>
      </c>
      <c r="C441" s="3">
        <v>20</v>
      </c>
      <c r="D441" t="str">
        <f t="shared" si="6"/>
        <v>Pin sylvestre - Sologne (INRA, N. Decourt, 1965) - classe 5_20</v>
      </c>
      <c r="E441" s="3">
        <v>50.270270270270281</v>
      </c>
      <c r="F441" s="3">
        <v>0</v>
      </c>
      <c r="G441" s="3">
        <v>50.270270270270281</v>
      </c>
    </row>
    <row r="442" spans="1:7" x14ac:dyDescent="0.2">
      <c r="A442" s="3" t="s">
        <v>60</v>
      </c>
      <c r="B442" t="s">
        <v>953</v>
      </c>
      <c r="C442" s="3">
        <v>21</v>
      </c>
      <c r="D442" t="str">
        <f t="shared" si="6"/>
        <v>Pin sylvestre - Sologne (INRA, N. Decourt, 1965) - classe 5_21</v>
      </c>
      <c r="E442" s="3">
        <v>52.783783783783797</v>
      </c>
      <c r="F442" s="3">
        <v>0</v>
      </c>
      <c r="G442" s="3">
        <v>52.783783783783797</v>
      </c>
    </row>
    <row r="443" spans="1:7" x14ac:dyDescent="0.2">
      <c r="A443" s="3" t="s">
        <v>60</v>
      </c>
      <c r="B443" t="s">
        <v>953</v>
      </c>
      <c r="C443" s="3">
        <v>22</v>
      </c>
      <c r="D443" t="str">
        <f t="shared" si="6"/>
        <v>Pin sylvestre - Sologne (INRA, N. Decourt, 1965) - classe 5_22</v>
      </c>
      <c r="E443" s="3">
        <v>55.297297297297312</v>
      </c>
      <c r="F443" s="3">
        <v>0</v>
      </c>
      <c r="G443" s="3">
        <v>55.297297297297312</v>
      </c>
    </row>
    <row r="444" spans="1:7" x14ac:dyDescent="0.2">
      <c r="A444" s="3" t="s">
        <v>60</v>
      </c>
      <c r="B444" t="s">
        <v>953</v>
      </c>
      <c r="C444" s="3">
        <v>23</v>
      </c>
      <c r="D444" t="str">
        <f t="shared" si="6"/>
        <v>Pin sylvestre - Sologne (INRA, N. Decourt, 1965) - classe 5_23</v>
      </c>
      <c r="E444" s="3">
        <v>57.810810810810828</v>
      </c>
      <c r="F444" s="3">
        <v>0</v>
      </c>
      <c r="G444" s="3">
        <v>57.810810810810828</v>
      </c>
    </row>
    <row r="445" spans="1:7" x14ac:dyDescent="0.2">
      <c r="A445" s="3" t="s">
        <v>60</v>
      </c>
      <c r="B445" t="s">
        <v>953</v>
      </c>
      <c r="C445" s="3">
        <v>24</v>
      </c>
      <c r="D445" t="str">
        <f t="shared" si="6"/>
        <v>Pin sylvestre - Sologne (INRA, N. Decourt, 1965) - classe 5_24</v>
      </c>
      <c r="E445" s="3">
        <v>60.324324324324344</v>
      </c>
      <c r="F445" s="3">
        <v>0</v>
      </c>
      <c r="G445" s="3">
        <v>60.324324324324344</v>
      </c>
    </row>
    <row r="446" spans="1:7" x14ac:dyDescent="0.2">
      <c r="A446" s="3" t="s">
        <v>60</v>
      </c>
      <c r="B446" t="s">
        <v>953</v>
      </c>
      <c r="C446" s="3">
        <v>25</v>
      </c>
      <c r="D446" t="str">
        <f t="shared" si="6"/>
        <v>Pin sylvestre - Sologne (INRA, N. Decourt, 1965) - classe 5_25</v>
      </c>
      <c r="E446" s="3">
        <v>62.83783783783786</v>
      </c>
      <c r="F446" s="3">
        <v>0</v>
      </c>
      <c r="G446" s="3">
        <v>62.83783783783786</v>
      </c>
    </row>
    <row r="447" spans="1:7" x14ac:dyDescent="0.2">
      <c r="A447" s="3" t="s">
        <v>60</v>
      </c>
      <c r="B447" t="s">
        <v>953</v>
      </c>
      <c r="C447" s="3">
        <v>26</v>
      </c>
      <c r="D447" t="str">
        <f t="shared" si="6"/>
        <v>Pin sylvestre - Sologne (INRA, N. Decourt, 1965) - classe 5_26</v>
      </c>
      <c r="E447" s="3">
        <v>65.351351351351369</v>
      </c>
      <c r="F447" s="3">
        <v>0</v>
      </c>
      <c r="G447" s="3">
        <v>65.351351351351369</v>
      </c>
    </row>
    <row r="448" spans="1:7" x14ac:dyDescent="0.2">
      <c r="A448" s="3" t="s">
        <v>60</v>
      </c>
      <c r="B448" t="s">
        <v>953</v>
      </c>
      <c r="C448" s="3">
        <v>27</v>
      </c>
      <c r="D448" t="str">
        <f t="shared" si="6"/>
        <v>Pin sylvestre - Sologne (INRA, N. Decourt, 1965) - classe 5_27</v>
      </c>
      <c r="E448" s="3">
        <v>67.864864864864884</v>
      </c>
      <c r="F448" s="3">
        <v>0</v>
      </c>
      <c r="G448" s="3">
        <v>67.864864864864884</v>
      </c>
    </row>
    <row r="449" spans="1:7" x14ac:dyDescent="0.2">
      <c r="A449" s="3" t="s">
        <v>60</v>
      </c>
      <c r="B449" t="s">
        <v>953</v>
      </c>
      <c r="C449" s="3">
        <v>28</v>
      </c>
      <c r="D449" t="str">
        <f t="shared" si="6"/>
        <v>Pin sylvestre - Sologne (INRA, N. Decourt, 1965) - classe 5_28</v>
      </c>
      <c r="E449" s="3">
        <v>70.3783783783784</v>
      </c>
      <c r="F449" s="3">
        <v>0</v>
      </c>
      <c r="G449" s="3">
        <v>70.3783783783784</v>
      </c>
    </row>
    <row r="450" spans="1:7" x14ac:dyDescent="0.2">
      <c r="A450" s="3" t="s">
        <v>60</v>
      </c>
      <c r="B450" t="s">
        <v>953</v>
      </c>
      <c r="C450" s="3">
        <v>29</v>
      </c>
      <c r="D450" t="str">
        <f t="shared" si="6"/>
        <v>Pin sylvestre - Sologne (INRA, N. Decourt, 1965) - classe 5_29</v>
      </c>
      <c r="E450" s="3">
        <v>72.891891891891916</v>
      </c>
      <c r="F450" s="3">
        <v>0</v>
      </c>
      <c r="G450" s="3">
        <v>72.891891891891916</v>
      </c>
    </row>
    <row r="451" spans="1:7" x14ac:dyDescent="0.2">
      <c r="A451" s="3" t="s">
        <v>60</v>
      </c>
      <c r="B451" t="s">
        <v>953</v>
      </c>
      <c r="C451" s="3">
        <v>30</v>
      </c>
      <c r="D451" t="str">
        <f t="shared" ref="D451:D514" si="7">CONCATENATE(B451,"_",C451)</f>
        <v>Pin sylvestre - Sologne (INRA, N. Decourt, 1965) - classe 5_30</v>
      </c>
      <c r="E451" s="3">
        <v>75.405405405405432</v>
      </c>
      <c r="F451" s="3">
        <v>0</v>
      </c>
      <c r="G451" s="3">
        <v>75.405405405405432</v>
      </c>
    </row>
    <row r="452" spans="1:7" x14ac:dyDescent="0.2">
      <c r="A452" s="3" t="s">
        <v>76</v>
      </c>
      <c r="B452" t="s">
        <v>954</v>
      </c>
      <c r="C452" s="3">
        <v>1</v>
      </c>
      <c r="D452" t="str">
        <f t="shared" si="7"/>
        <v>Pin laricio de Corse - Sologne (INRA, N. Decourt, 1965) -  classe 1_1</v>
      </c>
      <c r="E452" s="3">
        <v>6.9411764705882355</v>
      </c>
      <c r="F452" s="3">
        <v>0</v>
      </c>
      <c r="G452" s="3">
        <v>6.9411764705882355</v>
      </c>
    </row>
    <row r="453" spans="1:7" x14ac:dyDescent="0.2">
      <c r="A453" s="3" t="s">
        <v>76</v>
      </c>
      <c r="B453" t="s">
        <v>954</v>
      </c>
      <c r="C453" s="3">
        <v>2</v>
      </c>
      <c r="D453" t="str">
        <f t="shared" si="7"/>
        <v>Pin laricio de Corse - Sologne (INRA, N. Decourt, 1965) -  classe 1_2</v>
      </c>
      <c r="E453" s="3">
        <v>13.882352941176471</v>
      </c>
      <c r="F453" s="3">
        <v>0</v>
      </c>
      <c r="G453" s="3">
        <v>13.882352941176471</v>
      </c>
    </row>
    <row r="454" spans="1:7" x14ac:dyDescent="0.2">
      <c r="A454" s="3" t="s">
        <v>76</v>
      </c>
      <c r="B454" t="s">
        <v>954</v>
      </c>
      <c r="C454" s="3">
        <v>3</v>
      </c>
      <c r="D454" t="str">
        <f t="shared" si="7"/>
        <v>Pin laricio de Corse - Sologne (INRA, N. Decourt, 1965) -  classe 1_3</v>
      </c>
      <c r="E454" s="3">
        <v>20.823529411764707</v>
      </c>
      <c r="F454" s="3">
        <v>0</v>
      </c>
      <c r="G454" s="3">
        <v>20.823529411764707</v>
      </c>
    </row>
    <row r="455" spans="1:7" x14ac:dyDescent="0.2">
      <c r="A455" s="3" t="s">
        <v>76</v>
      </c>
      <c r="B455" t="s">
        <v>954</v>
      </c>
      <c r="C455" s="3">
        <v>4</v>
      </c>
      <c r="D455" t="str">
        <f t="shared" si="7"/>
        <v>Pin laricio de Corse - Sologne (INRA, N. Decourt, 1965) -  classe 1_4</v>
      </c>
      <c r="E455" s="3">
        <v>27.764705882352942</v>
      </c>
      <c r="F455" s="3">
        <v>0</v>
      </c>
      <c r="G455" s="3">
        <v>27.764705882352942</v>
      </c>
    </row>
    <row r="456" spans="1:7" x14ac:dyDescent="0.2">
      <c r="A456" s="3" t="s">
        <v>76</v>
      </c>
      <c r="B456" t="s">
        <v>954</v>
      </c>
      <c r="C456" s="3">
        <v>5</v>
      </c>
      <c r="D456" t="str">
        <f t="shared" si="7"/>
        <v>Pin laricio de Corse - Sologne (INRA, N. Decourt, 1965) -  classe 1_5</v>
      </c>
      <c r="E456" s="3">
        <v>34.705882352941174</v>
      </c>
      <c r="F456" s="3">
        <v>0</v>
      </c>
      <c r="G456" s="3">
        <v>34.705882352941174</v>
      </c>
    </row>
    <row r="457" spans="1:7" x14ac:dyDescent="0.2">
      <c r="A457" s="3" t="s">
        <v>76</v>
      </c>
      <c r="B457" t="s">
        <v>954</v>
      </c>
      <c r="C457" s="3">
        <v>6</v>
      </c>
      <c r="D457" t="str">
        <f t="shared" si="7"/>
        <v>Pin laricio de Corse - Sologne (INRA, N. Decourt, 1965) -  classe 1_6</v>
      </c>
      <c r="E457" s="3">
        <v>41.647058823529406</v>
      </c>
      <c r="F457" s="3">
        <v>0</v>
      </c>
      <c r="G457" s="3">
        <v>41.647058823529406</v>
      </c>
    </row>
    <row r="458" spans="1:7" x14ac:dyDescent="0.2">
      <c r="A458" s="3" t="s">
        <v>76</v>
      </c>
      <c r="B458" t="s">
        <v>954</v>
      </c>
      <c r="C458" s="3">
        <v>7</v>
      </c>
      <c r="D458" t="str">
        <f t="shared" si="7"/>
        <v>Pin laricio de Corse - Sologne (INRA, N. Decourt, 1965) -  classe 1_7</v>
      </c>
      <c r="E458" s="3">
        <v>48.588235294117638</v>
      </c>
      <c r="F458" s="3">
        <v>0</v>
      </c>
      <c r="G458" s="3">
        <v>48.588235294117638</v>
      </c>
    </row>
    <row r="459" spans="1:7" x14ac:dyDescent="0.2">
      <c r="A459" s="3" t="s">
        <v>76</v>
      </c>
      <c r="B459" t="s">
        <v>954</v>
      </c>
      <c r="C459" s="3">
        <v>8</v>
      </c>
      <c r="D459" t="str">
        <f t="shared" si="7"/>
        <v>Pin laricio de Corse - Sologne (INRA, N. Decourt, 1965) -  classe 1_8</v>
      </c>
      <c r="E459" s="3">
        <v>55.52941176470587</v>
      </c>
      <c r="F459" s="3">
        <v>0</v>
      </c>
      <c r="G459" s="3">
        <v>55.52941176470587</v>
      </c>
    </row>
    <row r="460" spans="1:7" x14ac:dyDescent="0.2">
      <c r="A460" s="3" t="s">
        <v>76</v>
      </c>
      <c r="B460" t="s">
        <v>954</v>
      </c>
      <c r="C460" s="3">
        <v>9</v>
      </c>
      <c r="D460" t="str">
        <f t="shared" si="7"/>
        <v>Pin laricio de Corse - Sologne (INRA, N. Decourt, 1965) -  classe 1_9</v>
      </c>
      <c r="E460" s="3">
        <v>62.470588235294102</v>
      </c>
      <c r="F460" s="3">
        <v>0</v>
      </c>
      <c r="G460" s="3">
        <v>62.470588235294102</v>
      </c>
    </row>
    <row r="461" spans="1:7" x14ac:dyDescent="0.2">
      <c r="A461" s="3" t="s">
        <v>76</v>
      </c>
      <c r="B461" t="s">
        <v>954</v>
      </c>
      <c r="C461" s="3">
        <v>10</v>
      </c>
      <c r="D461" t="str">
        <f t="shared" si="7"/>
        <v>Pin laricio de Corse - Sologne (INRA, N. Decourt, 1965) -  classe 1_10</v>
      </c>
      <c r="E461" s="3">
        <v>69.411764705882334</v>
      </c>
      <c r="F461" s="3">
        <v>0</v>
      </c>
      <c r="G461" s="3">
        <v>69.411764705882334</v>
      </c>
    </row>
    <row r="462" spans="1:7" x14ac:dyDescent="0.2">
      <c r="A462" s="3" t="s">
        <v>76</v>
      </c>
      <c r="B462" t="s">
        <v>954</v>
      </c>
      <c r="C462" s="3">
        <v>11</v>
      </c>
      <c r="D462" t="str">
        <f t="shared" si="7"/>
        <v>Pin laricio de Corse - Sologne (INRA, N. Decourt, 1965) -  classe 1_11</v>
      </c>
      <c r="E462" s="3">
        <v>76.352941176470566</v>
      </c>
      <c r="F462" s="3">
        <v>0</v>
      </c>
      <c r="G462" s="3">
        <v>76.352941176470566</v>
      </c>
    </row>
    <row r="463" spans="1:7" x14ac:dyDescent="0.2">
      <c r="A463" s="3" t="s">
        <v>76</v>
      </c>
      <c r="B463" t="s">
        <v>954</v>
      </c>
      <c r="C463" s="3">
        <v>12</v>
      </c>
      <c r="D463" t="str">
        <f t="shared" si="7"/>
        <v>Pin laricio de Corse - Sologne (INRA, N. Decourt, 1965) -  classe 1_12</v>
      </c>
      <c r="E463" s="3">
        <v>83.294117647058798</v>
      </c>
      <c r="F463" s="3">
        <v>0</v>
      </c>
      <c r="G463" s="3">
        <v>83.294117647058798</v>
      </c>
    </row>
    <row r="464" spans="1:7" x14ac:dyDescent="0.2">
      <c r="A464" s="3" t="s">
        <v>76</v>
      </c>
      <c r="B464" t="s">
        <v>954</v>
      </c>
      <c r="C464" s="3">
        <v>13</v>
      </c>
      <c r="D464" t="str">
        <f t="shared" si="7"/>
        <v>Pin laricio de Corse - Sologne (INRA, N. Decourt, 1965) -  classe 1_13</v>
      </c>
      <c r="E464" s="3">
        <v>90.23529411764703</v>
      </c>
      <c r="F464" s="3">
        <v>0</v>
      </c>
      <c r="G464" s="3">
        <v>90.23529411764703</v>
      </c>
    </row>
    <row r="465" spans="1:7" x14ac:dyDescent="0.2">
      <c r="A465" s="3" t="s">
        <v>76</v>
      </c>
      <c r="B465" t="s">
        <v>954</v>
      </c>
      <c r="C465" s="3">
        <v>14</v>
      </c>
      <c r="D465" t="str">
        <f t="shared" si="7"/>
        <v>Pin laricio de Corse - Sologne (INRA, N. Decourt, 1965) -  classe 1_14</v>
      </c>
      <c r="E465" s="3">
        <v>97.176470588235262</v>
      </c>
      <c r="F465" s="3">
        <v>0</v>
      </c>
      <c r="G465" s="3">
        <v>97.176470588235262</v>
      </c>
    </row>
    <row r="466" spans="1:7" x14ac:dyDescent="0.2">
      <c r="A466" s="3" t="s">
        <v>76</v>
      </c>
      <c r="B466" t="s">
        <v>954</v>
      </c>
      <c r="C466" s="3">
        <v>15</v>
      </c>
      <c r="D466" t="str">
        <f t="shared" si="7"/>
        <v>Pin laricio de Corse - Sologne (INRA, N. Decourt, 1965) -  classe 1_15</v>
      </c>
      <c r="E466" s="3">
        <v>104.11764705882349</v>
      </c>
      <c r="F466" s="3">
        <v>0</v>
      </c>
      <c r="G466" s="3">
        <v>104.11764705882349</v>
      </c>
    </row>
    <row r="467" spans="1:7" x14ac:dyDescent="0.2">
      <c r="A467" s="3" t="s">
        <v>76</v>
      </c>
      <c r="B467" t="s">
        <v>954</v>
      </c>
      <c r="C467" s="3">
        <v>16</v>
      </c>
      <c r="D467" t="str">
        <f t="shared" si="7"/>
        <v>Pin laricio de Corse - Sologne (INRA, N. Decourt, 1965) -  classe 1_16</v>
      </c>
      <c r="E467" s="3">
        <v>111.05882352941173</v>
      </c>
      <c r="F467" s="3">
        <v>0</v>
      </c>
      <c r="G467" s="3">
        <v>111.05882352941173</v>
      </c>
    </row>
    <row r="468" spans="1:7" x14ac:dyDescent="0.2">
      <c r="A468" s="3" t="s">
        <v>76</v>
      </c>
      <c r="B468" t="s">
        <v>954</v>
      </c>
      <c r="C468" s="3">
        <v>17</v>
      </c>
      <c r="D468" t="str">
        <f t="shared" si="7"/>
        <v>Pin laricio de Corse - Sologne (INRA, N. Decourt, 1965) -  classe 1_17</v>
      </c>
      <c r="E468" s="3">
        <v>118</v>
      </c>
      <c r="F468" s="3">
        <v>15</v>
      </c>
      <c r="G468" s="3">
        <v>103</v>
      </c>
    </row>
    <row r="469" spans="1:7" x14ac:dyDescent="0.2">
      <c r="A469" s="3" t="s">
        <v>76</v>
      </c>
      <c r="B469" t="s">
        <v>954</v>
      </c>
      <c r="C469" s="3">
        <v>18</v>
      </c>
      <c r="D469" t="str">
        <f t="shared" si="7"/>
        <v>Pin laricio de Corse - Sologne (INRA, N. Decourt, 1965) -  classe 1_18</v>
      </c>
      <c r="E469" s="3">
        <v>114.33333333333333</v>
      </c>
      <c r="F469" s="3">
        <v>0</v>
      </c>
      <c r="G469" s="3">
        <v>114.33333333333333</v>
      </c>
    </row>
    <row r="470" spans="1:7" x14ac:dyDescent="0.2">
      <c r="A470" s="3" t="s">
        <v>76</v>
      </c>
      <c r="B470" t="s">
        <v>954</v>
      </c>
      <c r="C470" s="3">
        <v>19</v>
      </c>
      <c r="D470" t="str">
        <f t="shared" si="7"/>
        <v>Pin laricio de Corse - Sologne (INRA, N. Decourt, 1965) -  classe 1_19</v>
      </c>
      <c r="E470" s="3">
        <v>125.66666666666666</v>
      </c>
      <c r="F470" s="3">
        <v>0</v>
      </c>
      <c r="G470" s="3">
        <v>125.66666666666666</v>
      </c>
    </row>
    <row r="471" spans="1:7" x14ac:dyDescent="0.2">
      <c r="A471" s="3" t="s">
        <v>76</v>
      </c>
      <c r="B471" t="s">
        <v>954</v>
      </c>
      <c r="C471" s="3">
        <v>20</v>
      </c>
      <c r="D471" t="str">
        <f t="shared" si="7"/>
        <v>Pin laricio de Corse - Sologne (INRA, N. Decourt, 1965) -  classe 1_20</v>
      </c>
      <c r="E471" s="3">
        <v>137</v>
      </c>
      <c r="F471" s="3">
        <v>15</v>
      </c>
      <c r="G471" s="3">
        <v>122</v>
      </c>
    </row>
    <row r="472" spans="1:7" x14ac:dyDescent="0.2">
      <c r="A472" s="3" t="s">
        <v>76</v>
      </c>
      <c r="B472" t="s">
        <v>954</v>
      </c>
      <c r="C472" s="3">
        <v>21</v>
      </c>
      <c r="D472" t="str">
        <f t="shared" si="7"/>
        <v>Pin laricio de Corse - Sologne (INRA, N. Decourt, 1965) -  classe 1_21</v>
      </c>
      <c r="E472" s="3">
        <v>138.4</v>
      </c>
      <c r="F472" s="3">
        <v>0</v>
      </c>
      <c r="G472" s="3">
        <v>138.4</v>
      </c>
    </row>
    <row r="473" spans="1:7" x14ac:dyDescent="0.2">
      <c r="A473" s="3" t="s">
        <v>76</v>
      </c>
      <c r="B473" t="s">
        <v>954</v>
      </c>
      <c r="C473" s="3">
        <v>22</v>
      </c>
      <c r="D473" t="str">
        <f t="shared" si="7"/>
        <v>Pin laricio de Corse - Sologne (INRA, N. Decourt, 1965) -  classe 1_22</v>
      </c>
      <c r="E473" s="3">
        <v>154.80000000000001</v>
      </c>
      <c r="F473" s="3">
        <v>0</v>
      </c>
      <c r="G473" s="3">
        <v>154.80000000000001</v>
      </c>
    </row>
    <row r="474" spans="1:7" x14ac:dyDescent="0.2">
      <c r="A474" s="3" t="s">
        <v>76</v>
      </c>
      <c r="B474" t="s">
        <v>954</v>
      </c>
      <c r="C474" s="3">
        <v>23</v>
      </c>
      <c r="D474" t="str">
        <f t="shared" si="7"/>
        <v>Pin laricio de Corse - Sologne (INRA, N. Decourt, 1965) -  classe 1_23</v>
      </c>
      <c r="E474" s="3">
        <v>171.20000000000002</v>
      </c>
      <c r="F474" s="3">
        <v>0</v>
      </c>
      <c r="G474" s="3">
        <v>171.20000000000002</v>
      </c>
    </row>
    <row r="475" spans="1:7" x14ac:dyDescent="0.2">
      <c r="A475" s="3" t="s">
        <v>76</v>
      </c>
      <c r="B475" t="s">
        <v>954</v>
      </c>
      <c r="C475" s="3">
        <v>24</v>
      </c>
      <c r="D475" t="str">
        <f t="shared" si="7"/>
        <v>Pin laricio de Corse - Sologne (INRA, N. Decourt, 1965) -  classe 1_24</v>
      </c>
      <c r="E475" s="3">
        <v>187.60000000000002</v>
      </c>
      <c r="F475" s="3">
        <v>0</v>
      </c>
      <c r="G475" s="3">
        <v>187.60000000000002</v>
      </c>
    </row>
    <row r="476" spans="1:7" x14ac:dyDescent="0.2">
      <c r="A476" s="3" t="s">
        <v>76</v>
      </c>
      <c r="B476" t="s">
        <v>954</v>
      </c>
      <c r="C476" s="3">
        <v>25</v>
      </c>
      <c r="D476" t="str">
        <f t="shared" si="7"/>
        <v>Pin laricio de Corse - Sologne (INRA, N. Decourt, 1965) -  classe 1_25</v>
      </c>
      <c r="E476" s="3">
        <v>204</v>
      </c>
      <c r="F476" s="3">
        <v>36</v>
      </c>
      <c r="G476" s="3">
        <v>168</v>
      </c>
    </row>
    <row r="477" spans="1:7" x14ac:dyDescent="0.2">
      <c r="A477" s="3" t="s">
        <v>76</v>
      </c>
      <c r="B477" t="s">
        <v>954</v>
      </c>
      <c r="C477" s="3">
        <v>26</v>
      </c>
      <c r="D477" t="str">
        <f t="shared" si="7"/>
        <v>Pin laricio de Corse - Sologne (INRA, N. Decourt, 1965) -  classe 1_26</v>
      </c>
      <c r="E477" s="3">
        <v>185.6</v>
      </c>
      <c r="F477" s="3">
        <v>0</v>
      </c>
      <c r="G477" s="3">
        <v>185.6</v>
      </c>
    </row>
    <row r="478" spans="1:7" x14ac:dyDescent="0.2">
      <c r="A478" s="3" t="s">
        <v>76</v>
      </c>
      <c r="B478" t="s">
        <v>954</v>
      </c>
      <c r="C478" s="3">
        <v>27</v>
      </c>
      <c r="D478" t="str">
        <f t="shared" si="7"/>
        <v>Pin laricio de Corse - Sologne (INRA, N. Decourt, 1965) -  classe 1_27</v>
      </c>
      <c r="E478" s="3">
        <v>203.2</v>
      </c>
      <c r="F478" s="3">
        <v>0</v>
      </c>
      <c r="G478" s="3">
        <v>203.2</v>
      </c>
    </row>
    <row r="479" spans="1:7" x14ac:dyDescent="0.2">
      <c r="A479" s="3" t="s">
        <v>76</v>
      </c>
      <c r="B479" t="s">
        <v>954</v>
      </c>
      <c r="C479" s="3">
        <v>28</v>
      </c>
      <c r="D479" t="str">
        <f t="shared" si="7"/>
        <v>Pin laricio de Corse - Sologne (INRA, N. Decourt, 1965) -  classe 1_28</v>
      </c>
      <c r="E479" s="3">
        <v>220.79999999999998</v>
      </c>
      <c r="F479" s="3">
        <v>0</v>
      </c>
      <c r="G479" s="3">
        <v>220.79999999999998</v>
      </c>
    </row>
    <row r="480" spans="1:7" x14ac:dyDescent="0.2">
      <c r="A480" s="3" t="s">
        <v>76</v>
      </c>
      <c r="B480" t="s">
        <v>954</v>
      </c>
      <c r="C480" s="3">
        <v>29</v>
      </c>
      <c r="D480" t="str">
        <f t="shared" si="7"/>
        <v>Pin laricio de Corse - Sologne (INRA, N. Decourt, 1965) -  classe 1_29</v>
      </c>
      <c r="E480" s="3">
        <v>238.39999999999998</v>
      </c>
      <c r="F480" s="3">
        <v>0</v>
      </c>
      <c r="G480" s="3">
        <v>238.39999999999998</v>
      </c>
    </row>
    <row r="481" spans="1:7" x14ac:dyDescent="0.2">
      <c r="A481" s="3" t="s">
        <v>76</v>
      </c>
      <c r="B481" t="s">
        <v>954</v>
      </c>
      <c r="C481" s="3">
        <v>30</v>
      </c>
      <c r="D481" t="str">
        <f t="shared" si="7"/>
        <v>Pin laricio de Corse - Sologne (INRA, N. Decourt, 1965) -  classe 1_30</v>
      </c>
      <c r="E481" s="3">
        <v>256</v>
      </c>
      <c r="F481" s="3">
        <v>54</v>
      </c>
      <c r="G481" s="3">
        <v>202</v>
      </c>
    </row>
    <row r="482" spans="1:7" x14ac:dyDescent="0.2">
      <c r="A482" s="3" t="s">
        <v>76</v>
      </c>
      <c r="B482" t="s">
        <v>955</v>
      </c>
      <c r="C482" s="3">
        <v>1</v>
      </c>
      <c r="D482" t="str">
        <f t="shared" si="7"/>
        <v>Pin laricio de Corse - Sologne (INRA, N. Decourt, 1965) -  classe 2_1</v>
      </c>
      <c r="E482" s="3">
        <v>5.5909090909090908</v>
      </c>
      <c r="F482" s="3">
        <v>0</v>
      </c>
      <c r="G482" s="3">
        <v>5.5909090909090908</v>
      </c>
    </row>
    <row r="483" spans="1:7" x14ac:dyDescent="0.2">
      <c r="A483" s="3" t="s">
        <v>76</v>
      </c>
      <c r="B483" t="s">
        <v>955</v>
      </c>
      <c r="C483" s="3">
        <v>2</v>
      </c>
      <c r="D483" t="str">
        <f t="shared" si="7"/>
        <v>Pin laricio de Corse - Sologne (INRA, N. Decourt, 1965) -  classe 2_2</v>
      </c>
      <c r="E483" s="3">
        <v>11.181818181818182</v>
      </c>
      <c r="F483" s="3">
        <v>0</v>
      </c>
      <c r="G483" s="3">
        <v>11.181818181818182</v>
      </c>
    </row>
    <row r="484" spans="1:7" x14ac:dyDescent="0.2">
      <c r="A484" s="3" t="s">
        <v>76</v>
      </c>
      <c r="B484" t="s">
        <v>955</v>
      </c>
      <c r="C484" s="3">
        <v>3</v>
      </c>
      <c r="D484" t="str">
        <f t="shared" si="7"/>
        <v>Pin laricio de Corse - Sologne (INRA, N. Decourt, 1965) -  classe 2_3</v>
      </c>
      <c r="E484" s="3">
        <v>16.772727272727273</v>
      </c>
      <c r="F484" s="3">
        <v>0</v>
      </c>
      <c r="G484" s="3">
        <v>16.772727272727273</v>
      </c>
    </row>
    <row r="485" spans="1:7" x14ac:dyDescent="0.2">
      <c r="A485" s="3" t="s">
        <v>76</v>
      </c>
      <c r="B485" t="s">
        <v>955</v>
      </c>
      <c r="C485" s="3">
        <v>4</v>
      </c>
      <c r="D485" t="str">
        <f t="shared" si="7"/>
        <v>Pin laricio de Corse - Sologne (INRA, N. Decourt, 1965) -  classe 2_4</v>
      </c>
      <c r="E485" s="3">
        <v>22.363636363636363</v>
      </c>
      <c r="F485" s="3">
        <v>0</v>
      </c>
      <c r="G485" s="3">
        <v>22.363636363636363</v>
      </c>
    </row>
    <row r="486" spans="1:7" x14ac:dyDescent="0.2">
      <c r="A486" s="3" t="s">
        <v>76</v>
      </c>
      <c r="B486" t="s">
        <v>955</v>
      </c>
      <c r="C486" s="3">
        <v>5</v>
      </c>
      <c r="D486" t="str">
        <f t="shared" si="7"/>
        <v>Pin laricio de Corse - Sologne (INRA, N. Decourt, 1965) -  classe 2_5</v>
      </c>
      <c r="E486" s="3">
        <v>27.954545454545453</v>
      </c>
      <c r="F486" s="3">
        <v>0</v>
      </c>
      <c r="G486" s="3">
        <v>27.954545454545453</v>
      </c>
    </row>
    <row r="487" spans="1:7" x14ac:dyDescent="0.2">
      <c r="A487" s="3" t="s">
        <v>76</v>
      </c>
      <c r="B487" t="s">
        <v>955</v>
      </c>
      <c r="C487" s="3">
        <v>6</v>
      </c>
      <c r="D487" t="str">
        <f t="shared" si="7"/>
        <v>Pin laricio de Corse - Sologne (INRA, N. Decourt, 1965) -  classe 2_6</v>
      </c>
      <c r="E487" s="3">
        <v>33.545454545454547</v>
      </c>
      <c r="F487" s="3">
        <v>0</v>
      </c>
      <c r="G487" s="3">
        <v>33.545454545454547</v>
      </c>
    </row>
    <row r="488" spans="1:7" x14ac:dyDescent="0.2">
      <c r="A488" s="3" t="s">
        <v>76</v>
      </c>
      <c r="B488" t="s">
        <v>955</v>
      </c>
      <c r="C488" s="3">
        <v>7</v>
      </c>
      <c r="D488" t="str">
        <f t="shared" si="7"/>
        <v>Pin laricio de Corse - Sologne (INRA, N. Decourt, 1965) -  classe 2_7</v>
      </c>
      <c r="E488" s="3">
        <v>39.13636363636364</v>
      </c>
      <c r="F488" s="3">
        <v>0</v>
      </c>
      <c r="G488" s="3">
        <v>39.13636363636364</v>
      </c>
    </row>
    <row r="489" spans="1:7" x14ac:dyDescent="0.2">
      <c r="A489" s="3" t="s">
        <v>76</v>
      </c>
      <c r="B489" t="s">
        <v>955</v>
      </c>
      <c r="C489" s="3">
        <v>8</v>
      </c>
      <c r="D489" t="str">
        <f t="shared" si="7"/>
        <v>Pin laricio de Corse - Sologne (INRA, N. Decourt, 1965) -  classe 2_8</v>
      </c>
      <c r="E489" s="3">
        <v>44.727272727272734</v>
      </c>
      <c r="F489" s="3">
        <v>0</v>
      </c>
      <c r="G489" s="3">
        <v>44.727272727272734</v>
      </c>
    </row>
    <row r="490" spans="1:7" x14ac:dyDescent="0.2">
      <c r="A490" s="3" t="s">
        <v>76</v>
      </c>
      <c r="B490" t="s">
        <v>955</v>
      </c>
      <c r="C490" s="3">
        <v>9</v>
      </c>
      <c r="D490" t="str">
        <f t="shared" si="7"/>
        <v>Pin laricio de Corse - Sologne (INRA, N. Decourt, 1965) -  classe 2_9</v>
      </c>
      <c r="E490" s="3">
        <v>50.318181818181827</v>
      </c>
      <c r="F490" s="3">
        <v>0</v>
      </c>
      <c r="G490" s="3">
        <v>50.318181818181827</v>
      </c>
    </row>
    <row r="491" spans="1:7" x14ac:dyDescent="0.2">
      <c r="A491" s="3" t="s">
        <v>76</v>
      </c>
      <c r="B491" t="s">
        <v>955</v>
      </c>
      <c r="C491" s="3">
        <v>10</v>
      </c>
      <c r="D491" t="str">
        <f t="shared" si="7"/>
        <v>Pin laricio de Corse - Sologne (INRA, N. Decourt, 1965) -  classe 2_10</v>
      </c>
      <c r="E491" s="3">
        <v>55.909090909090921</v>
      </c>
      <c r="F491" s="3">
        <v>0</v>
      </c>
      <c r="G491" s="3">
        <v>55.909090909090921</v>
      </c>
    </row>
    <row r="492" spans="1:7" x14ac:dyDescent="0.2">
      <c r="A492" s="3" t="s">
        <v>76</v>
      </c>
      <c r="B492" t="s">
        <v>955</v>
      </c>
      <c r="C492" s="3">
        <v>11</v>
      </c>
      <c r="D492" t="str">
        <f t="shared" si="7"/>
        <v>Pin laricio de Corse - Sologne (INRA, N. Decourt, 1965) -  classe 2_11</v>
      </c>
      <c r="E492" s="3">
        <v>61.500000000000014</v>
      </c>
      <c r="F492" s="3">
        <v>0</v>
      </c>
      <c r="G492" s="3">
        <v>61.500000000000014</v>
      </c>
    </row>
    <row r="493" spans="1:7" x14ac:dyDescent="0.2">
      <c r="A493" s="3" t="s">
        <v>76</v>
      </c>
      <c r="B493" t="s">
        <v>955</v>
      </c>
      <c r="C493" s="3">
        <v>12</v>
      </c>
      <c r="D493" t="str">
        <f t="shared" si="7"/>
        <v>Pin laricio de Corse - Sologne (INRA, N. Decourt, 1965) -  classe 2_12</v>
      </c>
      <c r="E493" s="3">
        <v>67.090909090909108</v>
      </c>
      <c r="F493" s="3">
        <v>0</v>
      </c>
      <c r="G493" s="3">
        <v>67.090909090909108</v>
      </c>
    </row>
    <row r="494" spans="1:7" x14ac:dyDescent="0.2">
      <c r="A494" s="3" t="s">
        <v>76</v>
      </c>
      <c r="B494" t="s">
        <v>955</v>
      </c>
      <c r="C494" s="3">
        <v>13</v>
      </c>
      <c r="D494" t="str">
        <f t="shared" si="7"/>
        <v>Pin laricio de Corse - Sologne (INRA, N. Decourt, 1965) -  classe 2_13</v>
      </c>
      <c r="E494" s="3">
        <v>72.681818181818201</v>
      </c>
      <c r="F494" s="3">
        <v>0</v>
      </c>
      <c r="G494" s="3">
        <v>72.681818181818201</v>
      </c>
    </row>
    <row r="495" spans="1:7" x14ac:dyDescent="0.2">
      <c r="A495" s="3" t="s">
        <v>76</v>
      </c>
      <c r="B495" t="s">
        <v>955</v>
      </c>
      <c r="C495" s="3">
        <v>14</v>
      </c>
      <c r="D495" t="str">
        <f t="shared" si="7"/>
        <v>Pin laricio de Corse - Sologne (INRA, N. Decourt, 1965) -  classe 2_14</v>
      </c>
      <c r="E495" s="3">
        <v>78.272727272727295</v>
      </c>
      <c r="F495" s="3">
        <v>0</v>
      </c>
      <c r="G495" s="3">
        <v>78.272727272727295</v>
      </c>
    </row>
    <row r="496" spans="1:7" x14ac:dyDescent="0.2">
      <c r="A496" s="3" t="s">
        <v>76</v>
      </c>
      <c r="B496" t="s">
        <v>955</v>
      </c>
      <c r="C496" s="3">
        <v>15</v>
      </c>
      <c r="D496" t="str">
        <f t="shared" si="7"/>
        <v>Pin laricio de Corse - Sologne (INRA, N. Decourt, 1965) -  classe 2_15</v>
      </c>
      <c r="E496" s="3">
        <v>83.863636363636388</v>
      </c>
      <c r="F496" s="3">
        <v>0</v>
      </c>
      <c r="G496" s="3">
        <v>83.863636363636388</v>
      </c>
    </row>
    <row r="497" spans="1:7" x14ac:dyDescent="0.2">
      <c r="A497" s="3" t="s">
        <v>76</v>
      </c>
      <c r="B497" t="s">
        <v>955</v>
      </c>
      <c r="C497" s="3">
        <v>16</v>
      </c>
      <c r="D497" t="str">
        <f t="shared" si="7"/>
        <v>Pin laricio de Corse - Sologne (INRA, N. Decourt, 1965) -  classe 2_16</v>
      </c>
      <c r="E497" s="3">
        <v>89.454545454545482</v>
      </c>
      <c r="F497" s="3">
        <v>0</v>
      </c>
      <c r="G497" s="3">
        <v>89.454545454545482</v>
      </c>
    </row>
    <row r="498" spans="1:7" x14ac:dyDescent="0.2">
      <c r="A498" s="3" t="s">
        <v>76</v>
      </c>
      <c r="B498" t="s">
        <v>955</v>
      </c>
      <c r="C498" s="3">
        <v>17</v>
      </c>
      <c r="D498" t="str">
        <f t="shared" si="7"/>
        <v>Pin laricio de Corse - Sologne (INRA, N. Decourt, 1965) -  classe 2_17</v>
      </c>
      <c r="E498" s="3">
        <v>95.045454545454575</v>
      </c>
      <c r="F498" s="3">
        <v>0</v>
      </c>
      <c r="G498" s="3">
        <v>95.045454545454575</v>
      </c>
    </row>
    <row r="499" spans="1:7" x14ac:dyDescent="0.2">
      <c r="A499" s="3" t="s">
        <v>76</v>
      </c>
      <c r="B499" t="s">
        <v>955</v>
      </c>
      <c r="C499" s="3">
        <v>18</v>
      </c>
      <c r="D499" t="str">
        <f t="shared" si="7"/>
        <v>Pin laricio de Corse - Sologne (INRA, N. Decourt, 1965) -  classe 2_18</v>
      </c>
      <c r="E499" s="3">
        <v>100.63636363636367</v>
      </c>
      <c r="F499" s="3">
        <v>0</v>
      </c>
      <c r="G499" s="3">
        <v>100.63636363636367</v>
      </c>
    </row>
    <row r="500" spans="1:7" x14ac:dyDescent="0.2">
      <c r="A500" s="3" t="s">
        <v>76</v>
      </c>
      <c r="B500" t="s">
        <v>955</v>
      </c>
      <c r="C500" s="3">
        <v>19</v>
      </c>
      <c r="D500" t="str">
        <f t="shared" si="7"/>
        <v>Pin laricio de Corse - Sologne (INRA, N. Decourt, 1965) -  classe 2_19</v>
      </c>
      <c r="E500" s="3">
        <v>106.22727272727276</v>
      </c>
      <c r="F500" s="3">
        <v>0</v>
      </c>
      <c r="G500" s="3">
        <v>106.22727272727276</v>
      </c>
    </row>
    <row r="501" spans="1:7" x14ac:dyDescent="0.2">
      <c r="A501" s="3" t="s">
        <v>76</v>
      </c>
      <c r="B501" t="s">
        <v>955</v>
      </c>
      <c r="C501" s="3">
        <v>20</v>
      </c>
      <c r="D501" t="str">
        <f t="shared" si="7"/>
        <v>Pin laricio de Corse - Sologne (INRA, N. Decourt, 1965) -  classe 2_20</v>
      </c>
      <c r="E501" s="3">
        <v>111.81818181818186</v>
      </c>
      <c r="F501" s="3">
        <v>0</v>
      </c>
      <c r="G501" s="3">
        <v>111.81818181818186</v>
      </c>
    </row>
    <row r="502" spans="1:7" x14ac:dyDescent="0.2">
      <c r="A502" s="3" t="s">
        <v>76</v>
      </c>
      <c r="B502" t="s">
        <v>955</v>
      </c>
      <c r="C502" s="3">
        <v>21</v>
      </c>
      <c r="D502" t="str">
        <f t="shared" si="7"/>
        <v>Pin laricio de Corse - Sologne (INRA, N. Decourt, 1965) -  classe 2_21</v>
      </c>
      <c r="E502" s="3">
        <v>117.40909090909095</v>
      </c>
      <c r="F502" s="3">
        <v>0</v>
      </c>
      <c r="G502" s="3">
        <v>117.40909090909095</v>
      </c>
    </row>
    <row r="503" spans="1:7" x14ac:dyDescent="0.2">
      <c r="A503" s="3" t="s">
        <v>76</v>
      </c>
      <c r="B503" t="s">
        <v>955</v>
      </c>
      <c r="C503" s="3">
        <v>22</v>
      </c>
      <c r="D503" t="str">
        <f t="shared" si="7"/>
        <v>Pin laricio de Corse - Sologne (INRA, N. Decourt, 1965) -  classe 2_22</v>
      </c>
      <c r="E503" s="3">
        <v>123</v>
      </c>
      <c r="F503" s="3">
        <v>16</v>
      </c>
      <c r="G503" s="3">
        <v>107</v>
      </c>
    </row>
    <row r="504" spans="1:7" x14ac:dyDescent="0.2">
      <c r="A504" s="3" t="s">
        <v>76</v>
      </c>
      <c r="B504" t="s">
        <v>955</v>
      </c>
      <c r="C504" s="3">
        <v>23</v>
      </c>
      <c r="D504" t="str">
        <f t="shared" si="7"/>
        <v>Pin laricio de Corse - Sologne (INRA, N. Decourt, 1965) -  classe 2_23</v>
      </c>
      <c r="E504" s="3">
        <v>119.33333333333333</v>
      </c>
      <c r="F504" s="3">
        <v>0</v>
      </c>
      <c r="G504" s="3">
        <v>119.33333333333333</v>
      </c>
    </row>
    <row r="505" spans="1:7" x14ac:dyDescent="0.2">
      <c r="A505" s="3" t="s">
        <v>76</v>
      </c>
      <c r="B505" t="s">
        <v>955</v>
      </c>
      <c r="C505" s="3">
        <v>24</v>
      </c>
      <c r="D505" t="str">
        <f t="shared" si="7"/>
        <v>Pin laricio de Corse - Sologne (INRA, N. Decourt, 1965) -  classe 2_24</v>
      </c>
      <c r="E505" s="3">
        <v>131.66666666666666</v>
      </c>
      <c r="F505" s="3">
        <v>0</v>
      </c>
      <c r="G505" s="3">
        <v>131.66666666666666</v>
      </c>
    </row>
    <row r="506" spans="1:7" x14ac:dyDescent="0.2">
      <c r="A506" s="3" t="s">
        <v>76</v>
      </c>
      <c r="B506" t="s">
        <v>955</v>
      </c>
      <c r="C506" s="3">
        <v>25</v>
      </c>
      <c r="D506" t="str">
        <f t="shared" si="7"/>
        <v>Pin laricio de Corse - Sologne (INRA, N. Decourt, 1965) -  classe 2_25</v>
      </c>
      <c r="E506" s="3">
        <v>144</v>
      </c>
      <c r="F506" s="3">
        <v>17</v>
      </c>
      <c r="G506" s="3">
        <v>127</v>
      </c>
    </row>
    <row r="507" spans="1:7" x14ac:dyDescent="0.2">
      <c r="A507" s="3" t="s">
        <v>76</v>
      </c>
      <c r="B507" t="s">
        <v>955</v>
      </c>
      <c r="C507" s="3">
        <v>26</v>
      </c>
      <c r="D507" t="str">
        <f t="shared" si="7"/>
        <v>Pin laricio de Corse - Sologne (INRA, N. Decourt, 1965) -  classe 2_26</v>
      </c>
      <c r="E507" s="3">
        <v>140.4</v>
      </c>
      <c r="F507" s="3">
        <v>0</v>
      </c>
      <c r="G507" s="3">
        <v>140.4</v>
      </c>
    </row>
    <row r="508" spans="1:7" x14ac:dyDescent="0.2">
      <c r="A508" s="3" t="s">
        <v>76</v>
      </c>
      <c r="B508" t="s">
        <v>955</v>
      </c>
      <c r="C508" s="3">
        <v>27</v>
      </c>
      <c r="D508" t="str">
        <f t="shared" si="7"/>
        <v>Pin laricio de Corse - Sologne (INRA, N. Decourt, 1965) -  classe 2_27</v>
      </c>
      <c r="E508" s="3">
        <v>153.80000000000001</v>
      </c>
      <c r="F508" s="3">
        <v>0</v>
      </c>
      <c r="G508" s="3">
        <v>153.80000000000001</v>
      </c>
    </row>
    <row r="509" spans="1:7" x14ac:dyDescent="0.2">
      <c r="A509" s="3" t="s">
        <v>76</v>
      </c>
      <c r="B509" t="s">
        <v>955</v>
      </c>
      <c r="C509" s="3">
        <v>28</v>
      </c>
      <c r="D509" t="str">
        <f t="shared" si="7"/>
        <v>Pin laricio de Corse - Sologne (INRA, N. Decourt, 1965) -  classe 2_28</v>
      </c>
      <c r="E509" s="3">
        <v>167.20000000000002</v>
      </c>
      <c r="F509" s="3">
        <v>0</v>
      </c>
      <c r="G509" s="3">
        <v>167.20000000000002</v>
      </c>
    </row>
    <row r="510" spans="1:7" x14ac:dyDescent="0.2">
      <c r="A510" s="3" t="s">
        <v>76</v>
      </c>
      <c r="B510" t="s">
        <v>955</v>
      </c>
      <c r="C510" s="3">
        <v>29</v>
      </c>
      <c r="D510" t="str">
        <f t="shared" si="7"/>
        <v>Pin laricio de Corse - Sologne (INRA, N. Decourt, 1965) -  classe 2_29</v>
      </c>
      <c r="E510" s="3">
        <v>180.60000000000002</v>
      </c>
      <c r="F510" s="3">
        <v>0</v>
      </c>
      <c r="G510" s="3">
        <v>180.60000000000002</v>
      </c>
    </row>
    <row r="511" spans="1:7" x14ac:dyDescent="0.2">
      <c r="A511" s="3" t="s">
        <v>76</v>
      </c>
      <c r="B511" t="s">
        <v>955</v>
      </c>
      <c r="C511" s="3">
        <v>30</v>
      </c>
      <c r="D511" t="str">
        <f t="shared" si="7"/>
        <v>Pin laricio de Corse - Sologne (INRA, N. Decourt, 1965) -  classe 2_30</v>
      </c>
      <c r="E511" s="3">
        <v>194</v>
      </c>
      <c r="F511" s="3">
        <v>34</v>
      </c>
      <c r="G511" s="3">
        <v>160</v>
      </c>
    </row>
    <row r="512" spans="1:7" x14ac:dyDescent="0.2">
      <c r="A512" s="3" t="s">
        <v>76</v>
      </c>
      <c r="B512" t="s">
        <v>956</v>
      </c>
      <c r="C512" s="3">
        <v>1</v>
      </c>
      <c r="D512" t="str">
        <f t="shared" si="7"/>
        <v>Pin laricio de Corse - Sologne (INRA, N. Decourt, 1965) -  classe 3_1</v>
      </c>
      <c r="E512" s="3">
        <v>4.3703703703703702</v>
      </c>
      <c r="F512" s="3">
        <v>0</v>
      </c>
      <c r="G512" s="3">
        <v>4.3703703703703702</v>
      </c>
    </row>
    <row r="513" spans="1:7" x14ac:dyDescent="0.2">
      <c r="A513" s="3" t="s">
        <v>76</v>
      </c>
      <c r="B513" t="s">
        <v>956</v>
      </c>
      <c r="C513" s="3">
        <v>2</v>
      </c>
      <c r="D513" t="str">
        <f t="shared" si="7"/>
        <v>Pin laricio de Corse - Sologne (INRA, N. Decourt, 1965) -  classe 3_2</v>
      </c>
      <c r="E513" s="3">
        <v>8.7407407407407405</v>
      </c>
      <c r="F513" s="3">
        <v>0</v>
      </c>
      <c r="G513" s="3">
        <v>8.7407407407407405</v>
      </c>
    </row>
    <row r="514" spans="1:7" x14ac:dyDescent="0.2">
      <c r="A514" s="3" t="s">
        <v>76</v>
      </c>
      <c r="B514" t="s">
        <v>956</v>
      </c>
      <c r="C514" s="3">
        <v>3</v>
      </c>
      <c r="D514" t="str">
        <f t="shared" si="7"/>
        <v>Pin laricio de Corse - Sologne (INRA, N. Decourt, 1965) -  classe 3_3</v>
      </c>
      <c r="E514" s="3">
        <v>13.111111111111111</v>
      </c>
      <c r="F514" s="3">
        <v>0</v>
      </c>
      <c r="G514" s="3">
        <v>13.111111111111111</v>
      </c>
    </row>
    <row r="515" spans="1:7" x14ac:dyDescent="0.2">
      <c r="A515" s="3" t="s">
        <v>76</v>
      </c>
      <c r="B515" t="s">
        <v>956</v>
      </c>
      <c r="C515" s="3">
        <v>4</v>
      </c>
      <c r="D515" t="str">
        <f t="shared" ref="D515:D578" si="8">CONCATENATE(B515,"_",C515)</f>
        <v>Pin laricio de Corse - Sologne (INRA, N. Decourt, 1965) -  classe 3_4</v>
      </c>
      <c r="E515" s="3">
        <v>17.481481481481481</v>
      </c>
      <c r="F515" s="3">
        <v>0</v>
      </c>
      <c r="G515" s="3">
        <v>17.481481481481481</v>
      </c>
    </row>
    <row r="516" spans="1:7" x14ac:dyDescent="0.2">
      <c r="A516" s="3" t="s">
        <v>76</v>
      </c>
      <c r="B516" t="s">
        <v>956</v>
      </c>
      <c r="C516" s="3">
        <v>5</v>
      </c>
      <c r="D516" t="str">
        <f t="shared" si="8"/>
        <v>Pin laricio de Corse - Sologne (INRA, N. Decourt, 1965) -  classe 3_5</v>
      </c>
      <c r="E516" s="3">
        <v>21.851851851851851</v>
      </c>
      <c r="F516" s="3">
        <v>0</v>
      </c>
      <c r="G516" s="3">
        <v>21.851851851851851</v>
      </c>
    </row>
    <row r="517" spans="1:7" x14ac:dyDescent="0.2">
      <c r="A517" s="3" t="s">
        <v>76</v>
      </c>
      <c r="B517" t="s">
        <v>956</v>
      </c>
      <c r="C517" s="3">
        <v>6</v>
      </c>
      <c r="D517" t="str">
        <f t="shared" si="8"/>
        <v>Pin laricio de Corse - Sologne (INRA, N. Decourt, 1965) -  classe 3_6</v>
      </c>
      <c r="E517" s="3">
        <v>26.222222222222221</v>
      </c>
      <c r="F517" s="3">
        <v>0</v>
      </c>
      <c r="G517" s="3">
        <v>26.222222222222221</v>
      </c>
    </row>
    <row r="518" spans="1:7" x14ac:dyDescent="0.2">
      <c r="A518" s="3" t="s">
        <v>76</v>
      </c>
      <c r="B518" t="s">
        <v>956</v>
      </c>
      <c r="C518" s="3">
        <v>7</v>
      </c>
      <c r="D518" t="str">
        <f t="shared" si="8"/>
        <v>Pin laricio de Corse - Sologne (INRA, N. Decourt, 1965) -  classe 3_7</v>
      </c>
      <c r="E518" s="3">
        <v>30.592592592592592</v>
      </c>
      <c r="F518" s="3">
        <v>0</v>
      </c>
      <c r="G518" s="3">
        <v>30.592592592592592</v>
      </c>
    </row>
    <row r="519" spans="1:7" x14ac:dyDescent="0.2">
      <c r="A519" s="3" t="s">
        <v>76</v>
      </c>
      <c r="B519" t="s">
        <v>956</v>
      </c>
      <c r="C519" s="3">
        <v>8</v>
      </c>
      <c r="D519" t="str">
        <f t="shared" si="8"/>
        <v>Pin laricio de Corse - Sologne (INRA, N. Decourt, 1965) -  classe 3_8</v>
      </c>
      <c r="E519" s="3">
        <v>34.962962962962962</v>
      </c>
      <c r="F519" s="3">
        <v>0</v>
      </c>
      <c r="G519" s="3">
        <v>34.962962962962962</v>
      </c>
    </row>
    <row r="520" spans="1:7" x14ac:dyDescent="0.2">
      <c r="A520" s="3" t="s">
        <v>76</v>
      </c>
      <c r="B520" t="s">
        <v>956</v>
      </c>
      <c r="C520" s="3">
        <v>9</v>
      </c>
      <c r="D520" t="str">
        <f t="shared" si="8"/>
        <v>Pin laricio de Corse - Sologne (INRA, N. Decourt, 1965) -  classe 3_9</v>
      </c>
      <c r="E520" s="3">
        <v>39.333333333333329</v>
      </c>
      <c r="F520" s="3">
        <v>0</v>
      </c>
      <c r="G520" s="3">
        <v>39.333333333333329</v>
      </c>
    </row>
    <row r="521" spans="1:7" x14ac:dyDescent="0.2">
      <c r="A521" s="3" t="s">
        <v>76</v>
      </c>
      <c r="B521" t="s">
        <v>956</v>
      </c>
      <c r="C521" s="3">
        <v>10</v>
      </c>
      <c r="D521" t="str">
        <f t="shared" si="8"/>
        <v>Pin laricio de Corse - Sologne (INRA, N. Decourt, 1965) -  classe 3_10</v>
      </c>
      <c r="E521" s="3">
        <v>43.703703703703695</v>
      </c>
      <c r="F521" s="3">
        <v>0</v>
      </c>
      <c r="G521" s="3">
        <v>43.703703703703695</v>
      </c>
    </row>
    <row r="522" spans="1:7" x14ac:dyDescent="0.2">
      <c r="A522" s="3" t="s">
        <v>76</v>
      </c>
      <c r="B522" t="s">
        <v>956</v>
      </c>
      <c r="C522" s="3">
        <v>11</v>
      </c>
      <c r="D522" t="str">
        <f t="shared" si="8"/>
        <v>Pin laricio de Corse - Sologne (INRA, N. Decourt, 1965) -  classe 3_11</v>
      </c>
      <c r="E522" s="3">
        <v>48.074074074074062</v>
      </c>
      <c r="F522" s="3">
        <v>0</v>
      </c>
      <c r="G522" s="3">
        <v>48.074074074074062</v>
      </c>
    </row>
    <row r="523" spans="1:7" x14ac:dyDescent="0.2">
      <c r="A523" s="3" t="s">
        <v>76</v>
      </c>
      <c r="B523" t="s">
        <v>956</v>
      </c>
      <c r="C523" s="3">
        <v>12</v>
      </c>
      <c r="D523" t="str">
        <f t="shared" si="8"/>
        <v>Pin laricio de Corse - Sologne (INRA, N. Decourt, 1965) -  classe 3_12</v>
      </c>
      <c r="E523" s="3">
        <v>52.444444444444429</v>
      </c>
      <c r="F523" s="3">
        <v>0</v>
      </c>
      <c r="G523" s="3">
        <v>52.444444444444429</v>
      </c>
    </row>
    <row r="524" spans="1:7" x14ac:dyDescent="0.2">
      <c r="A524" s="3" t="s">
        <v>76</v>
      </c>
      <c r="B524" t="s">
        <v>956</v>
      </c>
      <c r="C524" s="3">
        <v>13</v>
      </c>
      <c r="D524" t="str">
        <f t="shared" si="8"/>
        <v>Pin laricio de Corse - Sologne (INRA, N. Decourt, 1965) -  classe 3_13</v>
      </c>
      <c r="E524" s="3">
        <v>56.814814814814795</v>
      </c>
      <c r="F524" s="3">
        <v>0</v>
      </c>
      <c r="G524" s="3">
        <v>56.814814814814795</v>
      </c>
    </row>
    <row r="525" spans="1:7" x14ac:dyDescent="0.2">
      <c r="A525" s="3" t="s">
        <v>76</v>
      </c>
      <c r="B525" t="s">
        <v>956</v>
      </c>
      <c r="C525" s="3">
        <v>14</v>
      </c>
      <c r="D525" t="str">
        <f t="shared" si="8"/>
        <v>Pin laricio de Corse - Sologne (INRA, N. Decourt, 1965) -  classe 3_14</v>
      </c>
      <c r="E525" s="3">
        <v>61.185185185185162</v>
      </c>
      <c r="F525" s="3">
        <v>0</v>
      </c>
      <c r="G525" s="3">
        <v>61.185185185185162</v>
      </c>
    </row>
    <row r="526" spans="1:7" x14ac:dyDescent="0.2">
      <c r="A526" s="3" t="s">
        <v>76</v>
      </c>
      <c r="B526" t="s">
        <v>956</v>
      </c>
      <c r="C526" s="3">
        <v>15</v>
      </c>
      <c r="D526" t="str">
        <f t="shared" si="8"/>
        <v>Pin laricio de Corse - Sologne (INRA, N. Decourt, 1965) -  classe 3_15</v>
      </c>
      <c r="E526" s="3">
        <v>65.555555555555529</v>
      </c>
      <c r="F526" s="3">
        <v>0</v>
      </c>
      <c r="G526" s="3">
        <v>65.555555555555529</v>
      </c>
    </row>
    <row r="527" spans="1:7" x14ac:dyDescent="0.2">
      <c r="A527" s="3" t="s">
        <v>76</v>
      </c>
      <c r="B527" t="s">
        <v>956</v>
      </c>
      <c r="C527" s="3">
        <v>16</v>
      </c>
      <c r="D527" t="str">
        <f t="shared" si="8"/>
        <v>Pin laricio de Corse - Sologne (INRA, N. Decourt, 1965) -  classe 3_16</v>
      </c>
      <c r="E527" s="3">
        <v>69.925925925925895</v>
      </c>
      <c r="F527" s="3">
        <v>0</v>
      </c>
      <c r="G527" s="3">
        <v>69.925925925925895</v>
      </c>
    </row>
    <row r="528" spans="1:7" x14ac:dyDescent="0.2">
      <c r="A528" s="3" t="s">
        <v>76</v>
      </c>
      <c r="B528" t="s">
        <v>956</v>
      </c>
      <c r="C528" s="3">
        <v>17</v>
      </c>
      <c r="D528" t="str">
        <f t="shared" si="8"/>
        <v>Pin laricio de Corse - Sologne (INRA, N. Decourt, 1965) -  classe 3_17</v>
      </c>
      <c r="E528" s="3">
        <v>74.296296296296262</v>
      </c>
      <c r="F528" s="3">
        <v>0</v>
      </c>
      <c r="G528" s="3">
        <v>74.296296296296262</v>
      </c>
    </row>
    <row r="529" spans="1:7" x14ac:dyDescent="0.2">
      <c r="A529" s="3" t="s">
        <v>76</v>
      </c>
      <c r="B529" t="s">
        <v>956</v>
      </c>
      <c r="C529" s="3">
        <v>18</v>
      </c>
      <c r="D529" t="str">
        <f t="shared" si="8"/>
        <v>Pin laricio de Corse - Sologne (INRA, N. Decourt, 1965) -  classe 3_18</v>
      </c>
      <c r="E529" s="3">
        <v>78.666666666666629</v>
      </c>
      <c r="F529" s="3">
        <v>0</v>
      </c>
      <c r="G529" s="3">
        <v>78.666666666666629</v>
      </c>
    </row>
    <row r="530" spans="1:7" x14ac:dyDescent="0.2">
      <c r="A530" s="3" t="s">
        <v>76</v>
      </c>
      <c r="B530" t="s">
        <v>956</v>
      </c>
      <c r="C530" s="3">
        <v>19</v>
      </c>
      <c r="D530" t="str">
        <f t="shared" si="8"/>
        <v>Pin laricio de Corse - Sologne (INRA, N. Decourt, 1965) -  classe 3_19</v>
      </c>
      <c r="E530" s="3">
        <v>83.037037037036995</v>
      </c>
      <c r="F530" s="3">
        <v>0</v>
      </c>
      <c r="G530" s="3">
        <v>83.037037037036995</v>
      </c>
    </row>
    <row r="531" spans="1:7" x14ac:dyDescent="0.2">
      <c r="A531" s="3" t="s">
        <v>76</v>
      </c>
      <c r="B531" t="s">
        <v>956</v>
      </c>
      <c r="C531" s="3">
        <v>20</v>
      </c>
      <c r="D531" t="str">
        <f t="shared" si="8"/>
        <v>Pin laricio de Corse - Sologne (INRA, N. Decourt, 1965) -  classe 3_20</v>
      </c>
      <c r="E531" s="3">
        <v>87.407407407407362</v>
      </c>
      <c r="F531" s="3">
        <v>0</v>
      </c>
      <c r="G531" s="3">
        <v>87.407407407407362</v>
      </c>
    </row>
    <row r="532" spans="1:7" x14ac:dyDescent="0.2">
      <c r="A532" s="3" t="s">
        <v>76</v>
      </c>
      <c r="B532" t="s">
        <v>956</v>
      </c>
      <c r="C532" s="3">
        <v>21</v>
      </c>
      <c r="D532" t="str">
        <f t="shared" si="8"/>
        <v>Pin laricio de Corse - Sologne (INRA, N. Decourt, 1965) -  classe 3_21</v>
      </c>
      <c r="E532" s="3">
        <v>91.777777777777729</v>
      </c>
      <c r="F532" s="3">
        <v>0</v>
      </c>
      <c r="G532" s="3">
        <v>91.777777777777729</v>
      </c>
    </row>
    <row r="533" spans="1:7" x14ac:dyDescent="0.2">
      <c r="A533" s="3" t="s">
        <v>76</v>
      </c>
      <c r="B533" t="s">
        <v>956</v>
      </c>
      <c r="C533" s="3">
        <v>22</v>
      </c>
      <c r="D533" t="str">
        <f t="shared" si="8"/>
        <v>Pin laricio de Corse - Sologne (INRA, N. Decourt, 1965) -  classe 3_22</v>
      </c>
      <c r="E533" s="3">
        <v>96.148148148148096</v>
      </c>
      <c r="F533" s="3">
        <v>0</v>
      </c>
      <c r="G533" s="3">
        <v>96.148148148148096</v>
      </c>
    </row>
    <row r="534" spans="1:7" x14ac:dyDescent="0.2">
      <c r="A534" s="3" t="s">
        <v>76</v>
      </c>
      <c r="B534" t="s">
        <v>956</v>
      </c>
      <c r="C534" s="3">
        <v>23</v>
      </c>
      <c r="D534" t="str">
        <f t="shared" si="8"/>
        <v>Pin laricio de Corse - Sologne (INRA, N. Decourt, 1965) -  classe 3_23</v>
      </c>
      <c r="E534" s="3">
        <v>100.51851851851846</v>
      </c>
      <c r="F534" s="3">
        <v>0</v>
      </c>
      <c r="G534" s="3">
        <v>100.51851851851846</v>
      </c>
    </row>
    <row r="535" spans="1:7" x14ac:dyDescent="0.2">
      <c r="A535" s="3" t="s">
        <v>76</v>
      </c>
      <c r="B535" t="s">
        <v>956</v>
      </c>
      <c r="C535" s="3">
        <v>24</v>
      </c>
      <c r="D535" t="str">
        <f t="shared" si="8"/>
        <v>Pin laricio de Corse - Sologne (INRA, N. Decourt, 1965) -  classe 3_24</v>
      </c>
      <c r="E535" s="3">
        <v>104.88888888888883</v>
      </c>
      <c r="F535" s="3">
        <v>0</v>
      </c>
      <c r="G535" s="3">
        <v>104.88888888888883</v>
      </c>
    </row>
    <row r="536" spans="1:7" x14ac:dyDescent="0.2">
      <c r="A536" s="3" t="s">
        <v>76</v>
      </c>
      <c r="B536" t="s">
        <v>956</v>
      </c>
      <c r="C536" s="3">
        <v>25</v>
      </c>
      <c r="D536" t="str">
        <f t="shared" si="8"/>
        <v>Pin laricio de Corse - Sologne (INRA, N. Decourt, 1965) -  classe 3_25</v>
      </c>
      <c r="E536" s="3">
        <v>109.2592592592592</v>
      </c>
      <c r="F536" s="3">
        <v>0</v>
      </c>
      <c r="G536" s="3">
        <v>109.2592592592592</v>
      </c>
    </row>
    <row r="537" spans="1:7" x14ac:dyDescent="0.2">
      <c r="A537" s="3" t="s">
        <v>76</v>
      </c>
      <c r="B537" t="s">
        <v>956</v>
      </c>
      <c r="C537" s="3">
        <v>26</v>
      </c>
      <c r="D537" t="str">
        <f t="shared" si="8"/>
        <v>Pin laricio de Corse - Sologne (INRA, N. Decourt, 1965) -  classe 3_26</v>
      </c>
      <c r="E537" s="3">
        <v>113.62962962962956</v>
      </c>
      <c r="F537" s="3">
        <v>0</v>
      </c>
      <c r="G537" s="3">
        <v>113.62962962962956</v>
      </c>
    </row>
    <row r="538" spans="1:7" x14ac:dyDescent="0.2">
      <c r="A538" s="3" t="s">
        <v>76</v>
      </c>
      <c r="B538" t="s">
        <v>956</v>
      </c>
      <c r="C538" s="3">
        <v>27</v>
      </c>
      <c r="D538" t="str">
        <f t="shared" si="8"/>
        <v>Pin laricio de Corse - Sologne (INRA, N. Decourt, 1965) -  classe 3_27</v>
      </c>
      <c r="E538" s="3">
        <v>118</v>
      </c>
      <c r="F538" s="3">
        <v>15</v>
      </c>
      <c r="G538" s="3">
        <v>103</v>
      </c>
    </row>
    <row r="539" spans="1:7" x14ac:dyDescent="0.2">
      <c r="A539" s="3" t="s">
        <v>76</v>
      </c>
      <c r="B539" t="s">
        <v>956</v>
      </c>
      <c r="C539" s="3">
        <v>28</v>
      </c>
      <c r="D539" t="str">
        <f t="shared" si="8"/>
        <v>Pin laricio de Corse - Sologne (INRA, N. Decourt, 1965) -  classe 3_28</v>
      </c>
      <c r="E539" s="3">
        <v>112.66666666666667</v>
      </c>
      <c r="F539" s="3">
        <v>0</v>
      </c>
      <c r="G539" s="3">
        <v>112.66666666666667</v>
      </c>
    </row>
    <row r="540" spans="1:7" x14ac:dyDescent="0.2">
      <c r="A540" s="3" t="s">
        <v>76</v>
      </c>
      <c r="B540" t="s">
        <v>956</v>
      </c>
      <c r="C540" s="3">
        <v>29</v>
      </c>
      <c r="D540" t="str">
        <f t="shared" si="8"/>
        <v>Pin laricio de Corse - Sologne (INRA, N. Decourt, 1965) -  classe 3_29</v>
      </c>
      <c r="E540" s="3">
        <v>122.33333333333334</v>
      </c>
      <c r="F540" s="3">
        <v>0</v>
      </c>
      <c r="G540" s="3">
        <v>122.33333333333334</v>
      </c>
    </row>
    <row r="541" spans="1:7" x14ac:dyDescent="0.2">
      <c r="A541" s="3" t="s">
        <v>76</v>
      </c>
      <c r="B541" t="s">
        <v>956</v>
      </c>
      <c r="C541" s="3">
        <v>30</v>
      </c>
      <c r="D541" t="str">
        <f t="shared" si="8"/>
        <v>Pin laricio de Corse - Sologne (INRA, N. Decourt, 1965) -  classe 3_30</v>
      </c>
      <c r="E541" s="3">
        <v>132</v>
      </c>
      <c r="F541" s="3">
        <v>13</v>
      </c>
      <c r="G541" s="3">
        <v>119</v>
      </c>
    </row>
    <row r="542" spans="1:7" x14ac:dyDescent="0.2">
      <c r="A542" s="3" t="s">
        <v>76</v>
      </c>
      <c r="B542" t="s">
        <v>957</v>
      </c>
      <c r="C542" s="3">
        <v>1</v>
      </c>
      <c r="D542" t="str">
        <f t="shared" si="8"/>
        <v>Pin noir d'Autriche - Sud-Est (INRA, J.M. Ottorini &amp; J. Toth, 1975) - classe 1_1</v>
      </c>
      <c r="E542" s="3">
        <v>4.9000000000000004</v>
      </c>
      <c r="F542" s="3">
        <v>0</v>
      </c>
      <c r="G542" s="3">
        <v>4.9000000000000004</v>
      </c>
    </row>
    <row r="543" spans="1:7" x14ac:dyDescent="0.2">
      <c r="A543" s="3" t="s">
        <v>76</v>
      </c>
      <c r="B543" t="s">
        <v>957</v>
      </c>
      <c r="C543" s="3">
        <v>2</v>
      </c>
      <c r="D543" t="str">
        <f t="shared" si="8"/>
        <v>Pin noir d'Autriche - Sud-Est (INRA, J.M. Ottorini &amp; J. Toth, 1975) - classe 1_2</v>
      </c>
      <c r="E543" s="3">
        <v>9.8000000000000007</v>
      </c>
      <c r="F543" s="3">
        <v>0</v>
      </c>
      <c r="G543" s="3">
        <v>9.8000000000000007</v>
      </c>
    </row>
    <row r="544" spans="1:7" x14ac:dyDescent="0.2">
      <c r="A544" s="3" t="s">
        <v>76</v>
      </c>
      <c r="B544" t="s">
        <v>957</v>
      </c>
      <c r="C544" s="3">
        <v>3</v>
      </c>
      <c r="D544" t="str">
        <f t="shared" si="8"/>
        <v>Pin noir d'Autriche - Sud-Est (INRA, J.M. Ottorini &amp; J. Toth, 1975) - classe 1_3</v>
      </c>
      <c r="E544" s="3">
        <v>14.700000000000001</v>
      </c>
      <c r="F544" s="3">
        <v>0</v>
      </c>
      <c r="G544" s="3">
        <v>14.700000000000001</v>
      </c>
    </row>
    <row r="545" spans="1:7" x14ac:dyDescent="0.2">
      <c r="A545" s="3" t="s">
        <v>76</v>
      </c>
      <c r="B545" t="s">
        <v>957</v>
      </c>
      <c r="C545" s="3">
        <v>4</v>
      </c>
      <c r="D545" t="str">
        <f t="shared" si="8"/>
        <v>Pin noir d'Autriche - Sud-Est (INRA, J.M. Ottorini &amp; J. Toth, 1975) - classe 1_4</v>
      </c>
      <c r="E545" s="3">
        <v>19.600000000000001</v>
      </c>
      <c r="F545" s="3">
        <v>0</v>
      </c>
      <c r="G545" s="3">
        <v>19.600000000000001</v>
      </c>
    </row>
    <row r="546" spans="1:7" x14ac:dyDescent="0.2">
      <c r="A546" s="3" t="s">
        <v>76</v>
      </c>
      <c r="B546" t="s">
        <v>957</v>
      </c>
      <c r="C546" s="3">
        <v>5</v>
      </c>
      <c r="D546" t="str">
        <f t="shared" si="8"/>
        <v>Pin noir d'Autriche - Sud-Est (INRA, J.M. Ottorini &amp; J. Toth, 1975) - classe 1_5</v>
      </c>
      <c r="E546" s="3">
        <v>24.5</v>
      </c>
      <c r="F546" s="3">
        <v>0</v>
      </c>
      <c r="G546" s="3">
        <v>24.5</v>
      </c>
    </row>
    <row r="547" spans="1:7" x14ac:dyDescent="0.2">
      <c r="A547" s="3" t="s">
        <v>76</v>
      </c>
      <c r="B547" t="s">
        <v>957</v>
      </c>
      <c r="C547" s="3">
        <v>6</v>
      </c>
      <c r="D547" t="str">
        <f t="shared" si="8"/>
        <v>Pin noir d'Autriche - Sud-Est (INRA, J.M. Ottorini &amp; J. Toth, 1975) - classe 1_6</v>
      </c>
      <c r="E547" s="3">
        <v>29.4</v>
      </c>
      <c r="F547" s="3">
        <v>0</v>
      </c>
      <c r="G547" s="3">
        <v>29.4</v>
      </c>
    </row>
    <row r="548" spans="1:7" x14ac:dyDescent="0.2">
      <c r="A548" s="3" t="s">
        <v>76</v>
      </c>
      <c r="B548" t="s">
        <v>957</v>
      </c>
      <c r="C548" s="3">
        <v>7</v>
      </c>
      <c r="D548" t="str">
        <f t="shared" si="8"/>
        <v>Pin noir d'Autriche - Sud-Est (INRA, J.M. Ottorini &amp; J. Toth, 1975) - classe 1_7</v>
      </c>
      <c r="E548" s="3">
        <v>34.299999999999997</v>
      </c>
      <c r="F548" s="3">
        <v>0</v>
      </c>
      <c r="G548" s="3">
        <v>34.299999999999997</v>
      </c>
    </row>
    <row r="549" spans="1:7" x14ac:dyDescent="0.2">
      <c r="A549" s="3" t="s">
        <v>76</v>
      </c>
      <c r="B549" t="s">
        <v>957</v>
      </c>
      <c r="C549" s="3">
        <v>8</v>
      </c>
      <c r="D549" t="str">
        <f t="shared" si="8"/>
        <v>Pin noir d'Autriche - Sud-Est (INRA, J.M. Ottorini &amp; J. Toth, 1975) - classe 1_8</v>
      </c>
      <c r="E549" s="3">
        <v>39.199999999999996</v>
      </c>
      <c r="F549" s="3">
        <v>0</v>
      </c>
      <c r="G549" s="3">
        <v>39.199999999999996</v>
      </c>
    </row>
    <row r="550" spans="1:7" x14ac:dyDescent="0.2">
      <c r="A550" s="3" t="s">
        <v>76</v>
      </c>
      <c r="B550" t="s">
        <v>957</v>
      </c>
      <c r="C550" s="3">
        <v>9</v>
      </c>
      <c r="D550" t="str">
        <f t="shared" si="8"/>
        <v>Pin noir d'Autriche - Sud-Est (INRA, J.M. Ottorini &amp; J. Toth, 1975) - classe 1_9</v>
      </c>
      <c r="E550" s="3">
        <v>44.099999999999994</v>
      </c>
      <c r="F550" s="3">
        <v>0</v>
      </c>
      <c r="G550" s="3">
        <v>44.099999999999994</v>
      </c>
    </row>
    <row r="551" spans="1:7" x14ac:dyDescent="0.2">
      <c r="A551" s="3" t="s">
        <v>76</v>
      </c>
      <c r="B551" t="s">
        <v>957</v>
      </c>
      <c r="C551" s="3">
        <v>10</v>
      </c>
      <c r="D551" t="str">
        <f t="shared" si="8"/>
        <v>Pin noir d'Autriche - Sud-Est (INRA, J.M. Ottorini &amp; J. Toth, 1975) - classe 1_10</v>
      </c>
      <c r="E551" s="3">
        <v>48.999999999999993</v>
      </c>
      <c r="F551" s="3">
        <v>0</v>
      </c>
      <c r="G551" s="3">
        <v>48.999999999999993</v>
      </c>
    </row>
    <row r="552" spans="1:7" x14ac:dyDescent="0.2">
      <c r="A552" s="3" t="s">
        <v>76</v>
      </c>
      <c r="B552" t="s">
        <v>957</v>
      </c>
      <c r="C552" s="3">
        <v>11</v>
      </c>
      <c r="D552" t="str">
        <f t="shared" si="8"/>
        <v>Pin noir d'Autriche - Sud-Est (INRA, J.M. Ottorini &amp; J. Toth, 1975) - classe 1_11</v>
      </c>
      <c r="E552" s="3">
        <v>53.899999999999991</v>
      </c>
      <c r="F552" s="3">
        <v>0</v>
      </c>
      <c r="G552" s="3">
        <v>53.899999999999991</v>
      </c>
    </row>
    <row r="553" spans="1:7" x14ac:dyDescent="0.2">
      <c r="A553" s="3" t="s">
        <v>76</v>
      </c>
      <c r="B553" t="s">
        <v>957</v>
      </c>
      <c r="C553" s="3">
        <v>12</v>
      </c>
      <c r="D553" t="str">
        <f t="shared" si="8"/>
        <v>Pin noir d'Autriche - Sud-Est (INRA, J.M. Ottorini &amp; J. Toth, 1975) - classe 1_12</v>
      </c>
      <c r="E553" s="3">
        <v>58.79999999999999</v>
      </c>
      <c r="F553" s="3">
        <v>0</v>
      </c>
      <c r="G553" s="3">
        <v>58.79999999999999</v>
      </c>
    </row>
    <row r="554" spans="1:7" x14ac:dyDescent="0.2">
      <c r="A554" s="3" t="s">
        <v>76</v>
      </c>
      <c r="B554" t="s">
        <v>957</v>
      </c>
      <c r="C554" s="3">
        <v>13</v>
      </c>
      <c r="D554" t="str">
        <f t="shared" si="8"/>
        <v>Pin noir d'Autriche - Sud-Est (INRA, J.M. Ottorini &amp; J. Toth, 1975) - classe 1_13</v>
      </c>
      <c r="E554" s="3">
        <v>63.699999999999989</v>
      </c>
      <c r="F554" s="3">
        <v>0</v>
      </c>
      <c r="G554" s="3">
        <v>63.699999999999989</v>
      </c>
    </row>
    <row r="555" spans="1:7" x14ac:dyDescent="0.2">
      <c r="A555" s="3" t="s">
        <v>76</v>
      </c>
      <c r="B555" t="s">
        <v>957</v>
      </c>
      <c r="C555" s="3">
        <v>14</v>
      </c>
      <c r="D555" t="str">
        <f t="shared" si="8"/>
        <v>Pin noir d'Autriche - Sud-Est (INRA, J.M. Ottorini &amp; J. Toth, 1975) - classe 1_14</v>
      </c>
      <c r="E555" s="3">
        <v>68.599999999999994</v>
      </c>
      <c r="F555" s="3">
        <v>0</v>
      </c>
      <c r="G555" s="3">
        <v>68.599999999999994</v>
      </c>
    </row>
    <row r="556" spans="1:7" x14ac:dyDescent="0.2">
      <c r="A556" s="3" t="s">
        <v>76</v>
      </c>
      <c r="B556" t="s">
        <v>957</v>
      </c>
      <c r="C556" s="3">
        <v>15</v>
      </c>
      <c r="D556" t="str">
        <f t="shared" si="8"/>
        <v>Pin noir d'Autriche - Sud-Est (INRA, J.M. Ottorini &amp; J. Toth, 1975) - classe 1_15</v>
      </c>
      <c r="E556" s="3">
        <v>73.5</v>
      </c>
      <c r="F556" s="3">
        <v>0</v>
      </c>
      <c r="G556" s="3">
        <v>73.5</v>
      </c>
    </row>
    <row r="557" spans="1:7" x14ac:dyDescent="0.2">
      <c r="A557" s="3" t="s">
        <v>76</v>
      </c>
      <c r="B557" t="s">
        <v>957</v>
      </c>
      <c r="C557" s="3">
        <v>16</v>
      </c>
      <c r="D557" t="str">
        <f t="shared" si="8"/>
        <v>Pin noir d'Autriche - Sud-Est (INRA, J.M. Ottorini &amp; J. Toth, 1975) - classe 1_16</v>
      </c>
      <c r="E557" s="3">
        <v>78.400000000000006</v>
      </c>
      <c r="F557" s="3">
        <v>0</v>
      </c>
      <c r="G557" s="3">
        <v>78.400000000000006</v>
      </c>
    </row>
    <row r="558" spans="1:7" x14ac:dyDescent="0.2">
      <c r="A558" s="3" t="s">
        <v>76</v>
      </c>
      <c r="B558" t="s">
        <v>957</v>
      </c>
      <c r="C558" s="3">
        <v>17</v>
      </c>
      <c r="D558" t="str">
        <f t="shared" si="8"/>
        <v>Pin noir d'Autriche - Sud-Est (INRA, J.M. Ottorini &amp; J. Toth, 1975) - classe 1_17</v>
      </c>
      <c r="E558" s="3">
        <v>83.300000000000011</v>
      </c>
      <c r="F558" s="3">
        <v>0</v>
      </c>
      <c r="G558" s="3">
        <v>83.300000000000011</v>
      </c>
    </row>
    <row r="559" spans="1:7" x14ac:dyDescent="0.2">
      <c r="A559" s="3" t="s">
        <v>76</v>
      </c>
      <c r="B559" t="s">
        <v>957</v>
      </c>
      <c r="C559" s="3">
        <v>18</v>
      </c>
      <c r="D559" t="str">
        <f t="shared" si="8"/>
        <v>Pin noir d'Autriche - Sud-Est (INRA, J.M. Ottorini &amp; J. Toth, 1975) - classe 1_18</v>
      </c>
      <c r="E559" s="3">
        <v>88.200000000000017</v>
      </c>
      <c r="F559" s="3">
        <v>0</v>
      </c>
      <c r="G559" s="3">
        <v>88.200000000000017</v>
      </c>
    </row>
    <row r="560" spans="1:7" x14ac:dyDescent="0.2">
      <c r="A560" s="3" t="s">
        <v>76</v>
      </c>
      <c r="B560" t="s">
        <v>957</v>
      </c>
      <c r="C560" s="3">
        <v>19</v>
      </c>
      <c r="D560" t="str">
        <f t="shared" si="8"/>
        <v>Pin noir d'Autriche - Sud-Est (INRA, J.M. Ottorini &amp; J. Toth, 1975) - classe 1_19</v>
      </c>
      <c r="E560" s="3">
        <v>93.100000000000023</v>
      </c>
      <c r="F560" s="3">
        <v>0</v>
      </c>
      <c r="G560" s="3">
        <v>93.100000000000023</v>
      </c>
    </row>
    <row r="561" spans="1:7" x14ac:dyDescent="0.2">
      <c r="A561" s="3" t="s">
        <v>76</v>
      </c>
      <c r="B561" t="s">
        <v>957</v>
      </c>
      <c r="C561" s="3">
        <v>20</v>
      </c>
      <c r="D561" t="str">
        <f t="shared" si="8"/>
        <v>Pin noir d'Autriche - Sud-Est (INRA, J.M. Ottorini &amp; J. Toth, 1975) - classe 1_20</v>
      </c>
      <c r="E561" s="3">
        <v>98</v>
      </c>
      <c r="F561" s="3">
        <v>7</v>
      </c>
      <c r="G561" s="3">
        <v>91</v>
      </c>
    </row>
    <row r="562" spans="1:7" x14ac:dyDescent="0.2">
      <c r="A562" s="3" t="s">
        <v>76</v>
      </c>
      <c r="B562" t="s">
        <v>957</v>
      </c>
      <c r="C562" s="3">
        <v>21</v>
      </c>
      <c r="D562" t="str">
        <f t="shared" si="8"/>
        <v>Pin noir d'Autriche - Sud-Est (INRA, J.M. Ottorini &amp; J. Toth, 1975) - classe 1_21</v>
      </c>
      <c r="E562" s="3">
        <v>104.4</v>
      </c>
      <c r="F562" s="3">
        <v>0</v>
      </c>
      <c r="G562" s="3">
        <v>104.4</v>
      </c>
    </row>
    <row r="563" spans="1:7" x14ac:dyDescent="0.2">
      <c r="A563" s="3" t="s">
        <v>76</v>
      </c>
      <c r="B563" t="s">
        <v>957</v>
      </c>
      <c r="C563" s="3">
        <v>22</v>
      </c>
      <c r="D563" t="str">
        <f t="shared" si="8"/>
        <v>Pin noir d'Autriche - Sud-Est (INRA, J.M. Ottorini &amp; J. Toth, 1975) - classe 1_22</v>
      </c>
      <c r="E563" s="3">
        <v>117.80000000000001</v>
      </c>
      <c r="F563" s="3">
        <v>0</v>
      </c>
      <c r="G563" s="3">
        <v>117.80000000000001</v>
      </c>
    </row>
    <row r="564" spans="1:7" x14ac:dyDescent="0.2">
      <c r="A564" s="3" t="s">
        <v>76</v>
      </c>
      <c r="B564" t="s">
        <v>957</v>
      </c>
      <c r="C564" s="3">
        <v>23</v>
      </c>
      <c r="D564" t="str">
        <f t="shared" si="8"/>
        <v>Pin noir d'Autriche - Sud-Est (INRA, J.M. Ottorini &amp; J. Toth, 1975) - classe 1_23</v>
      </c>
      <c r="E564" s="3">
        <v>131.20000000000002</v>
      </c>
      <c r="F564" s="3">
        <v>0</v>
      </c>
      <c r="G564" s="3">
        <v>131.20000000000002</v>
      </c>
    </row>
    <row r="565" spans="1:7" x14ac:dyDescent="0.2">
      <c r="A565" s="3" t="s">
        <v>76</v>
      </c>
      <c r="B565" t="s">
        <v>957</v>
      </c>
      <c r="C565" s="3">
        <v>24</v>
      </c>
      <c r="D565" t="str">
        <f t="shared" si="8"/>
        <v>Pin noir d'Autriche - Sud-Est (INRA, J.M. Ottorini &amp; J. Toth, 1975) - classe 1_24</v>
      </c>
      <c r="E565" s="3">
        <v>144.60000000000002</v>
      </c>
      <c r="F565" s="3">
        <v>0</v>
      </c>
      <c r="G565" s="3">
        <v>144.60000000000002</v>
      </c>
    </row>
    <row r="566" spans="1:7" x14ac:dyDescent="0.2">
      <c r="A566" s="3" t="s">
        <v>76</v>
      </c>
      <c r="B566" t="s">
        <v>957</v>
      </c>
      <c r="C566" s="3">
        <v>25</v>
      </c>
      <c r="D566" t="str">
        <f t="shared" si="8"/>
        <v>Pin noir d'Autriche - Sud-Est (INRA, J.M. Ottorini &amp; J. Toth, 1975) - classe 1_25</v>
      </c>
      <c r="E566" s="3">
        <v>158.00000000000003</v>
      </c>
      <c r="F566" s="3">
        <v>0</v>
      </c>
      <c r="G566" s="3">
        <v>158.00000000000003</v>
      </c>
    </row>
    <row r="567" spans="1:7" x14ac:dyDescent="0.2">
      <c r="A567" s="3" t="s">
        <v>76</v>
      </c>
      <c r="B567" t="s">
        <v>957</v>
      </c>
      <c r="C567" s="3">
        <v>26</v>
      </c>
      <c r="D567" t="str">
        <f t="shared" si="8"/>
        <v>Pin noir d'Autriche - Sud-Est (INRA, J.M. Ottorini &amp; J. Toth, 1975) - classe 1_26</v>
      </c>
      <c r="E567" s="3">
        <v>171.40000000000003</v>
      </c>
      <c r="F567" s="3">
        <v>0</v>
      </c>
      <c r="G567" s="3">
        <v>171.40000000000003</v>
      </c>
    </row>
    <row r="568" spans="1:7" x14ac:dyDescent="0.2">
      <c r="A568" s="3" t="s">
        <v>76</v>
      </c>
      <c r="B568" t="s">
        <v>957</v>
      </c>
      <c r="C568" s="3">
        <v>27</v>
      </c>
      <c r="D568" t="str">
        <f t="shared" si="8"/>
        <v>Pin noir d'Autriche - Sud-Est (INRA, J.M. Ottorini &amp; J. Toth, 1975) - classe 1_27</v>
      </c>
      <c r="E568" s="3">
        <v>184.80000000000004</v>
      </c>
      <c r="F568" s="3">
        <v>0</v>
      </c>
      <c r="G568" s="3">
        <v>184.80000000000004</v>
      </c>
    </row>
    <row r="569" spans="1:7" x14ac:dyDescent="0.2">
      <c r="A569" s="3" t="s">
        <v>76</v>
      </c>
      <c r="B569" t="s">
        <v>957</v>
      </c>
      <c r="C569" s="3">
        <v>28</v>
      </c>
      <c r="D569" t="str">
        <f t="shared" si="8"/>
        <v>Pin noir d'Autriche - Sud-Est (INRA, J.M. Ottorini &amp; J. Toth, 1975) - classe 1_28</v>
      </c>
      <c r="E569" s="3">
        <v>198.20000000000005</v>
      </c>
      <c r="F569" s="3">
        <v>0</v>
      </c>
      <c r="G569" s="3">
        <v>198.20000000000005</v>
      </c>
    </row>
    <row r="570" spans="1:7" x14ac:dyDescent="0.2">
      <c r="A570" s="3" t="s">
        <v>76</v>
      </c>
      <c r="B570" t="s">
        <v>957</v>
      </c>
      <c r="C570" s="3">
        <v>29</v>
      </c>
      <c r="D570" t="str">
        <f t="shared" si="8"/>
        <v>Pin noir d'Autriche - Sud-Est (INRA, J.M. Ottorini &amp; J. Toth, 1975) - classe 1_29</v>
      </c>
      <c r="E570" s="3">
        <v>211.60000000000005</v>
      </c>
      <c r="F570" s="3">
        <v>0</v>
      </c>
      <c r="G570" s="3">
        <v>211.60000000000005</v>
      </c>
    </row>
    <row r="571" spans="1:7" x14ac:dyDescent="0.2">
      <c r="A571" s="3" t="s">
        <v>76</v>
      </c>
      <c r="B571" t="s">
        <v>957</v>
      </c>
      <c r="C571" s="3">
        <v>30</v>
      </c>
      <c r="D571" t="str">
        <f t="shared" si="8"/>
        <v>Pin noir d'Autriche - Sud-Est (INRA, J.M. Ottorini &amp; J. Toth, 1975) - classe 1_30</v>
      </c>
      <c r="E571" s="3">
        <v>225</v>
      </c>
      <c r="F571" s="3">
        <v>22</v>
      </c>
      <c r="G571" s="3">
        <v>203</v>
      </c>
    </row>
    <row r="572" spans="1:7" x14ac:dyDescent="0.2">
      <c r="A572" s="3" t="s">
        <v>76</v>
      </c>
      <c r="B572" t="s">
        <v>958</v>
      </c>
      <c r="C572" s="3">
        <v>1</v>
      </c>
      <c r="D572" t="str">
        <f t="shared" si="8"/>
        <v>Pin noir d'Autriche - Sud-Est (INRA, J.M. Ottorini &amp; J. Toth, 1975) - classe 2_1</v>
      </c>
      <c r="E572" s="3">
        <v>2.95</v>
      </c>
      <c r="F572" s="3">
        <v>0</v>
      </c>
      <c r="G572" s="3">
        <v>2.95</v>
      </c>
    </row>
    <row r="573" spans="1:7" x14ac:dyDescent="0.2">
      <c r="A573" s="3" t="s">
        <v>76</v>
      </c>
      <c r="B573" t="s">
        <v>958</v>
      </c>
      <c r="C573" s="3">
        <v>2</v>
      </c>
      <c r="D573" t="str">
        <f t="shared" si="8"/>
        <v>Pin noir d'Autriche - Sud-Est (INRA, J.M. Ottorini &amp; J. Toth, 1975) - classe 2_2</v>
      </c>
      <c r="E573" s="3">
        <v>5.9</v>
      </c>
      <c r="F573" s="3">
        <v>0</v>
      </c>
      <c r="G573" s="3">
        <v>5.9</v>
      </c>
    </row>
    <row r="574" spans="1:7" x14ac:dyDescent="0.2">
      <c r="A574" s="3" t="s">
        <v>76</v>
      </c>
      <c r="B574" t="s">
        <v>958</v>
      </c>
      <c r="C574" s="3">
        <v>3</v>
      </c>
      <c r="D574" t="str">
        <f t="shared" si="8"/>
        <v>Pin noir d'Autriche - Sud-Est (INRA, J.M. Ottorini &amp; J. Toth, 1975) - classe 2_3</v>
      </c>
      <c r="E574" s="3">
        <v>8.8500000000000014</v>
      </c>
      <c r="F574" s="3">
        <v>0</v>
      </c>
      <c r="G574" s="3">
        <v>8.8500000000000014</v>
      </c>
    </row>
    <row r="575" spans="1:7" x14ac:dyDescent="0.2">
      <c r="A575" s="3" t="s">
        <v>76</v>
      </c>
      <c r="B575" t="s">
        <v>958</v>
      </c>
      <c r="C575" s="3">
        <v>4</v>
      </c>
      <c r="D575" t="str">
        <f t="shared" si="8"/>
        <v>Pin noir d'Autriche - Sud-Est (INRA, J.M. Ottorini &amp; J. Toth, 1975) - classe 2_4</v>
      </c>
      <c r="E575" s="3">
        <v>11.8</v>
      </c>
      <c r="F575" s="3">
        <v>0</v>
      </c>
      <c r="G575" s="3">
        <v>11.8</v>
      </c>
    </row>
    <row r="576" spans="1:7" x14ac:dyDescent="0.2">
      <c r="A576" s="3" t="s">
        <v>76</v>
      </c>
      <c r="B576" t="s">
        <v>958</v>
      </c>
      <c r="C576" s="3">
        <v>5</v>
      </c>
      <c r="D576" t="str">
        <f t="shared" si="8"/>
        <v>Pin noir d'Autriche - Sud-Est (INRA, J.M. Ottorini &amp; J. Toth, 1975) - classe 2_5</v>
      </c>
      <c r="E576" s="3">
        <v>14.75</v>
      </c>
      <c r="F576" s="3">
        <v>0</v>
      </c>
      <c r="G576" s="3">
        <v>14.75</v>
      </c>
    </row>
    <row r="577" spans="1:7" x14ac:dyDescent="0.2">
      <c r="A577" s="3" t="s">
        <v>76</v>
      </c>
      <c r="B577" t="s">
        <v>958</v>
      </c>
      <c r="C577" s="3">
        <v>6</v>
      </c>
      <c r="D577" t="str">
        <f t="shared" si="8"/>
        <v>Pin noir d'Autriche - Sud-Est (INRA, J.M. Ottorini &amp; J. Toth, 1975) - classe 2_6</v>
      </c>
      <c r="E577" s="3">
        <v>17.7</v>
      </c>
      <c r="F577" s="3">
        <v>0</v>
      </c>
      <c r="G577" s="3">
        <v>17.7</v>
      </c>
    </row>
    <row r="578" spans="1:7" x14ac:dyDescent="0.2">
      <c r="A578" s="3" t="s">
        <v>76</v>
      </c>
      <c r="B578" t="s">
        <v>958</v>
      </c>
      <c r="C578" s="3">
        <v>7</v>
      </c>
      <c r="D578" t="str">
        <f t="shared" si="8"/>
        <v>Pin noir d'Autriche - Sud-Est (INRA, J.M. Ottorini &amp; J. Toth, 1975) - classe 2_7</v>
      </c>
      <c r="E578" s="3">
        <v>20.65</v>
      </c>
      <c r="F578" s="3">
        <v>0</v>
      </c>
      <c r="G578" s="3">
        <v>20.65</v>
      </c>
    </row>
    <row r="579" spans="1:7" x14ac:dyDescent="0.2">
      <c r="A579" s="3" t="s">
        <v>76</v>
      </c>
      <c r="B579" t="s">
        <v>958</v>
      </c>
      <c r="C579" s="3">
        <v>8</v>
      </c>
      <c r="D579" t="str">
        <f t="shared" ref="D579:D642" si="9">CONCATENATE(B579,"_",C579)</f>
        <v>Pin noir d'Autriche - Sud-Est (INRA, J.M. Ottorini &amp; J. Toth, 1975) - classe 2_8</v>
      </c>
      <c r="E579" s="3">
        <v>23.599999999999998</v>
      </c>
      <c r="F579" s="3">
        <v>0</v>
      </c>
      <c r="G579" s="3">
        <v>23.599999999999998</v>
      </c>
    </row>
    <row r="580" spans="1:7" x14ac:dyDescent="0.2">
      <c r="A580" s="3" t="s">
        <v>76</v>
      </c>
      <c r="B580" t="s">
        <v>958</v>
      </c>
      <c r="C580" s="3">
        <v>9</v>
      </c>
      <c r="D580" t="str">
        <f t="shared" si="9"/>
        <v>Pin noir d'Autriche - Sud-Est (INRA, J.M. Ottorini &amp; J. Toth, 1975) - classe 2_9</v>
      </c>
      <c r="E580" s="3">
        <v>26.549999999999997</v>
      </c>
      <c r="F580" s="3">
        <v>0</v>
      </c>
      <c r="G580" s="3">
        <v>26.549999999999997</v>
      </c>
    </row>
    <row r="581" spans="1:7" x14ac:dyDescent="0.2">
      <c r="A581" s="3" t="s">
        <v>76</v>
      </c>
      <c r="B581" t="s">
        <v>958</v>
      </c>
      <c r="C581" s="3">
        <v>10</v>
      </c>
      <c r="D581" t="str">
        <f t="shared" si="9"/>
        <v>Pin noir d'Autriche - Sud-Est (INRA, J.M. Ottorini &amp; J. Toth, 1975) - classe 2_10</v>
      </c>
      <c r="E581" s="3">
        <v>29.499999999999996</v>
      </c>
      <c r="F581" s="3">
        <v>0</v>
      </c>
      <c r="G581" s="3">
        <v>29.499999999999996</v>
      </c>
    </row>
    <row r="582" spans="1:7" x14ac:dyDescent="0.2">
      <c r="A582" s="3" t="s">
        <v>76</v>
      </c>
      <c r="B582" t="s">
        <v>958</v>
      </c>
      <c r="C582" s="3">
        <v>11</v>
      </c>
      <c r="D582" t="str">
        <f t="shared" si="9"/>
        <v>Pin noir d'Autriche - Sud-Est (INRA, J.M. Ottorini &amp; J. Toth, 1975) - classe 2_11</v>
      </c>
      <c r="E582" s="3">
        <v>32.449999999999996</v>
      </c>
      <c r="F582" s="3">
        <v>0</v>
      </c>
      <c r="G582" s="3">
        <v>32.449999999999996</v>
      </c>
    </row>
    <row r="583" spans="1:7" x14ac:dyDescent="0.2">
      <c r="A583" s="3" t="s">
        <v>76</v>
      </c>
      <c r="B583" t="s">
        <v>958</v>
      </c>
      <c r="C583" s="3">
        <v>12</v>
      </c>
      <c r="D583" t="str">
        <f t="shared" si="9"/>
        <v>Pin noir d'Autriche - Sud-Est (INRA, J.M. Ottorini &amp; J. Toth, 1975) - classe 2_12</v>
      </c>
      <c r="E583" s="3">
        <v>35.4</v>
      </c>
      <c r="F583" s="3">
        <v>0</v>
      </c>
      <c r="G583" s="3">
        <v>35.4</v>
      </c>
    </row>
    <row r="584" spans="1:7" x14ac:dyDescent="0.2">
      <c r="A584" s="3" t="s">
        <v>76</v>
      </c>
      <c r="B584" t="s">
        <v>958</v>
      </c>
      <c r="C584" s="3">
        <v>13</v>
      </c>
      <c r="D584" t="str">
        <f t="shared" si="9"/>
        <v>Pin noir d'Autriche - Sud-Est (INRA, J.M. Ottorini &amp; J. Toth, 1975) - classe 2_13</v>
      </c>
      <c r="E584" s="3">
        <v>38.35</v>
      </c>
      <c r="F584" s="3">
        <v>0</v>
      </c>
      <c r="G584" s="3">
        <v>38.35</v>
      </c>
    </row>
    <row r="585" spans="1:7" x14ac:dyDescent="0.2">
      <c r="A585" s="3" t="s">
        <v>76</v>
      </c>
      <c r="B585" t="s">
        <v>958</v>
      </c>
      <c r="C585" s="3">
        <v>14</v>
      </c>
      <c r="D585" t="str">
        <f t="shared" si="9"/>
        <v>Pin noir d'Autriche - Sud-Est (INRA, J.M. Ottorini &amp; J. Toth, 1975) - classe 2_14</v>
      </c>
      <c r="E585" s="3">
        <v>41.300000000000004</v>
      </c>
      <c r="F585" s="3">
        <v>0</v>
      </c>
      <c r="G585" s="3">
        <v>41.300000000000004</v>
      </c>
    </row>
    <row r="586" spans="1:7" x14ac:dyDescent="0.2">
      <c r="A586" s="3" t="s">
        <v>76</v>
      </c>
      <c r="B586" t="s">
        <v>958</v>
      </c>
      <c r="C586" s="3">
        <v>15</v>
      </c>
      <c r="D586" t="str">
        <f t="shared" si="9"/>
        <v>Pin noir d'Autriche - Sud-Est (INRA, J.M. Ottorini &amp; J. Toth, 1975) - classe 2_15</v>
      </c>
      <c r="E586" s="3">
        <v>44.250000000000007</v>
      </c>
      <c r="F586" s="3">
        <v>0</v>
      </c>
      <c r="G586" s="3">
        <v>44.250000000000007</v>
      </c>
    </row>
    <row r="587" spans="1:7" x14ac:dyDescent="0.2">
      <c r="A587" s="3" t="s">
        <v>76</v>
      </c>
      <c r="B587" t="s">
        <v>958</v>
      </c>
      <c r="C587" s="3">
        <v>16</v>
      </c>
      <c r="D587" t="str">
        <f t="shared" si="9"/>
        <v>Pin noir d'Autriche - Sud-Est (INRA, J.M. Ottorini &amp; J. Toth, 1975) - classe 2_16</v>
      </c>
      <c r="E587" s="3">
        <v>47.20000000000001</v>
      </c>
      <c r="F587" s="3">
        <v>0</v>
      </c>
      <c r="G587" s="3">
        <v>47.20000000000001</v>
      </c>
    </row>
    <row r="588" spans="1:7" x14ac:dyDescent="0.2">
      <c r="A588" s="3" t="s">
        <v>76</v>
      </c>
      <c r="B588" t="s">
        <v>958</v>
      </c>
      <c r="C588" s="3">
        <v>17</v>
      </c>
      <c r="D588" t="str">
        <f t="shared" si="9"/>
        <v>Pin noir d'Autriche - Sud-Est (INRA, J.M. Ottorini &amp; J. Toth, 1975) - classe 2_17</v>
      </c>
      <c r="E588" s="3">
        <v>50.150000000000013</v>
      </c>
      <c r="F588" s="3">
        <v>0</v>
      </c>
      <c r="G588" s="3">
        <v>50.150000000000013</v>
      </c>
    </row>
    <row r="589" spans="1:7" x14ac:dyDescent="0.2">
      <c r="A589" s="3" t="s">
        <v>76</v>
      </c>
      <c r="B589" t="s">
        <v>958</v>
      </c>
      <c r="C589" s="3">
        <v>18</v>
      </c>
      <c r="D589" t="str">
        <f t="shared" si="9"/>
        <v>Pin noir d'Autriche - Sud-Est (INRA, J.M. Ottorini &amp; J. Toth, 1975) - classe 2_18</v>
      </c>
      <c r="E589" s="3">
        <v>53.100000000000016</v>
      </c>
      <c r="F589" s="3">
        <v>0</v>
      </c>
      <c r="G589" s="3">
        <v>53.100000000000016</v>
      </c>
    </row>
    <row r="590" spans="1:7" x14ac:dyDescent="0.2">
      <c r="A590" s="3" t="s">
        <v>76</v>
      </c>
      <c r="B590" t="s">
        <v>958</v>
      </c>
      <c r="C590" s="3">
        <v>19</v>
      </c>
      <c r="D590" t="str">
        <f t="shared" si="9"/>
        <v>Pin noir d'Autriche - Sud-Est (INRA, J.M. Ottorini &amp; J. Toth, 1975) - classe 2_19</v>
      </c>
      <c r="E590" s="3">
        <v>56.050000000000018</v>
      </c>
      <c r="F590" s="3">
        <v>0</v>
      </c>
      <c r="G590" s="3">
        <v>56.050000000000018</v>
      </c>
    </row>
    <row r="591" spans="1:7" x14ac:dyDescent="0.2">
      <c r="A591" s="3" t="s">
        <v>76</v>
      </c>
      <c r="B591" t="s">
        <v>958</v>
      </c>
      <c r="C591" s="3">
        <v>20</v>
      </c>
      <c r="D591" t="str">
        <f t="shared" si="9"/>
        <v>Pin noir d'Autriche - Sud-Est (INRA, J.M. Ottorini &amp; J. Toth, 1975) - classe 2_20</v>
      </c>
      <c r="E591" s="3">
        <v>59</v>
      </c>
      <c r="F591" s="3">
        <v>3</v>
      </c>
      <c r="G591" s="3">
        <v>56</v>
      </c>
    </row>
    <row r="592" spans="1:7" x14ac:dyDescent="0.2">
      <c r="A592" s="3" t="s">
        <v>76</v>
      </c>
      <c r="B592" t="s">
        <v>958</v>
      </c>
      <c r="C592" s="3">
        <v>21</v>
      </c>
      <c r="D592" t="str">
        <f t="shared" si="9"/>
        <v>Pin noir d'Autriche - Sud-Est (INRA, J.M. Ottorini &amp; J. Toth, 1975) - classe 2_21</v>
      </c>
      <c r="E592" s="3">
        <v>66</v>
      </c>
      <c r="F592" s="3">
        <v>0</v>
      </c>
      <c r="G592" s="3">
        <v>66</v>
      </c>
    </row>
    <row r="593" spans="1:7" x14ac:dyDescent="0.2">
      <c r="A593" s="3" t="s">
        <v>76</v>
      </c>
      <c r="B593" t="s">
        <v>958</v>
      </c>
      <c r="C593" s="3">
        <v>22</v>
      </c>
      <c r="D593" t="str">
        <f t="shared" si="9"/>
        <v>Pin noir d'Autriche - Sud-Est (INRA, J.M. Ottorini &amp; J. Toth, 1975) - classe 2_22</v>
      </c>
      <c r="E593" s="3">
        <v>76</v>
      </c>
      <c r="F593" s="3">
        <v>0</v>
      </c>
      <c r="G593" s="3">
        <v>76</v>
      </c>
    </row>
    <row r="594" spans="1:7" x14ac:dyDescent="0.2">
      <c r="A594" s="3" t="s">
        <v>76</v>
      </c>
      <c r="B594" t="s">
        <v>958</v>
      </c>
      <c r="C594" s="3">
        <v>23</v>
      </c>
      <c r="D594" t="str">
        <f t="shared" si="9"/>
        <v>Pin noir d'Autriche - Sud-Est (INRA, J.M. Ottorini &amp; J. Toth, 1975) - classe 2_23</v>
      </c>
      <c r="E594" s="3">
        <v>86</v>
      </c>
      <c r="F594" s="3">
        <v>0</v>
      </c>
      <c r="G594" s="3">
        <v>86</v>
      </c>
    </row>
    <row r="595" spans="1:7" x14ac:dyDescent="0.2">
      <c r="A595" s="3" t="s">
        <v>76</v>
      </c>
      <c r="B595" t="s">
        <v>958</v>
      </c>
      <c r="C595" s="3">
        <v>24</v>
      </c>
      <c r="D595" t="str">
        <f t="shared" si="9"/>
        <v>Pin noir d'Autriche - Sud-Est (INRA, J.M. Ottorini &amp; J. Toth, 1975) - classe 2_24</v>
      </c>
      <c r="E595" s="3">
        <v>96</v>
      </c>
      <c r="F595" s="3">
        <v>0</v>
      </c>
      <c r="G595" s="3">
        <v>96</v>
      </c>
    </row>
    <row r="596" spans="1:7" x14ac:dyDescent="0.2">
      <c r="A596" s="3" t="s">
        <v>76</v>
      </c>
      <c r="B596" t="s">
        <v>958</v>
      </c>
      <c r="C596" s="3">
        <v>25</v>
      </c>
      <c r="D596" t="str">
        <f t="shared" si="9"/>
        <v>Pin noir d'Autriche - Sud-Est (INRA, J.M. Ottorini &amp; J. Toth, 1975) - classe 2_25</v>
      </c>
      <c r="E596" s="3">
        <v>106</v>
      </c>
      <c r="F596" s="3">
        <v>0</v>
      </c>
      <c r="G596" s="3">
        <v>106</v>
      </c>
    </row>
    <row r="597" spans="1:7" x14ac:dyDescent="0.2">
      <c r="A597" s="3" t="s">
        <v>76</v>
      </c>
      <c r="B597" t="s">
        <v>958</v>
      </c>
      <c r="C597" s="3">
        <v>26</v>
      </c>
      <c r="D597" t="str">
        <f t="shared" si="9"/>
        <v>Pin noir d'Autriche - Sud-Est (INRA, J.M. Ottorini &amp; J. Toth, 1975) - classe 2_26</v>
      </c>
      <c r="E597" s="3">
        <v>116</v>
      </c>
      <c r="F597" s="3">
        <v>0</v>
      </c>
      <c r="G597" s="3">
        <v>116</v>
      </c>
    </row>
    <row r="598" spans="1:7" x14ac:dyDescent="0.2">
      <c r="A598" s="3" t="s">
        <v>76</v>
      </c>
      <c r="B598" t="s">
        <v>958</v>
      </c>
      <c r="C598" s="3">
        <v>27</v>
      </c>
      <c r="D598" t="str">
        <f t="shared" si="9"/>
        <v>Pin noir d'Autriche - Sud-Est (INRA, J.M. Ottorini &amp; J. Toth, 1975) - classe 2_27</v>
      </c>
      <c r="E598" s="3">
        <v>126</v>
      </c>
      <c r="F598" s="3">
        <v>0</v>
      </c>
      <c r="G598" s="3">
        <v>126</v>
      </c>
    </row>
    <row r="599" spans="1:7" x14ac:dyDescent="0.2">
      <c r="A599" s="3" t="s">
        <v>76</v>
      </c>
      <c r="B599" t="s">
        <v>958</v>
      </c>
      <c r="C599" s="3">
        <v>28</v>
      </c>
      <c r="D599" t="str">
        <f t="shared" si="9"/>
        <v>Pin noir d'Autriche - Sud-Est (INRA, J.M. Ottorini &amp; J. Toth, 1975) - classe 2_28</v>
      </c>
      <c r="E599" s="3">
        <v>136</v>
      </c>
      <c r="F599" s="3">
        <v>0</v>
      </c>
      <c r="G599" s="3">
        <v>136</v>
      </c>
    </row>
    <row r="600" spans="1:7" x14ac:dyDescent="0.2">
      <c r="A600" s="3" t="s">
        <v>76</v>
      </c>
      <c r="B600" t="s">
        <v>958</v>
      </c>
      <c r="C600" s="3">
        <v>29</v>
      </c>
      <c r="D600" t="str">
        <f t="shared" si="9"/>
        <v>Pin noir d'Autriche - Sud-Est (INRA, J.M. Ottorini &amp; J. Toth, 1975) - classe 2_29</v>
      </c>
      <c r="E600" s="3">
        <v>146</v>
      </c>
      <c r="F600" s="3">
        <v>0</v>
      </c>
      <c r="G600" s="3">
        <v>146</v>
      </c>
    </row>
    <row r="601" spans="1:7" x14ac:dyDescent="0.2">
      <c r="A601" s="3" t="s">
        <v>76</v>
      </c>
      <c r="B601" t="s">
        <v>958</v>
      </c>
      <c r="C601" s="3">
        <v>30</v>
      </c>
      <c r="D601" t="str">
        <f t="shared" si="9"/>
        <v>Pin noir d'Autriche - Sud-Est (INRA, J.M. Ottorini &amp; J. Toth, 1975) - classe 2_30</v>
      </c>
      <c r="E601" s="3">
        <v>156</v>
      </c>
      <c r="F601" s="3">
        <v>12</v>
      </c>
      <c r="G601" s="3">
        <v>144</v>
      </c>
    </row>
    <row r="602" spans="1:7" x14ac:dyDescent="0.2">
      <c r="A602" s="3" t="s">
        <v>76</v>
      </c>
      <c r="B602" t="s">
        <v>959</v>
      </c>
      <c r="C602" s="3">
        <v>1</v>
      </c>
      <c r="D602" t="str">
        <f t="shared" si="9"/>
        <v>Pin noir d'Autriche - Sud-Est (INRA, J.M. Ottorini &amp; J. Toth, 1975) - classe 3_1</v>
      </c>
      <c r="E602" s="3">
        <v>1.4</v>
      </c>
      <c r="F602" s="3">
        <v>0</v>
      </c>
      <c r="G602" s="3">
        <v>1.4</v>
      </c>
    </row>
    <row r="603" spans="1:7" x14ac:dyDescent="0.2">
      <c r="A603" s="3" t="s">
        <v>76</v>
      </c>
      <c r="B603" t="s">
        <v>959</v>
      </c>
      <c r="C603" s="3">
        <v>2</v>
      </c>
      <c r="D603" t="str">
        <f t="shared" si="9"/>
        <v>Pin noir d'Autriche - Sud-Est (INRA, J.M. Ottorini &amp; J. Toth, 1975) - classe 3_2</v>
      </c>
      <c r="E603" s="3">
        <v>2.8</v>
      </c>
      <c r="F603" s="3">
        <v>0</v>
      </c>
      <c r="G603" s="3">
        <v>2.8</v>
      </c>
    </row>
    <row r="604" spans="1:7" x14ac:dyDescent="0.2">
      <c r="A604" s="3" t="s">
        <v>76</v>
      </c>
      <c r="B604" t="s">
        <v>959</v>
      </c>
      <c r="C604" s="3">
        <v>3</v>
      </c>
      <c r="D604" t="str">
        <f t="shared" si="9"/>
        <v>Pin noir d'Autriche - Sud-Est (INRA, J.M. Ottorini &amp; J. Toth, 1975) - classe 3_3</v>
      </c>
      <c r="E604" s="3">
        <v>4.1999999999999993</v>
      </c>
      <c r="F604" s="3">
        <v>0</v>
      </c>
      <c r="G604" s="3">
        <v>4.1999999999999993</v>
      </c>
    </row>
    <row r="605" spans="1:7" x14ac:dyDescent="0.2">
      <c r="A605" s="3" t="s">
        <v>76</v>
      </c>
      <c r="B605" t="s">
        <v>959</v>
      </c>
      <c r="C605" s="3">
        <v>4</v>
      </c>
      <c r="D605" t="str">
        <f t="shared" si="9"/>
        <v>Pin noir d'Autriche - Sud-Est (INRA, J.M. Ottorini &amp; J. Toth, 1975) - classe 3_4</v>
      </c>
      <c r="E605" s="3">
        <v>5.6</v>
      </c>
      <c r="F605" s="3">
        <v>0</v>
      </c>
      <c r="G605" s="3">
        <v>5.6</v>
      </c>
    </row>
    <row r="606" spans="1:7" x14ac:dyDescent="0.2">
      <c r="A606" s="3" t="s">
        <v>76</v>
      </c>
      <c r="B606" t="s">
        <v>959</v>
      </c>
      <c r="C606" s="3">
        <v>5</v>
      </c>
      <c r="D606" t="str">
        <f t="shared" si="9"/>
        <v>Pin noir d'Autriche - Sud-Est (INRA, J.M. Ottorini &amp; J. Toth, 1975) - classe 3_5</v>
      </c>
      <c r="E606" s="3">
        <v>7</v>
      </c>
      <c r="F606" s="3">
        <v>0</v>
      </c>
      <c r="G606" s="3">
        <v>7</v>
      </c>
    </row>
    <row r="607" spans="1:7" x14ac:dyDescent="0.2">
      <c r="A607" s="3" t="s">
        <v>76</v>
      </c>
      <c r="B607" t="s">
        <v>959</v>
      </c>
      <c r="C607" s="3">
        <v>6</v>
      </c>
      <c r="D607" t="str">
        <f t="shared" si="9"/>
        <v>Pin noir d'Autriche - Sud-Est (INRA, J.M. Ottorini &amp; J. Toth, 1975) - classe 3_6</v>
      </c>
      <c r="E607" s="3">
        <v>8.4</v>
      </c>
      <c r="F607" s="3">
        <v>0</v>
      </c>
      <c r="G607" s="3">
        <v>8.4</v>
      </c>
    </row>
    <row r="608" spans="1:7" x14ac:dyDescent="0.2">
      <c r="A608" s="3" t="s">
        <v>76</v>
      </c>
      <c r="B608" t="s">
        <v>959</v>
      </c>
      <c r="C608" s="3">
        <v>7</v>
      </c>
      <c r="D608" t="str">
        <f t="shared" si="9"/>
        <v>Pin noir d'Autriche - Sud-Est (INRA, J.M. Ottorini &amp; J. Toth, 1975) - classe 3_7</v>
      </c>
      <c r="E608" s="3">
        <v>9.8000000000000007</v>
      </c>
      <c r="F608" s="3">
        <v>0</v>
      </c>
      <c r="G608" s="3">
        <v>9.8000000000000007</v>
      </c>
    </row>
    <row r="609" spans="1:7" x14ac:dyDescent="0.2">
      <c r="A609" s="3" t="s">
        <v>76</v>
      </c>
      <c r="B609" t="s">
        <v>959</v>
      </c>
      <c r="C609" s="3">
        <v>8</v>
      </c>
      <c r="D609" t="str">
        <f t="shared" si="9"/>
        <v>Pin noir d'Autriche - Sud-Est (INRA, J.M. Ottorini &amp; J. Toth, 1975) - classe 3_8</v>
      </c>
      <c r="E609" s="3">
        <v>11.200000000000001</v>
      </c>
      <c r="F609" s="3">
        <v>0</v>
      </c>
      <c r="G609" s="3">
        <v>11.200000000000001</v>
      </c>
    </row>
    <row r="610" spans="1:7" x14ac:dyDescent="0.2">
      <c r="A610" s="3" t="s">
        <v>76</v>
      </c>
      <c r="B610" t="s">
        <v>959</v>
      </c>
      <c r="C610" s="3">
        <v>9</v>
      </c>
      <c r="D610" t="str">
        <f t="shared" si="9"/>
        <v>Pin noir d'Autriche - Sud-Est (INRA, J.M. Ottorini &amp; J. Toth, 1975) - classe 3_9</v>
      </c>
      <c r="E610" s="3">
        <v>12.600000000000001</v>
      </c>
      <c r="F610" s="3">
        <v>0</v>
      </c>
      <c r="G610" s="3">
        <v>12.600000000000001</v>
      </c>
    </row>
    <row r="611" spans="1:7" x14ac:dyDescent="0.2">
      <c r="A611" s="3" t="s">
        <v>76</v>
      </c>
      <c r="B611" t="s">
        <v>959</v>
      </c>
      <c r="C611" s="3">
        <v>10</v>
      </c>
      <c r="D611" t="str">
        <f t="shared" si="9"/>
        <v>Pin noir d'Autriche - Sud-Est (INRA, J.M. Ottorini &amp; J. Toth, 1975) - classe 3_10</v>
      </c>
      <c r="E611" s="3">
        <v>14.000000000000002</v>
      </c>
      <c r="F611" s="3">
        <v>0</v>
      </c>
      <c r="G611" s="3">
        <v>14.000000000000002</v>
      </c>
    </row>
    <row r="612" spans="1:7" x14ac:dyDescent="0.2">
      <c r="A612" s="3" t="s">
        <v>76</v>
      </c>
      <c r="B612" t="s">
        <v>959</v>
      </c>
      <c r="C612" s="3">
        <v>11</v>
      </c>
      <c r="D612" t="str">
        <f t="shared" si="9"/>
        <v>Pin noir d'Autriche - Sud-Est (INRA, J.M. Ottorini &amp; J. Toth, 1975) - classe 3_11</v>
      </c>
      <c r="E612" s="3">
        <v>15.400000000000002</v>
      </c>
      <c r="F612" s="3">
        <v>0</v>
      </c>
      <c r="G612" s="3">
        <v>15.400000000000002</v>
      </c>
    </row>
    <row r="613" spans="1:7" x14ac:dyDescent="0.2">
      <c r="A613" s="3" t="s">
        <v>76</v>
      </c>
      <c r="B613" t="s">
        <v>959</v>
      </c>
      <c r="C613" s="3">
        <v>12</v>
      </c>
      <c r="D613" t="str">
        <f t="shared" si="9"/>
        <v>Pin noir d'Autriche - Sud-Est (INRA, J.M. Ottorini &amp; J. Toth, 1975) - classe 3_12</v>
      </c>
      <c r="E613" s="3">
        <v>16.8</v>
      </c>
      <c r="F613" s="3">
        <v>0</v>
      </c>
      <c r="G613" s="3">
        <v>16.8</v>
      </c>
    </row>
    <row r="614" spans="1:7" x14ac:dyDescent="0.2">
      <c r="A614" s="3" t="s">
        <v>76</v>
      </c>
      <c r="B614" t="s">
        <v>959</v>
      </c>
      <c r="C614" s="3">
        <v>13</v>
      </c>
      <c r="D614" t="str">
        <f t="shared" si="9"/>
        <v>Pin noir d'Autriche - Sud-Est (INRA, J.M. Ottorini &amp; J. Toth, 1975) - classe 3_13</v>
      </c>
      <c r="E614" s="3">
        <v>18.2</v>
      </c>
      <c r="F614" s="3">
        <v>0</v>
      </c>
      <c r="G614" s="3">
        <v>18.2</v>
      </c>
    </row>
    <row r="615" spans="1:7" x14ac:dyDescent="0.2">
      <c r="A615" s="3" t="s">
        <v>76</v>
      </c>
      <c r="B615" t="s">
        <v>959</v>
      </c>
      <c r="C615" s="3">
        <v>14</v>
      </c>
      <c r="D615" t="str">
        <f t="shared" si="9"/>
        <v>Pin noir d'Autriche - Sud-Est (INRA, J.M. Ottorini &amp; J. Toth, 1975) - classe 3_14</v>
      </c>
      <c r="E615" s="3">
        <v>19.599999999999998</v>
      </c>
      <c r="F615" s="3">
        <v>0</v>
      </c>
      <c r="G615" s="3">
        <v>19.599999999999998</v>
      </c>
    </row>
    <row r="616" spans="1:7" x14ac:dyDescent="0.2">
      <c r="A616" s="3" t="s">
        <v>76</v>
      </c>
      <c r="B616" t="s">
        <v>959</v>
      </c>
      <c r="C616" s="3">
        <v>15</v>
      </c>
      <c r="D616" t="str">
        <f t="shared" si="9"/>
        <v>Pin noir d'Autriche - Sud-Est (INRA, J.M. Ottorini &amp; J. Toth, 1975) - classe 3_15</v>
      </c>
      <c r="E616" s="3">
        <v>20.999999999999996</v>
      </c>
      <c r="F616" s="3">
        <v>0</v>
      </c>
      <c r="G616" s="3">
        <v>20.999999999999996</v>
      </c>
    </row>
    <row r="617" spans="1:7" x14ac:dyDescent="0.2">
      <c r="A617" s="3" t="s">
        <v>76</v>
      </c>
      <c r="B617" t="s">
        <v>959</v>
      </c>
      <c r="C617" s="3">
        <v>16</v>
      </c>
      <c r="D617" t="str">
        <f t="shared" si="9"/>
        <v>Pin noir d'Autriche - Sud-Est (INRA, J.M. Ottorini &amp; J. Toth, 1975) - classe 3_16</v>
      </c>
      <c r="E617" s="3">
        <v>22.399999999999995</v>
      </c>
      <c r="F617" s="3">
        <v>0</v>
      </c>
      <c r="G617" s="3">
        <v>22.399999999999995</v>
      </c>
    </row>
    <row r="618" spans="1:7" x14ac:dyDescent="0.2">
      <c r="A618" s="3" t="s">
        <v>76</v>
      </c>
      <c r="B618" t="s">
        <v>959</v>
      </c>
      <c r="C618" s="3">
        <v>17</v>
      </c>
      <c r="D618" t="str">
        <f t="shared" si="9"/>
        <v>Pin noir d'Autriche - Sud-Est (INRA, J.M. Ottorini &amp; J. Toth, 1975) - classe 3_17</v>
      </c>
      <c r="E618" s="3">
        <v>23.799999999999994</v>
      </c>
      <c r="F618" s="3">
        <v>0</v>
      </c>
      <c r="G618" s="3">
        <v>23.799999999999994</v>
      </c>
    </row>
    <row r="619" spans="1:7" x14ac:dyDescent="0.2">
      <c r="A619" s="3" t="s">
        <v>76</v>
      </c>
      <c r="B619" t="s">
        <v>959</v>
      </c>
      <c r="C619" s="3">
        <v>18</v>
      </c>
      <c r="D619" t="str">
        <f t="shared" si="9"/>
        <v>Pin noir d'Autriche - Sud-Est (INRA, J.M. Ottorini &amp; J. Toth, 1975) - classe 3_18</v>
      </c>
      <c r="E619" s="3">
        <v>25.199999999999992</v>
      </c>
      <c r="F619" s="3">
        <v>0</v>
      </c>
      <c r="G619" s="3">
        <v>25.199999999999992</v>
      </c>
    </row>
    <row r="620" spans="1:7" x14ac:dyDescent="0.2">
      <c r="A620" s="3" t="s">
        <v>76</v>
      </c>
      <c r="B620" t="s">
        <v>959</v>
      </c>
      <c r="C620" s="3">
        <v>19</v>
      </c>
      <c r="D620" t="str">
        <f t="shared" si="9"/>
        <v>Pin noir d'Autriche - Sud-Est (INRA, J.M. Ottorini &amp; J. Toth, 1975) - classe 3_19</v>
      </c>
      <c r="E620" s="3">
        <v>26.599999999999991</v>
      </c>
      <c r="F620" s="3">
        <v>0</v>
      </c>
      <c r="G620" s="3">
        <v>26.599999999999991</v>
      </c>
    </row>
    <row r="621" spans="1:7" x14ac:dyDescent="0.2">
      <c r="A621" s="3" t="s">
        <v>76</v>
      </c>
      <c r="B621" t="s">
        <v>959</v>
      </c>
      <c r="C621" s="3">
        <v>20</v>
      </c>
      <c r="D621" t="str">
        <f t="shared" si="9"/>
        <v>Pin noir d'Autriche - Sud-Est (INRA, J.M. Ottorini &amp; J. Toth, 1975) - classe 3_20</v>
      </c>
      <c r="E621" s="3">
        <v>28</v>
      </c>
      <c r="F621" s="3">
        <v>1</v>
      </c>
      <c r="G621" s="3">
        <v>27</v>
      </c>
    </row>
    <row r="622" spans="1:7" x14ac:dyDescent="0.2">
      <c r="A622" s="3" t="s">
        <v>76</v>
      </c>
      <c r="B622" t="s">
        <v>959</v>
      </c>
      <c r="C622" s="3">
        <v>21</v>
      </c>
      <c r="D622" t="str">
        <f t="shared" si="9"/>
        <v>Pin noir d'Autriche - Sud-Est (INRA, J.M. Ottorini &amp; J. Toth, 1975) - classe 3_21</v>
      </c>
      <c r="E622" s="3">
        <v>33.5</v>
      </c>
      <c r="F622" s="3">
        <v>0</v>
      </c>
      <c r="G622" s="3">
        <v>33.5</v>
      </c>
    </row>
    <row r="623" spans="1:7" x14ac:dyDescent="0.2">
      <c r="A623" s="3" t="s">
        <v>76</v>
      </c>
      <c r="B623" t="s">
        <v>959</v>
      </c>
      <c r="C623" s="3">
        <v>22</v>
      </c>
      <c r="D623" t="str">
        <f t="shared" si="9"/>
        <v>Pin noir d'Autriche - Sud-Est (INRA, J.M. Ottorini &amp; J. Toth, 1975) - classe 3_22</v>
      </c>
      <c r="E623" s="3">
        <v>40</v>
      </c>
      <c r="F623" s="3">
        <v>0</v>
      </c>
      <c r="G623" s="3">
        <v>40</v>
      </c>
    </row>
    <row r="624" spans="1:7" x14ac:dyDescent="0.2">
      <c r="A624" s="3" t="s">
        <v>76</v>
      </c>
      <c r="B624" t="s">
        <v>959</v>
      </c>
      <c r="C624" s="3">
        <v>23</v>
      </c>
      <c r="D624" t="str">
        <f t="shared" si="9"/>
        <v>Pin noir d'Autriche - Sud-Est (INRA, J.M. Ottorini &amp; J. Toth, 1975) - classe 3_23</v>
      </c>
      <c r="E624" s="3">
        <v>46.5</v>
      </c>
      <c r="F624" s="3">
        <v>0</v>
      </c>
      <c r="G624" s="3">
        <v>46.5</v>
      </c>
    </row>
    <row r="625" spans="1:7" x14ac:dyDescent="0.2">
      <c r="A625" s="3" t="s">
        <v>76</v>
      </c>
      <c r="B625" t="s">
        <v>959</v>
      </c>
      <c r="C625" s="3">
        <v>24</v>
      </c>
      <c r="D625" t="str">
        <f t="shared" si="9"/>
        <v>Pin noir d'Autriche - Sud-Est (INRA, J.M. Ottorini &amp; J. Toth, 1975) - classe 3_24</v>
      </c>
      <c r="E625" s="3">
        <v>53</v>
      </c>
      <c r="F625" s="3">
        <v>0</v>
      </c>
      <c r="G625" s="3">
        <v>53</v>
      </c>
    </row>
    <row r="626" spans="1:7" x14ac:dyDescent="0.2">
      <c r="A626" s="3" t="s">
        <v>76</v>
      </c>
      <c r="B626" t="s">
        <v>959</v>
      </c>
      <c r="C626" s="3">
        <v>25</v>
      </c>
      <c r="D626" t="str">
        <f t="shared" si="9"/>
        <v>Pin noir d'Autriche - Sud-Est (INRA, J.M. Ottorini &amp; J. Toth, 1975) - classe 3_25</v>
      </c>
      <c r="E626" s="3">
        <v>59.5</v>
      </c>
      <c r="F626" s="3">
        <v>0</v>
      </c>
      <c r="G626" s="3">
        <v>59.5</v>
      </c>
    </row>
    <row r="627" spans="1:7" x14ac:dyDescent="0.2">
      <c r="A627" s="3" t="s">
        <v>76</v>
      </c>
      <c r="B627" t="s">
        <v>959</v>
      </c>
      <c r="C627" s="3">
        <v>26</v>
      </c>
      <c r="D627" t="str">
        <f t="shared" si="9"/>
        <v>Pin noir d'Autriche - Sud-Est (INRA, J.M. Ottorini &amp; J. Toth, 1975) - classe 3_26</v>
      </c>
      <c r="E627" s="3">
        <v>66</v>
      </c>
      <c r="F627" s="3">
        <v>0</v>
      </c>
      <c r="G627" s="3">
        <v>66</v>
      </c>
    </row>
    <row r="628" spans="1:7" x14ac:dyDescent="0.2">
      <c r="A628" s="3" t="s">
        <v>76</v>
      </c>
      <c r="B628" t="s">
        <v>959</v>
      </c>
      <c r="C628" s="3">
        <v>27</v>
      </c>
      <c r="D628" t="str">
        <f t="shared" si="9"/>
        <v>Pin noir d'Autriche - Sud-Est (INRA, J.M. Ottorini &amp; J. Toth, 1975) - classe 3_27</v>
      </c>
      <c r="E628" s="3">
        <v>72.5</v>
      </c>
      <c r="F628" s="3">
        <v>0</v>
      </c>
      <c r="G628" s="3">
        <v>72.5</v>
      </c>
    </row>
    <row r="629" spans="1:7" x14ac:dyDescent="0.2">
      <c r="A629" s="3" t="s">
        <v>76</v>
      </c>
      <c r="B629" t="s">
        <v>959</v>
      </c>
      <c r="C629" s="3">
        <v>28</v>
      </c>
      <c r="D629" t="str">
        <f t="shared" si="9"/>
        <v>Pin noir d'Autriche - Sud-Est (INRA, J.M. Ottorini &amp; J. Toth, 1975) - classe 3_28</v>
      </c>
      <c r="E629" s="3">
        <v>79</v>
      </c>
      <c r="F629" s="3">
        <v>0</v>
      </c>
      <c r="G629" s="3">
        <v>79</v>
      </c>
    </row>
    <row r="630" spans="1:7" x14ac:dyDescent="0.2">
      <c r="A630" s="3" t="s">
        <v>76</v>
      </c>
      <c r="B630" t="s">
        <v>959</v>
      </c>
      <c r="C630" s="3">
        <v>29</v>
      </c>
      <c r="D630" t="str">
        <f t="shared" si="9"/>
        <v>Pin noir d'Autriche - Sud-Est (INRA, J.M. Ottorini &amp; J. Toth, 1975) - classe 3_29</v>
      </c>
      <c r="E630" s="3">
        <v>85.5</v>
      </c>
      <c r="F630" s="3">
        <v>0</v>
      </c>
      <c r="G630" s="3">
        <v>85.5</v>
      </c>
    </row>
    <row r="631" spans="1:7" x14ac:dyDescent="0.2">
      <c r="A631" s="3" t="s">
        <v>76</v>
      </c>
      <c r="B631" t="s">
        <v>959</v>
      </c>
      <c r="C631" s="3">
        <v>30</v>
      </c>
      <c r="D631" t="str">
        <f t="shared" si="9"/>
        <v>Pin noir d'Autriche - Sud-Est (INRA, J.M. Ottorini &amp; J. Toth, 1975) - classe 3_30</v>
      </c>
      <c r="E631" s="3">
        <v>92</v>
      </c>
      <c r="F631" s="3">
        <v>5</v>
      </c>
      <c r="G631" s="3">
        <v>87</v>
      </c>
    </row>
    <row r="632" spans="1:7" x14ac:dyDescent="0.2">
      <c r="A632" s="3" t="s">
        <v>76</v>
      </c>
      <c r="B632" t="s">
        <v>960</v>
      </c>
      <c r="C632" s="3">
        <v>1</v>
      </c>
      <c r="D632" t="str">
        <f t="shared" si="9"/>
        <v>Pin noir d'Autriche - Sud-Est (INRA, J.M. Ottorini &amp; J. Toth, 1975) - classe 4_1</v>
      </c>
      <c r="E632" s="3">
        <v>0.2</v>
      </c>
      <c r="F632" s="3">
        <v>0</v>
      </c>
      <c r="G632" s="3">
        <v>0.2</v>
      </c>
    </row>
    <row r="633" spans="1:7" x14ac:dyDescent="0.2">
      <c r="A633" s="3" t="s">
        <v>76</v>
      </c>
      <c r="B633" t="s">
        <v>960</v>
      </c>
      <c r="C633" s="3">
        <v>2</v>
      </c>
      <c r="D633" t="str">
        <f t="shared" si="9"/>
        <v>Pin noir d'Autriche - Sud-Est (INRA, J.M. Ottorini &amp; J. Toth, 1975) - classe 4_2</v>
      </c>
      <c r="E633" s="3">
        <v>0.4</v>
      </c>
      <c r="F633" s="3">
        <v>0</v>
      </c>
      <c r="G633" s="3">
        <v>0.4</v>
      </c>
    </row>
    <row r="634" spans="1:7" x14ac:dyDescent="0.2">
      <c r="A634" s="3" t="s">
        <v>76</v>
      </c>
      <c r="B634" t="s">
        <v>960</v>
      </c>
      <c r="C634" s="3">
        <v>3</v>
      </c>
      <c r="D634" t="str">
        <f t="shared" si="9"/>
        <v>Pin noir d'Autriche - Sud-Est (INRA, J.M. Ottorini &amp; J. Toth, 1975) - classe 4_3</v>
      </c>
      <c r="E634" s="3">
        <v>0.60000000000000009</v>
      </c>
      <c r="F634" s="3">
        <v>0</v>
      </c>
      <c r="G634" s="3">
        <v>0.60000000000000009</v>
      </c>
    </row>
    <row r="635" spans="1:7" x14ac:dyDescent="0.2">
      <c r="A635" s="3" t="s">
        <v>76</v>
      </c>
      <c r="B635" t="s">
        <v>960</v>
      </c>
      <c r="C635" s="3">
        <v>4</v>
      </c>
      <c r="D635" t="str">
        <f t="shared" si="9"/>
        <v>Pin noir d'Autriche - Sud-Est (INRA, J.M. Ottorini &amp; J. Toth, 1975) - classe 4_4</v>
      </c>
      <c r="E635" s="3">
        <v>0.8</v>
      </c>
      <c r="F635" s="3">
        <v>0</v>
      </c>
      <c r="G635" s="3">
        <v>0.8</v>
      </c>
    </row>
    <row r="636" spans="1:7" x14ac:dyDescent="0.2">
      <c r="A636" s="3" t="s">
        <v>76</v>
      </c>
      <c r="B636" t="s">
        <v>960</v>
      </c>
      <c r="C636" s="3">
        <v>5</v>
      </c>
      <c r="D636" t="str">
        <f t="shared" si="9"/>
        <v>Pin noir d'Autriche - Sud-Est (INRA, J.M. Ottorini &amp; J. Toth, 1975) - classe 4_5</v>
      </c>
      <c r="E636" s="3">
        <v>1</v>
      </c>
      <c r="F636" s="3">
        <v>0</v>
      </c>
      <c r="G636" s="3">
        <v>1</v>
      </c>
    </row>
    <row r="637" spans="1:7" x14ac:dyDescent="0.2">
      <c r="A637" s="3" t="s">
        <v>76</v>
      </c>
      <c r="B637" t="s">
        <v>960</v>
      </c>
      <c r="C637" s="3">
        <v>6</v>
      </c>
      <c r="D637" t="str">
        <f t="shared" si="9"/>
        <v>Pin noir d'Autriche - Sud-Est (INRA, J.M. Ottorini &amp; J. Toth, 1975) - classe 4_6</v>
      </c>
      <c r="E637" s="3">
        <v>1.2</v>
      </c>
      <c r="F637" s="3">
        <v>0</v>
      </c>
      <c r="G637" s="3">
        <v>1.2</v>
      </c>
    </row>
    <row r="638" spans="1:7" x14ac:dyDescent="0.2">
      <c r="A638" s="3" t="s">
        <v>76</v>
      </c>
      <c r="B638" t="s">
        <v>960</v>
      </c>
      <c r="C638" s="3">
        <v>7</v>
      </c>
      <c r="D638" t="str">
        <f t="shared" si="9"/>
        <v>Pin noir d'Autriche - Sud-Est (INRA, J.M. Ottorini &amp; J. Toth, 1975) - classe 4_7</v>
      </c>
      <c r="E638" s="3">
        <v>1.4</v>
      </c>
      <c r="F638" s="3">
        <v>0</v>
      </c>
      <c r="G638" s="3">
        <v>1.4</v>
      </c>
    </row>
    <row r="639" spans="1:7" x14ac:dyDescent="0.2">
      <c r="A639" s="3" t="s">
        <v>76</v>
      </c>
      <c r="B639" t="s">
        <v>960</v>
      </c>
      <c r="C639" s="3">
        <v>8</v>
      </c>
      <c r="D639" t="str">
        <f t="shared" si="9"/>
        <v>Pin noir d'Autriche - Sud-Est (INRA, J.M. Ottorini &amp; J. Toth, 1975) - classe 4_8</v>
      </c>
      <c r="E639" s="3">
        <v>1.5999999999999999</v>
      </c>
      <c r="F639" s="3">
        <v>0</v>
      </c>
      <c r="G639" s="3">
        <v>1.5999999999999999</v>
      </c>
    </row>
    <row r="640" spans="1:7" x14ac:dyDescent="0.2">
      <c r="A640" s="3" t="s">
        <v>76</v>
      </c>
      <c r="B640" t="s">
        <v>960</v>
      </c>
      <c r="C640" s="3">
        <v>9</v>
      </c>
      <c r="D640" t="str">
        <f t="shared" si="9"/>
        <v>Pin noir d'Autriche - Sud-Est (INRA, J.M. Ottorini &amp; J. Toth, 1975) - classe 4_9</v>
      </c>
      <c r="E640" s="3">
        <v>1.7999999999999998</v>
      </c>
      <c r="F640" s="3">
        <v>0</v>
      </c>
      <c r="G640" s="3">
        <v>1.7999999999999998</v>
      </c>
    </row>
    <row r="641" spans="1:7" x14ac:dyDescent="0.2">
      <c r="A641" s="3" t="s">
        <v>76</v>
      </c>
      <c r="B641" t="s">
        <v>960</v>
      </c>
      <c r="C641" s="3">
        <v>10</v>
      </c>
      <c r="D641" t="str">
        <f t="shared" si="9"/>
        <v>Pin noir d'Autriche - Sud-Est (INRA, J.M. Ottorini &amp; J. Toth, 1975) - classe 4_10</v>
      </c>
      <c r="E641" s="3">
        <v>1.9999999999999998</v>
      </c>
      <c r="F641" s="3">
        <v>0</v>
      </c>
      <c r="G641" s="3">
        <v>1.9999999999999998</v>
      </c>
    </row>
    <row r="642" spans="1:7" x14ac:dyDescent="0.2">
      <c r="A642" s="3" t="s">
        <v>76</v>
      </c>
      <c r="B642" t="s">
        <v>960</v>
      </c>
      <c r="C642" s="3">
        <v>11</v>
      </c>
      <c r="D642" t="str">
        <f t="shared" si="9"/>
        <v>Pin noir d'Autriche - Sud-Est (INRA, J.M. Ottorini &amp; J. Toth, 1975) - classe 4_11</v>
      </c>
      <c r="E642" s="3">
        <v>2.1999999999999997</v>
      </c>
      <c r="F642" s="3">
        <v>0</v>
      </c>
      <c r="G642" s="3">
        <v>2.1999999999999997</v>
      </c>
    </row>
    <row r="643" spans="1:7" x14ac:dyDescent="0.2">
      <c r="A643" s="3" t="s">
        <v>76</v>
      </c>
      <c r="B643" t="s">
        <v>960</v>
      </c>
      <c r="C643" s="3">
        <v>12</v>
      </c>
      <c r="D643" t="str">
        <f t="shared" ref="D643:D706" si="10">CONCATENATE(B643,"_",C643)</f>
        <v>Pin noir d'Autriche - Sud-Est (INRA, J.M. Ottorini &amp; J. Toth, 1975) - classe 4_12</v>
      </c>
      <c r="E643" s="3">
        <v>2.4</v>
      </c>
      <c r="F643" s="3">
        <v>0</v>
      </c>
      <c r="G643" s="3">
        <v>2.4</v>
      </c>
    </row>
    <row r="644" spans="1:7" x14ac:dyDescent="0.2">
      <c r="A644" s="3" t="s">
        <v>76</v>
      </c>
      <c r="B644" t="s">
        <v>960</v>
      </c>
      <c r="C644" s="3">
        <v>13</v>
      </c>
      <c r="D644" t="str">
        <f t="shared" si="10"/>
        <v>Pin noir d'Autriche - Sud-Est (INRA, J.M. Ottorini &amp; J. Toth, 1975) - classe 4_13</v>
      </c>
      <c r="E644" s="3">
        <v>2.6</v>
      </c>
      <c r="F644" s="3">
        <v>0</v>
      </c>
      <c r="G644" s="3">
        <v>2.6</v>
      </c>
    </row>
    <row r="645" spans="1:7" x14ac:dyDescent="0.2">
      <c r="A645" s="3" t="s">
        <v>76</v>
      </c>
      <c r="B645" t="s">
        <v>960</v>
      </c>
      <c r="C645" s="3">
        <v>14</v>
      </c>
      <c r="D645" t="str">
        <f t="shared" si="10"/>
        <v>Pin noir d'Autriche - Sud-Est (INRA, J.M. Ottorini &amp; J. Toth, 1975) - classe 4_14</v>
      </c>
      <c r="E645" s="3">
        <v>2.8000000000000003</v>
      </c>
      <c r="F645" s="3">
        <v>0</v>
      </c>
      <c r="G645" s="3">
        <v>2.8000000000000003</v>
      </c>
    </row>
    <row r="646" spans="1:7" x14ac:dyDescent="0.2">
      <c r="A646" s="3" t="s">
        <v>76</v>
      </c>
      <c r="B646" t="s">
        <v>960</v>
      </c>
      <c r="C646" s="3">
        <v>15</v>
      </c>
      <c r="D646" t="str">
        <f t="shared" si="10"/>
        <v>Pin noir d'Autriche - Sud-Est (INRA, J.M. Ottorini &amp; J. Toth, 1975) - classe 4_15</v>
      </c>
      <c r="E646" s="3">
        <v>3.0000000000000004</v>
      </c>
      <c r="F646" s="3">
        <v>0</v>
      </c>
      <c r="G646" s="3">
        <v>3.0000000000000004</v>
      </c>
    </row>
    <row r="647" spans="1:7" x14ac:dyDescent="0.2">
      <c r="A647" s="3" t="s">
        <v>76</v>
      </c>
      <c r="B647" t="s">
        <v>960</v>
      </c>
      <c r="C647" s="3">
        <v>16</v>
      </c>
      <c r="D647" t="str">
        <f t="shared" si="10"/>
        <v>Pin noir d'Autriche - Sud-Est (INRA, J.M. Ottorini &amp; J. Toth, 1975) - classe 4_16</v>
      </c>
      <c r="E647" s="3">
        <v>3.2000000000000006</v>
      </c>
      <c r="F647" s="3">
        <v>0</v>
      </c>
      <c r="G647" s="3">
        <v>3.2000000000000006</v>
      </c>
    </row>
    <row r="648" spans="1:7" x14ac:dyDescent="0.2">
      <c r="A648" s="3" t="s">
        <v>76</v>
      </c>
      <c r="B648" t="s">
        <v>960</v>
      </c>
      <c r="C648" s="3">
        <v>17</v>
      </c>
      <c r="D648" t="str">
        <f t="shared" si="10"/>
        <v>Pin noir d'Autriche - Sud-Est (INRA, J.M. Ottorini &amp; J. Toth, 1975) - classe 4_17</v>
      </c>
      <c r="E648" s="3">
        <v>3.4000000000000008</v>
      </c>
      <c r="F648" s="3">
        <v>0</v>
      </c>
      <c r="G648" s="3">
        <v>3.4000000000000008</v>
      </c>
    </row>
    <row r="649" spans="1:7" x14ac:dyDescent="0.2">
      <c r="A649" s="3" t="s">
        <v>76</v>
      </c>
      <c r="B649" t="s">
        <v>960</v>
      </c>
      <c r="C649" s="3">
        <v>18</v>
      </c>
      <c r="D649" t="str">
        <f t="shared" si="10"/>
        <v>Pin noir d'Autriche - Sud-Est (INRA, J.M. Ottorini &amp; J. Toth, 1975) - classe 4_18</v>
      </c>
      <c r="E649" s="3">
        <v>3.600000000000001</v>
      </c>
      <c r="F649" s="3">
        <v>0</v>
      </c>
      <c r="G649" s="3">
        <v>3.600000000000001</v>
      </c>
    </row>
    <row r="650" spans="1:7" x14ac:dyDescent="0.2">
      <c r="A650" s="3" t="s">
        <v>76</v>
      </c>
      <c r="B650" t="s">
        <v>960</v>
      </c>
      <c r="C650" s="3">
        <v>19</v>
      </c>
      <c r="D650" t="str">
        <f t="shared" si="10"/>
        <v>Pin noir d'Autriche - Sud-Est (INRA, J.M. Ottorini &amp; J. Toth, 1975) - classe 4_19</v>
      </c>
      <c r="E650" s="3">
        <v>3.8000000000000012</v>
      </c>
      <c r="F650" s="3">
        <v>0</v>
      </c>
      <c r="G650" s="3">
        <v>3.8000000000000012</v>
      </c>
    </row>
    <row r="651" spans="1:7" x14ac:dyDescent="0.2">
      <c r="A651" s="3" t="s">
        <v>76</v>
      </c>
      <c r="B651" t="s">
        <v>960</v>
      </c>
      <c r="C651" s="3">
        <v>20</v>
      </c>
      <c r="D651" t="str">
        <f t="shared" si="10"/>
        <v>Pin noir d'Autriche - Sud-Est (INRA, J.M. Ottorini &amp; J. Toth, 1975) - classe 4_20</v>
      </c>
      <c r="E651" s="3">
        <v>4</v>
      </c>
      <c r="F651" s="3">
        <v>0</v>
      </c>
      <c r="G651" s="3">
        <v>4</v>
      </c>
    </row>
    <row r="652" spans="1:7" x14ac:dyDescent="0.2">
      <c r="A652" s="3" t="s">
        <v>76</v>
      </c>
      <c r="B652" t="s">
        <v>960</v>
      </c>
      <c r="C652" s="3">
        <v>21</v>
      </c>
      <c r="D652" t="str">
        <f t="shared" si="10"/>
        <v>Pin noir d'Autriche - Sud-Est (INRA, J.M. Ottorini &amp; J. Toth, 1975) - classe 4_21</v>
      </c>
      <c r="E652" s="3">
        <v>8</v>
      </c>
      <c r="F652" s="3">
        <v>0</v>
      </c>
      <c r="G652" s="3">
        <v>8</v>
      </c>
    </row>
    <row r="653" spans="1:7" x14ac:dyDescent="0.2">
      <c r="A653" s="3" t="s">
        <v>76</v>
      </c>
      <c r="B653" t="s">
        <v>960</v>
      </c>
      <c r="C653" s="3">
        <v>22</v>
      </c>
      <c r="D653" t="str">
        <f t="shared" si="10"/>
        <v>Pin noir d'Autriche - Sud-Est (INRA, J.M. Ottorini &amp; J. Toth, 1975) - classe 4_22</v>
      </c>
      <c r="E653" s="3">
        <v>12</v>
      </c>
      <c r="F653" s="3">
        <v>0</v>
      </c>
      <c r="G653" s="3">
        <v>12</v>
      </c>
    </row>
    <row r="654" spans="1:7" x14ac:dyDescent="0.2">
      <c r="A654" s="3" t="s">
        <v>76</v>
      </c>
      <c r="B654" t="s">
        <v>960</v>
      </c>
      <c r="C654" s="3">
        <v>23</v>
      </c>
      <c r="D654" t="str">
        <f t="shared" si="10"/>
        <v>Pin noir d'Autriche - Sud-Est (INRA, J.M. Ottorini &amp; J. Toth, 1975) - classe 4_23</v>
      </c>
      <c r="E654" s="3">
        <v>16</v>
      </c>
      <c r="F654" s="3">
        <v>0</v>
      </c>
      <c r="G654" s="3">
        <v>16</v>
      </c>
    </row>
    <row r="655" spans="1:7" x14ac:dyDescent="0.2">
      <c r="A655" s="3" t="s">
        <v>76</v>
      </c>
      <c r="B655" t="s">
        <v>960</v>
      </c>
      <c r="C655" s="3">
        <v>24</v>
      </c>
      <c r="D655" t="str">
        <f t="shared" si="10"/>
        <v>Pin noir d'Autriche - Sud-Est (INRA, J.M. Ottorini &amp; J. Toth, 1975) - classe 4_24</v>
      </c>
      <c r="E655" s="3">
        <v>20</v>
      </c>
      <c r="F655" s="3">
        <v>0</v>
      </c>
      <c r="G655" s="3">
        <v>20</v>
      </c>
    </row>
    <row r="656" spans="1:7" x14ac:dyDescent="0.2">
      <c r="A656" s="3" t="s">
        <v>76</v>
      </c>
      <c r="B656" t="s">
        <v>960</v>
      </c>
      <c r="C656" s="3">
        <v>25</v>
      </c>
      <c r="D656" t="str">
        <f t="shared" si="10"/>
        <v>Pin noir d'Autriche - Sud-Est (INRA, J.M. Ottorini &amp; J. Toth, 1975) - classe 4_25</v>
      </c>
      <c r="E656" s="3">
        <v>24</v>
      </c>
      <c r="F656" s="3">
        <v>0</v>
      </c>
      <c r="G656" s="3">
        <v>24</v>
      </c>
    </row>
    <row r="657" spans="1:7" x14ac:dyDescent="0.2">
      <c r="A657" s="3" t="s">
        <v>76</v>
      </c>
      <c r="B657" t="s">
        <v>960</v>
      </c>
      <c r="C657" s="3">
        <v>26</v>
      </c>
      <c r="D657" t="str">
        <f t="shared" si="10"/>
        <v>Pin noir d'Autriche - Sud-Est (INRA, J.M. Ottorini &amp; J. Toth, 1975) - classe 4_26</v>
      </c>
      <c r="E657" s="3">
        <v>28</v>
      </c>
      <c r="F657" s="3">
        <v>0</v>
      </c>
      <c r="G657" s="3">
        <v>28</v>
      </c>
    </row>
    <row r="658" spans="1:7" x14ac:dyDescent="0.2">
      <c r="A658" s="3" t="s">
        <v>76</v>
      </c>
      <c r="B658" t="s">
        <v>960</v>
      </c>
      <c r="C658" s="3">
        <v>27</v>
      </c>
      <c r="D658" t="str">
        <f t="shared" si="10"/>
        <v>Pin noir d'Autriche - Sud-Est (INRA, J.M. Ottorini &amp; J. Toth, 1975) - classe 4_27</v>
      </c>
      <c r="E658" s="3">
        <v>32</v>
      </c>
      <c r="F658" s="3">
        <v>0</v>
      </c>
      <c r="G658" s="3">
        <v>32</v>
      </c>
    </row>
    <row r="659" spans="1:7" x14ac:dyDescent="0.2">
      <c r="A659" s="3" t="s">
        <v>76</v>
      </c>
      <c r="B659" t="s">
        <v>960</v>
      </c>
      <c r="C659" s="3">
        <v>28</v>
      </c>
      <c r="D659" t="str">
        <f t="shared" si="10"/>
        <v>Pin noir d'Autriche - Sud-Est (INRA, J.M. Ottorini &amp; J. Toth, 1975) - classe 4_28</v>
      </c>
      <c r="E659" s="3">
        <v>36</v>
      </c>
      <c r="F659" s="3">
        <v>0</v>
      </c>
      <c r="G659" s="3">
        <v>36</v>
      </c>
    </row>
    <row r="660" spans="1:7" x14ac:dyDescent="0.2">
      <c r="A660" s="3" t="s">
        <v>76</v>
      </c>
      <c r="B660" t="s">
        <v>960</v>
      </c>
      <c r="C660" s="3">
        <v>29</v>
      </c>
      <c r="D660" t="str">
        <f t="shared" si="10"/>
        <v>Pin noir d'Autriche - Sud-Est (INRA, J.M. Ottorini &amp; J. Toth, 1975) - classe 4_29</v>
      </c>
      <c r="E660" s="3">
        <v>40</v>
      </c>
      <c r="F660" s="3">
        <v>0</v>
      </c>
      <c r="G660" s="3">
        <v>40</v>
      </c>
    </row>
    <row r="661" spans="1:7" x14ac:dyDescent="0.2">
      <c r="A661" s="3" t="s">
        <v>76</v>
      </c>
      <c r="B661" t="s">
        <v>960</v>
      </c>
      <c r="C661" s="3">
        <v>30</v>
      </c>
      <c r="D661" t="str">
        <f t="shared" si="10"/>
        <v>Pin noir d'Autriche - Sud-Est (INRA, J.M. Ottorini &amp; J. Toth, 1975) - classe 4_30</v>
      </c>
      <c r="E661" s="3">
        <v>44</v>
      </c>
      <c r="F661" s="3">
        <v>2</v>
      </c>
      <c r="G661" s="3">
        <v>42</v>
      </c>
    </row>
    <row r="662" spans="1:7" x14ac:dyDescent="0.2">
      <c r="A662" s="3" t="s">
        <v>76</v>
      </c>
      <c r="B662" t="s">
        <v>961</v>
      </c>
      <c r="C662" s="3">
        <v>1</v>
      </c>
      <c r="D662" t="str">
        <f t="shared" si="10"/>
        <v>Épicéa commun - Nord-Est (INRA, N.Decourt, 1971) - classe 1_1</v>
      </c>
      <c r="E662" s="3">
        <v>15.88</v>
      </c>
      <c r="F662" s="3">
        <v>0</v>
      </c>
      <c r="G662" s="3">
        <v>15.88</v>
      </c>
    </row>
    <row r="663" spans="1:7" x14ac:dyDescent="0.2">
      <c r="A663" s="3" t="s">
        <v>76</v>
      </c>
      <c r="B663" t="s">
        <v>961</v>
      </c>
      <c r="C663" s="3">
        <v>2</v>
      </c>
      <c r="D663" t="str">
        <f t="shared" si="10"/>
        <v>Épicéa commun - Nord-Est (INRA, N.Decourt, 1971) - classe 1_2</v>
      </c>
      <c r="E663" s="3">
        <v>31.76</v>
      </c>
      <c r="F663" s="3">
        <v>0</v>
      </c>
      <c r="G663" s="3">
        <v>31.76</v>
      </c>
    </row>
    <row r="664" spans="1:7" x14ac:dyDescent="0.2">
      <c r="A664" s="3" t="s">
        <v>76</v>
      </c>
      <c r="B664" t="s">
        <v>961</v>
      </c>
      <c r="C664" s="3">
        <v>3</v>
      </c>
      <c r="D664" t="str">
        <f t="shared" si="10"/>
        <v>Épicéa commun - Nord-Est (INRA, N.Decourt, 1971) - classe 1_3</v>
      </c>
      <c r="E664" s="3">
        <v>47.64</v>
      </c>
      <c r="F664" s="3">
        <v>0</v>
      </c>
      <c r="G664" s="3">
        <v>47.64</v>
      </c>
    </row>
    <row r="665" spans="1:7" x14ac:dyDescent="0.2">
      <c r="A665" s="3" t="s">
        <v>76</v>
      </c>
      <c r="B665" t="s">
        <v>961</v>
      </c>
      <c r="C665" s="3">
        <v>4</v>
      </c>
      <c r="D665" t="str">
        <f t="shared" si="10"/>
        <v>Épicéa commun - Nord-Est (INRA, N.Decourt, 1971) - classe 1_4</v>
      </c>
      <c r="E665" s="3">
        <v>63.52</v>
      </c>
      <c r="F665" s="3">
        <v>0</v>
      </c>
      <c r="G665" s="3">
        <v>63.52</v>
      </c>
    </row>
    <row r="666" spans="1:7" x14ac:dyDescent="0.2">
      <c r="A666" s="3" t="s">
        <v>76</v>
      </c>
      <c r="B666" t="s">
        <v>961</v>
      </c>
      <c r="C666" s="3">
        <v>5</v>
      </c>
      <c r="D666" t="str">
        <f t="shared" si="10"/>
        <v>Épicéa commun - Nord-Est (INRA, N.Decourt, 1971) - classe 1_5</v>
      </c>
      <c r="E666" s="3">
        <v>79.400000000000006</v>
      </c>
      <c r="F666" s="3">
        <v>0</v>
      </c>
      <c r="G666" s="3">
        <v>79.400000000000006</v>
      </c>
    </row>
    <row r="667" spans="1:7" x14ac:dyDescent="0.2">
      <c r="A667" s="3" t="s">
        <v>76</v>
      </c>
      <c r="B667" t="s">
        <v>961</v>
      </c>
      <c r="C667" s="3">
        <v>6</v>
      </c>
      <c r="D667" t="str">
        <f t="shared" si="10"/>
        <v>Épicéa commun - Nord-Est (INRA, N.Decourt, 1971) - classe 1_6</v>
      </c>
      <c r="E667" s="3">
        <v>95.28</v>
      </c>
      <c r="F667" s="3">
        <v>0</v>
      </c>
      <c r="G667" s="3">
        <v>95.28</v>
      </c>
    </row>
    <row r="668" spans="1:7" x14ac:dyDescent="0.2">
      <c r="A668" s="3" t="s">
        <v>76</v>
      </c>
      <c r="B668" t="s">
        <v>961</v>
      </c>
      <c r="C668" s="3">
        <v>7</v>
      </c>
      <c r="D668" t="str">
        <f t="shared" si="10"/>
        <v>Épicéa commun - Nord-Est (INRA, N.Decourt, 1971) - classe 1_7</v>
      </c>
      <c r="E668" s="3">
        <v>111.16</v>
      </c>
      <c r="F668" s="3">
        <v>0</v>
      </c>
      <c r="G668" s="3">
        <v>111.16</v>
      </c>
    </row>
    <row r="669" spans="1:7" x14ac:dyDescent="0.2">
      <c r="A669" s="3" t="s">
        <v>76</v>
      </c>
      <c r="B669" t="s">
        <v>961</v>
      </c>
      <c r="C669" s="3">
        <v>8</v>
      </c>
      <c r="D669" t="str">
        <f t="shared" si="10"/>
        <v>Épicéa commun - Nord-Est (INRA, N.Decourt, 1971) - classe 1_8</v>
      </c>
      <c r="E669" s="3">
        <v>127.03999999999999</v>
      </c>
      <c r="F669" s="3">
        <v>0</v>
      </c>
      <c r="G669" s="3">
        <v>127.03999999999999</v>
      </c>
    </row>
    <row r="670" spans="1:7" x14ac:dyDescent="0.2">
      <c r="A670" s="3" t="s">
        <v>76</v>
      </c>
      <c r="B670" t="s">
        <v>961</v>
      </c>
      <c r="C670" s="3">
        <v>9</v>
      </c>
      <c r="D670" t="str">
        <f t="shared" si="10"/>
        <v>Épicéa commun - Nord-Est (INRA, N.Decourt, 1971) - classe 1_9</v>
      </c>
      <c r="E670" s="3">
        <v>142.91999999999999</v>
      </c>
      <c r="F670" s="3">
        <v>0</v>
      </c>
      <c r="G670" s="3">
        <v>142.91999999999999</v>
      </c>
    </row>
    <row r="671" spans="1:7" x14ac:dyDescent="0.2">
      <c r="A671" s="3" t="s">
        <v>76</v>
      </c>
      <c r="B671" t="s">
        <v>961</v>
      </c>
      <c r="C671" s="3">
        <v>10</v>
      </c>
      <c r="D671" t="str">
        <f t="shared" si="10"/>
        <v>Épicéa commun - Nord-Est (INRA, N.Decourt, 1971) - classe 1_10</v>
      </c>
      <c r="E671" s="3">
        <v>158.79999999999998</v>
      </c>
      <c r="F671" s="3">
        <v>0</v>
      </c>
      <c r="G671" s="3">
        <v>158.79999999999998</v>
      </c>
    </row>
    <row r="672" spans="1:7" x14ac:dyDescent="0.2">
      <c r="A672" s="3" t="s">
        <v>76</v>
      </c>
      <c r="B672" t="s">
        <v>961</v>
      </c>
      <c r="C672" s="3">
        <v>11</v>
      </c>
      <c r="D672" t="str">
        <f t="shared" si="10"/>
        <v>Épicéa commun - Nord-Est (INRA, N.Decourt, 1971) - classe 1_11</v>
      </c>
      <c r="E672" s="3">
        <v>174.67999999999998</v>
      </c>
      <c r="F672" s="3">
        <v>0</v>
      </c>
      <c r="G672" s="3">
        <v>174.67999999999998</v>
      </c>
    </row>
    <row r="673" spans="1:7" x14ac:dyDescent="0.2">
      <c r="A673" s="3" t="s">
        <v>76</v>
      </c>
      <c r="B673" t="s">
        <v>961</v>
      </c>
      <c r="C673" s="3">
        <v>12</v>
      </c>
      <c r="D673" t="str">
        <f t="shared" si="10"/>
        <v>Épicéa commun - Nord-Est (INRA, N.Decourt, 1971) - classe 1_12</v>
      </c>
      <c r="E673" s="3">
        <v>190.55999999999997</v>
      </c>
      <c r="F673" s="3">
        <v>0</v>
      </c>
      <c r="G673" s="3">
        <v>190.55999999999997</v>
      </c>
    </row>
    <row r="674" spans="1:7" x14ac:dyDescent="0.2">
      <c r="A674" s="3" t="s">
        <v>76</v>
      </c>
      <c r="B674" t="s">
        <v>961</v>
      </c>
      <c r="C674" s="3">
        <v>13</v>
      </c>
      <c r="D674" t="str">
        <f t="shared" si="10"/>
        <v>Épicéa commun - Nord-Est (INRA, N.Decourt, 1971) - classe 1_13</v>
      </c>
      <c r="E674" s="3">
        <v>206.43999999999997</v>
      </c>
      <c r="F674" s="3">
        <v>0</v>
      </c>
      <c r="G674" s="3">
        <v>206.43999999999997</v>
      </c>
    </row>
    <row r="675" spans="1:7" x14ac:dyDescent="0.2">
      <c r="A675" s="3" t="s">
        <v>76</v>
      </c>
      <c r="B675" t="s">
        <v>961</v>
      </c>
      <c r="C675" s="3">
        <v>14</v>
      </c>
      <c r="D675" t="str">
        <f t="shared" si="10"/>
        <v>Épicéa commun - Nord-Est (INRA, N.Decourt, 1971) - classe 1_14</v>
      </c>
      <c r="E675" s="3">
        <v>222.31999999999996</v>
      </c>
      <c r="F675" s="3">
        <v>0</v>
      </c>
      <c r="G675" s="3">
        <v>222.31999999999996</v>
      </c>
    </row>
    <row r="676" spans="1:7" x14ac:dyDescent="0.2">
      <c r="A676" s="3" t="s">
        <v>76</v>
      </c>
      <c r="B676" t="s">
        <v>961</v>
      </c>
      <c r="C676" s="3">
        <v>15</v>
      </c>
      <c r="D676" t="str">
        <f t="shared" si="10"/>
        <v>Épicéa commun - Nord-Est (INRA, N.Decourt, 1971) - classe 1_15</v>
      </c>
      <c r="E676" s="3">
        <v>238.19999999999996</v>
      </c>
      <c r="F676" s="3">
        <v>0</v>
      </c>
      <c r="G676" s="3">
        <v>238.19999999999996</v>
      </c>
    </row>
    <row r="677" spans="1:7" x14ac:dyDescent="0.2">
      <c r="A677" s="3" t="s">
        <v>76</v>
      </c>
      <c r="B677" t="s">
        <v>961</v>
      </c>
      <c r="C677" s="3">
        <v>16</v>
      </c>
      <c r="D677" t="str">
        <f t="shared" si="10"/>
        <v>Épicéa commun - Nord-Est (INRA, N.Decourt, 1971) - classe 1_16</v>
      </c>
      <c r="E677" s="3">
        <v>254.07999999999996</v>
      </c>
      <c r="F677" s="3">
        <v>0</v>
      </c>
      <c r="G677" s="3">
        <v>254.07999999999996</v>
      </c>
    </row>
    <row r="678" spans="1:7" x14ac:dyDescent="0.2">
      <c r="A678" s="3" t="s">
        <v>76</v>
      </c>
      <c r="B678" t="s">
        <v>961</v>
      </c>
      <c r="C678" s="3">
        <v>17</v>
      </c>
      <c r="D678" t="str">
        <f t="shared" si="10"/>
        <v>Épicéa commun - Nord-Est (INRA, N.Decourt, 1971) - classe 1_17</v>
      </c>
      <c r="E678" s="3">
        <v>269.95999999999998</v>
      </c>
      <c r="F678" s="3">
        <v>0</v>
      </c>
      <c r="G678" s="3">
        <v>269.95999999999998</v>
      </c>
    </row>
    <row r="679" spans="1:7" x14ac:dyDescent="0.2">
      <c r="A679" s="3" t="s">
        <v>76</v>
      </c>
      <c r="B679" t="s">
        <v>961</v>
      </c>
      <c r="C679" s="3">
        <v>18</v>
      </c>
      <c r="D679" t="str">
        <f t="shared" si="10"/>
        <v>Épicéa commun - Nord-Est (INRA, N.Decourt, 1971) - classe 1_18</v>
      </c>
      <c r="E679" s="3">
        <v>285.83999999999997</v>
      </c>
      <c r="F679" s="3">
        <v>0</v>
      </c>
      <c r="G679" s="3">
        <v>285.83999999999997</v>
      </c>
    </row>
    <row r="680" spans="1:7" x14ac:dyDescent="0.2">
      <c r="A680" s="3" t="s">
        <v>76</v>
      </c>
      <c r="B680" t="s">
        <v>961</v>
      </c>
      <c r="C680" s="3">
        <v>19</v>
      </c>
      <c r="D680" t="str">
        <f t="shared" si="10"/>
        <v>Épicéa commun - Nord-Est (INRA, N.Decourt, 1971) - classe 1_19</v>
      </c>
      <c r="E680" s="3">
        <v>301.71999999999997</v>
      </c>
      <c r="F680" s="3">
        <v>0</v>
      </c>
      <c r="G680" s="3">
        <v>301.71999999999997</v>
      </c>
    </row>
    <row r="681" spans="1:7" x14ac:dyDescent="0.2">
      <c r="A681" s="3" t="s">
        <v>76</v>
      </c>
      <c r="B681" t="s">
        <v>961</v>
      </c>
      <c r="C681" s="3">
        <v>20</v>
      </c>
      <c r="D681" t="str">
        <f t="shared" si="10"/>
        <v>Épicéa commun - Nord-Est (INRA, N.Decourt, 1971) - classe 1_20</v>
      </c>
      <c r="E681" s="3">
        <v>317.59999999999997</v>
      </c>
      <c r="F681" s="3">
        <v>0</v>
      </c>
      <c r="G681" s="3">
        <v>317.59999999999997</v>
      </c>
    </row>
    <row r="682" spans="1:7" x14ac:dyDescent="0.2">
      <c r="A682" s="3" t="s">
        <v>76</v>
      </c>
      <c r="B682" t="s">
        <v>961</v>
      </c>
      <c r="C682" s="3">
        <v>21</v>
      </c>
      <c r="D682" t="str">
        <f t="shared" si="10"/>
        <v>Épicéa commun - Nord-Est (INRA, N.Decourt, 1971) - classe 1_21</v>
      </c>
      <c r="E682" s="3">
        <v>333.47999999999996</v>
      </c>
      <c r="F682" s="3">
        <v>0</v>
      </c>
      <c r="G682" s="3">
        <v>333.47999999999996</v>
      </c>
    </row>
    <row r="683" spans="1:7" x14ac:dyDescent="0.2">
      <c r="A683" s="3" t="s">
        <v>76</v>
      </c>
      <c r="B683" t="s">
        <v>961</v>
      </c>
      <c r="C683" s="3">
        <v>22</v>
      </c>
      <c r="D683" t="str">
        <f t="shared" si="10"/>
        <v>Épicéa commun - Nord-Est (INRA, N.Decourt, 1971) - classe 1_22</v>
      </c>
      <c r="E683" s="3">
        <v>349.35999999999996</v>
      </c>
      <c r="F683" s="3">
        <v>0</v>
      </c>
      <c r="G683" s="3">
        <v>349.35999999999996</v>
      </c>
    </row>
    <row r="684" spans="1:7" x14ac:dyDescent="0.2">
      <c r="A684" s="3" t="s">
        <v>76</v>
      </c>
      <c r="B684" t="s">
        <v>961</v>
      </c>
      <c r="C684" s="3">
        <v>23</v>
      </c>
      <c r="D684" t="str">
        <f t="shared" si="10"/>
        <v>Épicéa commun - Nord-Est (INRA, N.Decourt, 1971) - classe 1_23</v>
      </c>
      <c r="E684" s="3">
        <v>365.23999999999995</v>
      </c>
      <c r="F684" s="3">
        <v>0</v>
      </c>
      <c r="G684" s="3">
        <v>365.23999999999995</v>
      </c>
    </row>
    <row r="685" spans="1:7" x14ac:dyDescent="0.2">
      <c r="A685" s="3" t="s">
        <v>76</v>
      </c>
      <c r="B685" t="s">
        <v>961</v>
      </c>
      <c r="C685" s="3">
        <v>24</v>
      </c>
      <c r="D685" t="str">
        <f t="shared" si="10"/>
        <v>Épicéa commun - Nord-Est (INRA, N.Decourt, 1971) - classe 1_24</v>
      </c>
      <c r="E685" s="3">
        <v>381.11999999999995</v>
      </c>
      <c r="F685" s="3">
        <v>0</v>
      </c>
      <c r="G685" s="3">
        <v>381.11999999999995</v>
      </c>
    </row>
    <row r="686" spans="1:7" x14ac:dyDescent="0.2">
      <c r="A686" s="3" t="s">
        <v>76</v>
      </c>
      <c r="B686" t="s">
        <v>961</v>
      </c>
      <c r="C686" s="3">
        <v>25</v>
      </c>
      <c r="D686" t="str">
        <f t="shared" si="10"/>
        <v>Épicéa commun - Nord-Est (INRA, N.Decourt, 1971) - classe 1_25</v>
      </c>
      <c r="E686" s="3">
        <v>397</v>
      </c>
      <c r="F686" s="3">
        <v>70</v>
      </c>
      <c r="G686" s="3">
        <v>327</v>
      </c>
    </row>
    <row r="687" spans="1:7" x14ac:dyDescent="0.2">
      <c r="A687" s="3" t="s">
        <v>76</v>
      </c>
      <c r="B687" t="s">
        <v>961</v>
      </c>
      <c r="C687" s="3">
        <v>26</v>
      </c>
      <c r="D687" t="str">
        <f t="shared" si="10"/>
        <v>Épicéa commun - Nord-Est (INRA, N.Decourt, 1971) - classe 1_26</v>
      </c>
      <c r="E687" s="3">
        <v>355.6</v>
      </c>
      <c r="F687" s="3">
        <v>0</v>
      </c>
      <c r="G687" s="3">
        <v>355.6</v>
      </c>
    </row>
    <row r="688" spans="1:7" x14ac:dyDescent="0.2">
      <c r="A688" s="3" t="s">
        <v>76</v>
      </c>
      <c r="B688" t="s">
        <v>961</v>
      </c>
      <c r="C688" s="3">
        <v>27</v>
      </c>
      <c r="D688" t="str">
        <f t="shared" si="10"/>
        <v>Épicéa commun - Nord-Est (INRA, N.Decourt, 1971) - classe 1_27</v>
      </c>
      <c r="E688" s="3">
        <v>384.20000000000005</v>
      </c>
      <c r="F688" s="3">
        <v>0</v>
      </c>
      <c r="G688" s="3">
        <v>384.20000000000005</v>
      </c>
    </row>
    <row r="689" spans="1:7" x14ac:dyDescent="0.2">
      <c r="A689" s="3" t="s">
        <v>76</v>
      </c>
      <c r="B689" t="s">
        <v>961</v>
      </c>
      <c r="C689" s="3">
        <v>28</v>
      </c>
      <c r="D689" t="str">
        <f t="shared" si="10"/>
        <v>Épicéa commun - Nord-Est (INRA, N.Decourt, 1971) - classe 1_28</v>
      </c>
      <c r="E689" s="3">
        <v>412.80000000000007</v>
      </c>
      <c r="F689" s="3">
        <v>0</v>
      </c>
      <c r="G689" s="3">
        <v>412.80000000000007</v>
      </c>
    </row>
    <row r="690" spans="1:7" x14ac:dyDescent="0.2">
      <c r="A690" s="3" t="s">
        <v>76</v>
      </c>
      <c r="B690" t="s">
        <v>961</v>
      </c>
      <c r="C690" s="3">
        <v>29</v>
      </c>
      <c r="D690" t="str">
        <f t="shared" si="10"/>
        <v>Épicéa commun - Nord-Est (INRA, N.Decourt, 1971) - classe 1_29</v>
      </c>
      <c r="E690" s="3">
        <v>441.40000000000009</v>
      </c>
      <c r="F690" s="3">
        <v>0</v>
      </c>
      <c r="G690" s="3">
        <v>441.40000000000009</v>
      </c>
    </row>
    <row r="691" spans="1:7" x14ac:dyDescent="0.2">
      <c r="A691" s="3" t="s">
        <v>76</v>
      </c>
      <c r="B691" t="s">
        <v>961</v>
      </c>
      <c r="C691" s="3">
        <v>30</v>
      </c>
      <c r="D691" t="str">
        <f t="shared" si="10"/>
        <v>Épicéa commun - Nord-Est (INRA, N.Decourt, 1971) - classe 1_30</v>
      </c>
      <c r="E691" s="3">
        <v>470</v>
      </c>
      <c r="F691" s="3">
        <v>49</v>
      </c>
      <c r="G691" s="3">
        <v>421</v>
      </c>
    </row>
    <row r="692" spans="1:7" x14ac:dyDescent="0.2">
      <c r="A692" s="3" t="s">
        <v>76</v>
      </c>
      <c r="B692" t="s">
        <v>962</v>
      </c>
      <c r="C692" s="3">
        <v>1</v>
      </c>
      <c r="D692" t="str">
        <f t="shared" si="10"/>
        <v>Épicéa commun - Nord-Est (INRA, N.Decourt, 1971) - classe 2_1</v>
      </c>
      <c r="E692" s="3">
        <v>8.92</v>
      </c>
      <c r="F692" s="3">
        <v>0</v>
      </c>
      <c r="G692" s="3">
        <v>8.92</v>
      </c>
    </row>
    <row r="693" spans="1:7" x14ac:dyDescent="0.2">
      <c r="A693" s="3" t="s">
        <v>76</v>
      </c>
      <c r="B693" t="s">
        <v>962</v>
      </c>
      <c r="C693" s="3">
        <v>2</v>
      </c>
      <c r="D693" t="str">
        <f t="shared" si="10"/>
        <v>Épicéa commun - Nord-Est (INRA, N.Decourt, 1971) - classe 2_2</v>
      </c>
      <c r="E693" s="3">
        <v>17.84</v>
      </c>
      <c r="F693" s="3">
        <v>0</v>
      </c>
      <c r="G693" s="3">
        <v>17.84</v>
      </c>
    </row>
    <row r="694" spans="1:7" x14ac:dyDescent="0.2">
      <c r="A694" s="3" t="s">
        <v>76</v>
      </c>
      <c r="B694" t="s">
        <v>962</v>
      </c>
      <c r="C694" s="3">
        <v>3</v>
      </c>
      <c r="D694" t="str">
        <f t="shared" si="10"/>
        <v>Épicéa commun - Nord-Est (INRA, N.Decourt, 1971) - classe 2_3</v>
      </c>
      <c r="E694" s="3">
        <v>26.759999999999998</v>
      </c>
      <c r="F694" s="3">
        <v>0</v>
      </c>
      <c r="G694" s="3">
        <v>26.759999999999998</v>
      </c>
    </row>
    <row r="695" spans="1:7" x14ac:dyDescent="0.2">
      <c r="A695" s="3" t="s">
        <v>76</v>
      </c>
      <c r="B695" t="s">
        <v>962</v>
      </c>
      <c r="C695" s="3">
        <v>4</v>
      </c>
      <c r="D695" t="str">
        <f t="shared" si="10"/>
        <v>Épicéa commun - Nord-Est (INRA, N.Decourt, 1971) - classe 2_4</v>
      </c>
      <c r="E695" s="3">
        <v>35.68</v>
      </c>
      <c r="F695" s="3">
        <v>0</v>
      </c>
      <c r="G695" s="3">
        <v>35.68</v>
      </c>
    </row>
    <row r="696" spans="1:7" x14ac:dyDescent="0.2">
      <c r="A696" s="3" t="s">
        <v>76</v>
      </c>
      <c r="B696" t="s">
        <v>962</v>
      </c>
      <c r="C696" s="3">
        <v>5</v>
      </c>
      <c r="D696" t="str">
        <f t="shared" si="10"/>
        <v>Épicéa commun - Nord-Est (INRA, N.Decourt, 1971) - classe 2_5</v>
      </c>
      <c r="E696" s="3">
        <v>44.6</v>
      </c>
      <c r="F696" s="3">
        <v>0</v>
      </c>
      <c r="G696" s="3">
        <v>44.6</v>
      </c>
    </row>
    <row r="697" spans="1:7" x14ac:dyDescent="0.2">
      <c r="A697" s="3" t="s">
        <v>76</v>
      </c>
      <c r="B697" t="s">
        <v>962</v>
      </c>
      <c r="C697" s="3">
        <v>6</v>
      </c>
      <c r="D697" t="str">
        <f t="shared" si="10"/>
        <v>Épicéa commun - Nord-Est (INRA, N.Decourt, 1971) - classe 2_6</v>
      </c>
      <c r="E697" s="3">
        <v>53.52</v>
      </c>
      <c r="F697" s="3">
        <v>0</v>
      </c>
      <c r="G697" s="3">
        <v>53.52</v>
      </c>
    </row>
    <row r="698" spans="1:7" x14ac:dyDescent="0.2">
      <c r="A698" s="3" t="s">
        <v>76</v>
      </c>
      <c r="B698" t="s">
        <v>962</v>
      </c>
      <c r="C698" s="3">
        <v>7</v>
      </c>
      <c r="D698" t="str">
        <f t="shared" si="10"/>
        <v>Épicéa commun - Nord-Est (INRA, N.Decourt, 1971) - classe 2_7</v>
      </c>
      <c r="E698" s="3">
        <v>62.440000000000005</v>
      </c>
      <c r="F698" s="3">
        <v>0</v>
      </c>
      <c r="G698" s="3">
        <v>62.440000000000005</v>
      </c>
    </row>
    <row r="699" spans="1:7" x14ac:dyDescent="0.2">
      <c r="A699" s="3" t="s">
        <v>76</v>
      </c>
      <c r="B699" t="s">
        <v>962</v>
      </c>
      <c r="C699" s="3">
        <v>8</v>
      </c>
      <c r="D699" t="str">
        <f t="shared" si="10"/>
        <v>Épicéa commun - Nord-Est (INRA, N.Decourt, 1971) - classe 2_8</v>
      </c>
      <c r="E699" s="3">
        <v>71.36</v>
      </c>
      <c r="F699" s="3">
        <v>0</v>
      </c>
      <c r="G699" s="3">
        <v>71.36</v>
      </c>
    </row>
    <row r="700" spans="1:7" x14ac:dyDescent="0.2">
      <c r="A700" s="3" t="s">
        <v>76</v>
      </c>
      <c r="B700" t="s">
        <v>962</v>
      </c>
      <c r="C700" s="3">
        <v>9</v>
      </c>
      <c r="D700" t="str">
        <f t="shared" si="10"/>
        <v>Épicéa commun - Nord-Est (INRA, N.Decourt, 1971) - classe 2_9</v>
      </c>
      <c r="E700" s="3">
        <v>80.28</v>
      </c>
      <c r="F700" s="3">
        <v>0</v>
      </c>
      <c r="G700" s="3">
        <v>80.28</v>
      </c>
    </row>
    <row r="701" spans="1:7" x14ac:dyDescent="0.2">
      <c r="A701" s="3" t="s">
        <v>76</v>
      </c>
      <c r="B701" t="s">
        <v>962</v>
      </c>
      <c r="C701" s="3">
        <v>10</v>
      </c>
      <c r="D701" t="str">
        <f t="shared" si="10"/>
        <v>Épicéa commun - Nord-Est (INRA, N.Decourt, 1971) - classe 2_10</v>
      </c>
      <c r="E701" s="3">
        <v>89.2</v>
      </c>
      <c r="F701" s="3">
        <v>0</v>
      </c>
      <c r="G701" s="3">
        <v>89.2</v>
      </c>
    </row>
    <row r="702" spans="1:7" x14ac:dyDescent="0.2">
      <c r="A702" s="3" t="s">
        <v>76</v>
      </c>
      <c r="B702" t="s">
        <v>962</v>
      </c>
      <c r="C702" s="3">
        <v>11</v>
      </c>
      <c r="D702" t="str">
        <f t="shared" si="10"/>
        <v>Épicéa commun - Nord-Est (INRA, N.Decourt, 1971) - classe 2_11</v>
      </c>
      <c r="E702" s="3">
        <v>98.12</v>
      </c>
      <c r="F702" s="3">
        <v>0</v>
      </c>
      <c r="G702" s="3">
        <v>98.12</v>
      </c>
    </row>
    <row r="703" spans="1:7" x14ac:dyDescent="0.2">
      <c r="A703" s="3" t="s">
        <v>76</v>
      </c>
      <c r="B703" t="s">
        <v>962</v>
      </c>
      <c r="C703" s="3">
        <v>12</v>
      </c>
      <c r="D703" t="str">
        <f t="shared" si="10"/>
        <v>Épicéa commun - Nord-Est (INRA, N.Decourt, 1971) - classe 2_12</v>
      </c>
      <c r="E703" s="3">
        <v>107.04</v>
      </c>
      <c r="F703" s="3">
        <v>0</v>
      </c>
      <c r="G703" s="3">
        <v>107.04</v>
      </c>
    </row>
    <row r="704" spans="1:7" x14ac:dyDescent="0.2">
      <c r="A704" s="3" t="s">
        <v>76</v>
      </c>
      <c r="B704" t="s">
        <v>962</v>
      </c>
      <c r="C704" s="3">
        <v>13</v>
      </c>
      <c r="D704" t="str">
        <f t="shared" si="10"/>
        <v>Épicéa commun - Nord-Est (INRA, N.Decourt, 1971) - classe 2_13</v>
      </c>
      <c r="E704" s="3">
        <v>115.96000000000001</v>
      </c>
      <c r="F704" s="3">
        <v>0</v>
      </c>
      <c r="G704" s="3">
        <v>115.96000000000001</v>
      </c>
    </row>
    <row r="705" spans="1:7" x14ac:dyDescent="0.2">
      <c r="A705" s="3" t="s">
        <v>76</v>
      </c>
      <c r="B705" t="s">
        <v>962</v>
      </c>
      <c r="C705" s="3">
        <v>14</v>
      </c>
      <c r="D705" t="str">
        <f t="shared" si="10"/>
        <v>Épicéa commun - Nord-Est (INRA, N.Decourt, 1971) - classe 2_14</v>
      </c>
      <c r="E705" s="3">
        <v>124.88000000000001</v>
      </c>
      <c r="F705" s="3">
        <v>0</v>
      </c>
      <c r="G705" s="3">
        <v>124.88000000000001</v>
      </c>
    </row>
    <row r="706" spans="1:7" x14ac:dyDescent="0.2">
      <c r="A706" s="3" t="s">
        <v>76</v>
      </c>
      <c r="B706" t="s">
        <v>962</v>
      </c>
      <c r="C706" s="3">
        <v>15</v>
      </c>
      <c r="D706" t="str">
        <f t="shared" si="10"/>
        <v>Épicéa commun - Nord-Est (INRA, N.Decourt, 1971) - classe 2_15</v>
      </c>
      <c r="E706" s="3">
        <v>133.80000000000001</v>
      </c>
      <c r="F706" s="3">
        <v>0</v>
      </c>
      <c r="G706" s="3">
        <v>133.80000000000001</v>
      </c>
    </row>
    <row r="707" spans="1:7" x14ac:dyDescent="0.2">
      <c r="A707" s="3" t="s">
        <v>76</v>
      </c>
      <c r="B707" t="s">
        <v>962</v>
      </c>
      <c r="C707" s="3">
        <v>16</v>
      </c>
      <c r="D707" t="str">
        <f t="shared" ref="D707:D770" si="11">CONCATENATE(B707,"_",C707)</f>
        <v>Épicéa commun - Nord-Est (INRA, N.Decourt, 1971) - classe 2_16</v>
      </c>
      <c r="E707" s="3">
        <v>142.72</v>
      </c>
      <c r="F707" s="3">
        <v>0</v>
      </c>
      <c r="G707" s="3">
        <v>142.72</v>
      </c>
    </row>
    <row r="708" spans="1:7" x14ac:dyDescent="0.2">
      <c r="A708" s="3" t="s">
        <v>76</v>
      </c>
      <c r="B708" t="s">
        <v>962</v>
      </c>
      <c r="C708" s="3">
        <v>17</v>
      </c>
      <c r="D708" t="str">
        <f t="shared" si="11"/>
        <v>Épicéa commun - Nord-Est (INRA, N.Decourt, 1971) - classe 2_17</v>
      </c>
      <c r="E708" s="3">
        <v>151.63999999999999</v>
      </c>
      <c r="F708" s="3">
        <v>0</v>
      </c>
      <c r="G708" s="3">
        <v>151.63999999999999</v>
      </c>
    </row>
    <row r="709" spans="1:7" x14ac:dyDescent="0.2">
      <c r="A709" s="3" t="s">
        <v>76</v>
      </c>
      <c r="B709" t="s">
        <v>962</v>
      </c>
      <c r="C709" s="3">
        <v>18</v>
      </c>
      <c r="D709" t="str">
        <f t="shared" si="11"/>
        <v>Épicéa commun - Nord-Est (INRA, N.Decourt, 1971) - classe 2_18</v>
      </c>
      <c r="E709" s="3">
        <v>160.55999999999997</v>
      </c>
      <c r="F709" s="3">
        <v>0</v>
      </c>
      <c r="G709" s="3">
        <v>160.55999999999997</v>
      </c>
    </row>
    <row r="710" spans="1:7" x14ac:dyDescent="0.2">
      <c r="A710" s="3" t="s">
        <v>76</v>
      </c>
      <c r="B710" t="s">
        <v>962</v>
      </c>
      <c r="C710" s="3">
        <v>19</v>
      </c>
      <c r="D710" t="str">
        <f t="shared" si="11"/>
        <v>Épicéa commun - Nord-Est (INRA, N.Decourt, 1971) - classe 2_19</v>
      </c>
      <c r="E710" s="3">
        <v>169.47999999999996</v>
      </c>
      <c r="F710" s="3">
        <v>0</v>
      </c>
      <c r="G710" s="3">
        <v>169.47999999999996</v>
      </c>
    </row>
    <row r="711" spans="1:7" x14ac:dyDescent="0.2">
      <c r="A711" s="3" t="s">
        <v>76</v>
      </c>
      <c r="B711" t="s">
        <v>962</v>
      </c>
      <c r="C711" s="3">
        <v>20</v>
      </c>
      <c r="D711" t="str">
        <f t="shared" si="11"/>
        <v>Épicéa commun - Nord-Est (INRA, N.Decourt, 1971) - classe 2_20</v>
      </c>
      <c r="E711" s="3">
        <v>178.39999999999995</v>
      </c>
      <c r="F711" s="3">
        <v>0</v>
      </c>
      <c r="G711" s="3">
        <v>178.39999999999995</v>
      </c>
    </row>
    <row r="712" spans="1:7" x14ac:dyDescent="0.2">
      <c r="A712" s="3" t="s">
        <v>76</v>
      </c>
      <c r="B712" t="s">
        <v>962</v>
      </c>
      <c r="C712" s="3">
        <v>21</v>
      </c>
      <c r="D712" t="str">
        <f t="shared" si="11"/>
        <v>Épicéa commun - Nord-Est (INRA, N.Decourt, 1971) - classe 2_21</v>
      </c>
      <c r="E712" s="3">
        <v>187.31999999999994</v>
      </c>
      <c r="F712" s="3">
        <v>0</v>
      </c>
      <c r="G712" s="3">
        <v>187.31999999999994</v>
      </c>
    </row>
    <row r="713" spans="1:7" x14ac:dyDescent="0.2">
      <c r="A713" s="3" t="s">
        <v>76</v>
      </c>
      <c r="B713" t="s">
        <v>962</v>
      </c>
      <c r="C713" s="3">
        <v>22</v>
      </c>
      <c r="D713" t="str">
        <f t="shared" si="11"/>
        <v>Épicéa commun - Nord-Est (INRA, N.Decourt, 1971) - classe 2_22</v>
      </c>
      <c r="E713" s="3">
        <v>196.23999999999992</v>
      </c>
      <c r="F713" s="3">
        <v>0</v>
      </c>
      <c r="G713" s="3">
        <v>196.23999999999992</v>
      </c>
    </row>
    <row r="714" spans="1:7" x14ac:dyDescent="0.2">
      <c r="A714" s="3" t="s">
        <v>76</v>
      </c>
      <c r="B714" t="s">
        <v>962</v>
      </c>
      <c r="C714" s="3">
        <v>23</v>
      </c>
      <c r="D714" t="str">
        <f t="shared" si="11"/>
        <v>Épicéa commun - Nord-Est (INRA, N.Decourt, 1971) - classe 2_23</v>
      </c>
      <c r="E714" s="3">
        <v>205.15999999999991</v>
      </c>
      <c r="F714" s="3">
        <v>0</v>
      </c>
      <c r="G714" s="3">
        <v>205.15999999999991</v>
      </c>
    </row>
    <row r="715" spans="1:7" x14ac:dyDescent="0.2">
      <c r="A715" s="3" t="s">
        <v>76</v>
      </c>
      <c r="B715" t="s">
        <v>962</v>
      </c>
      <c r="C715" s="3">
        <v>24</v>
      </c>
      <c r="D715" t="str">
        <f t="shared" si="11"/>
        <v>Épicéa commun - Nord-Est (INRA, N.Decourt, 1971) - classe 2_24</v>
      </c>
      <c r="E715" s="3">
        <v>214.0799999999999</v>
      </c>
      <c r="F715" s="3">
        <v>0</v>
      </c>
      <c r="G715" s="3">
        <v>214.0799999999999</v>
      </c>
    </row>
    <row r="716" spans="1:7" x14ac:dyDescent="0.2">
      <c r="A716" s="3" t="s">
        <v>76</v>
      </c>
      <c r="B716" t="s">
        <v>962</v>
      </c>
      <c r="C716" s="3">
        <v>25</v>
      </c>
      <c r="D716" t="str">
        <f t="shared" si="11"/>
        <v>Épicéa commun - Nord-Est (INRA, N.Decourt, 1971) - classe 2_25</v>
      </c>
      <c r="E716" s="3">
        <v>223</v>
      </c>
      <c r="F716" s="3">
        <v>25</v>
      </c>
      <c r="G716" s="3">
        <v>198</v>
      </c>
    </row>
    <row r="717" spans="1:7" x14ac:dyDescent="0.2">
      <c r="A717" s="3" t="s">
        <v>76</v>
      </c>
      <c r="B717" t="s">
        <v>962</v>
      </c>
      <c r="C717" s="3">
        <v>26</v>
      </c>
      <c r="D717" t="str">
        <f t="shared" si="11"/>
        <v>Épicéa commun - Nord-Est (INRA, N.Decourt, 1971) - classe 2_26</v>
      </c>
      <c r="E717" s="3">
        <v>224.4</v>
      </c>
      <c r="F717" s="3">
        <v>0</v>
      </c>
      <c r="G717" s="3">
        <v>224.4</v>
      </c>
    </row>
    <row r="718" spans="1:7" x14ac:dyDescent="0.2">
      <c r="A718" s="3" t="s">
        <v>76</v>
      </c>
      <c r="B718" t="s">
        <v>962</v>
      </c>
      <c r="C718" s="3">
        <v>27</v>
      </c>
      <c r="D718" t="str">
        <f t="shared" si="11"/>
        <v>Épicéa commun - Nord-Est (INRA, N.Decourt, 1971) - classe 2_27</v>
      </c>
      <c r="E718" s="3">
        <v>250.8</v>
      </c>
      <c r="F718" s="3">
        <v>0</v>
      </c>
      <c r="G718" s="3">
        <v>250.8</v>
      </c>
    </row>
    <row r="719" spans="1:7" x14ac:dyDescent="0.2">
      <c r="A719" s="3" t="s">
        <v>76</v>
      </c>
      <c r="B719" t="s">
        <v>962</v>
      </c>
      <c r="C719" s="3">
        <v>28</v>
      </c>
      <c r="D719" t="str">
        <f t="shared" si="11"/>
        <v>Épicéa commun - Nord-Est (INRA, N.Decourt, 1971) - classe 2_28</v>
      </c>
      <c r="E719" s="3">
        <v>277.2</v>
      </c>
      <c r="F719" s="3">
        <v>0</v>
      </c>
      <c r="G719" s="3">
        <v>277.2</v>
      </c>
    </row>
    <row r="720" spans="1:7" x14ac:dyDescent="0.2">
      <c r="A720" s="3" t="s">
        <v>76</v>
      </c>
      <c r="B720" t="s">
        <v>962</v>
      </c>
      <c r="C720" s="3">
        <v>29</v>
      </c>
      <c r="D720" t="str">
        <f t="shared" si="11"/>
        <v>Épicéa commun - Nord-Est (INRA, N.Decourt, 1971) - classe 2_29</v>
      </c>
      <c r="E720" s="3">
        <v>303.59999999999997</v>
      </c>
      <c r="F720" s="3">
        <v>0</v>
      </c>
      <c r="G720" s="3">
        <v>303.59999999999997</v>
      </c>
    </row>
    <row r="721" spans="1:7" x14ac:dyDescent="0.2">
      <c r="A721" s="3" t="s">
        <v>76</v>
      </c>
      <c r="B721" t="s">
        <v>962</v>
      </c>
      <c r="C721" s="3">
        <v>30</v>
      </c>
      <c r="D721" t="str">
        <f t="shared" si="11"/>
        <v>Épicéa commun - Nord-Est (INRA, N.Decourt, 1971) - classe 2_30</v>
      </c>
      <c r="E721" s="3">
        <v>330</v>
      </c>
      <c r="F721" s="3">
        <v>32</v>
      </c>
      <c r="G721" s="3">
        <v>298</v>
      </c>
    </row>
    <row r="722" spans="1:7" x14ac:dyDescent="0.2">
      <c r="A722" s="3" t="s">
        <v>76</v>
      </c>
      <c r="B722" t="s">
        <v>963</v>
      </c>
      <c r="C722" s="3">
        <v>1</v>
      </c>
      <c r="D722" t="str">
        <f t="shared" si="11"/>
        <v>Épicéa commun - Nord-Est (INRA, N.Decourt, 1971) - classe 3_1</v>
      </c>
      <c r="E722" s="3">
        <v>7.4333333333333336</v>
      </c>
      <c r="F722" s="3">
        <v>0</v>
      </c>
      <c r="G722" s="3">
        <v>7.4333333333333336</v>
      </c>
    </row>
    <row r="723" spans="1:7" x14ac:dyDescent="0.2">
      <c r="A723" s="3" t="s">
        <v>76</v>
      </c>
      <c r="B723" t="s">
        <v>963</v>
      </c>
      <c r="C723" s="3">
        <v>2</v>
      </c>
      <c r="D723" t="str">
        <f t="shared" si="11"/>
        <v>Épicéa commun - Nord-Est (INRA, N.Decourt, 1971) - classe 3_2</v>
      </c>
      <c r="E723" s="3">
        <v>14.866666666666667</v>
      </c>
      <c r="F723" s="3">
        <v>0</v>
      </c>
      <c r="G723" s="3">
        <v>14.866666666666667</v>
      </c>
    </row>
    <row r="724" spans="1:7" x14ac:dyDescent="0.2">
      <c r="A724" s="3" t="s">
        <v>76</v>
      </c>
      <c r="B724" t="s">
        <v>963</v>
      </c>
      <c r="C724" s="3">
        <v>3</v>
      </c>
      <c r="D724" t="str">
        <f t="shared" si="11"/>
        <v>Épicéa commun - Nord-Est (INRA, N.Decourt, 1971) - classe 3_3</v>
      </c>
      <c r="E724" s="3">
        <v>22.3</v>
      </c>
      <c r="F724" s="3">
        <v>0</v>
      </c>
      <c r="G724" s="3">
        <v>22.3</v>
      </c>
    </row>
    <row r="725" spans="1:7" x14ac:dyDescent="0.2">
      <c r="A725" s="3" t="s">
        <v>76</v>
      </c>
      <c r="B725" t="s">
        <v>963</v>
      </c>
      <c r="C725" s="3">
        <v>4</v>
      </c>
      <c r="D725" t="str">
        <f t="shared" si="11"/>
        <v>Épicéa commun - Nord-Est (INRA, N.Decourt, 1971) - classe 3_4</v>
      </c>
      <c r="E725" s="3">
        <v>29.733333333333334</v>
      </c>
      <c r="F725" s="3">
        <v>0</v>
      </c>
      <c r="G725" s="3">
        <v>29.733333333333334</v>
      </c>
    </row>
    <row r="726" spans="1:7" x14ac:dyDescent="0.2">
      <c r="A726" s="3" t="s">
        <v>76</v>
      </c>
      <c r="B726" t="s">
        <v>963</v>
      </c>
      <c r="C726" s="3">
        <v>5</v>
      </c>
      <c r="D726" t="str">
        <f t="shared" si="11"/>
        <v>Épicéa commun - Nord-Est (INRA, N.Decourt, 1971) - classe 3_5</v>
      </c>
      <c r="E726" s="3">
        <v>37.166666666666671</v>
      </c>
      <c r="F726" s="3">
        <v>0</v>
      </c>
      <c r="G726" s="3">
        <v>37.166666666666671</v>
      </c>
    </row>
    <row r="727" spans="1:7" x14ac:dyDescent="0.2">
      <c r="A727" s="3" t="s">
        <v>76</v>
      </c>
      <c r="B727" t="s">
        <v>963</v>
      </c>
      <c r="C727" s="3">
        <v>6</v>
      </c>
      <c r="D727" t="str">
        <f t="shared" si="11"/>
        <v>Épicéa commun - Nord-Est (INRA, N.Decourt, 1971) - classe 3_6</v>
      </c>
      <c r="E727" s="3">
        <v>44.600000000000009</v>
      </c>
      <c r="F727" s="3">
        <v>0</v>
      </c>
      <c r="G727" s="3">
        <v>44.600000000000009</v>
      </c>
    </row>
    <row r="728" spans="1:7" x14ac:dyDescent="0.2">
      <c r="A728" s="3" t="s">
        <v>76</v>
      </c>
      <c r="B728" t="s">
        <v>963</v>
      </c>
      <c r="C728" s="3">
        <v>7</v>
      </c>
      <c r="D728" t="str">
        <f t="shared" si="11"/>
        <v>Épicéa commun - Nord-Est (INRA, N.Decourt, 1971) - classe 3_7</v>
      </c>
      <c r="E728" s="3">
        <v>52.033333333333346</v>
      </c>
      <c r="F728" s="3">
        <v>0</v>
      </c>
      <c r="G728" s="3">
        <v>52.033333333333346</v>
      </c>
    </row>
    <row r="729" spans="1:7" x14ac:dyDescent="0.2">
      <c r="A729" s="3" t="s">
        <v>76</v>
      </c>
      <c r="B729" t="s">
        <v>963</v>
      </c>
      <c r="C729" s="3">
        <v>8</v>
      </c>
      <c r="D729" t="str">
        <f t="shared" si="11"/>
        <v>Épicéa commun - Nord-Est (INRA, N.Decourt, 1971) - classe 3_8</v>
      </c>
      <c r="E729" s="3">
        <v>59.466666666666683</v>
      </c>
      <c r="F729" s="3">
        <v>0</v>
      </c>
      <c r="G729" s="3">
        <v>59.466666666666683</v>
      </c>
    </row>
    <row r="730" spans="1:7" x14ac:dyDescent="0.2">
      <c r="A730" s="3" t="s">
        <v>76</v>
      </c>
      <c r="B730" t="s">
        <v>963</v>
      </c>
      <c r="C730" s="3">
        <v>9</v>
      </c>
      <c r="D730" t="str">
        <f t="shared" si="11"/>
        <v>Épicéa commun - Nord-Est (INRA, N.Decourt, 1971) - classe 3_9</v>
      </c>
      <c r="E730" s="3">
        <v>66.90000000000002</v>
      </c>
      <c r="F730" s="3">
        <v>0</v>
      </c>
      <c r="G730" s="3">
        <v>66.90000000000002</v>
      </c>
    </row>
    <row r="731" spans="1:7" x14ac:dyDescent="0.2">
      <c r="A731" s="3" t="s">
        <v>76</v>
      </c>
      <c r="B731" t="s">
        <v>963</v>
      </c>
      <c r="C731" s="3">
        <v>10</v>
      </c>
      <c r="D731" t="str">
        <f t="shared" si="11"/>
        <v>Épicéa commun - Nord-Est (INRA, N.Decourt, 1971) - classe 3_10</v>
      </c>
      <c r="E731" s="3">
        <v>74.333333333333357</v>
      </c>
      <c r="F731" s="3">
        <v>0</v>
      </c>
      <c r="G731" s="3">
        <v>74.333333333333357</v>
      </c>
    </row>
    <row r="732" spans="1:7" x14ac:dyDescent="0.2">
      <c r="A732" s="3" t="s">
        <v>76</v>
      </c>
      <c r="B732" t="s">
        <v>963</v>
      </c>
      <c r="C732" s="3">
        <v>11</v>
      </c>
      <c r="D732" t="str">
        <f t="shared" si="11"/>
        <v>Épicéa commun - Nord-Est (INRA, N.Decourt, 1971) - classe 3_11</v>
      </c>
      <c r="E732" s="3">
        <v>81.766666666666694</v>
      </c>
      <c r="F732" s="3">
        <v>0</v>
      </c>
      <c r="G732" s="3">
        <v>81.766666666666694</v>
      </c>
    </row>
    <row r="733" spans="1:7" x14ac:dyDescent="0.2">
      <c r="A733" s="3" t="s">
        <v>76</v>
      </c>
      <c r="B733" t="s">
        <v>963</v>
      </c>
      <c r="C733" s="3">
        <v>12</v>
      </c>
      <c r="D733" t="str">
        <f t="shared" si="11"/>
        <v>Épicéa commun - Nord-Est (INRA, N.Decourt, 1971) - classe 3_12</v>
      </c>
      <c r="E733" s="3">
        <v>89.200000000000031</v>
      </c>
      <c r="F733" s="3">
        <v>0</v>
      </c>
      <c r="G733" s="3">
        <v>89.200000000000031</v>
      </c>
    </row>
    <row r="734" spans="1:7" x14ac:dyDescent="0.2">
      <c r="A734" s="3" t="s">
        <v>76</v>
      </c>
      <c r="B734" t="s">
        <v>963</v>
      </c>
      <c r="C734" s="3">
        <v>13</v>
      </c>
      <c r="D734" t="str">
        <f t="shared" si="11"/>
        <v>Épicéa commun - Nord-Est (INRA, N.Decourt, 1971) - classe 3_13</v>
      </c>
      <c r="E734" s="3">
        <v>96.633333333333368</v>
      </c>
      <c r="F734" s="3">
        <v>0</v>
      </c>
      <c r="G734" s="3">
        <v>96.633333333333368</v>
      </c>
    </row>
    <row r="735" spans="1:7" x14ac:dyDescent="0.2">
      <c r="A735" s="3" t="s">
        <v>76</v>
      </c>
      <c r="B735" t="s">
        <v>963</v>
      </c>
      <c r="C735" s="3">
        <v>14</v>
      </c>
      <c r="D735" t="str">
        <f t="shared" si="11"/>
        <v>Épicéa commun - Nord-Est (INRA, N.Decourt, 1971) - classe 3_14</v>
      </c>
      <c r="E735" s="3">
        <v>104.06666666666671</v>
      </c>
      <c r="F735" s="3">
        <v>0</v>
      </c>
      <c r="G735" s="3">
        <v>104.06666666666671</v>
      </c>
    </row>
    <row r="736" spans="1:7" x14ac:dyDescent="0.2">
      <c r="A736" s="3" t="s">
        <v>76</v>
      </c>
      <c r="B736" t="s">
        <v>963</v>
      </c>
      <c r="C736" s="3">
        <v>15</v>
      </c>
      <c r="D736" t="str">
        <f t="shared" si="11"/>
        <v>Épicéa commun - Nord-Est (INRA, N.Decourt, 1971) - classe 3_15</v>
      </c>
      <c r="E736" s="3">
        <v>111.50000000000004</v>
      </c>
      <c r="F736" s="3">
        <v>0</v>
      </c>
      <c r="G736" s="3">
        <v>111.50000000000004</v>
      </c>
    </row>
    <row r="737" spans="1:7" x14ac:dyDescent="0.2">
      <c r="A737" s="3" t="s">
        <v>76</v>
      </c>
      <c r="B737" t="s">
        <v>963</v>
      </c>
      <c r="C737" s="3">
        <v>16</v>
      </c>
      <c r="D737" t="str">
        <f t="shared" si="11"/>
        <v>Épicéa commun - Nord-Est (INRA, N.Decourt, 1971) - classe 3_16</v>
      </c>
      <c r="E737" s="3">
        <v>118.93333333333338</v>
      </c>
      <c r="F737" s="3">
        <v>0</v>
      </c>
      <c r="G737" s="3">
        <v>118.93333333333338</v>
      </c>
    </row>
    <row r="738" spans="1:7" x14ac:dyDescent="0.2">
      <c r="A738" s="3" t="s">
        <v>76</v>
      </c>
      <c r="B738" t="s">
        <v>963</v>
      </c>
      <c r="C738" s="3">
        <v>17</v>
      </c>
      <c r="D738" t="str">
        <f t="shared" si="11"/>
        <v>Épicéa commun - Nord-Est (INRA, N.Decourt, 1971) - classe 3_17</v>
      </c>
      <c r="E738" s="3">
        <v>126.36666666666672</v>
      </c>
      <c r="F738" s="3">
        <v>0</v>
      </c>
      <c r="G738" s="3">
        <v>126.36666666666672</v>
      </c>
    </row>
    <row r="739" spans="1:7" x14ac:dyDescent="0.2">
      <c r="A739" s="3" t="s">
        <v>76</v>
      </c>
      <c r="B739" t="s">
        <v>963</v>
      </c>
      <c r="C739" s="3">
        <v>18</v>
      </c>
      <c r="D739" t="str">
        <f t="shared" si="11"/>
        <v>Épicéa commun - Nord-Est (INRA, N.Decourt, 1971) - classe 3_18</v>
      </c>
      <c r="E739" s="3">
        <v>133.80000000000004</v>
      </c>
      <c r="F739" s="3">
        <v>0</v>
      </c>
      <c r="G739" s="3">
        <v>133.80000000000004</v>
      </c>
    </row>
    <row r="740" spans="1:7" x14ac:dyDescent="0.2">
      <c r="A740" s="3" t="s">
        <v>76</v>
      </c>
      <c r="B740" t="s">
        <v>963</v>
      </c>
      <c r="C740" s="3">
        <v>19</v>
      </c>
      <c r="D740" t="str">
        <f t="shared" si="11"/>
        <v>Épicéa commun - Nord-Est (INRA, N.Decourt, 1971) - classe 3_19</v>
      </c>
      <c r="E740" s="3">
        <v>141.23333333333338</v>
      </c>
      <c r="F740" s="3">
        <v>0</v>
      </c>
      <c r="G740" s="3">
        <v>141.23333333333338</v>
      </c>
    </row>
    <row r="741" spans="1:7" x14ac:dyDescent="0.2">
      <c r="A741" s="3" t="s">
        <v>76</v>
      </c>
      <c r="B741" t="s">
        <v>963</v>
      </c>
      <c r="C741" s="3">
        <v>20</v>
      </c>
      <c r="D741" t="str">
        <f t="shared" si="11"/>
        <v>Épicéa commun - Nord-Est (INRA, N.Decourt, 1971) - classe 3_20</v>
      </c>
      <c r="E741" s="3">
        <v>148.66666666666671</v>
      </c>
      <c r="F741" s="3">
        <v>0</v>
      </c>
      <c r="G741" s="3">
        <v>148.66666666666671</v>
      </c>
    </row>
    <row r="742" spans="1:7" x14ac:dyDescent="0.2">
      <c r="A742" s="3" t="s">
        <v>76</v>
      </c>
      <c r="B742" t="s">
        <v>963</v>
      </c>
      <c r="C742" s="3">
        <v>21</v>
      </c>
      <c r="D742" t="str">
        <f t="shared" si="11"/>
        <v>Épicéa commun - Nord-Est (INRA, N.Decourt, 1971) - classe 3_21</v>
      </c>
      <c r="E742" s="3">
        <v>156.10000000000005</v>
      </c>
      <c r="F742" s="3">
        <v>0</v>
      </c>
      <c r="G742" s="3">
        <v>156.10000000000005</v>
      </c>
    </row>
    <row r="743" spans="1:7" x14ac:dyDescent="0.2">
      <c r="A743" s="3" t="s">
        <v>76</v>
      </c>
      <c r="B743" t="s">
        <v>963</v>
      </c>
      <c r="C743" s="3">
        <v>22</v>
      </c>
      <c r="D743" t="str">
        <f t="shared" si="11"/>
        <v>Épicéa commun - Nord-Est (INRA, N.Decourt, 1971) - classe 3_22</v>
      </c>
      <c r="E743" s="3">
        <v>163.53333333333339</v>
      </c>
      <c r="F743" s="3">
        <v>0</v>
      </c>
      <c r="G743" s="3">
        <v>163.53333333333339</v>
      </c>
    </row>
    <row r="744" spans="1:7" x14ac:dyDescent="0.2">
      <c r="A744" s="3" t="s">
        <v>76</v>
      </c>
      <c r="B744" t="s">
        <v>963</v>
      </c>
      <c r="C744" s="3">
        <v>23</v>
      </c>
      <c r="D744" t="str">
        <f t="shared" si="11"/>
        <v>Épicéa commun - Nord-Est (INRA, N.Decourt, 1971) - classe 3_23</v>
      </c>
      <c r="E744" s="3">
        <v>170.96666666666673</v>
      </c>
      <c r="F744" s="3">
        <v>0</v>
      </c>
      <c r="G744" s="3">
        <v>170.96666666666673</v>
      </c>
    </row>
    <row r="745" spans="1:7" x14ac:dyDescent="0.2">
      <c r="A745" s="3" t="s">
        <v>76</v>
      </c>
      <c r="B745" t="s">
        <v>963</v>
      </c>
      <c r="C745" s="3">
        <v>24</v>
      </c>
      <c r="D745" t="str">
        <f t="shared" si="11"/>
        <v>Épicéa commun - Nord-Est (INRA, N.Decourt, 1971) - classe 3_24</v>
      </c>
      <c r="E745" s="3">
        <v>178.40000000000006</v>
      </c>
      <c r="F745" s="3">
        <v>0</v>
      </c>
      <c r="G745" s="3">
        <v>178.40000000000006</v>
      </c>
    </row>
    <row r="746" spans="1:7" x14ac:dyDescent="0.2">
      <c r="A746" s="3" t="s">
        <v>76</v>
      </c>
      <c r="B746" t="s">
        <v>963</v>
      </c>
      <c r="C746" s="3">
        <v>25</v>
      </c>
      <c r="D746" t="str">
        <f t="shared" si="11"/>
        <v>Épicéa commun - Nord-Est (INRA, N.Decourt, 1971) - classe 3_25</v>
      </c>
      <c r="E746" s="3">
        <v>185.8333333333334</v>
      </c>
      <c r="F746" s="3">
        <v>0</v>
      </c>
      <c r="G746" s="3">
        <v>185.8333333333334</v>
      </c>
    </row>
    <row r="747" spans="1:7" x14ac:dyDescent="0.2">
      <c r="A747" s="3" t="s">
        <v>76</v>
      </c>
      <c r="B747" t="s">
        <v>963</v>
      </c>
      <c r="C747" s="3">
        <v>26</v>
      </c>
      <c r="D747" t="str">
        <f t="shared" si="11"/>
        <v>Épicéa commun - Nord-Est (INRA, N.Decourt, 1971) - classe 3_26</v>
      </c>
      <c r="E747" s="3">
        <v>193.26666666666674</v>
      </c>
      <c r="F747" s="3">
        <v>0</v>
      </c>
      <c r="G747" s="3">
        <v>193.26666666666674</v>
      </c>
    </row>
    <row r="748" spans="1:7" x14ac:dyDescent="0.2">
      <c r="A748" s="3" t="s">
        <v>76</v>
      </c>
      <c r="B748" t="s">
        <v>963</v>
      </c>
      <c r="C748" s="3">
        <v>27</v>
      </c>
      <c r="D748" t="str">
        <f t="shared" si="11"/>
        <v>Épicéa commun - Nord-Est (INRA, N.Decourt, 1971) - classe 3_27</v>
      </c>
      <c r="E748" s="3">
        <v>200.70000000000007</v>
      </c>
      <c r="F748" s="3">
        <v>0</v>
      </c>
      <c r="G748" s="3">
        <v>200.70000000000007</v>
      </c>
    </row>
    <row r="749" spans="1:7" x14ac:dyDescent="0.2">
      <c r="A749" s="3" t="s">
        <v>76</v>
      </c>
      <c r="B749" t="s">
        <v>963</v>
      </c>
      <c r="C749" s="3">
        <v>28</v>
      </c>
      <c r="D749" t="str">
        <f t="shared" si="11"/>
        <v>Épicéa commun - Nord-Est (INRA, N.Decourt, 1971) - classe 3_28</v>
      </c>
      <c r="E749" s="3">
        <v>208.13333333333341</v>
      </c>
      <c r="F749" s="3">
        <v>0</v>
      </c>
      <c r="G749" s="3">
        <v>208.13333333333341</v>
      </c>
    </row>
    <row r="750" spans="1:7" x14ac:dyDescent="0.2">
      <c r="A750" s="3" t="s">
        <v>76</v>
      </c>
      <c r="B750" t="s">
        <v>963</v>
      </c>
      <c r="C750" s="3">
        <v>29</v>
      </c>
      <c r="D750" t="str">
        <f t="shared" si="11"/>
        <v>Épicéa commun - Nord-Est (INRA, N.Decourt, 1971) - classe 3_29</v>
      </c>
      <c r="E750" s="3">
        <v>215.56666666666675</v>
      </c>
      <c r="F750" s="3">
        <v>0</v>
      </c>
      <c r="G750" s="3">
        <v>215.56666666666675</v>
      </c>
    </row>
    <row r="751" spans="1:7" x14ac:dyDescent="0.2">
      <c r="A751" s="3" t="s">
        <v>76</v>
      </c>
      <c r="B751" t="s">
        <v>963</v>
      </c>
      <c r="C751" s="3">
        <v>30</v>
      </c>
      <c r="D751" t="str">
        <f t="shared" si="11"/>
        <v>Épicéa commun - Nord-Est (INRA, N.Decourt, 1971) - classe 3_30</v>
      </c>
      <c r="E751" s="3">
        <v>223</v>
      </c>
      <c r="F751" s="3">
        <v>25</v>
      </c>
      <c r="G751" s="3">
        <v>198</v>
      </c>
    </row>
    <row r="752" spans="1:7" x14ac:dyDescent="0.2">
      <c r="A752" s="3" t="s">
        <v>76</v>
      </c>
      <c r="B752" t="s">
        <v>964</v>
      </c>
      <c r="C752" s="3">
        <v>1</v>
      </c>
      <c r="D752" t="str">
        <f t="shared" si="11"/>
        <v>Épicéa commun - Nord-Est (INRA, N.Decourt, 1971) - classe 4_1</v>
      </c>
      <c r="E752" s="3">
        <v>6.3142857142857141</v>
      </c>
      <c r="F752" s="3">
        <v>0</v>
      </c>
      <c r="G752" s="3">
        <v>6.3142857142857141</v>
      </c>
    </row>
    <row r="753" spans="1:7" x14ac:dyDescent="0.2">
      <c r="A753" s="3" t="s">
        <v>76</v>
      </c>
      <c r="B753" t="s">
        <v>964</v>
      </c>
      <c r="C753" s="3">
        <v>2</v>
      </c>
      <c r="D753" t="str">
        <f t="shared" si="11"/>
        <v>Épicéa commun - Nord-Est (INRA, N.Decourt, 1971) - classe 4_2</v>
      </c>
      <c r="E753" s="3">
        <v>12.628571428571428</v>
      </c>
      <c r="F753" s="3">
        <v>0</v>
      </c>
      <c r="G753" s="3">
        <v>12.628571428571428</v>
      </c>
    </row>
    <row r="754" spans="1:7" x14ac:dyDescent="0.2">
      <c r="A754" s="3" t="s">
        <v>76</v>
      </c>
      <c r="B754" t="s">
        <v>964</v>
      </c>
      <c r="C754" s="3">
        <v>3</v>
      </c>
      <c r="D754" t="str">
        <f t="shared" si="11"/>
        <v>Épicéa commun - Nord-Est (INRA, N.Decourt, 1971) - classe 4_3</v>
      </c>
      <c r="E754" s="3">
        <v>18.942857142857143</v>
      </c>
      <c r="F754" s="3">
        <v>0</v>
      </c>
      <c r="G754" s="3">
        <v>18.942857142857143</v>
      </c>
    </row>
    <row r="755" spans="1:7" x14ac:dyDescent="0.2">
      <c r="A755" s="3" t="s">
        <v>76</v>
      </c>
      <c r="B755" t="s">
        <v>964</v>
      </c>
      <c r="C755" s="3">
        <v>4</v>
      </c>
      <c r="D755" t="str">
        <f t="shared" si="11"/>
        <v>Épicéa commun - Nord-Est (INRA, N.Decourt, 1971) - classe 4_4</v>
      </c>
      <c r="E755" s="3">
        <v>25.257142857142856</v>
      </c>
      <c r="F755" s="3">
        <v>0</v>
      </c>
      <c r="G755" s="3">
        <v>25.257142857142856</v>
      </c>
    </row>
    <row r="756" spans="1:7" x14ac:dyDescent="0.2">
      <c r="A756" s="3" t="s">
        <v>76</v>
      </c>
      <c r="B756" t="s">
        <v>964</v>
      </c>
      <c r="C756" s="3">
        <v>5</v>
      </c>
      <c r="D756" t="str">
        <f t="shared" si="11"/>
        <v>Épicéa commun - Nord-Est (INRA, N.Decourt, 1971) - classe 4_5</v>
      </c>
      <c r="E756" s="3">
        <v>31.571428571428569</v>
      </c>
      <c r="F756" s="3">
        <v>0</v>
      </c>
      <c r="G756" s="3">
        <v>31.571428571428569</v>
      </c>
    </row>
    <row r="757" spans="1:7" x14ac:dyDescent="0.2">
      <c r="A757" s="3" t="s">
        <v>76</v>
      </c>
      <c r="B757" t="s">
        <v>964</v>
      </c>
      <c r="C757" s="3">
        <v>6</v>
      </c>
      <c r="D757" t="str">
        <f t="shared" si="11"/>
        <v>Épicéa commun - Nord-Est (INRA, N.Decourt, 1971) - classe 4_6</v>
      </c>
      <c r="E757" s="3">
        <v>37.885714285714286</v>
      </c>
      <c r="F757" s="3">
        <v>0</v>
      </c>
      <c r="G757" s="3">
        <v>37.885714285714286</v>
      </c>
    </row>
    <row r="758" spans="1:7" x14ac:dyDescent="0.2">
      <c r="A758" s="3" t="s">
        <v>76</v>
      </c>
      <c r="B758" t="s">
        <v>964</v>
      </c>
      <c r="C758" s="3">
        <v>7</v>
      </c>
      <c r="D758" t="str">
        <f t="shared" si="11"/>
        <v>Épicéa commun - Nord-Est (INRA, N.Decourt, 1971) - classe 4_7</v>
      </c>
      <c r="E758" s="3">
        <v>44.2</v>
      </c>
      <c r="F758" s="3">
        <v>0</v>
      </c>
      <c r="G758" s="3">
        <v>44.2</v>
      </c>
    </row>
    <row r="759" spans="1:7" x14ac:dyDescent="0.2">
      <c r="A759" s="3" t="s">
        <v>76</v>
      </c>
      <c r="B759" t="s">
        <v>964</v>
      </c>
      <c r="C759" s="3">
        <v>8</v>
      </c>
      <c r="D759" t="str">
        <f t="shared" si="11"/>
        <v>Épicéa commun - Nord-Est (INRA, N.Decourt, 1971) - classe 4_8</v>
      </c>
      <c r="E759" s="3">
        <v>50.51428571428572</v>
      </c>
      <c r="F759" s="3">
        <v>0</v>
      </c>
      <c r="G759" s="3">
        <v>50.51428571428572</v>
      </c>
    </row>
    <row r="760" spans="1:7" x14ac:dyDescent="0.2">
      <c r="A760" s="3" t="s">
        <v>76</v>
      </c>
      <c r="B760" t="s">
        <v>964</v>
      </c>
      <c r="C760" s="3">
        <v>9</v>
      </c>
      <c r="D760" t="str">
        <f t="shared" si="11"/>
        <v>Épicéa commun - Nord-Est (INRA, N.Decourt, 1971) - classe 4_9</v>
      </c>
      <c r="E760" s="3">
        <v>56.828571428571436</v>
      </c>
      <c r="F760" s="3">
        <v>0</v>
      </c>
      <c r="G760" s="3">
        <v>56.828571428571436</v>
      </c>
    </row>
    <row r="761" spans="1:7" x14ac:dyDescent="0.2">
      <c r="A761" s="3" t="s">
        <v>76</v>
      </c>
      <c r="B761" t="s">
        <v>964</v>
      </c>
      <c r="C761" s="3">
        <v>10</v>
      </c>
      <c r="D761" t="str">
        <f t="shared" si="11"/>
        <v>Épicéa commun - Nord-Est (INRA, N.Decourt, 1971) - classe 4_10</v>
      </c>
      <c r="E761" s="3">
        <v>63.142857142857153</v>
      </c>
      <c r="F761" s="3">
        <v>0</v>
      </c>
      <c r="G761" s="3">
        <v>63.142857142857153</v>
      </c>
    </row>
    <row r="762" spans="1:7" x14ac:dyDescent="0.2">
      <c r="A762" s="3" t="s">
        <v>76</v>
      </c>
      <c r="B762" t="s">
        <v>964</v>
      </c>
      <c r="C762" s="3">
        <v>11</v>
      </c>
      <c r="D762" t="str">
        <f t="shared" si="11"/>
        <v>Épicéa commun - Nord-Est (INRA, N.Decourt, 1971) - classe 4_11</v>
      </c>
      <c r="E762" s="3">
        <v>69.45714285714287</v>
      </c>
      <c r="F762" s="3">
        <v>0</v>
      </c>
      <c r="G762" s="3">
        <v>69.45714285714287</v>
      </c>
    </row>
    <row r="763" spans="1:7" x14ac:dyDescent="0.2">
      <c r="A763" s="3" t="s">
        <v>76</v>
      </c>
      <c r="B763" t="s">
        <v>964</v>
      </c>
      <c r="C763" s="3">
        <v>12</v>
      </c>
      <c r="D763" t="str">
        <f t="shared" si="11"/>
        <v>Épicéa commun - Nord-Est (INRA, N.Decourt, 1971) - classe 4_12</v>
      </c>
      <c r="E763" s="3">
        <v>75.771428571428586</v>
      </c>
      <c r="F763" s="3">
        <v>0</v>
      </c>
      <c r="G763" s="3">
        <v>75.771428571428586</v>
      </c>
    </row>
    <row r="764" spans="1:7" x14ac:dyDescent="0.2">
      <c r="A764" s="3" t="s">
        <v>76</v>
      </c>
      <c r="B764" t="s">
        <v>964</v>
      </c>
      <c r="C764" s="3">
        <v>13</v>
      </c>
      <c r="D764" t="str">
        <f t="shared" si="11"/>
        <v>Épicéa commun - Nord-Est (INRA, N.Decourt, 1971) - classe 4_13</v>
      </c>
      <c r="E764" s="3">
        <v>82.085714285714303</v>
      </c>
      <c r="F764" s="3">
        <v>0</v>
      </c>
      <c r="G764" s="3">
        <v>82.085714285714303</v>
      </c>
    </row>
    <row r="765" spans="1:7" x14ac:dyDescent="0.2">
      <c r="A765" s="3" t="s">
        <v>76</v>
      </c>
      <c r="B765" t="s">
        <v>964</v>
      </c>
      <c r="C765" s="3">
        <v>14</v>
      </c>
      <c r="D765" t="str">
        <f t="shared" si="11"/>
        <v>Épicéa commun - Nord-Est (INRA, N.Decourt, 1971) - classe 4_14</v>
      </c>
      <c r="E765" s="3">
        <v>88.40000000000002</v>
      </c>
      <c r="F765" s="3">
        <v>0</v>
      </c>
      <c r="G765" s="3">
        <v>88.40000000000002</v>
      </c>
    </row>
    <row r="766" spans="1:7" x14ac:dyDescent="0.2">
      <c r="A766" s="3" t="s">
        <v>76</v>
      </c>
      <c r="B766" t="s">
        <v>964</v>
      </c>
      <c r="C766" s="3">
        <v>15</v>
      </c>
      <c r="D766" t="str">
        <f t="shared" si="11"/>
        <v>Épicéa commun - Nord-Est (INRA, N.Decourt, 1971) - classe 4_15</v>
      </c>
      <c r="E766" s="3">
        <v>94.714285714285737</v>
      </c>
      <c r="F766" s="3">
        <v>0</v>
      </c>
      <c r="G766" s="3">
        <v>94.714285714285737</v>
      </c>
    </row>
    <row r="767" spans="1:7" x14ac:dyDescent="0.2">
      <c r="A767" s="3" t="s">
        <v>76</v>
      </c>
      <c r="B767" t="s">
        <v>964</v>
      </c>
      <c r="C767" s="3">
        <v>16</v>
      </c>
      <c r="D767" t="str">
        <f t="shared" si="11"/>
        <v>Épicéa commun - Nord-Est (INRA, N.Decourt, 1971) - classe 4_16</v>
      </c>
      <c r="E767" s="3">
        <v>101.02857142857145</v>
      </c>
      <c r="F767" s="3">
        <v>0</v>
      </c>
      <c r="G767" s="3">
        <v>101.02857142857145</v>
      </c>
    </row>
    <row r="768" spans="1:7" x14ac:dyDescent="0.2">
      <c r="A768" s="3" t="s">
        <v>76</v>
      </c>
      <c r="B768" t="s">
        <v>964</v>
      </c>
      <c r="C768" s="3">
        <v>17</v>
      </c>
      <c r="D768" t="str">
        <f t="shared" si="11"/>
        <v>Épicéa commun - Nord-Est (INRA, N.Decourt, 1971) - classe 4_17</v>
      </c>
      <c r="E768" s="3">
        <v>107.34285714285717</v>
      </c>
      <c r="F768" s="3">
        <v>0</v>
      </c>
      <c r="G768" s="3">
        <v>107.34285714285717</v>
      </c>
    </row>
    <row r="769" spans="1:7" x14ac:dyDescent="0.2">
      <c r="A769" s="3" t="s">
        <v>76</v>
      </c>
      <c r="B769" t="s">
        <v>964</v>
      </c>
      <c r="C769" s="3">
        <v>18</v>
      </c>
      <c r="D769" t="str">
        <f t="shared" si="11"/>
        <v>Épicéa commun - Nord-Est (INRA, N.Decourt, 1971) - classe 4_18</v>
      </c>
      <c r="E769" s="3">
        <v>113.65714285714289</v>
      </c>
      <c r="F769" s="3">
        <v>0</v>
      </c>
      <c r="G769" s="3">
        <v>113.65714285714289</v>
      </c>
    </row>
    <row r="770" spans="1:7" x14ac:dyDescent="0.2">
      <c r="A770" s="3" t="s">
        <v>76</v>
      </c>
      <c r="B770" t="s">
        <v>964</v>
      </c>
      <c r="C770" s="3">
        <v>19</v>
      </c>
      <c r="D770" t="str">
        <f t="shared" si="11"/>
        <v>Épicéa commun - Nord-Est (INRA, N.Decourt, 1971) - classe 4_19</v>
      </c>
      <c r="E770" s="3">
        <v>119.9714285714286</v>
      </c>
      <c r="F770" s="3">
        <v>0</v>
      </c>
      <c r="G770" s="3">
        <v>119.9714285714286</v>
      </c>
    </row>
    <row r="771" spans="1:7" x14ac:dyDescent="0.2">
      <c r="A771" s="3" t="s">
        <v>76</v>
      </c>
      <c r="B771" t="s">
        <v>964</v>
      </c>
      <c r="C771" s="3">
        <v>20</v>
      </c>
      <c r="D771" t="str">
        <f t="shared" ref="D771:D834" si="12">CONCATENATE(B771,"_",C771)</f>
        <v>Épicéa commun - Nord-Est (INRA, N.Decourt, 1971) - classe 4_20</v>
      </c>
      <c r="E771" s="3">
        <v>126.28571428571432</v>
      </c>
      <c r="F771" s="3">
        <v>0</v>
      </c>
      <c r="G771" s="3">
        <v>126.28571428571432</v>
      </c>
    </row>
    <row r="772" spans="1:7" x14ac:dyDescent="0.2">
      <c r="A772" s="3" t="s">
        <v>76</v>
      </c>
      <c r="B772" t="s">
        <v>964</v>
      </c>
      <c r="C772" s="3">
        <v>21</v>
      </c>
      <c r="D772" t="str">
        <f t="shared" si="12"/>
        <v>Épicéa commun - Nord-Est (INRA, N.Decourt, 1971) - classe 4_21</v>
      </c>
      <c r="E772" s="3">
        <v>132.60000000000002</v>
      </c>
      <c r="F772" s="3">
        <v>0</v>
      </c>
      <c r="G772" s="3">
        <v>132.60000000000002</v>
      </c>
    </row>
    <row r="773" spans="1:7" x14ac:dyDescent="0.2">
      <c r="A773" s="3" t="s">
        <v>76</v>
      </c>
      <c r="B773" t="s">
        <v>964</v>
      </c>
      <c r="C773" s="3">
        <v>22</v>
      </c>
      <c r="D773" t="str">
        <f t="shared" si="12"/>
        <v>Épicéa commun - Nord-Est (INRA, N.Decourt, 1971) - classe 4_22</v>
      </c>
      <c r="E773" s="3">
        <v>138.91428571428574</v>
      </c>
      <c r="F773" s="3">
        <v>0</v>
      </c>
      <c r="G773" s="3">
        <v>138.91428571428574</v>
      </c>
    </row>
    <row r="774" spans="1:7" x14ac:dyDescent="0.2">
      <c r="A774" s="3" t="s">
        <v>76</v>
      </c>
      <c r="B774" t="s">
        <v>964</v>
      </c>
      <c r="C774" s="3">
        <v>23</v>
      </c>
      <c r="D774" t="str">
        <f t="shared" si="12"/>
        <v>Épicéa commun - Nord-Est (INRA, N.Decourt, 1971) - classe 4_23</v>
      </c>
      <c r="E774" s="3">
        <v>145.22857142857146</v>
      </c>
      <c r="F774" s="3">
        <v>0</v>
      </c>
      <c r="G774" s="3">
        <v>145.22857142857146</v>
      </c>
    </row>
    <row r="775" spans="1:7" x14ac:dyDescent="0.2">
      <c r="A775" s="3" t="s">
        <v>76</v>
      </c>
      <c r="B775" t="s">
        <v>964</v>
      </c>
      <c r="C775" s="3">
        <v>24</v>
      </c>
      <c r="D775" t="str">
        <f t="shared" si="12"/>
        <v>Épicéa commun - Nord-Est (INRA, N.Decourt, 1971) - classe 4_24</v>
      </c>
      <c r="E775" s="3">
        <v>151.54285714285717</v>
      </c>
      <c r="F775" s="3">
        <v>0</v>
      </c>
      <c r="G775" s="3">
        <v>151.54285714285717</v>
      </c>
    </row>
    <row r="776" spans="1:7" x14ac:dyDescent="0.2">
      <c r="A776" s="3" t="s">
        <v>76</v>
      </c>
      <c r="B776" t="s">
        <v>964</v>
      </c>
      <c r="C776" s="3">
        <v>25</v>
      </c>
      <c r="D776" t="str">
        <f t="shared" si="12"/>
        <v>Épicéa commun - Nord-Est (INRA, N.Decourt, 1971) - classe 4_25</v>
      </c>
      <c r="E776" s="3">
        <v>157.85714285714289</v>
      </c>
      <c r="F776" s="3">
        <v>0</v>
      </c>
      <c r="G776" s="3">
        <v>157.85714285714289</v>
      </c>
    </row>
    <row r="777" spans="1:7" x14ac:dyDescent="0.2">
      <c r="A777" s="3" t="s">
        <v>76</v>
      </c>
      <c r="B777" t="s">
        <v>964</v>
      </c>
      <c r="C777" s="3">
        <v>26</v>
      </c>
      <c r="D777" t="str">
        <f t="shared" si="12"/>
        <v>Épicéa commun - Nord-Est (INRA, N.Decourt, 1971) - classe 4_26</v>
      </c>
      <c r="E777" s="3">
        <v>164.17142857142861</v>
      </c>
      <c r="F777" s="3">
        <v>0</v>
      </c>
      <c r="G777" s="3">
        <v>164.17142857142861</v>
      </c>
    </row>
    <row r="778" spans="1:7" x14ac:dyDescent="0.2">
      <c r="A778" s="3" t="s">
        <v>76</v>
      </c>
      <c r="B778" t="s">
        <v>964</v>
      </c>
      <c r="C778" s="3">
        <v>27</v>
      </c>
      <c r="D778" t="str">
        <f t="shared" si="12"/>
        <v>Épicéa commun - Nord-Est (INRA, N.Decourt, 1971) - classe 4_27</v>
      </c>
      <c r="E778" s="3">
        <v>170.48571428571432</v>
      </c>
      <c r="F778" s="3">
        <v>0</v>
      </c>
      <c r="G778" s="3">
        <v>170.48571428571432</v>
      </c>
    </row>
    <row r="779" spans="1:7" x14ac:dyDescent="0.2">
      <c r="A779" s="3" t="s">
        <v>76</v>
      </c>
      <c r="B779" t="s">
        <v>964</v>
      </c>
      <c r="C779" s="3">
        <v>28</v>
      </c>
      <c r="D779" t="str">
        <f t="shared" si="12"/>
        <v>Épicéa commun - Nord-Est (INRA, N.Decourt, 1971) - classe 4_28</v>
      </c>
      <c r="E779" s="3">
        <v>176.80000000000004</v>
      </c>
      <c r="F779" s="3">
        <v>0</v>
      </c>
      <c r="G779" s="3">
        <v>176.80000000000004</v>
      </c>
    </row>
    <row r="780" spans="1:7" x14ac:dyDescent="0.2">
      <c r="A780" s="3" t="s">
        <v>76</v>
      </c>
      <c r="B780" t="s">
        <v>964</v>
      </c>
      <c r="C780" s="3">
        <v>29</v>
      </c>
      <c r="D780" t="str">
        <f t="shared" si="12"/>
        <v>Épicéa commun - Nord-Est (INRA, N.Decourt, 1971) - classe 4_29</v>
      </c>
      <c r="E780" s="3">
        <v>183.11428571428576</v>
      </c>
      <c r="F780" s="3">
        <v>0</v>
      </c>
      <c r="G780" s="3">
        <v>183.11428571428576</v>
      </c>
    </row>
    <row r="781" spans="1:7" x14ac:dyDescent="0.2">
      <c r="A781" s="3" t="s">
        <v>76</v>
      </c>
      <c r="B781" t="s">
        <v>964</v>
      </c>
      <c r="C781" s="3">
        <v>30</v>
      </c>
      <c r="D781" t="str">
        <f t="shared" si="12"/>
        <v>Épicéa commun - Nord-Est (INRA, N.Decourt, 1971) - classe 4_30</v>
      </c>
      <c r="E781" s="3">
        <v>189.42857142857147</v>
      </c>
      <c r="F781" s="3">
        <v>0</v>
      </c>
      <c r="G781" s="3">
        <v>189.42857142857147</v>
      </c>
    </row>
    <row r="782" spans="1:7" x14ac:dyDescent="0.2">
      <c r="A782" s="3" t="s">
        <v>76</v>
      </c>
      <c r="B782" t="s">
        <v>965</v>
      </c>
      <c r="C782" s="3">
        <v>1</v>
      </c>
      <c r="D782" t="str">
        <f t="shared" si="12"/>
        <v>Épicéa commun - Nord-Est (INRA, N.Decourt, 1971) - classe 5_1</v>
      </c>
      <c r="E782" s="3">
        <v>3.7142857142857144</v>
      </c>
      <c r="F782" s="3">
        <v>0</v>
      </c>
      <c r="G782" s="3">
        <v>3.7142857142857144</v>
      </c>
    </row>
    <row r="783" spans="1:7" x14ac:dyDescent="0.2">
      <c r="A783" s="3" t="s">
        <v>76</v>
      </c>
      <c r="B783" t="s">
        <v>965</v>
      </c>
      <c r="C783" s="3">
        <v>2</v>
      </c>
      <c r="D783" t="str">
        <f t="shared" si="12"/>
        <v>Épicéa commun - Nord-Est (INRA, N.Decourt, 1971) - classe 5_2</v>
      </c>
      <c r="E783" s="3">
        <v>7.4285714285714288</v>
      </c>
      <c r="F783" s="3">
        <v>0</v>
      </c>
      <c r="G783" s="3">
        <v>7.4285714285714288</v>
      </c>
    </row>
    <row r="784" spans="1:7" x14ac:dyDescent="0.2">
      <c r="A784" s="3" t="s">
        <v>76</v>
      </c>
      <c r="B784" t="s">
        <v>965</v>
      </c>
      <c r="C784" s="3">
        <v>3</v>
      </c>
      <c r="D784" t="str">
        <f t="shared" si="12"/>
        <v>Épicéa commun - Nord-Est (INRA, N.Decourt, 1971) - classe 5_3</v>
      </c>
      <c r="E784" s="3">
        <v>11.142857142857142</v>
      </c>
      <c r="F784" s="3">
        <v>0</v>
      </c>
      <c r="G784" s="3">
        <v>11.142857142857142</v>
      </c>
    </row>
    <row r="785" spans="1:7" x14ac:dyDescent="0.2">
      <c r="A785" s="3" t="s">
        <v>76</v>
      </c>
      <c r="B785" t="s">
        <v>965</v>
      </c>
      <c r="C785" s="3">
        <v>4</v>
      </c>
      <c r="D785" t="str">
        <f t="shared" si="12"/>
        <v>Épicéa commun - Nord-Est (INRA, N.Decourt, 1971) - classe 5_4</v>
      </c>
      <c r="E785" s="3">
        <v>14.857142857142858</v>
      </c>
      <c r="F785" s="3">
        <v>0</v>
      </c>
      <c r="G785" s="3">
        <v>14.857142857142858</v>
      </c>
    </row>
    <row r="786" spans="1:7" x14ac:dyDescent="0.2">
      <c r="A786" s="3" t="s">
        <v>76</v>
      </c>
      <c r="B786" t="s">
        <v>965</v>
      </c>
      <c r="C786" s="3">
        <v>5</v>
      </c>
      <c r="D786" t="str">
        <f t="shared" si="12"/>
        <v>Épicéa commun - Nord-Est (INRA, N.Decourt, 1971) - classe 5_5</v>
      </c>
      <c r="E786" s="3">
        <v>18.571428571428573</v>
      </c>
      <c r="F786" s="3">
        <v>0</v>
      </c>
      <c r="G786" s="3">
        <v>18.571428571428573</v>
      </c>
    </row>
    <row r="787" spans="1:7" x14ac:dyDescent="0.2">
      <c r="A787" s="3" t="s">
        <v>76</v>
      </c>
      <c r="B787" t="s">
        <v>965</v>
      </c>
      <c r="C787" s="3">
        <v>6</v>
      </c>
      <c r="D787" t="str">
        <f t="shared" si="12"/>
        <v>Épicéa commun - Nord-Est (INRA, N.Decourt, 1971) - classe 5_6</v>
      </c>
      <c r="E787" s="3">
        <v>22.285714285714288</v>
      </c>
      <c r="F787" s="3">
        <v>0</v>
      </c>
      <c r="G787" s="3">
        <v>22.285714285714288</v>
      </c>
    </row>
    <row r="788" spans="1:7" x14ac:dyDescent="0.2">
      <c r="A788" s="3" t="s">
        <v>76</v>
      </c>
      <c r="B788" t="s">
        <v>965</v>
      </c>
      <c r="C788" s="3">
        <v>7</v>
      </c>
      <c r="D788" t="str">
        <f t="shared" si="12"/>
        <v>Épicéa commun - Nord-Est (INRA, N.Decourt, 1971) - classe 5_7</v>
      </c>
      <c r="E788" s="3">
        <v>26.000000000000004</v>
      </c>
      <c r="F788" s="3">
        <v>0</v>
      </c>
      <c r="G788" s="3">
        <v>26.000000000000004</v>
      </c>
    </row>
    <row r="789" spans="1:7" x14ac:dyDescent="0.2">
      <c r="A789" s="3" t="s">
        <v>76</v>
      </c>
      <c r="B789" t="s">
        <v>965</v>
      </c>
      <c r="C789" s="3">
        <v>8</v>
      </c>
      <c r="D789" t="str">
        <f t="shared" si="12"/>
        <v>Épicéa commun - Nord-Est (INRA, N.Decourt, 1971) - classe 5_8</v>
      </c>
      <c r="E789" s="3">
        <v>29.714285714285719</v>
      </c>
      <c r="F789" s="3">
        <v>0</v>
      </c>
      <c r="G789" s="3">
        <v>29.714285714285719</v>
      </c>
    </row>
    <row r="790" spans="1:7" x14ac:dyDescent="0.2">
      <c r="A790" s="3" t="s">
        <v>76</v>
      </c>
      <c r="B790" t="s">
        <v>965</v>
      </c>
      <c r="C790" s="3">
        <v>9</v>
      </c>
      <c r="D790" t="str">
        <f t="shared" si="12"/>
        <v>Épicéa commun - Nord-Est (INRA, N.Decourt, 1971) - classe 5_9</v>
      </c>
      <c r="E790" s="3">
        <v>33.428571428571431</v>
      </c>
      <c r="F790" s="3">
        <v>0</v>
      </c>
      <c r="G790" s="3">
        <v>33.428571428571431</v>
      </c>
    </row>
    <row r="791" spans="1:7" x14ac:dyDescent="0.2">
      <c r="A791" s="3" t="s">
        <v>76</v>
      </c>
      <c r="B791" t="s">
        <v>965</v>
      </c>
      <c r="C791" s="3">
        <v>10</v>
      </c>
      <c r="D791" t="str">
        <f t="shared" si="12"/>
        <v>Épicéa commun - Nord-Est (INRA, N.Decourt, 1971) - classe 5_10</v>
      </c>
      <c r="E791" s="3">
        <v>37.142857142857146</v>
      </c>
      <c r="F791" s="3">
        <v>0</v>
      </c>
      <c r="G791" s="3">
        <v>37.142857142857146</v>
      </c>
    </row>
    <row r="792" spans="1:7" x14ac:dyDescent="0.2">
      <c r="A792" s="3" t="s">
        <v>76</v>
      </c>
      <c r="B792" t="s">
        <v>965</v>
      </c>
      <c r="C792" s="3">
        <v>11</v>
      </c>
      <c r="D792" t="str">
        <f t="shared" si="12"/>
        <v>Épicéa commun - Nord-Est (INRA, N.Decourt, 1971) - classe 5_11</v>
      </c>
      <c r="E792" s="3">
        <v>40.857142857142861</v>
      </c>
      <c r="F792" s="3">
        <v>0</v>
      </c>
      <c r="G792" s="3">
        <v>40.857142857142861</v>
      </c>
    </row>
    <row r="793" spans="1:7" x14ac:dyDescent="0.2">
      <c r="A793" s="3" t="s">
        <v>76</v>
      </c>
      <c r="B793" t="s">
        <v>965</v>
      </c>
      <c r="C793" s="3">
        <v>12</v>
      </c>
      <c r="D793" t="str">
        <f t="shared" si="12"/>
        <v>Épicéa commun - Nord-Est (INRA, N.Decourt, 1971) - classe 5_12</v>
      </c>
      <c r="E793" s="3">
        <v>44.571428571428577</v>
      </c>
      <c r="F793" s="3">
        <v>0</v>
      </c>
      <c r="G793" s="3">
        <v>44.571428571428577</v>
      </c>
    </row>
    <row r="794" spans="1:7" x14ac:dyDescent="0.2">
      <c r="A794" s="3" t="s">
        <v>76</v>
      </c>
      <c r="B794" t="s">
        <v>965</v>
      </c>
      <c r="C794" s="3">
        <v>13</v>
      </c>
      <c r="D794" t="str">
        <f t="shared" si="12"/>
        <v>Épicéa commun - Nord-Est (INRA, N.Decourt, 1971) - classe 5_13</v>
      </c>
      <c r="E794" s="3">
        <v>48.285714285714292</v>
      </c>
      <c r="F794" s="3">
        <v>0</v>
      </c>
      <c r="G794" s="3">
        <v>48.285714285714292</v>
      </c>
    </row>
    <row r="795" spans="1:7" x14ac:dyDescent="0.2">
      <c r="A795" s="3" t="s">
        <v>76</v>
      </c>
      <c r="B795" t="s">
        <v>965</v>
      </c>
      <c r="C795" s="3">
        <v>14</v>
      </c>
      <c r="D795" t="str">
        <f t="shared" si="12"/>
        <v>Épicéa commun - Nord-Est (INRA, N.Decourt, 1971) - classe 5_14</v>
      </c>
      <c r="E795" s="3">
        <v>52.000000000000007</v>
      </c>
      <c r="F795" s="3">
        <v>0</v>
      </c>
      <c r="G795" s="3">
        <v>52.000000000000007</v>
      </c>
    </row>
    <row r="796" spans="1:7" x14ac:dyDescent="0.2">
      <c r="A796" s="3" t="s">
        <v>76</v>
      </c>
      <c r="B796" t="s">
        <v>965</v>
      </c>
      <c r="C796" s="3">
        <v>15</v>
      </c>
      <c r="D796" t="str">
        <f t="shared" si="12"/>
        <v>Épicéa commun - Nord-Est (INRA, N.Decourt, 1971) - classe 5_15</v>
      </c>
      <c r="E796" s="3">
        <v>55.714285714285722</v>
      </c>
      <c r="F796" s="3">
        <v>0</v>
      </c>
      <c r="G796" s="3">
        <v>55.714285714285722</v>
      </c>
    </row>
    <row r="797" spans="1:7" x14ac:dyDescent="0.2">
      <c r="A797" s="3" t="s">
        <v>76</v>
      </c>
      <c r="B797" t="s">
        <v>965</v>
      </c>
      <c r="C797" s="3">
        <v>16</v>
      </c>
      <c r="D797" t="str">
        <f t="shared" si="12"/>
        <v>Épicéa commun - Nord-Est (INRA, N.Decourt, 1971) - classe 5_16</v>
      </c>
      <c r="E797" s="3">
        <v>59.428571428571438</v>
      </c>
      <c r="F797" s="3">
        <v>0</v>
      </c>
      <c r="G797" s="3">
        <v>59.428571428571438</v>
      </c>
    </row>
    <row r="798" spans="1:7" x14ac:dyDescent="0.2">
      <c r="A798" s="3" t="s">
        <v>76</v>
      </c>
      <c r="B798" t="s">
        <v>965</v>
      </c>
      <c r="C798" s="3">
        <v>17</v>
      </c>
      <c r="D798" t="str">
        <f t="shared" si="12"/>
        <v>Épicéa commun - Nord-Est (INRA, N.Decourt, 1971) - classe 5_17</v>
      </c>
      <c r="E798" s="3">
        <v>63.142857142857153</v>
      </c>
      <c r="F798" s="3">
        <v>0</v>
      </c>
      <c r="G798" s="3">
        <v>63.142857142857153</v>
      </c>
    </row>
    <row r="799" spans="1:7" x14ac:dyDescent="0.2">
      <c r="A799" s="3" t="s">
        <v>76</v>
      </c>
      <c r="B799" t="s">
        <v>965</v>
      </c>
      <c r="C799" s="3">
        <v>18</v>
      </c>
      <c r="D799" t="str">
        <f t="shared" si="12"/>
        <v>Épicéa commun - Nord-Est (INRA, N.Decourt, 1971) - classe 5_18</v>
      </c>
      <c r="E799" s="3">
        <v>66.857142857142861</v>
      </c>
      <c r="F799" s="3">
        <v>0</v>
      </c>
      <c r="G799" s="3">
        <v>66.857142857142861</v>
      </c>
    </row>
    <row r="800" spans="1:7" x14ac:dyDescent="0.2">
      <c r="A800" s="3" t="s">
        <v>76</v>
      </c>
      <c r="B800" t="s">
        <v>965</v>
      </c>
      <c r="C800" s="3">
        <v>19</v>
      </c>
      <c r="D800" t="str">
        <f t="shared" si="12"/>
        <v>Épicéa commun - Nord-Est (INRA, N.Decourt, 1971) - classe 5_19</v>
      </c>
      <c r="E800" s="3">
        <v>70.571428571428569</v>
      </c>
      <c r="F800" s="3">
        <v>0</v>
      </c>
      <c r="G800" s="3">
        <v>70.571428571428569</v>
      </c>
    </row>
    <row r="801" spans="1:7" x14ac:dyDescent="0.2">
      <c r="A801" s="3" t="s">
        <v>76</v>
      </c>
      <c r="B801" t="s">
        <v>965</v>
      </c>
      <c r="C801" s="3">
        <v>20</v>
      </c>
      <c r="D801" t="str">
        <f t="shared" si="12"/>
        <v>Épicéa commun - Nord-Est (INRA, N.Decourt, 1971) - classe 5_20</v>
      </c>
      <c r="E801" s="3">
        <v>74.285714285714278</v>
      </c>
      <c r="F801" s="3">
        <v>0</v>
      </c>
      <c r="G801" s="3">
        <v>74.285714285714278</v>
      </c>
    </row>
    <row r="802" spans="1:7" x14ac:dyDescent="0.2">
      <c r="A802" s="3" t="s">
        <v>76</v>
      </c>
      <c r="B802" t="s">
        <v>965</v>
      </c>
      <c r="C802" s="3">
        <v>21</v>
      </c>
      <c r="D802" t="str">
        <f t="shared" si="12"/>
        <v>Épicéa commun - Nord-Est (INRA, N.Decourt, 1971) - classe 5_21</v>
      </c>
      <c r="E802" s="3">
        <v>77.999999999999986</v>
      </c>
      <c r="F802" s="3">
        <v>0</v>
      </c>
      <c r="G802" s="3">
        <v>77.999999999999986</v>
      </c>
    </row>
    <row r="803" spans="1:7" x14ac:dyDescent="0.2">
      <c r="A803" s="3" t="s">
        <v>76</v>
      </c>
      <c r="B803" t="s">
        <v>965</v>
      </c>
      <c r="C803" s="3">
        <v>22</v>
      </c>
      <c r="D803" t="str">
        <f t="shared" si="12"/>
        <v>Épicéa commun - Nord-Est (INRA, N.Decourt, 1971) - classe 5_22</v>
      </c>
      <c r="E803" s="3">
        <v>81.714285714285694</v>
      </c>
      <c r="F803" s="3">
        <v>0</v>
      </c>
      <c r="G803" s="3">
        <v>81.714285714285694</v>
      </c>
    </row>
    <row r="804" spans="1:7" x14ac:dyDescent="0.2">
      <c r="A804" s="3" t="s">
        <v>76</v>
      </c>
      <c r="B804" t="s">
        <v>965</v>
      </c>
      <c r="C804" s="3">
        <v>23</v>
      </c>
      <c r="D804" t="str">
        <f t="shared" si="12"/>
        <v>Épicéa commun - Nord-Est (INRA, N.Decourt, 1971) - classe 5_23</v>
      </c>
      <c r="E804" s="3">
        <v>85.428571428571402</v>
      </c>
      <c r="F804" s="3">
        <v>0</v>
      </c>
      <c r="G804" s="3">
        <v>85.428571428571402</v>
      </c>
    </row>
    <row r="805" spans="1:7" x14ac:dyDescent="0.2">
      <c r="A805" s="3" t="s">
        <v>76</v>
      </c>
      <c r="B805" t="s">
        <v>965</v>
      </c>
      <c r="C805" s="3">
        <v>24</v>
      </c>
      <c r="D805" t="str">
        <f t="shared" si="12"/>
        <v>Épicéa commun - Nord-Est (INRA, N.Decourt, 1971) - classe 5_24</v>
      </c>
      <c r="E805" s="3">
        <v>89.14285714285711</v>
      </c>
      <c r="F805" s="3">
        <v>0</v>
      </c>
      <c r="G805" s="3">
        <v>89.14285714285711</v>
      </c>
    </row>
    <row r="806" spans="1:7" x14ac:dyDescent="0.2">
      <c r="A806" s="3" t="s">
        <v>76</v>
      </c>
      <c r="B806" t="s">
        <v>965</v>
      </c>
      <c r="C806" s="3">
        <v>25</v>
      </c>
      <c r="D806" t="str">
        <f t="shared" si="12"/>
        <v>Épicéa commun - Nord-Est (INRA, N.Decourt, 1971) - classe 5_25</v>
      </c>
      <c r="E806" s="3">
        <v>92.857142857142819</v>
      </c>
      <c r="F806" s="3">
        <v>0</v>
      </c>
      <c r="G806" s="3">
        <v>92.857142857142819</v>
      </c>
    </row>
    <row r="807" spans="1:7" x14ac:dyDescent="0.2">
      <c r="A807" s="3" t="s">
        <v>76</v>
      </c>
      <c r="B807" t="s">
        <v>965</v>
      </c>
      <c r="C807" s="3">
        <v>26</v>
      </c>
      <c r="D807" t="str">
        <f t="shared" si="12"/>
        <v>Épicéa commun - Nord-Est (INRA, N.Decourt, 1971) - classe 5_26</v>
      </c>
      <c r="E807" s="3">
        <v>96.571428571428527</v>
      </c>
      <c r="F807" s="3">
        <v>0</v>
      </c>
      <c r="G807" s="3">
        <v>96.571428571428527</v>
      </c>
    </row>
    <row r="808" spans="1:7" x14ac:dyDescent="0.2">
      <c r="A808" s="3" t="s">
        <v>76</v>
      </c>
      <c r="B808" t="s">
        <v>965</v>
      </c>
      <c r="C808" s="3">
        <v>27</v>
      </c>
      <c r="D808" t="str">
        <f t="shared" si="12"/>
        <v>Épicéa commun - Nord-Est (INRA, N.Decourt, 1971) - classe 5_27</v>
      </c>
      <c r="E808" s="3">
        <v>100.28571428571423</v>
      </c>
      <c r="F808" s="3">
        <v>0</v>
      </c>
      <c r="G808" s="3">
        <v>100.28571428571423</v>
      </c>
    </row>
    <row r="809" spans="1:7" x14ac:dyDescent="0.2">
      <c r="A809" s="3" t="s">
        <v>76</v>
      </c>
      <c r="B809" t="s">
        <v>965</v>
      </c>
      <c r="C809" s="3">
        <v>28</v>
      </c>
      <c r="D809" t="str">
        <f t="shared" si="12"/>
        <v>Épicéa commun - Nord-Est (INRA, N.Decourt, 1971) - classe 5_28</v>
      </c>
      <c r="E809" s="3">
        <v>103.99999999999994</v>
      </c>
      <c r="F809" s="3">
        <v>0</v>
      </c>
      <c r="G809" s="3">
        <v>103.99999999999994</v>
      </c>
    </row>
    <row r="810" spans="1:7" x14ac:dyDescent="0.2">
      <c r="A810" s="3" t="s">
        <v>76</v>
      </c>
      <c r="B810" t="s">
        <v>965</v>
      </c>
      <c r="C810" s="3">
        <v>29</v>
      </c>
      <c r="D810" t="str">
        <f t="shared" si="12"/>
        <v>Épicéa commun - Nord-Est (INRA, N.Decourt, 1971) - classe 5_29</v>
      </c>
      <c r="E810" s="3">
        <v>107.71428571428565</v>
      </c>
      <c r="F810" s="3">
        <v>0</v>
      </c>
      <c r="G810" s="3">
        <v>107.71428571428565</v>
      </c>
    </row>
    <row r="811" spans="1:7" x14ac:dyDescent="0.2">
      <c r="A811" s="3" t="s">
        <v>76</v>
      </c>
      <c r="B811" t="s">
        <v>965</v>
      </c>
      <c r="C811" s="3">
        <v>30</v>
      </c>
      <c r="D811" t="str">
        <f t="shared" si="12"/>
        <v>Épicéa commun - Nord-Est (INRA, N.Decourt, 1971) - classe 5_30</v>
      </c>
      <c r="E811" s="3">
        <v>111.42857142857136</v>
      </c>
      <c r="F811" s="3">
        <v>0</v>
      </c>
      <c r="G811" s="3">
        <v>111.42857142857136</v>
      </c>
    </row>
    <row r="812" spans="1:7" x14ac:dyDescent="0.2">
      <c r="A812" s="3" t="s">
        <v>76</v>
      </c>
      <c r="B812" t="s">
        <v>972</v>
      </c>
      <c r="C812" s="3">
        <v>1</v>
      </c>
      <c r="D812" t="str">
        <f t="shared" si="12"/>
        <v>Cèdres (ONF, Courdier JM. , 2008) - classe 1_1</v>
      </c>
      <c r="E812" s="3">
        <v>1.4</v>
      </c>
      <c r="F812" s="3">
        <v>0</v>
      </c>
      <c r="G812" s="3">
        <v>1.4</v>
      </c>
    </row>
    <row r="813" spans="1:7" x14ac:dyDescent="0.2">
      <c r="A813" s="3" t="s">
        <v>76</v>
      </c>
      <c r="B813" t="s">
        <v>972</v>
      </c>
      <c r="C813" s="3">
        <v>2</v>
      </c>
      <c r="D813" t="str">
        <f t="shared" si="12"/>
        <v>Cèdres (ONF, Courdier JM. , 2008) - classe 1_2</v>
      </c>
      <c r="E813" s="3">
        <v>2.8</v>
      </c>
      <c r="F813" s="3">
        <v>0</v>
      </c>
      <c r="G813" s="3">
        <v>2.8</v>
      </c>
    </row>
    <row r="814" spans="1:7" x14ac:dyDescent="0.2">
      <c r="A814" s="3" t="s">
        <v>76</v>
      </c>
      <c r="B814" t="s">
        <v>972</v>
      </c>
      <c r="C814" s="3">
        <v>3</v>
      </c>
      <c r="D814" t="str">
        <f t="shared" si="12"/>
        <v>Cèdres (ONF, Courdier JM. , 2008) - classe 1_3</v>
      </c>
      <c r="E814" s="3">
        <v>4.1999999999999993</v>
      </c>
      <c r="F814" s="3">
        <v>0</v>
      </c>
      <c r="G814" s="3">
        <v>4.1999999999999993</v>
      </c>
    </row>
    <row r="815" spans="1:7" x14ac:dyDescent="0.2">
      <c r="A815" s="3" t="s">
        <v>76</v>
      </c>
      <c r="B815" t="s">
        <v>972</v>
      </c>
      <c r="C815" s="3">
        <v>4</v>
      </c>
      <c r="D815" t="str">
        <f t="shared" si="12"/>
        <v>Cèdres (ONF, Courdier JM. , 2008) - classe 1_4</v>
      </c>
      <c r="E815" s="3">
        <v>5.6</v>
      </c>
      <c r="F815" s="3">
        <v>0</v>
      </c>
      <c r="G815" s="3">
        <v>5.6</v>
      </c>
    </row>
    <row r="816" spans="1:7" x14ac:dyDescent="0.2">
      <c r="A816" s="3" t="s">
        <v>76</v>
      </c>
      <c r="B816" t="s">
        <v>972</v>
      </c>
      <c r="C816" s="3">
        <v>5</v>
      </c>
      <c r="D816" t="str">
        <f t="shared" si="12"/>
        <v>Cèdres (ONF, Courdier JM. , 2008) - classe 1_5</v>
      </c>
      <c r="E816" s="3">
        <v>7</v>
      </c>
      <c r="F816" s="3">
        <v>0</v>
      </c>
      <c r="G816" s="3">
        <v>7</v>
      </c>
    </row>
    <row r="817" spans="1:7" x14ac:dyDescent="0.2">
      <c r="A817" s="3" t="s">
        <v>76</v>
      </c>
      <c r="B817" t="s">
        <v>972</v>
      </c>
      <c r="C817" s="3">
        <v>6</v>
      </c>
      <c r="D817" t="str">
        <f t="shared" si="12"/>
        <v>Cèdres (ONF, Courdier JM. , 2008) - classe 1_6</v>
      </c>
      <c r="E817" s="3">
        <v>8.4</v>
      </c>
      <c r="F817" s="3">
        <v>0</v>
      </c>
      <c r="G817" s="3">
        <v>8.4</v>
      </c>
    </row>
    <row r="818" spans="1:7" x14ac:dyDescent="0.2">
      <c r="A818" s="3" t="s">
        <v>76</v>
      </c>
      <c r="B818" t="s">
        <v>972</v>
      </c>
      <c r="C818" s="3">
        <v>7</v>
      </c>
      <c r="D818" t="str">
        <f t="shared" si="12"/>
        <v>Cèdres (ONF, Courdier JM. , 2008) - classe 1_7</v>
      </c>
      <c r="E818" s="3">
        <v>9.8000000000000007</v>
      </c>
      <c r="F818" s="3">
        <v>0</v>
      </c>
      <c r="G818" s="3">
        <v>9.8000000000000007</v>
      </c>
    </row>
    <row r="819" spans="1:7" x14ac:dyDescent="0.2">
      <c r="A819" s="3" t="s">
        <v>76</v>
      </c>
      <c r="B819" t="s">
        <v>972</v>
      </c>
      <c r="C819" s="3">
        <v>8</v>
      </c>
      <c r="D819" t="str">
        <f t="shared" si="12"/>
        <v>Cèdres (ONF, Courdier JM. , 2008) - classe 1_8</v>
      </c>
      <c r="E819" s="3">
        <v>11.200000000000001</v>
      </c>
      <c r="F819" s="3">
        <v>0</v>
      </c>
      <c r="G819" s="3">
        <v>11.200000000000001</v>
      </c>
    </row>
    <row r="820" spans="1:7" x14ac:dyDescent="0.2">
      <c r="A820" s="3" t="s">
        <v>76</v>
      </c>
      <c r="B820" t="s">
        <v>972</v>
      </c>
      <c r="C820" s="3">
        <v>9</v>
      </c>
      <c r="D820" t="str">
        <f t="shared" si="12"/>
        <v>Cèdres (ONF, Courdier JM. , 2008) - classe 1_9</v>
      </c>
      <c r="E820" s="3">
        <v>12.600000000000001</v>
      </c>
      <c r="F820" s="3">
        <v>0</v>
      </c>
      <c r="G820" s="3">
        <v>12.600000000000001</v>
      </c>
    </row>
    <row r="821" spans="1:7" x14ac:dyDescent="0.2">
      <c r="A821" s="3" t="s">
        <v>76</v>
      </c>
      <c r="B821" t="s">
        <v>972</v>
      </c>
      <c r="C821" s="3">
        <v>10</v>
      </c>
      <c r="D821" t="str">
        <f t="shared" si="12"/>
        <v>Cèdres (ONF, Courdier JM. , 2008) - classe 1_10</v>
      </c>
      <c r="E821" s="3">
        <v>14.000000000000002</v>
      </c>
      <c r="F821" s="3">
        <v>0</v>
      </c>
      <c r="G821" s="3">
        <v>14.000000000000002</v>
      </c>
    </row>
    <row r="822" spans="1:7" x14ac:dyDescent="0.2">
      <c r="A822" s="3" t="s">
        <v>76</v>
      </c>
      <c r="B822" t="s">
        <v>972</v>
      </c>
      <c r="C822" s="3">
        <v>11</v>
      </c>
      <c r="D822" t="str">
        <f t="shared" si="12"/>
        <v>Cèdres (ONF, Courdier JM. , 2008) - classe 1_11</v>
      </c>
      <c r="E822" s="3">
        <v>15.400000000000002</v>
      </c>
      <c r="F822" s="3">
        <v>0</v>
      </c>
      <c r="G822" s="3">
        <v>15.400000000000002</v>
      </c>
    </row>
    <row r="823" spans="1:7" x14ac:dyDescent="0.2">
      <c r="A823" s="3" t="s">
        <v>76</v>
      </c>
      <c r="B823" t="s">
        <v>972</v>
      </c>
      <c r="C823" s="3">
        <v>12</v>
      </c>
      <c r="D823" t="str">
        <f t="shared" si="12"/>
        <v>Cèdres (ONF, Courdier JM. , 2008) - classe 1_12</v>
      </c>
      <c r="E823" s="3">
        <v>16.8</v>
      </c>
      <c r="F823" s="3">
        <v>0</v>
      </c>
      <c r="G823" s="3">
        <v>16.8</v>
      </c>
    </row>
    <row r="824" spans="1:7" x14ac:dyDescent="0.2">
      <c r="A824" s="3" t="s">
        <v>76</v>
      </c>
      <c r="B824" t="s">
        <v>972</v>
      </c>
      <c r="C824" s="3">
        <v>13</v>
      </c>
      <c r="D824" t="str">
        <f t="shared" si="12"/>
        <v>Cèdres (ONF, Courdier JM. , 2008) - classe 1_13</v>
      </c>
      <c r="E824" s="3">
        <v>18.2</v>
      </c>
      <c r="F824" s="3">
        <v>0</v>
      </c>
      <c r="G824" s="3">
        <v>18.2</v>
      </c>
    </row>
    <row r="825" spans="1:7" x14ac:dyDescent="0.2">
      <c r="A825" s="3" t="s">
        <v>76</v>
      </c>
      <c r="B825" t="s">
        <v>972</v>
      </c>
      <c r="C825" s="3">
        <v>14</v>
      </c>
      <c r="D825" t="str">
        <f t="shared" si="12"/>
        <v>Cèdres (ONF, Courdier JM. , 2008) - classe 1_14</v>
      </c>
      <c r="E825" s="3">
        <v>19.599999999999998</v>
      </c>
      <c r="F825" s="3">
        <v>0</v>
      </c>
      <c r="G825" s="3">
        <v>19.599999999999998</v>
      </c>
    </row>
    <row r="826" spans="1:7" x14ac:dyDescent="0.2">
      <c r="A826" s="3" t="s">
        <v>76</v>
      </c>
      <c r="B826" t="s">
        <v>972</v>
      </c>
      <c r="C826" s="3">
        <v>15</v>
      </c>
      <c r="D826" t="str">
        <f t="shared" si="12"/>
        <v>Cèdres (ONF, Courdier JM. , 2008) - classe 1_15</v>
      </c>
      <c r="E826" s="3">
        <v>20.999999999999996</v>
      </c>
      <c r="F826" s="3">
        <v>0</v>
      </c>
      <c r="G826" s="3">
        <v>20.999999999999996</v>
      </c>
    </row>
    <row r="827" spans="1:7" x14ac:dyDescent="0.2">
      <c r="A827" s="3" t="s">
        <v>76</v>
      </c>
      <c r="B827" t="s">
        <v>972</v>
      </c>
      <c r="C827" s="3">
        <v>16</v>
      </c>
      <c r="D827" t="str">
        <f t="shared" si="12"/>
        <v>Cèdres (ONF, Courdier JM. , 2008) - classe 1_16</v>
      </c>
      <c r="E827" s="3">
        <v>22.399999999999995</v>
      </c>
      <c r="F827" s="3">
        <v>0</v>
      </c>
      <c r="G827" s="3">
        <v>22.399999999999995</v>
      </c>
    </row>
    <row r="828" spans="1:7" x14ac:dyDescent="0.2">
      <c r="A828" s="3" t="s">
        <v>76</v>
      </c>
      <c r="B828" t="s">
        <v>972</v>
      </c>
      <c r="C828" s="3">
        <v>17</v>
      </c>
      <c r="D828" t="str">
        <f t="shared" si="12"/>
        <v>Cèdres (ONF, Courdier JM. , 2008) - classe 1_17</v>
      </c>
      <c r="E828" s="3">
        <v>23.799999999999994</v>
      </c>
      <c r="F828" s="3">
        <v>0</v>
      </c>
      <c r="G828" s="3">
        <v>23.799999999999994</v>
      </c>
    </row>
    <row r="829" spans="1:7" x14ac:dyDescent="0.2">
      <c r="A829" s="3" t="s">
        <v>76</v>
      </c>
      <c r="B829" t="s">
        <v>972</v>
      </c>
      <c r="C829" s="3">
        <v>18</v>
      </c>
      <c r="D829" t="str">
        <f t="shared" si="12"/>
        <v>Cèdres (ONF, Courdier JM. , 2008) - classe 1_18</v>
      </c>
      <c r="E829" s="3">
        <v>25.199999999999992</v>
      </c>
      <c r="F829" s="3">
        <v>0</v>
      </c>
      <c r="G829" s="3">
        <v>25.199999999999992</v>
      </c>
    </row>
    <row r="830" spans="1:7" x14ac:dyDescent="0.2">
      <c r="A830" s="3" t="s">
        <v>76</v>
      </c>
      <c r="B830" t="s">
        <v>972</v>
      </c>
      <c r="C830" s="3">
        <v>19</v>
      </c>
      <c r="D830" t="str">
        <f t="shared" si="12"/>
        <v>Cèdres (ONF, Courdier JM. , 2008) - classe 1_19</v>
      </c>
      <c r="E830" s="3">
        <v>26.599999999999991</v>
      </c>
      <c r="F830" s="3">
        <v>0</v>
      </c>
      <c r="G830" s="3">
        <v>26.599999999999991</v>
      </c>
    </row>
    <row r="831" spans="1:7" x14ac:dyDescent="0.2">
      <c r="A831" s="3" t="s">
        <v>76</v>
      </c>
      <c r="B831" t="s">
        <v>972</v>
      </c>
      <c r="C831" s="3">
        <v>20</v>
      </c>
      <c r="D831" t="str">
        <f t="shared" si="12"/>
        <v>Cèdres (ONF, Courdier JM. , 2008) - classe 1_20</v>
      </c>
      <c r="E831" s="3">
        <v>28</v>
      </c>
      <c r="F831" s="3">
        <v>0</v>
      </c>
      <c r="G831" s="3">
        <v>28</v>
      </c>
    </row>
    <row r="832" spans="1:7" x14ac:dyDescent="0.2">
      <c r="A832" s="3" t="s">
        <v>76</v>
      </c>
      <c r="B832" t="s">
        <v>972</v>
      </c>
      <c r="C832" s="3">
        <v>21</v>
      </c>
      <c r="D832" t="str">
        <f t="shared" si="12"/>
        <v>Cèdres (ONF, Courdier JM. , 2008) - classe 1_21</v>
      </c>
      <c r="E832" s="3">
        <v>37.299999999999997</v>
      </c>
      <c r="F832" s="3">
        <v>0</v>
      </c>
      <c r="G832" s="3">
        <v>37.299999999999997</v>
      </c>
    </row>
    <row r="833" spans="1:7" x14ac:dyDescent="0.2">
      <c r="A833" s="3" t="s">
        <v>76</v>
      </c>
      <c r="B833" t="s">
        <v>972</v>
      </c>
      <c r="C833" s="3">
        <v>22</v>
      </c>
      <c r="D833" t="str">
        <f t="shared" si="12"/>
        <v>Cèdres (ONF, Courdier JM. , 2008) - classe 1_22</v>
      </c>
      <c r="E833" s="3">
        <v>46.599999999999994</v>
      </c>
      <c r="F833" s="3">
        <v>0</v>
      </c>
      <c r="G833" s="3">
        <v>46.599999999999994</v>
      </c>
    </row>
    <row r="834" spans="1:7" x14ac:dyDescent="0.2">
      <c r="A834" s="3" t="s">
        <v>76</v>
      </c>
      <c r="B834" t="s">
        <v>972</v>
      </c>
      <c r="C834" s="3">
        <v>23</v>
      </c>
      <c r="D834" t="str">
        <f t="shared" si="12"/>
        <v>Cèdres (ONF, Courdier JM. , 2008) - classe 1_23</v>
      </c>
      <c r="E834" s="3">
        <v>55.899999999999991</v>
      </c>
      <c r="F834" s="3">
        <v>0</v>
      </c>
      <c r="G834" s="3">
        <v>55.899999999999991</v>
      </c>
    </row>
    <row r="835" spans="1:7" x14ac:dyDescent="0.2">
      <c r="A835" s="3" t="s">
        <v>76</v>
      </c>
      <c r="B835" t="s">
        <v>972</v>
      </c>
      <c r="C835" s="3">
        <v>24</v>
      </c>
      <c r="D835" t="str">
        <f t="shared" ref="D835:D898" si="13">CONCATENATE(B835,"_",C835)</f>
        <v>Cèdres (ONF, Courdier JM. , 2008) - classe 1_24</v>
      </c>
      <c r="E835" s="3">
        <v>65.199999999999989</v>
      </c>
      <c r="F835" s="3">
        <v>0</v>
      </c>
      <c r="G835" s="3">
        <v>65.199999999999989</v>
      </c>
    </row>
    <row r="836" spans="1:7" x14ac:dyDescent="0.2">
      <c r="A836" s="3" t="s">
        <v>76</v>
      </c>
      <c r="B836" t="s">
        <v>972</v>
      </c>
      <c r="C836" s="3">
        <v>25</v>
      </c>
      <c r="D836" t="str">
        <f t="shared" si="13"/>
        <v>Cèdres (ONF, Courdier JM. , 2008) - classe 1_25</v>
      </c>
      <c r="E836" s="3">
        <v>74.499999999999986</v>
      </c>
      <c r="F836" s="3">
        <v>0</v>
      </c>
      <c r="G836" s="3">
        <v>74.499999999999986</v>
      </c>
    </row>
    <row r="837" spans="1:7" x14ac:dyDescent="0.2">
      <c r="A837" s="3" t="s">
        <v>76</v>
      </c>
      <c r="B837" t="s">
        <v>972</v>
      </c>
      <c r="C837" s="3">
        <v>26</v>
      </c>
      <c r="D837" t="str">
        <f t="shared" si="13"/>
        <v>Cèdres (ONF, Courdier JM. , 2008) - classe 1_26</v>
      </c>
      <c r="E837" s="3">
        <v>83.799999999999983</v>
      </c>
      <c r="F837" s="3">
        <v>0</v>
      </c>
      <c r="G837" s="3">
        <v>83.799999999999983</v>
      </c>
    </row>
    <row r="838" spans="1:7" x14ac:dyDescent="0.2">
      <c r="A838" s="3" t="s">
        <v>76</v>
      </c>
      <c r="B838" t="s">
        <v>972</v>
      </c>
      <c r="C838" s="3">
        <v>27</v>
      </c>
      <c r="D838" t="str">
        <f t="shared" si="13"/>
        <v>Cèdres (ONF, Courdier JM. , 2008) - classe 1_27</v>
      </c>
      <c r="E838" s="3">
        <v>93.09999999999998</v>
      </c>
      <c r="F838" s="3">
        <v>0</v>
      </c>
      <c r="G838" s="3">
        <v>93.09999999999998</v>
      </c>
    </row>
    <row r="839" spans="1:7" x14ac:dyDescent="0.2">
      <c r="A839" s="3" t="s">
        <v>76</v>
      </c>
      <c r="B839" t="s">
        <v>972</v>
      </c>
      <c r="C839" s="3">
        <v>28</v>
      </c>
      <c r="D839" t="str">
        <f t="shared" si="13"/>
        <v>Cèdres (ONF, Courdier JM. , 2008) - classe 1_28</v>
      </c>
      <c r="E839" s="3">
        <v>102.39999999999998</v>
      </c>
      <c r="F839" s="3">
        <v>0</v>
      </c>
      <c r="G839" s="3">
        <v>102.39999999999998</v>
      </c>
    </row>
    <row r="840" spans="1:7" x14ac:dyDescent="0.2">
      <c r="A840" s="3" t="s">
        <v>76</v>
      </c>
      <c r="B840" t="s">
        <v>972</v>
      </c>
      <c r="C840" s="3">
        <v>29</v>
      </c>
      <c r="D840" t="str">
        <f t="shared" si="13"/>
        <v>Cèdres (ONF, Courdier JM. , 2008) - classe 1_29</v>
      </c>
      <c r="E840" s="3">
        <v>111.69999999999997</v>
      </c>
      <c r="F840" s="3">
        <v>0</v>
      </c>
      <c r="G840" s="3">
        <v>111.69999999999997</v>
      </c>
    </row>
    <row r="841" spans="1:7" x14ac:dyDescent="0.2">
      <c r="A841" s="3" t="s">
        <v>76</v>
      </c>
      <c r="B841" t="s">
        <v>972</v>
      </c>
      <c r="C841" s="3">
        <v>30</v>
      </c>
      <c r="D841" t="str">
        <f t="shared" si="13"/>
        <v>Cèdres (ONF, Courdier JM. , 2008) - classe 1_30</v>
      </c>
      <c r="E841" s="3">
        <v>121</v>
      </c>
      <c r="F841" s="3">
        <v>0</v>
      </c>
      <c r="G841" s="3">
        <v>121</v>
      </c>
    </row>
    <row r="842" spans="1:7" x14ac:dyDescent="0.2">
      <c r="A842" s="3" t="s">
        <v>76</v>
      </c>
      <c r="B842" t="s">
        <v>973</v>
      </c>
      <c r="C842" s="3">
        <v>1</v>
      </c>
      <c r="D842" t="str">
        <f t="shared" si="13"/>
        <v>Cèdres (ONF, Courdier JM. , 2008) - classe 2_1</v>
      </c>
      <c r="E842" s="3">
        <v>2.9333333333333331</v>
      </c>
      <c r="F842" s="3">
        <v>0</v>
      </c>
      <c r="G842" s="3">
        <v>2.9333333333333331</v>
      </c>
    </row>
    <row r="843" spans="1:7" x14ac:dyDescent="0.2">
      <c r="A843" s="3" t="s">
        <v>76</v>
      </c>
      <c r="B843" t="s">
        <v>973</v>
      </c>
      <c r="C843" s="3">
        <v>2</v>
      </c>
      <c r="D843" t="str">
        <f t="shared" si="13"/>
        <v>Cèdres (ONF, Courdier JM. , 2008) - classe 2_2</v>
      </c>
      <c r="E843" s="3">
        <v>5.8666666666666663</v>
      </c>
      <c r="F843" s="3">
        <v>0</v>
      </c>
      <c r="G843" s="3">
        <v>5.8666666666666663</v>
      </c>
    </row>
    <row r="844" spans="1:7" x14ac:dyDescent="0.2">
      <c r="A844" s="3" t="s">
        <v>76</v>
      </c>
      <c r="B844" t="s">
        <v>973</v>
      </c>
      <c r="C844" s="3">
        <v>3</v>
      </c>
      <c r="D844" t="str">
        <f t="shared" si="13"/>
        <v>Cèdres (ONF, Courdier JM. , 2008) - classe 2_3</v>
      </c>
      <c r="E844" s="3">
        <v>8.7999999999999989</v>
      </c>
      <c r="F844" s="3">
        <v>0</v>
      </c>
      <c r="G844" s="3">
        <v>8.7999999999999989</v>
      </c>
    </row>
    <row r="845" spans="1:7" x14ac:dyDescent="0.2">
      <c r="A845" s="3" t="s">
        <v>76</v>
      </c>
      <c r="B845" t="s">
        <v>973</v>
      </c>
      <c r="C845" s="3">
        <v>4</v>
      </c>
      <c r="D845" t="str">
        <f t="shared" si="13"/>
        <v>Cèdres (ONF, Courdier JM. , 2008) - classe 2_4</v>
      </c>
      <c r="E845" s="3">
        <v>11.733333333333333</v>
      </c>
      <c r="F845" s="3">
        <v>0</v>
      </c>
      <c r="G845" s="3">
        <v>11.733333333333333</v>
      </c>
    </row>
    <row r="846" spans="1:7" x14ac:dyDescent="0.2">
      <c r="A846" s="3" t="s">
        <v>76</v>
      </c>
      <c r="B846" t="s">
        <v>973</v>
      </c>
      <c r="C846" s="3">
        <v>5</v>
      </c>
      <c r="D846" t="str">
        <f t="shared" si="13"/>
        <v>Cèdres (ONF, Courdier JM. , 2008) - classe 2_5</v>
      </c>
      <c r="E846" s="3">
        <v>14.666666666666666</v>
      </c>
      <c r="F846" s="3">
        <v>0</v>
      </c>
      <c r="G846" s="3">
        <v>14.666666666666666</v>
      </c>
    </row>
    <row r="847" spans="1:7" x14ac:dyDescent="0.2">
      <c r="A847" s="3" t="s">
        <v>76</v>
      </c>
      <c r="B847" t="s">
        <v>973</v>
      </c>
      <c r="C847" s="3">
        <v>6</v>
      </c>
      <c r="D847" t="str">
        <f t="shared" si="13"/>
        <v>Cèdres (ONF, Courdier JM. , 2008) - classe 2_6</v>
      </c>
      <c r="E847" s="3">
        <v>17.599999999999998</v>
      </c>
      <c r="F847" s="3">
        <v>0</v>
      </c>
      <c r="G847" s="3">
        <v>17.599999999999998</v>
      </c>
    </row>
    <row r="848" spans="1:7" x14ac:dyDescent="0.2">
      <c r="A848" s="3" t="s">
        <v>76</v>
      </c>
      <c r="B848" t="s">
        <v>973</v>
      </c>
      <c r="C848" s="3">
        <v>7</v>
      </c>
      <c r="D848" t="str">
        <f t="shared" si="13"/>
        <v>Cèdres (ONF, Courdier JM. , 2008) - classe 2_7</v>
      </c>
      <c r="E848" s="3">
        <v>20.533333333333331</v>
      </c>
      <c r="F848" s="3">
        <v>0</v>
      </c>
      <c r="G848" s="3">
        <v>20.533333333333331</v>
      </c>
    </row>
    <row r="849" spans="1:7" x14ac:dyDescent="0.2">
      <c r="A849" s="3" t="s">
        <v>76</v>
      </c>
      <c r="B849" t="s">
        <v>973</v>
      </c>
      <c r="C849" s="3">
        <v>8</v>
      </c>
      <c r="D849" t="str">
        <f t="shared" si="13"/>
        <v>Cèdres (ONF, Courdier JM. , 2008) - classe 2_8</v>
      </c>
      <c r="E849" s="3">
        <v>23.466666666666665</v>
      </c>
      <c r="F849" s="3">
        <v>0</v>
      </c>
      <c r="G849" s="3">
        <v>23.466666666666665</v>
      </c>
    </row>
    <row r="850" spans="1:7" x14ac:dyDescent="0.2">
      <c r="A850" s="3" t="s">
        <v>76</v>
      </c>
      <c r="B850" t="s">
        <v>973</v>
      </c>
      <c r="C850" s="3">
        <v>9</v>
      </c>
      <c r="D850" t="str">
        <f t="shared" si="13"/>
        <v>Cèdres (ONF, Courdier JM. , 2008) - classe 2_9</v>
      </c>
      <c r="E850" s="3">
        <v>26.4</v>
      </c>
      <c r="F850" s="3">
        <v>0</v>
      </c>
      <c r="G850" s="3">
        <v>26.4</v>
      </c>
    </row>
    <row r="851" spans="1:7" x14ac:dyDescent="0.2">
      <c r="A851" s="3" t="s">
        <v>76</v>
      </c>
      <c r="B851" t="s">
        <v>973</v>
      </c>
      <c r="C851" s="3">
        <v>10</v>
      </c>
      <c r="D851" t="str">
        <f t="shared" si="13"/>
        <v>Cèdres (ONF, Courdier JM. , 2008) - classe 2_10</v>
      </c>
      <c r="E851" s="3">
        <v>29.333333333333332</v>
      </c>
      <c r="F851" s="3">
        <v>0</v>
      </c>
      <c r="G851" s="3">
        <v>29.333333333333332</v>
      </c>
    </row>
    <row r="852" spans="1:7" x14ac:dyDescent="0.2">
      <c r="A852" s="3" t="s">
        <v>76</v>
      </c>
      <c r="B852" t="s">
        <v>973</v>
      </c>
      <c r="C852" s="3">
        <v>11</v>
      </c>
      <c r="D852" t="str">
        <f t="shared" si="13"/>
        <v>Cèdres (ONF, Courdier JM. , 2008) - classe 2_11</v>
      </c>
      <c r="E852" s="3">
        <v>32.266666666666666</v>
      </c>
      <c r="F852" s="3">
        <v>0</v>
      </c>
      <c r="G852" s="3">
        <v>32.266666666666666</v>
      </c>
    </row>
    <row r="853" spans="1:7" x14ac:dyDescent="0.2">
      <c r="A853" s="3" t="s">
        <v>76</v>
      </c>
      <c r="B853" t="s">
        <v>973</v>
      </c>
      <c r="C853" s="3">
        <v>12</v>
      </c>
      <c r="D853" t="str">
        <f t="shared" si="13"/>
        <v>Cèdres (ONF, Courdier JM. , 2008) - classe 2_12</v>
      </c>
      <c r="E853" s="3">
        <v>35.199999999999996</v>
      </c>
      <c r="F853" s="3">
        <v>0</v>
      </c>
      <c r="G853" s="3">
        <v>35.199999999999996</v>
      </c>
    </row>
    <row r="854" spans="1:7" x14ac:dyDescent="0.2">
      <c r="A854" s="3" t="s">
        <v>76</v>
      </c>
      <c r="B854" t="s">
        <v>973</v>
      </c>
      <c r="C854" s="3">
        <v>13</v>
      </c>
      <c r="D854" t="str">
        <f t="shared" si="13"/>
        <v>Cèdres (ONF, Courdier JM. , 2008) - classe 2_13</v>
      </c>
      <c r="E854" s="3">
        <v>38.133333333333326</v>
      </c>
      <c r="F854" s="3">
        <v>0</v>
      </c>
      <c r="G854" s="3">
        <v>38.133333333333326</v>
      </c>
    </row>
    <row r="855" spans="1:7" x14ac:dyDescent="0.2">
      <c r="A855" s="3" t="s">
        <v>76</v>
      </c>
      <c r="B855" t="s">
        <v>973</v>
      </c>
      <c r="C855" s="3">
        <v>14</v>
      </c>
      <c r="D855" t="str">
        <f t="shared" si="13"/>
        <v>Cèdres (ONF, Courdier JM. , 2008) - classe 2_14</v>
      </c>
      <c r="E855" s="3">
        <v>41.066666666666656</v>
      </c>
      <c r="F855" s="3">
        <v>0</v>
      </c>
      <c r="G855" s="3">
        <v>41.066666666666656</v>
      </c>
    </row>
    <row r="856" spans="1:7" x14ac:dyDescent="0.2">
      <c r="A856" s="3" t="s">
        <v>76</v>
      </c>
      <c r="B856" t="s">
        <v>973</v>
      </c>
      <c r="C856" s="3">
        <v>15</v>
      </c>
      <c r="D856" t="str">
        <f t="shared" si="13"/>
        <v>Cèdres (ONF, Courdier JM. , 2008) - classe 2_15</v>
      </c>
      <c r="E856" s="3">
        <v>43.999999999999986</v>
      </c>
      <c r="F856" s="3">
        <v>0</v>
      </c>
      <c r="G856" s="3">
        <v>43.999999999999986</v>
      </c>
    </row>
    <row r="857" spans="1:7" x14ac:dyDescent="0.2">
      <c r="A857" s="3" t="s">
        <v>76</v>
      </c>
      <c r="B857" t="s">
        <v>973</v>
      </c>
      <c r="C857" s="3">
        <v>16</v>
      </c>
      <c r="D857" t="str">
        <f t="shared" si="13"/>
        <v>Cèdres (ONF, Courdier JM. , 2008) - classe 2_16</v>
      </c>
      <c r="E857" s="3">
        <v>46.933333333333316</v>
      </c>
      <c r="F857" s="3">
        <v>0</v>
      </c>
      <c r="G857" s="3">
        <v>46.933333333333316</v>
      </c>
    </row>
    <row r="858" spans="1:7" x14ac:dyDescent="0.2">
      <c r="A858" s="3" t="s">
        <v>76</v>
      </c>
      <c r="B858" t="s">
        <v>973</v>
      </c>
      <c r="C858" s="3">
        <v>17</v>
      </c>
      <c r="D858" t="str">
        <f t="shared" si="13"/>
        <v>Cèdres (ONF, Courdier JM. , 2008) - classe 2_17</v>
      </c>
      <c r="E858" s="3">
        <v>49.866666666666646</v>
      </c>
      <c r="F858" s="3">
        <v>0</v>
      </c>
      <c r="G858" s="3">
        <v>49.866666666666646</v>
      </c>
    </row>
    <row r="859" spans="1:7" x14ac:dyDescent="0.2">
      <c r="A859" s="3" t="s">
        <v>76</v>
      </c>
      <c r="B859" t="s">
        <v>973</v>
      </c>
      <c r="C859" s="3">
        <v>18</v>
      </c>
      <c r="D859" t="str">
        <f t="shared" si="13"/>
        <v>Cèdres (ONF, Courdier JM. , 2008) - classe 2_18</v>
      </c>
      <c r="E859" s="3">
        <v>52.799999999999976</v>
      </c>
      <c r="F859" s="3">
        <v>0</v>
      </c>
      <c r="G859" s="3">
        <v>52.799999999999976</v>
      </c>
    </row>
    <row r="860" spans="1:7" x14ac:dyDescent="0.2">
      <c r="A860" s="3" t="s">
        <v>76</v>
      </c>
      <c r="B860" t="s">
        <v>973</v>
      </c>
      <c r="C860" s="3">
        <v>19</v>
      </c>
      <c r="D860" t="str">
        <f t="shared" si="13"/>
        <v>Cèdres (ONF, Courdier JM. , 2008) - classe 2_19</v>
      </c>
      <c r="E860" s="3">
        <v>55.733333333333306</v>
      </c>
      <c r="F860" s="3">
        <v>0</v>
      </c>
      <c r="G860" s="3">
        <v>55.733333333333306</v>
      </c>
    </row>
    <row r="861" spans="1:7" x14ac:dyDescent="0.2">
      <c r="A861" s="3" t="s">
        <v>76</v>
      </c>
      <c r="B861" t="s">
        <v>973</v>
      </c>
      <c r="C861" s="3">
        <v>20</v>
      </c>
      <c r="D861" t="str">
        <f t="shared" si="13"/>
        <v>Cèdres (ONF, Courdier JM. , 2008) - classe 2_20</v>
      </c>
      <c r="E861" s="3">
        <v>58.666666666666636</v>
      </c>
      <c r="F861" s="3">
        <v>0</v>
      </c>
      <c r="G861" s="3">
        <v>58.666666666666636</v>
      </c>
    </row>
    <row r="862" spans="1:7" x14ac:dyDescent="0.2">
      <c r="A862" s="3" t="s">
        <v>76</v>
      </c>
      <c r="B862" t="s">
        <v>973</v>
      </c>
      <c r="C862" s="3">
        <v>21</v>
      </c>
      <c r="D862" t="str">
        <f t="shared" si="13"/>
        <v>Cèdres (ONF, Courdier JM. , 2008) - classe 2_21</v>
      </c>
      <c r="E862" s="3">
        <v>61.599999999999966</v>
      </c>
      <c r="F862" s="3">
        <v>0</v>
      </c>
      <c r="G862" s="3">
        <v>61.599999999999966</v>
      </c>
    </row>
    <row r="863" spans="1:7" x14ac:dyDescent="0.2">
      <c r="A863" s="3" t="s">
        <v>76</v>
      </c>
      <c r="B863" t="s">
        <v>973</v>
      </c>
      <c r="C863" s="3">
        <v>22</v>
      </c>
      <c r="D863" t="str">
        <f t="shared" si="13"/>
        <v>Cèdres (ONF, Courdier JM. , 2008) - classe 2_22</v>
      </c>
      <c r="E863" s="3">
        <v>64.533333333333303</v>
      </c>
      <c r="F863" s="3">
        <v>0</v>
      </c>
      <c r="G863" s="3">
        <v>64.533333333333303</v>
      </c>
    </row>
    <row r="864" spans="1:7" x14ac:dyDescent="0.2">
      <c r="A864" s="3" t="s">
        <v>76</v>
      </c>
      <c r="B864" t="s">
        <v>973</v>
      </c>
      <c r="C864" s="3">
        <v>23</v>
      </c>
      <c r="D864" t="str">
        <f t="shared" si="13"/>
        <v>Cèdres (ONF, Courdier JM. , 2008) - classe 2_23</v>
      </c>
      <c r="E864" s="3">
        <v>67.46666666666664</v>
      </c>
      <c r="F864" s="3">
        <v>0</v>
      </c>
      <c r="G864" s="3">
        <v>67.46666666666664</v>
      </c>
    </row>
    <row r="865" spans="1:7" x14ac:dyDescent="0.2">
      <c r="A865" s="3" t="s">
        <v>76</v>
      </c>
      <c r="B865" t="s">
        <v>973</v>
      </c>
      <c r="C865" s="3">
        <v>24</v>
      </c>
      <c r="D865" t="str">
        <f t="shared" si="13"/>
        <v>Cèdres (ONF, Courdier JM. , 2008) - classe 2_24</v>
      </c>
      <c r="E865" s="3">
        <v>70.399999999999977</v>
      </c>
      <c r="F865" s="3">
        <v>0</v>
      </c>
      <c r="G865" s="3">
        <v>70.399999999999977</v>
      </c>
    </row>
    <row r="866" spans="1:7" x14ac:dyDescent="0.2">
      <c r="A866" s="3" t="s">
        <v>76</v>
      </c>
      <c r="B866" t="s">
        <v>973</v>
      </c>
      <c r="C866" s="3">
        <v>25</v>
      </c>
      <c r="D866" t="str">
        <f t="shared" si="13"/>
        <v>Cèdres (ONF, Courdier JM. , 2008) - classe 2_25</v>
      </c>
      <c r="E866" s="3">
        <v>73.333333333333314</v>
      </c>
      <c r="F866" s="3">
        <v>0</v>
      </c>
      <c r="G866" s="3">
        <v>73.333333333333314</v>
      </c>
    </row>
    <row r="867" spans="1:7" x14ac:dyDescent="0.2">
      <c r="A867" s="3" t="s">
        <v>76</v>
      </c>
      <c r="B867" t="s">
        <v>973</v>
      </c>
      <c r="C867" s="3">
        <v>26</v>
      </c>
      <c r="D867" t="str">
        <f t="shared" si="13"/>
        <v>Cèdres (ONF, Courdier JM. , 2008) - classe 2_26</v>
      </c>
      <c r="E867" s="3">
        <v>76.266666666666652</v>
      </c>
      <c r="F867" s="3">
        <v>0</v>
      </c>
      <c r="G867" s="3">
        <v>76.266666666666652</v>
      </c>
    </row>
    <row r="868" spans="1:7" x14ac:dyDescent="0.2">
      <c r="A868" s="3" t="s">
        <v>76</v>
      </c>
      <c r="B868" t="s">
        <v>973</v>
      </c>
      <c r="C868" s="3">
        <v>27</v>
      </c>
      <c r="D868" t="str">
        <f t="shared" si="13"/>
        <v>Cèdres (ONF, Courdier JM. , 2008) - classe 2_27</v>
      </c>
      <c r="E868" s="3">
        <v>79.199999999999989</v>
      </c>
      <c r="F868" s="3">
        <v>0</v>
      </c>
      <c r="G868" s="3">
        <v>79.199999999999989</v>
      </c>
    </row>
    <row r="869" spans="1:7" x14ac:dyDescent="0.2">
      <c r="A869" s="3" t="s">
        <v>76</v>
      </c>
      <c r="B869" t="s">
        <v>973</v>
      </c>
      <c r="C869" s="3">
        <v>28</v>
      </c>
      <c r="D869" t="str">
        <f t="shared" si="13"/>
        <v>Cèdres (ONF, Courdier JM. , 2008) - classe 2_28</v>
      </c>
      <c r="E869" s="3">
        <v>82.133333333333326</v>
      </c>
      <c r="F869" s="3">
        <v>0</v>
      </c>
      <c r="G869" s="3">
        <v>82.133333333333326</v>
      </c>
    </row>
    <row r="870" spans="1:7" x14ac:dyDescent="0.2">
      <c r="A870" s="3" t="s">
        <v>76</v>
      </c>
      <c r="B870" t="s">
        <v>973</v>
      </c>
      <c r="C870" s="3">
        <v>29</v>
      </c>
      <c r="D870" t="str">
        <f t="shared" si="13"/>
        <v>Cèdres (ONF, Courdier JM. , 2008) - classe 2_29</v>
      </c>
      <c r="E870" s="3">
        <v>85.066666666666663</v>
      </c>
      <c r="F870" s="3">
        <v>0</v>
      </c>
      <c r="G870" s="3">
        <v>85.066666666666663</v>
      </c>
    </row>
    <row r="871" spans="1:7" x14ac:dyDescent="0.2">
      <c r="A871" s="3" t="s">
        <v>76</v>
      </c>
      <c r="B871" t="s">
        <v>973</v>
      </c>
      <c r="C871" s="3">
        <v>30</v>
      </c>
      <c r="D871" t="str">
        <f t="shared" si="13"/>
        <v>Cèdres (ONF, Courdier JM. , 2008) - classe 2_30</v>
      </c>
      <c r="E871" s="3">
        <v>88</v>
      </c>
      <c r="F871" s="3">
        <v>0</v>
      </c>
      <c r="G871" s="3">
        <v>88</v>
      </c>
    </row>
    <row r="872" spans="1:7" x14ac:dyDescent="0.2">
      <c r="A872" s="3" t="s">
        <v>76</v>
      </c>
      <c r="B872" t="s">
        <v>974</v>
      </c>
      <c r="C872" s="3">
        <v>1</v>
      </c>
      <c r="D872" t="str">
        <f t="shared" si="13"/>
        <v>Cèdres (ONF, Courdier JM. , 2008) - classe 3_1</v>
      </c>
      <c r="E872" s="3">
        <v>4.92</v>
      </c>
      <c r="F872" s="3">
        <v>0</v>
      </c>
      <c r="G872" s="3">
        <v>4.92</v>
      </c>
    </row>
    <row r="873" spans="1:7" x14ac:dyDescent="0.2">
      <c r="A873" s="3" t="s">
        <v>76</v>
      </c>
      <c r="B873" t="s">
        <v>974</v>
      </c>
      <c r="C873" s="3">
        <v>2</v>
      </c>
      <c r="D873" t="str">
        <f t="shared" si="13"/>
        <v>Cèdres (ONF, Courdier JM. , 2008) - classe 3_2</v>
      </c>
      <c r="E873" s="3">
        <v>9.84</v>
      </c>
      <c r="F873" s="3">
        <v>0</v>
      </c>
      <c r="G873" s="3">
        <v>9.84</v>
      </c>
    </row>
    <row r="874" spans="1:7" x14ac:dyDescent="0.2">
      <c r="A874" s="3" t="s">
        <v>76</v>
      </c>
      <c r="B874" t="s">
        <v>974</v>
      </c>
      <c r="C874" s="3">
        <v>3</v>
      </c>
      <c r="D874" t="str">
        <f t="shared" si="13"/>
        <v>Cèdres (ONF, Courdier JM. , 2008) - classe 3_3</v>
      </c>
      <c r="E874" s="3">
        <v>14.76</v>
      </c>
      <c r="F874" s="3">
        <v>0</v>
      </c>
      <c r="G874" s="3">
        <v>14.76</v>
      </c>
    </row>
    <row r="875" spans="1:7" x14ac:dyDescent="0.2">
      <c r="A875" s="3" t="s">
        <v>76</v>
      </c>
      <c r="B875" t="s">
        <v>974</v>
      </c>
      <c r="C875" s="3">
        <v>4</v>
      </c>
      <c r="D875" t="str">
        <f t="shared" si="13"/>
        <v>Cèdres (ONF, Courdier JM. , 2008) - classe 3_4</v>
      </c>
      <c r="E875" s="3">
        <v>19.68</v>
      </c>
      <c r="F875" s="3">
        <v>0</v>
      </c>
      <c r="G875" s="3">
        <v>19.68</v>
      </c>
    </row>
    <row r="876" spans="1:7" x14ac:dyDescent="0.2">
      <c r="A876" s="3" t="s">
        <v>76</v>
      </c>
      <c r="B876" t="s">
        <v>974</v>
      </c>
      <c r="C876" s="3">
        <v>5</v>
      </c>
      <c r="D876" t="str">
        <f t="shared" si="13"/>
        <v>Cèdres (ONF, Courdier JM. , 2008) - classe 3_5</v>
      </c>
      <c r="E876" s="3">
        <v>24.6</v>
      </c>
      <c r="F876" s="3">
        <v>0</v>
      </c>
      <c r="G876" s="3">
        <v>24.6</v>
      </c>
    </row>
    <row r="877" spans="1:7" x14ac:dyDescent="0.2">
      <c r="A877" s="3" t="s">
        <v>76</v>
      </c>
      <c r="B877" t="s">
        <v>974</v>
      </c>
      <c r="C877" s="3">
        <v>6</v>
      </c>
      <c r="D877" t="str">
        <f t="shared" si="13"/>
        <v>Cèdres (ONF, Courdier JM. , 2008) - classe 3_6</v>
      </c>
      <c r="E877" s="3">
        <v>29.520000000000003</v>
      </c>
      <c r="F877" s="3">
        <v>0</v>
      </c>
      <c r="G877" s="3">
        <v>29.520000000000003</v>
      </c>
    </row>
    <row r="878" spans="1:7" x14ac:dyDescent="0.2">
      <c r="A878" s="3" t="s">
        <v>76</v>
      </c>
      <c r="B878" t="s">
        <v>974</v>
      </c>
      <c r="C878" s="3">
        <v>7</v>
      </c>
      <c r="D878" t="str">
        <f t="shared" si="13"/>
        <v>Cèdres (ONF, Courdier JM. , 2008) - classe 3_7</v>
      </c>
      <c r="E878" s="3">
        <v>34.440000000000005</v>
      </c>
      <c r="F878" s="3">
        <v>0</v>
      </c>
      <c r="G878" s="3">
        <v>34.440000000000005</v>
      </c>
    </row>
    <row r="879" spans="1:7" x14ac:dyDescent="0.2">
      <c r="A879" s="3" t="s">
        <v>76</v>
      </c>
      <c r="B879" t="s">
        <v>974</v>
      </c>
      <c r="C879" s="3">
        <v>8</v>
      </c>
      <c r="D879" t="str">
        <f t="shared" si="13"/>
        <v>Cèdres (ONF, Courdier JM. , 2008) - classe 3_8</v>
      </c>
      <c r="E879" s="3">
        <v>39.360000000000007</v>
      </c>
      <c r="F879" s="3">
        <v>0</v>
      </c>
      <c r="G879" s="3">
        <v>39.360000000000007</v>
      </c>
    </row>
    <row r="880" spans="1:7" x14ac:dyDescent="0.2">
      <c r="A880" s="3" t="s">
        <v>76</v>
      </c>
      <c r="B880" t="s">
        <v>974</v>
      </c>
      <c r="C880" s="3">
        <v>9</v>
      </c>
      <c r="D880" t="str">
        <f t="shared" si="13"/>
        <v>Cèdres (ONF, Courdier JM. , 2008) - classe 3_9</v>
      </c>
      <c r="E880" s="3">
        <v>44.280000000000008</v>
      </c>
      <c r="F880" s="3">
        <v>0</v>
      </c>
      <c r="G880" s="3">
        <v>44.280000000000008</v>
      </c>
    </row>
    <row r="881" spans="1:7" x14ac:dyDescent="0.2">
      <c r="A881" s="3" t="s">
        <v>76</v>
      </c>
      <c r="B881" t="s">
        <v>974</v>
      </c>
      <c r="C881" s="3">
        <v>10</v>
      </c>
      <c r="D881" t="str">
        <f t="shared" si="13"/>
        <v>Cèdres (ONF, Courdier JM. , 2008) - classe 3_10</v>
      </c>
      <c r="E881" s="3">
        <v>49.20000000000001</v>
      </c>
      <c r="F881" s="3">
        <v>0</v>
      </c>
      <c r="G881" s="3">
        <v>49.20000000000001</v>
      </c>
    </row>
    <row r="882" spans="1:7" x14ac:dyDescent="0.2">
      <c r="A882" s="3" t="s">
        <v>76</v>
      </c>
      <c r="B882" t="s">
        <v>974</v>
      </c>
      <c r="C882" s="3">
        <v>11</v>
      </c>
      <c r="D882" t="str">
        <f t="shared" si="13"/>
        <v>Cèdres (ONF, Courdier JM. , 2008) - classe 3_11</v>
      </c>
      <c r="E882" s="3">
        <v>54.120000000000012</v>
      </c>
      <c r="F882" s="3">
        <v>0</v>
      </c>
      <c r="G882" s="3">
        <v>54.120000000000012</v>
      </c>
    </row>
    <row r="883" spans="1:7" x14ac:dyDescent="0.2">
      <c r="A883" s="3" t="s">
        <v>76</v>
      </c>
      <c r="B883" t="s">
        <v>974</v>
      </c>
      <c r="C883" s="3">
        <v>12</v>
      </c>
      <c r="D883" t="str">
        <f t="shared" si="13"/>
        <v>Cèdres (ONF, Courdier JM. , 2008) - classe 3_12</v>
      </c>
      <c r="E883" s="3">
        <v>59.040000000000013</v>
      </c>
      <c r="F883" s="3">
        <v>0</v>
      </c>
      <c r="G883" s="3">
        <v>59.040000000000013</v>
      </c>
    </row>
    <row r="884" spans="1:7" x14ac:dyDescent="0.2">
      <c r="A884" s="3" t="s">
        <v>76</v>
      </c>
      <c r="B884" t="s">
        <v>974</v>
      </c>
      <c r="C884" s="3">
        <v>13</v>
      </c>
      <c r="D884" t="str">
        <f t="shared" si="13"/>
        <v>Cèdres (ONF, Courdier JM. , 2008) - classe 3_13</v>
      </c>
      <c r="E884" s="3">
        <v>63.960000000000015</v>
      </c>
      <c r="F884" s="3">
        <v>0</v>
      </c>
      <c r="G884" s="3">
        <v>63.960000000000015</v>
      </c>
    </row>
    <row r="885" spans="1:7" x14ac:dyDescent="0.2">
      <c r="A885" s="3" t="s">
        <v>76</v>
      </c>
      <c r="B885" t="s">
        <v>974</v>
      </c>
      <c r="C885" s="3">
        <v>14</v>
      </c>
      <c r="D885" t="str">
        <f t="shared" si="13"/>
        <v>Cèdres (ONF, Courdier JM. , 2008) - classe 3_14</v>
      </c>
      <c r="E885" s="3">
        <v>68.88000000000001</v>
      </c>
      <c r="F885" s="3">
        <v>0</v>
      </c>
      <c r="G885" s="3">
        <v>68.88000000000001</v>
      </c>
    </row>
    <row r="886" spans="1:7" x14ac:dyDescent="0.2">
      <c r="A886" s="3" t="s">
        <v>76</v>
      </c>
      <c r="B886" t="s">
        <v>974</v>
      </c>
      <c r="C886" s="3">
        <v>15</v>
      </c>
      <c r="D886" t="str">
        <f t="shared" si="13"/>
        <v>Cèdres (ONF, Courdier JM. , 2008) - classe 3_15</v>
      </c>
      <c r="E886" s="3">
        <v>73.800000000000011</v>
      </c>
      <c r="F886" s="3">
        <v>0</v>
      </c>
      <c r="G886" s="3">
        <v>73.800000000000011</v>
      </c>
    </row>
    <row r="887" spans="1:7" x14ac:dyDescent="0.2">
      <c r="A887" s="3" t="s">
        <v>76</v>
      </c>
      <c r="B887" t="s">
        <v>974</v>
      </c>
      <c r="C887" s="3">
        <v>16</v>
      </c>
      <c r="D887" t="str">
        <f t="shared" si="13"/>
        <v>Cèdres (ONF, Courdier JM. , 2008) - classe 3_16</v>
      </c>
      <c r="E887" s="3">
        <v>78.720000000000013</v>
      </c>
      <c r="F887" s="3">
        <v>0</v>
      </c>
      <c r="G887" s="3">
        <v>78.720000000000013</v>
      </c>
    </row>
    <row r="888" spans="1:7" x14ac:dyDescent="0.2">
      <c r="A888" s="3" t="s">
        <v>76</v>
      </c>
      <c r="B888" t="s">
        <v>974</v>
      </c>
      <c r="C888" s="3">
        <v>17</v>
      </c>
      <c r="D888" t="str">
        <f t="shared" si="13"/>
        <v>Cèdres (ONF, Courdier JM. , 2008) - classe 3_17</v>
      </c>
      <c r="E888" s="3">
        <v>83.640000000000015</v>
      </c>
      <c r="F888" s="3">
        <v>0</v>
      </c>
      <c r="G888" s="3">
        <v>83.640000000000015</v>
      </c>
    </row>
    <row r="889" spans="1:7" x14ac:dyDescent="0.2">
      <c r="A889" s="3" t="s">
        <v>76</v>
      </c>
      <c r="B889" t="s">
        <v>974</v>
      </c>
      <c r="C889" s="3">
        <v>18</v>
      </c>
      <c r="D889" t="str">
        <f t="shared" si="13"/>
        <v>Cèdres (ONF, Courdier JM. , 2008) - classe 3_18</v>
      </c>
      <c r="E889" s="3">
        <v>88.560000000000016</v>
      </c>
      <c r="F889" s="3">
        <v>0</v>
      </c>
      <c r="G889" s="3">
        <v>88.560000000000016</v>
      </c>
    </row>
    <row r="890" spans="1:7" x14ac:dyDescent="0.2">
      <c r="A890" s="3" t="s">
        <v>76</v>
      </c>
      <c r="B890" t="s">
        <v>974</v>
      </c>
      <c r="C890" s="3">
        <v>19</v>
      </c>
      <c r="D890" t="str">
        <f t="shared" si="13"/>
        <v>Cèdres (ONF, Courdier JM. , 2008) - classe 3_19</v>
      </c>
      <c r="E890" s="3">
        <v>93.480000000000018</v>
      </c>
      <c r="F890" s="3">
        <v>0</v>
      </c>
      <c r="G890" s="3">
        <v>93.480000000000018</v>
      </c>
    </row>
    <row r="891" spans="1:7" x14ac:dyDescent="0.2">
      <c r="A891" s="3" t="s">
        <v>76</v>
      </c>
      <c r="B891" t="s">
        <v>974</v>
      </c>
      <c r="C891" s="3">
        <v>20</v>
      </c>
      <c r="D891" t="str">
        <f t="shared" si="13"/>
        <v>Cèdres (ONF, Courdier JM. , 2008) - classe 3_20</v>
      </c>
      <c r="E891" s="3">
        <v>98.40000000000002</v>
      </c>
      <c r="F891" s="3">
        <v>0</v>
      </c>
      <c r="G891" s="3">
        <v>98.40000000000002</v>
      </c>
    </row>
    <row r="892" spans="1:7" x14ac:dyDescent="0.2">
      <c r="A892" s="3" t="s">
        <v>76</v>
      </c>
      <c r="B892" t="s">
        <v>974</v>
      </c>
      <c r="C892" s="3">
        <v>21</v>
      </c>
      <c r="D892" t="str">
        <f t="shared" si="13"/>
        <v>Cèdres (ONF, Courdier JM. , 2008) - classe 3_21</v>
      </c>
      <c r="E892" s="3">
        <v>103.32000000000002</v>
      </c>
      <c r="F892" s="3">
        <v>0</v>
      </c>
      <c r="G892" s="3">
        <v>103.32000000000002</v>
      </c>
    </row>
    <row r="893" spans="1:7" x14ac:dyDescent="0.2">
      <c r="A893" s="3" t="s">
        <v>76</v>
      </c>
      <c r="B893" t="s">
        <v>974</v>
      </c>
      <c r="C893" s="3">
        <v>22</v>
      </c>
      <c r="D893" t="str">
        <f t="shared" si="13"/>
        <v>Cèdres (ONF, Courdier JM. , 2008) - classe 3_22</v>
      </c>
      <c r="E893" s="3">
        <v>108.24000000000002</v>
      </c>
      <c r="F893" s="3">
        <v>0</v>
      </c>
      <c r="G893" s="3">
        <v>108.24000000000002</v>
      </c>
    </row>
    <row r="894" spans="1:7" x14ac:dyDescent="0.2">
      <c r="A894" s="3" t="s">
        <v>76</v>
      </c>
      <c r="B894" t="s">
        <v>974</v>
      </c>
      <c r="C894" s="3">
        <v>23</v>
      </c>
      <c r="D894" t="str">
        <f t="shared" si="13"/>
        <v>Cèdres (ONF, Courdier JM. , 2008) - classe 3_23</v>
      </c>
      <c r="E894" s="3">
        <v>113.16000000000003</v>
      </c>
      <c r="F894" s="3">
        <v>0</v>
      </c>
      <c r="G894" s="3">
        <v>113.16000000000003</v>
      </c>
    </row>
    <row r="895" spans="1:7" x14ac:dyDescent="0.2">
      <c r="A895" s="3" t="s">
        <v>76</v>
      </c>
      <c r="B895" t="s">
        <v>974</v>
      </c>
      <c r="C895" s="3">
        <v>24</v>
      </c>
      <c r="D895" t="str">
        <f t="shared" si="13"/>
        <v>Cèdres (ONF, Courdier JM. , 2008) - classe 3_24</v>
      </c>
      <c r="E895" s="3">
        <v>118.08000000000003</v>
      </c>
      <c r="F895" s="3">
        <v>0</v>
      </c>
      <c r="G895" s="3">
        <v>118.08000000000003</v>
      </c>
    </row>
    <row r="896" spans="1:7" x14ac:dyDescent="0.2">
      <c r="A896" s="3" t="s">
        <v>76</v>
      </c>
      <c r="B896" t="s">
        <v>974</v>
      </c>
      <c r="C896" s="3">
        <v>25</v>
      </c>
      <c r="D896" t="str">
        <f t="shared" si="13"/>
        <v>Cèdres (ONF, Courdier JM. , 2008) - classe 3_25</v>
      </c>
      <c r="E896" s="3">
        <v>123.00000000000003</v>
      </c>
      <c r="F896" s="3">
        <v>0</v>
      </c>
      <c r="G896" s="3">
        <v>123.00000000000003</v>
      </c>
    </row>
    <row r="897" spans="1:7" x14ac:dyDescent="0.2">
      <c r="A897" s="3" t="s">
        <v>76</v>
      </c>
      <c r="B897" t="s">
        <v>974</v>
      </c>
      <c r="C897" s="3">
        <v>26</v>
      </c>
      <c r="D897" t="str">
        <f t="shared" si="13"/>
        <v>Cèdres (ONF, Courdier JM. , 2008) - classe 3_26</v>
      </c>
      <c r="E897" s="3">
        <v>127.92000000000003</v>
      </c>
      <c r="F897" s="3">
        <v>0</v>
      </c>
      <c r="G897" s="3">
        <v>127.92000000000003</v>
      </c>
    </row>
    <row r="898" spans="1:7" x14ac:dyDescent="0.2">
      <c r="A898" s="3" t="s">
        <v>76</v>
      </c>
      <c r="B898" t="s">
        <v>974</v>
      </c>
      <c r="C898" s="3">
        <v>27</v>
      </c>
      <c r="D898" t="str">
        <f t="shared" si="13"/>
        <v>Cèdres (ONF, Courdier JM. , 2008) - classe 3_27</v>
      </c>
      <c r="E898" s="3">
        <v>132.84000000000003</v>
      </c>
      <c r="F898" s="3">
        <v>0</v>
      </c>
      <c r="G898" s="3">
        <v>132.84000000000003</v>
      </c>
    </row>
    <row r="899" spans="1:7" x14ac:dyDescent="0.2">
      <c r="A899" s="3" t="s">
        <v>76</v>
      </c>
      <c r="B899" t="s">
        <v>974</v>
      </c>
      <c r="C899" s="3">
        <v>28</v>
      </c>
      <c r="D899" t="str">
        <f t="shared" ref="D899:D962" si="14">CONCATENATE(B899,"_",C899)</f>
        <v>Cèdres (ONF, Courdier JM. , 2008) - classe 3_28</v>
      </c>
      <c r="E899" s="3">
        <v>137.76000000000002</v>
      </c>
      <c r="F899" s="3">
        <v>0</v>
      </c>
      <c r="G899" s="3">
        <v>137.76000000000002</v>
      </c>
    </row>
    <row r="900" spans="1:7" x14ac:dyDescent="0.2">
      <c r="A900" s="3" t="s">
        <v>76</v>
      </c>
      <c r="B900" t="s">
        <v>974</v>
      </c>
      <c r="C900" s="3">
        <v>29</v>
      </c>
      <c r="D900" t="str">
        <f t="shared" si="14"/>
        <v>Cèdres (ONF, Courdier JM. , 2008) - classe 3_29</v>
      </c>
      <c r="E900" s="3">
        <v>142.68</v>
      </c>
      <c r="F900" s="3">
        <v>0</v>
      </c>
      <c r="G900" s="3">
        <v>142.68</v>
      </c>
    </row>
    <row r="901" spans="1:7" x14ac:dyDescent="0.2">
      <c r="A901" s="3" t="s">
        <v>76</v>
      </c>
      <c r="B901" t="s">
        <v>974</v>
      </c>
      <c r="C901" s="3">
        <v>30</v>
      </c>
      <c r="D901" t="str">
        <f t="shared" si="14"/>
        <v>Cèdres (ONF, Courdier JM. , 2008) - classe 3_30</v>
      </c>
      <c r="E901" s="3">
        <v>147.6</v>
      </c>
      <c r="F901" s="3">
        <v>0</v>
      </c>
      <c r="G901" s="3">
        <v>147.6</v>
      </c>
    </row>
    <row r="902" spans="1:7" x14ac:dyDescent="0.2">
      <c r="A902" s="3" t="s">
        <v>76</v>
      </c>
      <c r="B902" t="s">
        <v>975</v>
      </c>
      <c r="C902" s="3">
        <v>1</v>
      </c>
      <c r="D902" t="str">
        <f t="shared" si="14"/>
        <v>Cèdres (ONF, Courdier JM. , 2008) - classe 4_1</v>
      </c>
      <c r="E902" s="3">
        <v>3.25</v>
      </c>
      <c r="F902" s="3">
        <v>0</v>
      </c>
      <c r="G902" s="3">
        <v>3.25</v>
      </c>
    </row>
    <row r="903" spans="1:7" x14ac:dyDescent="0.2">
      <c r="A903" s="3" t="s">
        <v>76</v>
      </c>
      <c r="B903" t="s">
        <v>975</v>
      </c>
      <c r="C903" s="3">
        <v>2</v>
      </c>
      <c r="D903" t="str">
        <f t="shared" si="14"/>
        <v>Cèdres (ONF, Courdier JM. , 2008) - classe 4_2</v>
      </c>
      <c r="E903" s="3">
        <v>6.5</v>
      </c>
      <c r="F903" s="3">
        <v>0</v>
      </c>
      <c r="G903" s="3">
        <v>6.5</v>
      </c>
    </row>
    <row r="904" spans="1:7" x14ac:dyDescent="0.2">
      <c r="A904" s="3" t="s">
        <v>76</v>
      </c>
      <c r="B904" t="s">
        <v>975</v>
      </c>
      <c r="C904" s="3">
        <v>3</v>
      </c>
      <c r="D904" t="str">
        <f t="shared" si="14"/>
        <v>Cèdres (ONF, Courdier JM. , 2008) - classe 4_3</v>
      </c>
      <c r="E904" s="3">
        <v>9.75</v>
      </c>
      <c r="F904" s="3">
        <v>0</v>
      </c>
      <c r="G904" s="3">
        <v>9.75</v>
      </c>
    </row>
    <row r="905" spans="1:7" x14ac:dyDescent="0.2">
      <c r="A905" s="3" t="s">
        <v>76</v>
      </c>
      <c r="B905" t="s">
        <v>975</v>
      </c>
      <c r="C905" s="3">
        <v>4</v>
      </c>
      <c r="D905" t="str">
        <f t="shared" si="14"/>
        <v>Cèdres (ONF, Courdier JM. , 2008) - classe 4_4</v>
      </c>
      <c r="E905" s="3">
        <v>13</v>
      </c>
      <c r="F905" s="3">
        <v>0</v>
      </c>
      <c r="G905" s="3">
        <v>13</v>
      </c>
    </row>
    <row r="906" spans="1:7" x14ac:dyDescent="0.2">
      <c r="A906" s="3" t="s">
        <v>76</v>
      </c>
      <c r="B906" t="s">
        <v>975</v>
      </c>
      <c r="C906" s="3">
        <v>5</v>
      </c>
      <c r="D906" t="str">
        <f t="shared" si="14"/>
        <v>Cèdres (ONF, Courdier JM. , 2008) - classe 4_5</v>
      </c>
      <c r="E906" s="3">
        <v>16.25</v>
      </c>
      <c r="F906" s="3">
        <v>0</v>
      </c>
      <c r="G906" s="3">
        <v>16.25</v>
      </c>
    </row>
    <row r="907" spans="1:7" x14ac:dyDescent="0.2">
      <c r="A907" s="3" t="s">
        <v>76</v>
      </c>
      <c r="B907" t="s">
        <v>975</v>
      </c>
      <c r="C907" s="3">
        <v>6</v>
      </c>
      <c r="D907" t="str">
        <f t="shared" si="14"/>
        <v>Cèdres (ONF, Courdier JM. , 2008) - classe 4_6</v>
      </c>
      <c r="E907" s="3">
        <v>19.5</v>
      </c>
      <c r="F907" s="3">
        <v>0</v>
      </c>
      <c r="G907" s="3">
        <v>19.5</v>
      </c>
    </row>
    <row r="908" spans="1:7" x14ac:dyDescent="0.2">
      <c r="A908" s="3" t="s">
        <v>76</v>
      </c>
      <c r="B908" t="s">
        <v>975</v>
      </c>
      <c r="C908" s="3">
        <v>7</v>
      </c>
      <c r="D908" t="str">
        <f t="shared" si="14"/>
        <v>Cèdres (ONF, Courdier JM. , 2008) - classe 4_7</v>
      </c>
      <c r="E908" s="3">
        <v>22.75</v>
      </c>
      <c r="F908" s="3">
        <v>0</v>
      </c>
      <c r="G908" s="3">
        <v>22.75</v>
      </c>
    </row>
    <row r="909" spans="1:7" x14ac:dyDescent="0.2">
      <c r="A909" s="3" t="s">
        <v>76</v>
      </c>
      <c r="B909" t="s">
        <v>975</v>
      </c>
      <c r="C909" s="3">
        <v>8</v>
      </c>
      <c r="D909" t="str">
        <f t="shared" si="14"/>
        <v>Cèdres (ONF, Courdier JM. , 2008) - classe 4_8</v>
      </c>
      <c r="E909" s="3">
        <v>26</v>
      </c>
      <c r="F909" s="3">
        <v>0</v>
      </c>
      <c r="G909" s="3">
        <v>26</v>
      </c>
    </row>
    <row r="910" spans="1:7" x14ac:dyDescent="0.2">
      <c r="A910" s="3" t="s">
        <v>76</v>
      </c>
      <c r="B910" t="s">
        <v>975</v>
      </c>
      <c r="C910" s="3">
        <v>9</v>
      </c>
      <c r="D910" t="str">
        <f t="shared" si="14"/>
        <v>Cèdres (ONF, Courdier JM. , 2008) - classe 4_9</v>
      </c>
      <c r="E910" s="3">
        <v>29.25</v>
      </c>
      <c r="F910" s="3">
        <v>0</v>
      </c>
      <c r="G910" s="3">
        <v>29.25</v>
      </c>
    </row>
    <row r="911" spans="1:7" x14ac:dyDescent="0.2">
      <c r="A911" s="3" t="s">
        <v>76</v>
      </c>
      <c r="B911" t="s">
        <v>975</v>
      </c>
      <c r="C911" s="3">
        <v>10</v>
      </c>
      <c r="D911" t="str">
        <f t="shared" si="14"/>
        <v>Cèdres (ONF, Courdier JM. , 2008) - classe 4_10</v>
      </c>
      <c r="E911" s="3">
        <v>32.5</v>
      </c>
      <c r="F911" s="3">
        <v>0</v>
      </c>
      <c r="G911" s="3">
        <v>32.5</v>
      </c>
    </row>
    <row r="912" spans="1:7" x14ac:dyDescent="0.2">
      <c r="A912" s="3" t="s">
        <v>76</v>
      </c>
      <c r="B912" t="s">
        <v>975</v>
      </c>
      <c r="C912" s="3">
        <v>11</v>
      </c>
      <c r="D912" t="str">
        <f t="shared" si="14"/>
        <v>Cèdres (ONF, Courdier JM. , 2008) - classe 4_11</v>
      </c>
      <c r="E912" s="3">
        <v>35.75</v>
      </c>
      <c r="F912" s="3">
        <v>0</v>
      </c>
      <c r="G912" s="3">
        <v>35.75</v>
      </c>
    </row>
    <row r="913" spans="1:7" x14ac:dyDescent="0.2">
      <c r="A913" s="3" t="s">
        <v>76</v>
      </c>
      <c r="B913" t="s">
        <v>975</v>
      </c>
      <c r="C913" s="3">
        <v>12</v>
      </c>
      <c r="D913" t="str">
        <f t="shared" si="14"/>
        <v>Cèdres (ONF, Courdier JM. , 2008) - classe 4_12</v>
      </c>
      <c r="E913" s="3">
        <v>39</v>
      </c>
      <c r="F913" s="3">
        <v>0</v>
      </c>
      <c r="G913" s="3">
        <v>39</v>
      </c>
    </row>
    <row r="914" spans="1:7" x14ac:dyDescent="0.2">
      <c r="A914" s="3" t="s">
        <v>76</v>
      </c>
      <c r="B914" t="s">
        <v>975</v>
      </c>
      <c r="C914" s="3">
        <v>13</v>
      </c>
      <c r="D914" t="str">
        <f t="shared" si="14"/>
        <v>Cèdres (ONF, Courdier JM. , 2008) - classe 4_13</v>
      </c>
      <c r="E914" s="3">
        <v>42.25</v>
      </c>
      <c r="F914" s="3">
        <v>0</v>
      </c>
      <c r="G914" s="3">
        <v>42.25</v>
      </c>
    </row>
    <row r="915" spans="1:7" x14ac:dyDescent="0.2">
      <c r="A915" s="3" t="s">
        <v>76</v>
      </c>
      <c r="B915" t="s">
        <v>975</v>
      </c>
      <c r="C915" s="3">
        <v>14</v>
      </c>
      <c r="D915" t="str">
        <f t="shared" si="14"/>
        <v>Cèdres (ONF, Courdier JM. , 2008) - classe 4_14</v>
      </c>
      <c r="E915" s="3">
        <v>45.5</v>
      </c>
      <c r="F915" s="3">
        <v>0</v>
      </c>
      <c r="G915" s="3">
        <v>45.5</v>
      </c>
    </row>
    <row r="916" spans="1:7" x14ac:dyDescent="0.2">
      <c r="A916" s="3" t="s">
        <v>76</v>
      </c>
      <c r="B916" t="s">
        <v>975</v>
      </c>
      <c r="C916" s="3">
        <v>15</v>
      </c>
      <c r="D916" t="str">
        <f t="shared" si="14"/>
        <v>Cèdres (ONF, Courdier JM. , 2008) - classe 4_15</v>
      </c>
      <c r="E916" s="3">
        <v>48.75</v>
      </c>
      <c r="F916" s="3">
        <v>0</v>
      </c>
      <c r="G916" s="3">
        <v>48.75</v>
      </c>
    </row>
    <row r="917" spans="1:7" x14ac:dyDescent="0.2">
      <c r="A917" s="3" t="s">
        <v>76</v>
      </c>
      <c r="B917" t="s">
        <v>975</v>
      </c>
      <c r="C917" s="3">
        <v>16</v>
      </c>
      <c r="D917" t="str">
        <f t="shared" si="14"/>
        <v>Cèdres (ONF, Courdier JM. , 2008) - classe 4_16</v>
      </c>
      <c r="E917" s="3">
        <v>52</v>
      </c>
      <c r="F917" s="3">
        <v>0</v>
      </c>
      <c r="G917" s="3">
        <v>52</v>
      </c>
    </row>
    <row r="918" spans="1:7" x14ac:dyDescent="0.2">
      <c r="A918" s="3" t="s">
        <v>76</v>
      </c>
      <c r="B918" t="s">
        <v>975</v>
      </c>
      <c r="C918" s="3">
        <v>17</v>
      </c>
      <c r="D918" t="str">
        <f t="shared" si="14"/>
        <v>Cèdres (ONF, Courdier JM. , 2008) - classe 4_17</v>
      </c>
      <c r="E918" s="3">
        <v>55.25</v>
      </c>
      <c r="F918" s="3">
        <v>0</v>
      </c>
      <c r="G918" s="3">
        <v>55.25</v>
      </c>
    </row>
    <row r="919" spans="1:7" x14ac:dyDescent="0.2">
      <c r="A919" s="3" t="s">
        <v>76</v>
      </c>
      <c r="B919" t="s">
        <v>975</v>
      </c>
      <c r="C919" s="3">
        <v>18</v>
      </c>
      <c r="D919" t="str">
        <f t="shared" si="14"/>
        <v>Cèdres (ONF, Courdier JM. , 2008) - classe 4_18</v>
      </c>
      <c r="E919" s="3">
        <v>58.5</v>
      </c>
      <c r="F919" s="3">
        <v>0</v>
      </c>
      <c r="G919" s="3">
        <v>58.5</v>
      </c>
    </row>
    <row r="920" spans="1:7" x14ac:dyDescent="0.2">
      <c r="A920" s="3" t="s">
        <v>76</v>
      </c>
      <c r="B920" t="s">
        <v>975</v>
      </c>
      <c r="C920" s="3">
        <v>19</v>
      </c>
      <c r="D920" t="str">
        <f t="shared" si="14"/>
        <v>Cèdres (ONF, Courdier JM. , 2008) - classe 4_19</v>
      </c>
      <c r="E920" s="3">
        <v>61.75</v>
      </c>
      <c r="F920" s="3">
        <v>0</v>
      </c>
      <c r="G920" s="3">
        <v>61.75</v>
      </c>
    </row>
    <row r="921" spans="1:7" x14ac:dyDescent="0.2">
      <c r="A921" s="3" t="s">
        <v>76</v>
      </c>
      <c r="B921" t="s">
        <v>975</v>
      </c>
      <c r="C921" s="3">
        <v>20</v>
      </c>
      <c r="D921" t="str">
        <f t="shared" si="14"/>
        <v>Cèdres (ONF, Courdier JM. , 2008) - classe 4_20</v>
      </c>
      <c r="E921" s="3">
        <v>65</v>
      </c>
      <c r="F921" s="3">
        <v>0</v>
      </c>
      <c r="G921" s="3">
        <v>65</v>
      </c>
    </row>
    <row r="922" spans="1:7" x14ac:dyDescent="0.2">
      <c r="A922" s="3" t="s">
        <v>76</v>
      </c>
      <c r="B922" t="s">
        <v>975</v>
      </c>
      <c r="C922" s="3">
        <v>21</v>
      </c>
      <c r="D922" t="str">
        <f t="shared" si="14"/>
        <v>Cèdres (ONF, Courdier JM. , 2008) - classe 4_21</v>
      </c>
      <c r="E922" s="3">
        <v>68.25</v>
      </c>
      <c r="F922" s="3">
        <v>0</v>
      </c>
      <c r="G922" s="3">
        <v>68.25</v>
      </c>
    </row>
    <row r="923" spans="1:7" x14ac:dyDescent="0.2">
      <c r="A923" s="3" t="s">
        <v>76</v>
      </c>
      <c r="B923" t="s">
        <v>975</v>
      </c>
      <c r="C923" s="3">
        <v>22</v>
      </c>
      <c r="D923" t="str">
        <f t="shared" si="14"/>
        <v>Cèdres (ONF, Courdier JM. , 2008) - classe 4_22</v>
      </c>
      <c r="E923" s="3">
        <v>71.5</v>
      </c>
      <c r="F923" s="3">
        <v>0</v>
      </c>
      <c r="G923" s="3">
        <v>71.5</v>
      </c>
    </row>
    <row r="924" spans="1:7" x14ac:dyDescent="0.2">
      <c r="A924" s="3" t="s">
        <v>76</v>
      </c>
      <c r="B924" t="s">
        <v>975</v>
      </c>
      <c r="C924" s="3">
        <v>23</v>
      </c>
      <c r="D924" t="str">
        <f t="shared" si="14"/>
        <v>Cèdres (ONF, Courdier JM. , 2008) - classe 4_23</v>
      </c>
      <c r="E924" s="3">
        <v>74.75</v>
      </c>
      <c r="F924" s="3">
        <v>0</v>
      </c>
      <c r="G924" s="3">
        <v>74.75</v>
      </c>
    </row>
    <row r="925" spans="1:7" x14ac:dyDescent="0.2">
      <c r="A925" s="3" t="s">
        <v>76</v>
      </c>
      <c r="B925" t="s">
        <v>975</v>
      </c>
      <c r="C925" s="3">
        <v>24</v>
      </c>
      <c r="D925" t="str">
        <f t="shared" si="14"/>
        <v>Cèdres (ONF, Courdier JM. , 2008) - classe 4_24</v>
      </c>
      <c r="E925" s="3">
        <v>78</v>
      </c>
      <c r="F925" s="3">
        <v>0</v>
      </c>
      <c r="G925" s="3">
        <v>78</v>
      </c>
    </row>
    <row r="926" spans="1:7" x14ac:dyDescent="0.2">
      <c r="A926" s="3" t="s">
        <v>76</v>
      </c>
      <c r="B926" t="s">
        <v>975</v>
      </c>
      <c r="C926" s="3">
        <v>25</v>
      </c>
      <c r="D926" t="str">
        <f t="shared" si="14"/>
        <v>Cèdres (ONF, Courdier JM. , 2008) - classe 4_25</v>
      </c>
      <c r="E926" s="3">
        <v>81.25</v>
      </c>
      <c r="F926" s="3">
        <v>0</v>
      </c>
      <c r="G926" s="3">
        <v>81.25</v>
      </c>
    </row>
    <row r="927" spans="1:7" x14ac:dyDescent="0.2">
      <c r="A927" s="3" t="s">
        <v>76</v>
      </c>
      <c r="B927" t="s">
        <v>975</v>
      </c>
      <c r="C927" s="3">
        <v>26</v>
      </c>
      <c r="D927" t="str">
        <f t="shared" si="14"/>
        <v>Cèdres (ONF, Courdier JM. , 2008) - classe 4_26</v>
      </c>
      <c r="E927" s="3">
        <v>84.5</v>
      </c>
      <c r="F927" s="3">
        <v>0</v>
      </c>
      <c r="G927" s="3">
        <v>84.5</v>
      </c>
    </row>
    <row r="928" spans="1:7" x14ac:dyDescent="0.2">
      <c r="A928" s="3" t="s">
        <v>76</v>
      </c>
      <c r="B928" t="s">
        <v>975</v>
      </c>
      <c r="C928" s="3">
        <v>27</v>
      </c>
      <c r="D928" t="str">
        <f t="shared" si="14"/>
        <v>Cèdres (ONF, Courdier JM. , 2008) - classe 4_27</v>
      </c>
      <c r="E928" s="3">
        <v>87.75</v>
      </c>
      <c r="F928" s="3">
        <v>0</v>
      </c>
      <c r="G928" s="3">
        <v>87.75</v>
      </c>
    </row>
    <row r="929" spans="1:7" x14ac:dyDescent="0.2">
      <c r="A929" s="3" t="s">
        <v>76</v>
      </c>
      <c r="B929" t="s">
        <v>975</v>
      </c>
      <c r="C929" s="3">
        <v>28</v>
      </c>
      <c r="D929" t="str">
        <f t="shared" si="14"/>
        <v>Cèdres (ONF, Courdier JM. , 2008) - classe 4_28</v>
      </c>
      <c r="E929" s="3">
        <v>91</v>
      </c>
      <c r="F929" s="3">
        <v>0</v>
      </c>
      <c r="G929" s="3">
        <v>91</v>
      </c>
    </row>
    <row r="930" spans="1:7" x14ac:dyDescent="0.2">
      <c r="A930" s="3" t="s">
        <v>76</v>
      </c>
      <c r="B930" t="s">
        <v>975</v>
      </c>
      <c r="C930" s="3">
        <v>29</v>
      </c>
      <c r="D930" t="str">
        <f t="shared" si="14"/>
        <v>Cèdres (ONF, Courdier JM. , 2008) - classe 4_29</v>
      </c>
      <c r="E930" s="3">
        <v>94.25</v>
      </c>
      <c r="F930" s="3">
        <v>0</v>
      </c>
      <c r="G930" s="3">
        <v>94.25</v>
      </c>
    </row>
    <row r="931" spans="1:7" x14ac:dyDescent="0.2">
      <c r="A931" s="3" t="s">
        <v>76</v>
      </c>
      <c r="B931" t="s">
        <v>975</v>
      </c>
      <c r="C931" s="3">
        <v>30</v>
      </c>
      <c r="D931" t="str">
        <f t="shared" si="14"/>
        <v>Cèdres (ONF, Courdier JM. , 2008) - classe 4_30</v>
      </c>
      <c r="E931" s="3">
        <v>97.5</v>
      </c>
      <c r="F931" s="3">
        <v>0</v>
      </c>
      <c r="G931" s="3">
        <v>97.5</v>
      </c>
    </row>
    <row r="932" spans="1:7" x14ac:dyDescent="0.2">
      <c r="A932" s="3" t="s">
        <v>71</v>
      </c>
      <c r="B932" t="s">
        <v>967</v>
      </c>
      <c r="C932" s="3">
        <v>1</v>
      </c>
      <c r="D932" t="str">
        <f t="shared" si="14"/>
        <v>Pin maritime - Sud-Ouest Landes (INRA, N.Decourt &amp; B. Lemoine, 1969) - classe 1_1</v>
      </c>
      <c r="E932" s="3">
        <v>3.85</v>
      </c>
      <c r="F932" s="3">
        <v>0</v>
      </c>
      <c r="G932" s="3">
        <v>3.85</v>
      </c>
    </row>
    <row r="933" spans="1:7" x14ac:dyDescent="0.2">
      <c r="A933" s="3" t="s">
        <v>71</v>
      </c>
      <c r="B933" t="s">
        <v>967</v>
      </c>
      <c r="C933" s="3">
        <v>2</v>
      </c>
      <c r="D933" t="str">
        <f t="shared" si="14"/>
        <v>Pin maritime - Sud-Ouest Landes (INRA, N.Decourt &amp; B. Lemoine, 1969) - classe 1_2</v>
      </c>
      <c r="E933" s="3">
        <v>7.7</v>
      </c>
      <c r="F933" s="3">
        <v>0</v>
      </c>
      <c r="G933" s="3">
        <v>7.7</v>
      </c>
    </row>
    <row r="934" spans="1:7" x14ac:dyDescent="0.2">
      <c r="A934" s="3" t="s">
        <v>71</v>
      </c>
      <c r="B934" t="s">
        <v>967</v>
      </c>
      <c r="C934" s="3">
        <v>3</v>
      </c>
      <c r="D934" t="str">
        <f t="shared" si="14"/>
        <v>Pin maritime - Sud-Ouest Landes (INRA, N.Decourt &amp; B. Lemoine, 1969) - classe 1_3</v>
      </c>
      <c r="E934" s="3">
        <v>11.55</v>
      </c>
      <c r="F934" s="3">
        <v>0</v>
      </c>
      <c r="G934" s="3">
        <v>11.55</v>
      </c>
    </row>
    <row r="935" spans="1:7" x14ac:dyDescent="0.2">
      <c r="A935" s="3" t="s">
        <v>71</v>
      </c>
      <c r="B935" t="s">
        <v>967</v>
      </c>
      <c r="C935" s="3">
        <v>4</v>
      </c>
      <c r="D935" t="str">
        <f t="shared" si="14"/>
        <v>Pin maritime - Sud-Ouest Landes (INRA, N.Decourt &amp; B. Lemoine, 1969) - classe 1_4</v>
      </c>
      <c r="E935" s="3">
        <v>15.4</v>
      </c>
      <c r="F935" s="3">
        <v>0</v>
      </c>
      <c r="G935" s="3">
        <v>15.4</v>
      </c>
    </row>
    <row r="936" spans="1:7" x14ac:dyDescent="0.2">
      <c r="A936" s="3" t="s">
        <v>71</v>
      </c>
      <c r="B936" t="s">
        <v>967</v>
      </c>
      <c r="C936" s="3">
        <v>5</v>
      </c>
      <c r="D936" t="str">
        <f t="shared" si="14"/>
        <v>Pin maritime - Sud-Ouest Landes (INRA, N.Decourt &amp; B. Lemoine, 1969) - classe 1_5</v>
      </c>
      <c r="E936" s="3">
        <v>19.25</v>
      </c>
      <c r="F936" s="3">
        <v>0</v>
      </c>
      <c r="G936" s="3">
        <v>19.25</v>
      </c>
    </row>
    <row r="937" spans="1:7" x14ac:dyDescent="0.2">
      <c r="A937" s="3" t="s">
        <v>71</v>
      </c>
      <c r="B937" t="s">
        <v>967</v>
      </c>
      <c r="C937" s="3">
        <v>6</v>
      </c>
      <c r="D937" t="str">
        <f t="shared" si="14"/>
        <v>Pin maritime - Sud-Ouest Landes (INRA, N.Decourt &amp; B. Lemoine, 1969) - classe 1_6</v>
      </c>
      <c r="E937" s="3">
        <v>23.1</v>
      </c>
      <c r="F937" s="3">
        <v>0</v>
      </c>
      <c r="G937" s="3">
        <v>23.1</v>
      </c>
    </row>
    <row r="938" spans="1:7" x14ac:dyDescent="0.2">
      <c r="A938" s="3" t="s">
        <v>71</v>
      </c>
      <c r="B938" t="s">
        <v>967</v>
      </c>
      <c r="C938" s="3">
        <v>7</v>
      </c>
      <c r="D938" t="str">
        <f t="shared" si="14"/>
        <v>Pin maritime - Sud-Ouest Landes (INRA, N.Decourt &amp; B. Lemoine, 1969) - classe 1_7</v>
      </c>
      <c r="E938" s="3">
        <v>26.950000000000003</v>
      </c>
      <c r="F938" s="3">
        <v>0</v>
      </c>
      <c r="G938" s="3">
        <v>26.950000000000003</v>
      </c>
    </row>
    <row r="939" spans="1:7" x14ac:dyDescent="0.2">
      <c r="A939" s="3" t="s">
        <v>71</v>
      </c>
      <c r="B939" t="s">
        <v>967</v>
      </c>
      <c r="C939" s="3">
        <v>8</v>
      </c>
      <c r="D939" t="str">
        <f t="shared" si="14"/>
        <v>Pin maritime - Sud-Ouest Landes (INRA, N.Decourt &amp; B. Lemoine, 1969) - classe 1_8</v>
      </c>
      <c r="E939" s="3">
        <v>30.800000000000004</v>
      </c>
      <c r="F939" s="3">
        <v>0</v>
      </c>
      <c r="G939" s="3">
        <v>30.800000000000004</v>
      </c>
    </row>
    <row r="940" spans="1:7" x14ac:dyDescent="0.2">
      <c r="A940" s="3" t="s">
        <v>71</v>
      </c>
      <c r="B940" t="s">
        <v>967</v>
      </c>
      <c r="C940" s="3">
        <v>9</v>
      </c>
      <c r="D940" t="str">
        <f t="shared" si="14"/>
        <v>Pin maritime - Sud-Ouest Landes (INRA, N.Decourt &amp; B. Lemoine, 1969) - classe 1_9</v>
      </c>
      <c r="E940" s="3">
        <v>34.650000000000006</v>
      </c>
      <c r="F940" s="3">
        <v>0</v>
      </c>
      <c r="G940" s="3">
        <v>34.650000000000006</v>
      </c>
    </row>
    <row r="941" spans="1:7" x14ac:dyDescent="0.2">
      <c r="A941" s="3" t="s">
        <v>71</v>
      </c>
      <c r="B941" t="s">
        <v>967</v>
      </c>
      <c r="C941" s="3">
        <v>10</v>
      </c>
      <c r="D941" t="str">
        <f t="shared" si="14"/>
        <v>Pin maritime - Sud-Ouest Landes (INRA, N.Decourt &amp; B. Lemoine, 1969) - classe 1_10</v>
      </c>
      <c r="E941" s="3">
        <v>38.500000000000007</v>
      </c>
      <c r="F941" s="3">
        <v>0</v>
      </c>
      <c r="G941" s="3">
        <v>38.500000000000007</v>
      </c>
    </row>
    <row r="942" spans="1:7" x14ac:dyDescent="0.2">
      <c r="A942" s="3" t="s">
        <v>71</v>
      </c>
      <c r="B942" t="s">
        <v>967</v>
      </c>
      <c r="C942" s="3">
        <v>11</v>
      </c>
      <c r="D942" t="str">
        <f t="shared" si="14"/>
        <v>Pin maritime - Sud-Ouest Landes (INRA, N.Decourt &amp; B. Lemoine, 1969) - classe 1_11</v>
      </c>
      <c r="E942" s="3">
        <v>42.350000000000009</v>
      </c>
      <c r="F942" s="3">
        <v>0</v>
      </c>
      <c r="G942" s="3">
        <v>42.350000000000009</v>
      </c>
    </row>
    <row r="943" spans="1:7" x14ac:dyDescent="0.2">
      <c r="A943" s="3" t="s">
        <v>71</v>
      </c>
      <c r="B943" t="s">
        <v>967</v>
      </c>
      <c r="C943" s="3">
        <v>12</v>
      </c>
      <c r="D943" t="str">
        <f t="shared" si="14"/>
        <v>Pin maritime - Sud-Ouest Landes (INRA, N.Decourt &amp; B. Lemoine, 1969) - classe 1_12</v>
      </c>
      <c r="E943" s="3">
        <v>46.2</v>
      </c>
      <c r="F943" s="3">
        <v>0</v>
      </c>
      <c r="G943" s="3">
        <v>46.2</v>
      </c>
    </row>
    <row r="944" spans="1:7" x14ac:dyDescent="0.2">
      <c r="A944" s="3" t="s">
        <v>71</v>
      </c>
      <c r="B944" t="s">
        <v>967</v>
      </c>
      <c r="C944" s="3">
        <v>13</v>
      </c>
      <c r="D944" t="str">
        <f t="shared" si="14"/>
        <v>Pin maritime - Sud-Ouest Landes (INRA, N.Decourt &amp; B. Lemoine, 1969) - classe 1_13</v>
      </c>
      <c r="E944" s="3">
        <v>61.5</v>
      </c>
      <c r="F944" s="3">
        <v>0</v>
      </c>
      <c r="G944" s="3">
        <v>61.5</v>
      </c>
    </row>
    <row r="945" spans="1:7" x14ac:dyDescent="0.2">
      <c r="A945" s="3" t="s">
        <v>71</v>
      </c>
      <c r="B945" t="s">
        <v>967</v>
      </c>
      <c r="C945" s="3">
        <v>14</v>
      </c>
      <c r="D945" t="str">
        <f t="shared" si="14"/>
        <v>Pin maritime - Sud-Ouest Landes (INRA, N.Decourt &amp; B. Lemoine, 1969) - classe 1_14</v>
      </c>
      <c r="E945" s="3">
        <v>76.8</v>
      </c>
      <c r="F945" s="3">
        <v>0</v>
      </c>
      <c r="G945" s="3">
        <v>76.8</v>
      </c>
    </row>
    <row r="946" spans="1:7" x14ac:dyDescent="0.2">
      <c r="A946" s="3" t="s">
        <v>71</v>
      </c>
      <c r="B946" t="s">
        <v>967</v>
      </c>
      <c r="C946" s="3">
        <v>15</v>
      </c>
      <c r="D946" t="str">
        <f t="shared" si="14"/>
        <v>Pin maritime - Sud-Ouest Landes (INRA, N.Decourt &amp; B. Lemoine, 1969) - classe 1_15</v>
      </c>
      <c r="E946" s="3">
        <v>92.1</v>
      </c>
      <c r="F946" s="3">
        <v>0</v>
      </c>
      <c r="G946" s="3">
        <v>92.1</v>
      </c>
    </row>
    <row r="947" spans="1:7" x14ac:dyDescent="0.2">
      <c r="A947" s="3" t="s">
        <v>71</v>
      </c>
      <c r="B947" t="s">
        <v>967</v>
      </c>
      <c r="C947" s="3">
        <v>16</v>
      </c>
      <c r="D947" t="str">
        <f t="shared" si="14"/>
        <v>Pin maritime - Sud-Ouest Landes (INRA, N.Decourt &amp; B. Lemoine, 1969) - classe 1_16</v>
      </c>
      <c r="E947" s="3">
        <v>107.4</v>
      </c>
      <c r="F947" s="3">
        <v>25</v>
      </c>
      <c r="G947" s="3">
        <v>82.4</v>
      </c>
    </row>
    <row r="948" spans="1:7" x14ac:dyDescent="0.2">
      <c r="A948" s="3" t="s">
        <v>71</v>
      </c>
      <c r="B948" t="s">
        <v>967</v>
      </c>
      <c r="C948" s="3">
        <v>17</v>
      </c>
      <c r="D948" t="str">
        <f t="shared" si="14"/>
        <v>Pin maritime - Sud-Ouest Landes (INRA, N.Decourt &amp; B. Lemoine, 1969) - classe 1_17</v>
      </c>
      <c r="E948" s="3">
        <v>99.6</v>
      </c>
      <c r="F948" s="3">
        <v>0</v>
      </c>
      <c r="G948" s="3">
        <v>99.6</v>
      </c>
    </row>
    <row r="949" spans="1:7" x14ac:dyDescent="0.2">
      <c r="A949" s="3" t="s">
        <v>71</v>
      </c>
      <c r="B949" t="s">
        <v>967</v>
      </c>
      <c r="C949" s="3">
        <v>18</v>
      </c>
      <c r="D949" t="str">
        <f t="shared" si="14"/>
        <v>Pin maritime - Sud-Ouest Landes (INRA, N.Decourt &amp; B. Lemoine, 1969) - classe 1_18</v>
      </c>
      <c r="E949" s="3">
        <v>116.79999999999998</v>
      </c>
      <c r="F949" s="3">
        <v>0</v>
      </c>
      <c r="G949" s="3">
        <v>116.79999999999998</v>
      </c>
    </row>
    <row r="950" spans="1:7" x14ac:dyDescent="0.2">
      <c r="A950" s="3" t="s">
        <v>71</v>
      </c>
      <c r="B950" t="s">
        <v>967</v>
      </c>
      <c r="C950" s="3">
        <v>19</v>
      </c>
      <c r="D950" t="str">
        <f t="shared" si="14"/>
        <v>Pin maritime - Sud-Ouest Landes (INRA, N.Decourt &amp; B. Lemoine, 1969) - classe 1_19</v>
      </c>
      <c r="E950" s="3">
        <v>133.99999999999997</v>
      </c>
      <c r="F950" s="3">
        <v>0</v>
      </c>
      <c r="G950" s="3">
        <v>133.99999999999997</v>
      </c>
    </row>
    <row r="951" spans="1:7" x14ac:dyDescent="0.2">
      <c r="A951" s="3" t="s">
        <v>71</v>
      </c>
      <c r="B951" t="s">
        <v>967</v>
      </c>
      <c r="C951" s="3">
        <v>20</v>
      </c>
      <c r="D951" t="str">
        <f t="shared" si="14"/>
        <v>Pin maritime - Sud-Ouest Landes (INRA, N.Decourt &amp; B. Lemoine, 1969) - classe 1_20</v>
      </c>
      <c r="E951" s="3">
        <v>151.19999999999999</v>
      </c>
      <c r="F951" s="3">
        <v>33.700000000000003</v>
      </c>
      <c r="G951" s="3">
        <v>117.5</v>
      </c>
    </row>
    <row r="952" spans="1:7" x14ac:dyDescent="0.2">
      <c r="A952" s="3" t="s">
        <v>71</v>
      </c>
      <c r="B952" t="s">
        <v>967</v>
      </c>
      <c r="C952" s="3">
        <v>21</v>
      </c>
      <c r="D952" t="str">
        <f t="shared" si="14"/>
        <v>Pin maritime - Sud-Ouest Landes (INRA, N.Decourt &amp; B. Lemoine, 1969) - classe 1_21</v>
      </c>
      <c r="E952" s="3">
        <v>137.4</v>
      </c>
      <c r="F952" s="3">
        <v>0</v>
      </c>
      <c r="G952" s="3">
        <v>137.4</v>
      </c>
    </row>
    <row r="953" spans="1:7" x14ac:dyDescent="0.2">
      <c r="A953" s="3" t="s">
        <v>71</v>
      </c>
      <c r="B953" t="s">
        <v>967</v>
      </c>
      <c r="C953" s="3">
        <v>22</v>
      </c>
      <c r="D953" t="str">
        <f t="shared" si="14"/>
        <v>Pin maritime - Sud-Ouest Landes (INRA, N.Decourt &amp; B. Lemoine, 1969) - classe 1_22</v>
      </c>
      <c r="E953" s="3">
        <v>157.30000000000001</v>
      </c>
      <c r="F953" s="3">
        <v>0</v>
      </c>
      <c r="G953" s="3">
        <v>157.30000000000001</v>
      </c>
    </row>
    <row r="954" spans="1:7" x14ac:dyDescent="0.2">
      <c r="A954" s="3" t="s">
        <v>71</v>
      </c>
      <c r="B954" t="s">
        <v>967</v>
      </c>
      <c r="C954" s="3">
        <v>23</v>
      </c>
      <c r="D954" t="str">
        <f t="shared" si="14"/>
        <v>Pin maritime - Sud-Ouest Landes (INRA, N.Decourt &amp; B. Lemoine, 1969) - classe 1_23</v>
      </c>
      <c r="E954" s="3">
        <v>177.20000000000002</v>
      </c>
      <c r="F954" s="3">
        <v>0</v>
      </c>
      <c r="G954" s="3">
        <v>177.20000000000002</v>
      </c>
    </row>
    <row r="955" spans="1:7" x14ac:dyDescent="0.2">
      <c r="A955" s="3" t="s">
        <v>71</v>
      </c>
      <c r="B955" t="s">
        <v>967</v>
      </c>
      <c r="C955" s="3">
        <v>24</v>
      </c>
      <c r="D955" t="str">
        <f t="shared" si="14"/>
        <v>Pin maritime - Sud-Ouest Landes (INRA, N.Decourt &amp; B. Lemoine, 1969) - classe 1_24</v>
      </c>
      <c r="E955" s="3">
        <v>197.1</v>
      </c>
      <c r="F955" s="3">
        <v>42.9</v>
      </c>
      <c r="G955" s="3">
        <v>154.19999999999999</v>
      </c>
    </row>
    <row r="956" spans="1:7" x14ac:dyDescent="0.2">
      <c r="A956" s="3" t="s">
        <v>71</v>
      </c>
      <c r="B956" t="s">
        <v>967</v>
      </c>
      <c r="C956" s="3">
        <v>25</v>
      </c>
      <c r="D956" t="str">
        <f t="shared" si="14"/>
        <v>Pin maritime - Sud-Ouest Landes (INRA, N.Decourt &amp; B. Lemoine, 1969) - classe 1_25</v>
      </c>
      <c r="E956" s="3">
        <v>174.04999999999998</v>
      </c>
      <c r="F956" s="3">
        <v>0</v>
      </c>
      <c r="G956" s="3">
        <v>174.04999999999998</v>
      </c>
    </row>
    <row r="957" spans="1:7" x14ac:dyDescent="0.2">
      <c r="A957" s="3" t="s">
        <v>71</v>
      </c>
      <c r="B957" t="s">
        <v>967</v>
      </c>
      <c r="C957" s="3">
        <v>26</v>
      </c>
      <c r="D957" t="str">
        <f t="shared" si="14"/>
        <v>Pin maritime - Sud-Ouest Landes (INRA, N.Decourt &amp; B. Lemoine, 1969) - classe 1_26</v>
      </c>
      <c r="E957" s="3">
        <v>193.89999999999998</v>
      </c>
      <c r="F957" s="3">
        <v>0</v>
      </c>
      <c r="G957" s="3">
        <v>193.89999999999998</v>
      </c>
    </row>
    <row r="958" spans="1:7" x14ac:dyDescent="0.2">
      <c r="A958" s="3" t="s">
        <v>71</v>
      </c>
      <c r="B958" t="s">
        <v>967</v>
      </c>
      <c r="C958" s="3">
        <v>27</v>
      </c>
      <c r="D958" t="str">
        <f t="shared" si="14"/>
        <v>Pin maritime - Sud-Ouest Landes (INRA, N.Decourt &amp; B. Lemoine, 1969) - classe 1_27</v>
      </c>
      <c r="E958" s="3">
        <v>213.74999999999997</v>
      </c>
      <c r="F958" s="3">
        <v>0</v>
      </c>
      <c r="G958" s="3">
        <v>213.74999999999997</v>
      </c>
    </row>
    <row r="959" spans="1:7" x14ac:dyDescent="0.2">
      <c r="A959" s="3" t="s">
        <v>71</v>
      </c>
      <c r="B959" t="s">
        <v>967</v>
      </c>
      <c r="C959" s="3">
        <v>28</v>
      </c>
      <c r="D959" t="str">
        <f t="shared" si="14"/>
        <v>Pin maritime - Sud-Ouest Landes (INRA, N.Decourt &amp; B. Lemoine, 1969) - classe 1_28</v>
      </c>
      <c r="E959" s="3">
        <v>233.6</v>
      </c>
      <c r="F959" s="3">
        <v>41.4</v>
      </c>
      <c r="G959" s="3">
        <v>192.2</v>
      </c>
    </row>
    <row r="960" spans="1:7" x14ac:dyDescent="0.2">
      <c r="A960" s="3" t="s">
        <v>71</v>
      </c>
      <c r="B960" t="s">
        <v>967</v>
      </c>
      <c r="C960" s="3">
        <v>29</v>
      </c>
      <c r="D960" t="str">
        <f t="shared" si="14"/>
        <v>Pin maritime - Sud-Ouest Landes (INRA, N.Decourt &amp; B. Lemoine, 1969) - classe 1_29</v>
      </c>
      <c r="E960" s="3">
        <v>210.89999999999998</v>
      </c>
      <c r="F960" s="3">
        <v>0</v>
      </c>
      <c r="G960" s="3">
        <v>210.89999999999998</v>
      </c>
    </row>
    <row r="961" spans="1:7" x14ac:dyDescent="0.2">
      <c r="A961" s="3" t="s">
        <v>71</v>
      </c>
      <c r="B961" t="s">
        <v>967</v>
      </c>
      <c r="C961" s="3">
        <v>30</v>
      </c>
      <c r="D961" t="str">
        <f t="shared" si="14"/>
        <v>Pin maritime - Sud-Ouest Landes (INRA, N.Decourt &amp; B. Lemoine, 1969) - classe 1_30</v>
      </c>
      <c r="E961" s="3">
        <v>229.59999999999997</v>
      </c>
      <c r="F961" s="3">
        <v>0</v>
      </c>
      <c r="G961" s="3">
        <v>229.59999999999997</v>
      </c>
    </row>
    <row r="962" spans="1:7" x14ac:dyDescent="0.2">
      <c r="A962" s="3" t="s">
        <v>71</v>
      </c>
      <c r="B962" t="s">
        <v>971</v>
      </c>
      <c r="C962" s="3">
        <v>1</v>
      </c>
      <c r="D962" t="str">
        <f t="shared" si="14"/>
        <v>Pin maritime - Sud-Ouest Landes (INRA, N.Decourt &amp; B. Lemoine, 1969) - classe 2_1</v>
      </c>
      <c r="E962" s="3">
        <v>2.9666666666666668</v>
      </c>
      <c r="F962" s="3">
        <v>0</v>
      </c>
      <c r="G962" s="3">
        <v>2.9666666666666668</v>
      </c>
    </row>
    <row r="963" spans="1:7" x14ac:dyDescent="0.2">
      <c r="A963" s="3" t="s">
        <v>71</v>
      </c>
      <c r="B963" t="s">
        <v>971</v>
      </c>
      <c r="C963" s="3">
        <v>2</v>
      </c>
      <c r="D963" t="str">
        <f t="shared" ref="D963:D1026" si="15">CONCATENATE(B963,"_",C963)</f>
        <v>Pin maritime - Sud-Ouest Landes (INRA, N.Decourt &amp; B. Lemoine, 1969) - classe 2_2</v>
      </c>
      <c r="E963" s="3">
        <v>5.9333333333333336</v>
      </c>
      <c r="F963" s="3">
        <v>0</v>
      </c>
      <c r="G963" s="3">
        <v>5.9333333333333336</v>
      </c>
    </row>
    <row r="964" spans="1:7" x14ac:dyDescent="0.2">
      <c r="A964" s="3" t="s">
        <v>71</v>
      </c>
      <c r="B964" t="s">
        <v>971</v>
      </c>
      <c r="C964" s="3">
        <v>3</v>
      </c>
      <c r="D964" t="str">
        <f t="shared" si="15"/>
        <v>Pin maritime - Sud-Ouest Landes (INRA, N.Decourt &amp; B. Lemoine, 1969) - classe 2_3</v>
      </c>
      <c r="E964" s="3">
        <v>8.9</v>
      </c>
      <c r="F964" s="3">
        <v>0</v>
      </c>
      <c r="G964" s="3">
        <v>8.9</v>
      </c>
    </row>
    <row r="965" spans="1:7" x14ac:dyDescent="0.2">
      <c r="A965" s="3" t="s">
        <v>71</v>
      </c>
      <c r="B965" t="s">
        <v>971</v>
      </c>
      <c r="C965" s="3">
        <v>4</v>
      </c>
      <c r="D965" t="str">
        <f t="shared" si="15"/>
        <v>Pin maritime - Sud-Ouest Landes (INRA, N.Decourt &amp; B. Lemoine, 1969) - classe 2_4</v>
      </c>
      <c r="E965" s="3">
        <v>11.866666666666667</v>
      </c>
      <c r="F965" s="3">
        <v>0</v>
      </c>
      <c r="G965" s="3">
        <v>11.866666666666667</v>
      </c>
    </row>
    <row r="966" spans="1:7" x14ac:dyDescent="0.2">
      <c r="A966" s="3" t="s">
        <v>71</v>
      </c>
      <c r="B966" t="s">
        <v>971</v>
      </c>
      <c r="C966" s="3">
        <v>5</v>
      </c>
      <c r="D966" t="str">
        <f t="shared" si="15"/>
        <v>Pin maritime - Sud-Ouest Landes (INRA, N.Decourt &amp; B. Lemoine, 1969) - classe 2_5</v>
      </c>
      <c r="E966" s="3">
        <v>14.833333333333334</v>
      </c>
      <c r="F966" s="3">
        <v>0</v>
      </c>
      <c r="G966" s="3">
        <v>14.833333333333334</v>
      </c>
    </row>
    <row r="967" spans="1:7" x14ac:dyDescent="0.2">
      <c r="A967" s="3" t="s">
        <v>71</v>
      </c>
      <c r="B967" t="s">
        <v>971</v>
      </c>
      <c r="C967" s="3">
        <v>6</v>
      </c>
      <c r="D967" t="str">
        <f t="shared" si="15"/>
        <v>Pin maritime - Sud-Ouest Landes (INRA, N.Decourt &amp; B. Lemoine, 1969) - classe 2_6</v>
      </c>
      <c r="E967" s="3">
        <v>17.8</v>
      </c>
      <c r="F967" s="3">
        <v>0</v>
      </c>
      <c r="G967" s="3">
        <v>17.8</v>
      </c>
    </row>
    <row r="968" spans="1:7" x14ac:dyDescent="0.2">
      <c r="A968" s="3" t="s">
        <v>71</v>
      </c>
      <c r="B968" t="s">
        <v>971</v>
      </c>
      <c r="C968" s="3">
        <v>7</v>
      </c>
      <c r="D968" t="str">
        <f t="shared" si="15"/>
        <v>Pin maritime - Sud-Ouest Landes (INRA, N.Decourt &amp; B. Lemoine, 1969) - classe 2_7</v>
      </c>
      <c r="E968" s="3">
        <v>20.766666666666666</v>
      </c>
      <c r="F968" s="3">
        <v>0</v>
      </c>
      <c r="G968" s="3">
        <v>20.766666666666666</v>
      </c>
    </row>
    <row r="969" spans="1:7" x14ac:dyDescent="0.2">
      <c r="A969" s="3" t="s">
        <v>71</v>
      </c>
      <c r="B969" t="s">
        <v>971</v>
      </c>
      <c r="C969" s="3">
        <v>8</v>
      </c>
      <c r="D969" t="str">
        <f t="shared" si="15"/>
        <v>Pin maritime - Sud-Ouest Landes (INRA, N.Decourt &amp; B. Lemoine, 1969) - classe 2_8</v>
      </c>
      <c r="E969" s="3">
        <v>23.733333333333334</v>
      </c>
      <c r="F969" s="3">
        <v>0</v>
      </c>
      <c r="G969" s="3">
        <v>23.733333333333334</v>
      </c>
    </row>
    <row r="970" spans="1:7" x14ac:dyDescent="0.2">
      <c r="A970" s="3" t="s">
        <v>71</v>
      </c>
      <c r="B970" t="s">
        <v>971</v>
      </c>
      <c r="C970" s="3">
        <v>9</v>
      </c>
      <c r="D970" t="str">
        <f t="shared" si="15"/>
        <v>Pin maritime - Sud-Ouest Landes (INRA, N.Decourt &amp; B. Lemoine, 1969) - classe 2_9</v>
      </c>
      <c r="E970" s="3">
        <v>26.700000000000003</v>
      </c>
      <c r="F970" s="3">
        <v>0</v>
      </c>
      <c r="G970" s="3">
        <v>26.700000000000003</v>
      </c>
    </row>
    <row r="971" spans="1:7" x14ac:dyDescent="0.2">
      <c r="A971" s="3" t="s">
        <v>71</v>
      </c>
      <c r="B971" t="s">
        <v>971</v>
      </c>
      <c r="C971" s="3">
        <v>10</v>
      </c>
      <c r="D971" t="str">
        <f t="shared" si="15"/>
        <v>Pin maritime - Sud-Ouest Landes (INRA, N.Decourt &amp; B. Lemoine, 1969) - classe 2_10</v>
      </c>
      <c r="E971" s="3">
        <v>29.666666666666671</v>
      </c>
      <c r="F971" s="3">
        <v>0</v>
      </c>
      <c r="G971" s="3">
        <v>29.666666666666671</v>
      </c>
    </row>
    <row r="972" spans="1:7" x14ac:dyDescent="0.2">
      <c r="A972" s="3" t="s">
        <v>71</v>
      </c>
      <c r="B972" t="s">
        <v>971</v>
      </c>
      <c r="C972" s="3">
        <v>11</v>
      </c>
      <c r="D972" t="str">
        <f t="shared" si="15"/>
        <v>Pin maritime - Sud-Ouest Landes (INRA, N.Decourt &amp; B. Lemoine, 1969) - classe 2_11</v>
      </c>
      <c r="E972" s="3">
        <v>32.63333333333334</v>
      </c>
      <c r="F972" s="3">
        <v>0</v>
      </c>
      <c r="G972" s="3">
        <v>32.63333333333334</v>
      </c>
    </row>
    <row r="973" spans="1:7" x14ac:dyDescent="0.2">
      <c r="A973" s="3" t="s">
        <v>71</v>
      </c>
      <c r="B973" t="s">
        <v>971</v>
      </c>
      <c r="C973" s="3">
        <v>12</v>
      </c>
      <c r="D973" t="str">
        <f t="shared" si="15"/>
        <v>Pin maritime - Sud-Ouest Landes (INRA, N.Decourt &amp; B. Lemoine, 1969) - classe 2_12</v>
      </c>
      <c r="E973" s="3">
        <v>35.6</v>
      </c>
      <c r="F973" s="3">
        <v>0</v>
      </c>
      <c r="G973" s="3">
        <v>35.6</v>
      </c>
    </row>
    <row r="974" spans="1:7" x14ac:dyDescent="0.2">
      <c r="A974" s="3" t="s">
        <v>71</v>
      </c>
      <c r="B974" t="s">
        <v>971</v>
      </c>
      <c r="C974" s="3">
        <v>13</v>
      </c>
      <c r="D974" t="str">
        <f t="shared" si="15"/>
        <v>Pin maritime - Sud-Ouest Landes (INRA, N.Decourt &amp; B. Lemoine, 1969) - classe 2_13</v>
      </c>
      <c r="E974" s="3">
        <v>46.975000000000001</v>
      </c>
      <c r="F974" s="3">
        <v>0</v>
      </c>
      <c r="G974" s="3">
        <v>46.975000000000001</v>
      </c>
    </row>
    <row r="975" spans="1:7" x14ac:dyDescent="0.2">
      <c r="A975" s="3" t="s">
        <v>71</v>
      </c>
      <c r="B975" t="s">
        <v>971</v>
      </c>
      <c r="C975" s="3">
        <v>14</v>
      </c>
      <c r="D975" t="str">
        <f t="shared" si="15"/>
        <v>Pin maritime - Sud-Ouest Landes (INRA, N.Decourt &amp; B. Lemoine, 1969) - classe 2_14</v>
      </c>
      <c r="E975" s="3">
        <v>58.35</v>
      </c>
      <c r="F975" s="3">
        <v>0</v>
      </c>
      <c r="G975" s="3">
        <v>58.35</v>
      </c>
    </row>
    <row r="976" spans="1:7" x14ac:dyDescent="0.2">
      <c r="A976" s="3" t="s">
        <v>71</v>
      </c>
      <c r="B976" t="s">
        <v>971</v>
      </c>
      <c r="C976" s="3">
        <v>15</v>
      </c>
      <c r="D976" t="str">
        <f t="shared" si="15"/>
        <v>Pin maritime - Sud-Ouest Landes (INRA, N.Decourt &amp; B. Lemoine, 1969) - classe 2_15</v>
      </c>
      <c r="E976" s="3">
        <v>69.724999999999994</v>
      </c>
      <c r="F976" s="3">
        <v>0</v>
      </c>
      <c r="G976" s="3">
        <v>69.724999999999994</v>
      </c>
    </row>
    <row r="977" spans="1:7" x14ac:dyDescent="0.2">
      <c r="A977" s="3" t="s">
        <v>71</v>
      </c>
      <c r="B977" t="s">
        <v>971</v>
      </c>
      <c r="C977" s="3">
        <v>16</v>
      </c>
      <c r="D977" t="str">
        <f t="shared" si="15"/>
        <v>Pin maritime - Sud-Ouest Landes (INRA, N.Decourt &amp; B. Lemoine, 1969) - classe 2_16</v>
      </c>
      <c r="E977" s="3">
        <v>81.099999999999994</v>
      </c>
      <c r="F977" s="3">
        <v>14.8</v>
      </c>
      <c r="G977" s="3">
        <v>66.3</v>
      </c>
    </row>
    <row r="978" spans="1:7" x14ac:dyDescent="0.2">
      <c r="A978" s="3" t="s">
        <v>71</v>
      </c>
      <c r="B978" t="s">
        <v>971</v>
      </c>
      <c r="C978" s="3">
        <v>17</v>
      </c>
      <c r="D978" t="str">
        <f t="shared" si="15"/>
        <v>Pin maritime - Sud-Ouest Landes (INRA, N.Decourt &amp; B. Lemoine, 1969) - classe 2_17</v>
      </c>
      <c r="E978" s="3">
        <v>79.55</v>
      </c>
      <c r="F978" s="3">
        <v>0</v>
      </c>
      <c r="G978" s="3">
        <v>79.55</v>
      </c>
    </row>
    <row r="979" spans="1:7" x14ac:dyDescent="0.2">
      <c r="A979" s="3" t="s">
        <v>71</v>
      </c>
      <c r="B979" t="s">
        <v>971</v>
      </c>
      <c r="C979" s="3">
        <v>18</v>
      </c>
      <c r="D979" t="str">
        <f t="shared" si="15"/>
        <v>Pin maritime - Sud-Ouest Landes (INRA, N.Decourt &amp; B. Lemoine, 1969) - classe 2_18</v>
      </c>
      <c r="E979" s="3">
        <v>92.8</v>
      </c>
      <c r="F979" s="3">
        <v>0</v>
      </c>
      <c r="G979" s="3">
        <v>92.8</v>
      </c>
    </row>
    <row r="980" spans="1:7" x14ac:dyDescent="0.2">
      <c r="A980" s="3" t="s">
        <v>71</v>
      </c>
      <c r="B980" t="s">
        <v>971</v>
      </c>
      <c r="C980" s="3">
        <v>19</v>
      </c>
      <c r="D980" t="str">
        <f t="shared" si="15"/>
        <v>Pin maritime - Sud-Ouest Landes (INRA, N.Decourt &amp; B. Lemoine, 1969) - classe 2_19</v>
      </c>
      <c r="E980" s="3">
        <v>106.05</v>
      </c>
      <c r="F980" s="3">
        <v>0</v>
      </c>
      <c r="G980" s="3">
        <v>106.05</v>
      </c>
    </row>
    <row r="981" spans="1:7" x14ac:dyDescent="0.2">
      <c r="A981" s="3" t="s">
        <v>71</v>
      </c>
      <c r="B981" t="s">
        <v>971</v>
      </c>
      <c r="C981" s="3">
        <v>20</v>
      </c>
      <c r="D981" t="str">
        <f t="shared" si="15"/>
        <v>Pin maritime - Sud-Ouest Landes (INRA, N.Decourt &amp; B. Lemoine, 1969) - classe 2_20</v>
      </c>
      <c r="E981" s="3">
        <v>119.3</v>
      </c>
      <c r="F981" s="3">
        <v>22.1</v>
      </c>
      <c r="G981" s="3">
        <v>97.2</v>
      </c>
    </row>
    <row r="982" spans="1:7" x14ac:dyDescent="0.2">
      <c r="A982" s="3" t="s">
        <v>71</v>
      </c>
      <c r="B982" t="s">
        <v>971</v>
      </c>
      <c r="C982" s="3">
        <v>21</v>
      </c>
      <c r="D982" t="str">
        <f t="shared" si="15"/>
        <v>Pin maritime - Sud-Ouest Landes (INRA, N.Decourt &amp; B. Lemoine, 1969) - classe 2_21</v>
      </c>
      <c r="E982" s="3">
        <v>112.02500000000001</v>
      </c>
      <c r="F982" s="3">
        <v>0</v>
      </c>
      <c r="G982" s="3">
        <v>112.02500000000001</v>
      </c>
    </row>
    <row r="983" spans="1:7" x14ac:dyDescent="0.2">
      <c r="A983" s="3" t="s">
        <v>71</v>
      </c>
      <c r="B983" t="s">
        <v>971</v>
      </c>
      <c r="C983" s="3">
        <v>22</v>
      </c>
      <c r="D983" t="str">
        <f t="shared" si="15"/>
        <v>Pin maritime - Sud-Ouest Landes (INRA, N.Decourt &amp; B. Lemoine, 1969) - classe 2_22</v>
      </c>
      <c r="E983" s="3">
        <v>126.85000000000001</v>
      </c>
      <c r="F983" s="3">
        <v>0</v>
      </c>
      <c r="G983" s="3">
        <v>126.85000000000001</v>
      </c>
    </row>
    <row r="984" spans="1:7" x14ac:dyDescent="0.2">
      <c r="A984" s="3" t="s">
        <v>71</v>
      </c>
      <c r="B984" t="s">
        <v>971</v>
      </c>
      <c r="C984" s="3">
        <v>23</v>
      </c>
      <c r="D984" t="str">
        <f t="shared" si="15"/>
        <v>Pin maritime - Sud-Ouest Landes (INRA, N.Decourt &amp; B. Lemoine, 1969) - classe 2_23</v>
      </c>
      <c r="E984" s="3">
        <v>141.67500000000001</v>
      </c>
      <c r="F984" s="3">
        <v>0</v>
      </c>
      <c r="G984" s="3">
        <v>141.67500000000001</v>
      </c>
    </row>
    <row r="985" spans="1:7" x14ac:dyDescent="0.2">
      <c r="A985" s="3" t="s">
        <v>71</v>
      </c>
      <c r="B985" t="s">
        <v>971</v>
      </c>
      <c r="C985" s="3">
        <v>24</v>
      </c>
      <c r="D985" t="str">
        <f t="shared" si="15"/>
        <v>Pin maritime - Sud-Ouest Landes (INRA, N.Decourt &amp; B. Lemoine, 1969) - classe 2_24</v>
      </c>
      <c r="E985" s="3">
        <v>156.5</v>
      </c>
      <c r="F985" s="3">
        <v>30.8</v>
      </c>
      <c r="G985" s="3">
        <v>125.7</v>
      </c>
    </row>
    <row r="986" spans="1:7" x14ac:dyDescent="0.2">
      <c r="A986" s="3" t="s">
        <v>71</v>
      </c>
      <c r="B986" t="s">
        <v>971</v>
      </c>
      <c r="C986" s="3">
        <v>25</v>
      </c>
      <c r="D986" t="str">
        <f t="shared" si="15"/>
        <v>Pin maritime - Sud-Ouest Landes (INRA, N.Decourt &amp; B. Lemoine, 1969) - classe 2_25</v>
      </c>
      <c r="E986" s="3">
        <v>142</v>
      </c>
      <c r="F986" s="3">
        <v>0</v>
      </c>
      <c r="G986" s="3">
        <v>142</v>
      </c>
    </row>
    <row r="987" spans="1:7" x14ac:dyDescent="0.2">
      <c r="A987" s="3" t="s">
        <v>71</v>
      </c>
      <c r="B987" t="s">
        <v>971</v>
      </c>
      <c r="C987" s="3">
        <v>26</v>
      </c>
      <c r="D987" t="str">
        <f t="shared" si="15"/>
        <v>Pin maritime - Sud-Ouest Landes (INRA, N.Decourt &amp; B. Lemoine, 1969) - classe 2_26</v>
      </c>
      <c r="E987" s="3">
        <v>158.30000000000001</v>
      </c>
      <c r="F987" s="3">
        <v>0</v>
      </c>
      <c r="G987" s="3">
        <v>158.30000000000001</v>
      </c>
    </row>
    <row r="988" spans="1:7" x14ac:dyDescent="0.2">
      <c r="A988" s="3" t="s">
        <v>71</v>
      </c>
      <c r="B988" t="s">
        <v>971</v>
      </c>
      <c r="C988" s="3">
        <v>27</v>
      </c>
      <c r="D988" t="str">
        <f t="shared" si="15"/>
        <v>Pin maritime - Sud-Ouest Landes (INRA, N.Decourt &amp; B. Lemoine, 1969) - classe 2_27</v>
      </c>
      <c r="E988" s="3">
        <v>174.60000000000002</v>
      </c>
      <c r="F988" s="3">
        <v>0</v>
      </c>
      <c r="G988" s="3">
        <v>174.60000000000002</v>
      </c>
    </row>
    <row r="989" spans="1:7" x14ac:dyDescent="0.2">
      <c r="A989" s="3" t="s">
        <v>71</v>
      </c>
      <c r="B989" t="s">
        <v>971</v>
      </c>
      <c r="C989" s="3">
        <v>28</v>
      </c>
      <c r="D989" t="str">
        <f t="shared" si="15"/>
        <v>Pin maritime - Sud-Ouest Landes (INRA, N.Decourt &amp; B. Lemoine, 1969) - classe 2_28</v>
      </c>
      <c r="E989" s="3">
        <v>190.9</v>
      </c>
      <c r="F989" s="3">
        <v>35.4</v>
      </c>
      <c r="G989" s="3">
        <v>155.5</v>
      </c>
    </row>
    <row r="990" spans="1:7" x14ac:dyDescent="0.2">
      <c r="A990" s="3" t="s">
        <v>71</v>
      </c>
      <c r="B990" t="s">
        <v>971</v>
      </c>
      <c r="C990" s="3">
        <v>29</v>
      </c>
      <c r="D990" t="str">
        <f t="shared" si="15"/>
        <v>Pin maritime - Sud-Ouest Landes (INRA, N.Decourt &amp; B. Lemoine, 1969) - classe 2_29</v>
      </c>
      <c r="E990" s="3">
        <v>170.3</v>
      </c>
      <c r="F990" s="3">
        <v>0</v>
      </c>
      <c r="G990" s="3">
        <v>170.3</v>
      </c>
    </row>
    <row r="991" spans="1:7" x14ac:dyDescent="0.2">
      <c r="A991" s="3" t="s">
        <v>71</v>
      </c>
      <c r="B991" t="s">
        <v>971</v>
      </c>
      <c r="C991" s="3">
        <v>30</v>
      </c>
      <c r="D991" t="str">
        <f t="shared" si="15"/>
        <v>Pin maritime - Sud-Ouest Landes (INRA, N.Decourt &amp; B. Lemoine, 1969) - classe 2_30</v>
      </c>
      <c r="E991" s="3">
        <v>185.10000000000002</v>
      </c>
      <c r="F991" s="3">
        <v>0</v>
      </c>
      <c r="G991" s="3">
        <v>185.10000000000002</v>
      </c>
    </row>
    <row r="992" spans="1:7" x14ac:dyDescent="0.2">
      <c r="A992" s="3" t="s">
        <v>71</v>
      </c>
      <c r="B992" t="s">
        <v>970</v>
      </c>
      <c r="C992" s="3">
        <v>1</v>
      </c>
      <c r="D992" t="str">
        <f t="shared" si="15"/>
        <v>Pin maritime - Sud-Ouest Landes (INRA, N.Decourt &amp; B. Lemoine, 1969) - classe 3_1</v>
      </c>
      <c r="E992" s="3">
        <v>2.0833333333333335</v>
      </c>
      <c r="F992" s="3">
        <v>0</v>
      </c>
      <c r="G992" s="3">
        <v>2.0833333333333335</v>
      </c>
    </row>
    <row r="993" spans="1:7" x14ac:dyDescent="0.2">
      <c r="A993" s="3" t="s">
        <v>71</v>
      </c>
      <c r="B993" t="s">
        <v>970</v>
      </c>
      <c r="C993" s="3">
        <v>2</v>
      </c>
      <c r="D993" t="str">
        <f t="shared" si="15"/>
        <v>Pin maritime - Sud-Ouest Landes (INRA, N.Decourt &amp; B. Lemoine, 1969) - classe 3_2</v>
      </c>
      <c r="E993" s="3">
        <v>4.166666666666667</v>
      </c>
      <c r="F993" s="3">
        <v>0</v>
      </c>
      <c r="G993" s="3">
        <v>4.166666666666667</v>
      </c>
    </row>
    <row r="994" spans="1:7" x14ac:dyDescent="0.2">
      <c r="A994" s="3" t="s">
        <v>71</v>
      </c>
      <c r="B994" t="s">
        <v>970</v>
      </c>
      <c r="C994" s="3">
        <v>3</v>
      </c>
      <c r="D994" t="str">
        <f t="shared" si="15"/>
        <v>Pin maritime - Sud-Ouest Landes (INRA, N.Decourt &amp; B. Lemoine, 1969) - classe 3_3</v>
      </c>
      <c r="E994" s="3">
        <v>6.25</v>
      </c>
      <c r="F994" s="3">
        <v>0</v>
      </c>
      <c r="G994" s="3">
        <v>6.25</v>
      </c>
    </row>
    <row r="995" spans="1:7" x14ac:dyDescent="0.2">
      <c r="A995" s="3" t="s">
        <v>71</v>
      </c>
      <c r="B995" t="s">
        <v>970</v>
      </c>
      <c r="C995" s="3">
        <v>4</v>
      </c>
      <c r="D995" t="str">
        <f t="shared" si="15"/>
        <v>Pin maritime - Sud-Ouest Landes (INRA, N.Decourt &amp; B. Lemoine, 1969) - classe 3_4</v>
      </c>
      <c r="E995" s="3">
        <v>8.3333333333333339</v>
      </c>
      <c r="F995" s="3">
        <v>0</v>
      </c>
      <c r="G995" s="3">
        <v>8.3333333333333339</v>
      </c>
    </row>
    <row r="996" spans="1:7" x14ac:dyDescent="0.2">
      <c r="A996" s="3" t="s">
        <v>71</v>
      </c>
      <c r="B996" t="s">
        <v>970</v>
      </c>
      <c r="C996" s="3">
        <v>5</v>
      </c>
      <c r="D996" t="str">
        <f t="shared" si="15"/>
        <v>Pin maritime - Sud-Ouest Landes (INRA, N.Decourt &amp; B. Lemoine, 1969) - classe 3_5</v>
      </c>
      <c r="E996" s="3">
        <v>10.416666666666668</v>
      </c>
      <c r="F996" s="3">
        <v>0</v>
      </c>
      <c r="G996" s="3">
        <v>10.416666666666668</v>
      </c>
    </row>
    <row r="997" spans="1:7" x14ac:dyDescent="0.2">
      <c r="A997" s="3" t="s">
        <v>71</v>
      </c>
      <c r="B997" t="s">
        <v>970</v>
      </c>
      <c r="C997" s="3">
        <v>6</v>
      </c>
      <c r="D997" t="str">
        <f t="shared" si="15"/>
        <v>Pin maritime - Sud-Ouest Landes (INRA, N.Decourt &amp; B. Lemoine, 1969) - classe 3_6</v>
      </c>
      <c r="E997" s="3">
        <v>12.500000000000002</v>
      </c>
      <c r="F997" s="3">
        <v>0</v>
      </c>
      <c r="G997" s="3">
        <v>12.500000000000002</v>
      </c>
    </row>
    <row r="998" spans="1:7" x14ac:dyDescent="0.2">
      <c r="A998" s="3" t="s">
        <v>71</v>
      </c>
      <c r="B998" t="s">
        <v>970</v>
      </c>
      <c r="C998" s="3">
        <v>7</v>
      </c>
      <c r="D998" t="str">
        <f t="shared" si="15"/>
        <v>Pin maritime - Sud-Ouest Landes (INRA, N.Decourt &amp; B. Lemoine, 1969) - classe 3_7</v>
      </c>
      <c r="E998" s="3">
        <v>14.583333333333336</v>
      </c>
      <c r="F998" s="3">
        <v>0</v>
      </c>
      <c r="G998" s="3">
        <v>14.583333333333336</v>
      </c>
    </row>
    <row r="999" spans="1:7" x14ac:dyDescent="0.2">
      <c r="A999" s="3" t="s">
        <v>71</v>
      </c>
      <c r="B999" t="s">
        <v>970</v>
      </c>
      <c r="C999" s="3">
        <v>8</v>
      </c>
      <c r="D999" t="str">
        <f t="shared" si="15"/>
        <v>Pin maritime - Sud-Ouest Landes (INRA, N.Decourt &amp; B. Lemoine, 1969) - classe 3_8</v>
      </c>
      <c r="E999" s="3">
        <v>16.666666666666668</v>
      </c>
      <c r="F999" s="3">
        <v>0</v>
      </c>
      <c r="G999" s="3">
        <v>16.666666666666668</v>
      </c>
    </row>
    <row r="1000" spans="1:7" x14ac:dyDescent="0.2">
      <c r="A1000" s="3" t="s">
        <v>71</v>
      </c>
      <c r="B1000" t="s">
        <v>970</v>
      </c>
      <c r="C1000" s="3">
        <v>9</v>
      </c>
      <c r="D1000" t="str">
        <f t="shared" si="15"/>
        <v>Pin maritime - Sud-Ouest Landes (INRA, N.Decourt &amp; B. Lemoine, 1969) - classe 3_9</v>
      </c>
      <c r="E1000" s="3">
        <v>18.75</v>
      </c>
      <c r="F1000" s="3">
        <v>0</v>
      </c>
      <c r="G1000" s="3">
        <v>18.75</v>
      </c>
    </row>
    <row r="1001" spans="1:7" x14ac:dyDescent="0.2">
      <c r="A1001" s="3" t="s">
        <v>71</v>
      </c>
      <c r="B1001" t="s">
        <v>970</v>
      </c>
      <c r="C1001" s="3">
        <v>10</v>
      </c>
      <c r="D1001" t="str">
        <f t="shared" si="15"/>
        <v>Pin maritime - Sud-Ouest Landes (INRA, N.Decourt &amp; B. Lemoine, 1969) - classe 3_10</v>
      </c>
      <c r="E1001" s="3">
        <v>20.833333333333332</v>
      </c>
      <c r="F1001" s="3">
        <v>0</v>
      </c>
      <c r="G1001" s="3">
        <v>20.833333333333332</v>
      </c>
    </row>
    <row r="1002" spans="1:7" x14ac:dyDescent="0.2">
      <c r="A1002" s="3" t="s">
        <v>71</v>
      </c>
      <c r="B1002" t="s">
        <v>970</v>
      </c>
      <c r="C1002" s="3">
        <v>11</v>
      </c>
      <c r="D1002" t="str">
        <f t="shared" si="15"/>
        <v>Pin maritime - Sud-Ouest Landes (INRA, N.Decourt &amp; B. Lemoine, 1969) - classe 3_11</v>
      </c>
      <c r="E1002" s="3">
        <v>22.916666666666664</v>
      </c>
      <c r="F1002" s="3">
        <v>0</v>
      </c>
      <c r="G1002" s="3">
        <v>22.916666666666664</v>
      </c>
    </row>
    <row r="1003" spans="1:7" x14ac:dyDescent="0.2">
      <c r="A1003" s="3" t="s">
        <v>71</v>
      </c>
      <c r="B1003" t="s">
        <v>970</v>
      </c>
      <c r="C1003" s="3">
        <v>12</v>
      </c>
      <c r="D1003" t="str">
        <f t="shared" si="15"/>
        <v>Pin maritime - Sud-Ouest Landes (INRA, N.Decourt &amp; B. Lemoine, 1969) - classe 3_12</v>
      </c>
      <c r="E1003" s="3">
        <v>25</v>
      </c>
      <c r="F1003" s="3">
        <v>0</v>
      </c>
      <c r="G1003" s="3">
        <v>25</v>
      </c>
    </row>
    <row r="1004" spans="1:7" x14ac:dyDescent="0.2">
      <c r="A1004" s="3" t="s">
        <v>71</v>
      </c>
      <c r="B1004" t="s">
        <v>970</v>
      </c>
      <c r="C1004" s="3">
        <v>13</v>
      </c>
      <c r="D1004" t="str">
        <f t="shared" si="15"/>
        <v>Pin maritime - Sud-Ouest Landes (INRA, N.Decourt &amp; B. Lemoine, 1969) - classe 3_13</v>
      </c>
      <c r="E1004" s="3">
        <v>33.35</v>
      </c>
      <c r="F1004" s="3">
        <v>0</v>
      </c>
      <c r="G1004" s="3">
        <v>33.35</v>
      </c>
    </row>
    <row r="1005" spans="1:7" x14ac:dyDescent="0.2">
      <c r="A1005" s="3" t="s">
        <v>71</v>
      </c>
      <c r="B1005" t="s">
        <v>970</v>
      </c>
      <c r="C1005" s="3">
        <v>14</v>
      </c>
      <c r="D1005" t="str">
        <f t="shared" si="15"/>
        <v>Pin maritime - Sud-Ouest Landes (INRA, N.Decourt &amp; B. Lemoine, 1969) - classe 3_14</v>
      </c>
      <c r="E1005" s="3">
        <v>41.7</v>
      </c>
      <c r="F1005" s="3">
        <v>0</v>
      </c>
      <c r="G1005" s="3">
        <v>41.7</v>
      </c>
    </row>
    <row r="1006" spans="1:7" x14ac:dyDescent="0.2">
      <c r="A1006" s="3" t="s">
        <v>71</v>
      </c>
      <c r="B1006" t="s">
        <v>970</v>
      </c>
      <c r="C1006" s="3">
        <v>15</v>
      </c>
      <c r="D1006" t="str">
        <f t="shared" si="15"/>
        <v>Pin maritime - Sud-Ouest Landes (INRA, N.Decourt &amp; B. Lemoine, 1969) - classe 3_15</v>
      </c>
      <c r="E1006" s="3">
        <v>50.050000000000004</v>
      </c>
      <c r="F1006" s="3">
        <v>0</v>
      </c>
      <c r="G1006" s="3">
        <v>50.050000000000004</v>
      </c>
    </row>
    <row r="1007" spans="1:7" x14ac:dyDescent="0.2">
      <c r="A1007" s="3" t="s">
        <v>71</v>
      </c>
      <c r="B1007" t="s">
        <v>970</v>
      </c>
      <c r="C1007" s="3">
        <v>16</v>
      </c>
      <c r="D1007" t="str">
        <f t="shared" si="15"/>
        <v>Pin maritime - Sud-Ouest Landes (INRA, N.Decourt &amp; B. Lemoine, 1969) - classe 3_16</v>
      </c>
      <c r="E1007" s="3">
        <v>58.4</v>
      </c>
      <c r="F1007" s="3">
        <v>7.6</v>
      </c>
      <c r="G1007" s="3">
        <v>50.8</v>
      </c>
    </row>
    <row r="1008" spans="1:7" x14ac:dyDescent="0.2">
      <c r="A1008" s="3" t="s">
        <v>71</v>
      </c>
      <c r="B1008" t="s">
        <v>970</v>
      </c>
      <c r="C1008" s="3">
        <v>17</v>
      </c>
      <c r="D1008" t="str">
        <f t="shared" si="15"/>
        <v>Pin maritime - Sud-Ouest Landes (INRA, N.Decourt &amp; B. Lemoine, 1969) - classe 3_17</v>
      </c>
      <c r="E1008" s="3">
        <v>60.75</v>
      </c>
      <c r="F1008" s="3">
        <v>0</v>
      </c>
      <c r="G1008" s="3">
        <v>60.75</v>
      </c>
    </row>
    <row r="1009" spans="1:7" x14ac:dyDescent="0.2">
      <c r="A1009" s="3" t="s">
        <v>71</v>
      </c>
      <c r="B1009" t="s">
        <v>970</v>
      </c>
      <c r="C1009" s="3">
        <v>18</v>
      </c>
      <c r="D1009" t="str">
        <f t="shared" si="15"/>
        <v>Pin maritime - Sud-Ouest Landes (INRA, N.Decourt &amp; B. Lemoine, 1969) - classe 3_18</v>
      </c>
      <c r="E1009" s="3">
        <v>70.7</v>
      </c>
      <c r="F1009" s="3">
        <v>0</v>
      </c>
      <c r="G1009" s="3">
        <v>70.7</v>
      </c>
    </row>
    <row r="1010" spans="1:7" x14ac:dyDescent="0.2">
      <c r="A1010" s="3" t="s">
        <v>71</v>
      </c>
      <c r="B1010" t="s">
        <v>970</v>
      </c>
      <c r="C1010" s="3">
        <v>19</v>
      </c>
      <c r="D1010" t="str">
        <f t="shared" si="15"/>
        <v>Pin maritime - Sud-Ouest Landes (INRA, N.Decourt &amp; B. Lemoine, 1969) - classe 3_19</v>
      </c>
      <c r="E1010" s="3">
        <v>80.650000000000006</v>
      </c>
      <c r="F1010" s="3">
        <v>0</v>
      </c>
      <c r="G1010" s="3">
        <v>80.650000000000006</v>
      </c>
    </row>
    <row r="1011" spans="1:7" x14ac:dyDescent="0.2">
      <c r="A1011" s="3" t="s">
        <v>71</v>
      </c>
      <c r="B1011" t="s">
        <v>970</v>
      </c>
      <c r="C1011" s="3">
        <v>20</v>
      </c>
      <c r="D1011" t="str">
        <f t="shared" si="15"/>
        <v>Pin maritime - Sud-Ouest Landes (INRA, N.Decourt &amp; B. Lemoine, 1969) - classe 3_20</v>
      </c>
      <c r="E1011" s="3">
        <v>90.6</v>
      </c>
      <c r="F1011" s="3">
        <v>13.8</v>
      </c>
      <c r="G1011" s="3">
        <v>76.8</v>
      </c>
    </row>
    <row r="1012" spans="1:7" x14ac:dyDescent="0.2">
      <c r="A1012" s="3" t="s">
        <v>71</v>
      </c>
      <c r="B1012" t="s">
        <v>970</v>
      </c>
      <c r="C1012" s="3">
        <v>21</v>
      </c>
      <c r="D1012" t="str">
        <f t="shared" si="15"/>
        <v>Pin maritime - Sud-Ouest Landes (INRA, N.Decourt &amp; B. Lemoine, 1969) - classe 3_21</v>
      </c>
      <c r="E1012" s="3">
        <v>87.825000000000003</v>
      </c>
      <c r="F1012" s="3">
        <v>0</v>
      </c>
      <c r="G1012" s="3">
        <v>87.825000000000003</v>
      </c>
    </row>
    <row r="1013" spans="1:7" x14ac:dyDescent="0.2">
      <c r="A1013" s="3" t="s">
        <v>71</v>
      </c>
      <c r="B1013" t="s">
        <v>970</v>
      </c>
      <c r="C1013" s="3">
        <v>22</v>
      </c>
      <c r="D1013" t="str">
        <f t="shared" si="15"/>
        <v>Pin maritime - Sud-Ouest Landes (INRA, N.Decourt &amp; B. Lemoine, 1969) - classe 3_22</v>
      </c>
      <c r="E1013" s="3">
        <v>98.850000000000009</v>
      </c>
      <c r="F1013" s="3">
        <v>0</v>
      </c>
      <c r="G1013" s="3">
        <v>98.850000000000009</v>
      </c>
    </row>
    <row r="1014" spans="1:7" x14ac:dyDescent="0.2">
      <c r="A1014" s="3" t="s">
        <v>71</v>
      </c>
      <c r="B1014" t="s">
        <v>970</v>
      </c>
      <c r="C1014" s="3">
        <v>23</v>
      </c>
      <c r="D1014" t="str">
        <f t="shared" si="15"/>
        <v>Pin maritime - Sud-Ouest Landes (INRA, N.Decourt &amp; B. Lemoine, 1969) - classe 3_23</v>
      </c>
      <c r="E1014" s="3">
        <v>109.87500000000001</v>
      </c>
      <c r="F1014" s="3">
        <v>0</v>
      </c>
      <c r="G1014" s="3">
        <v>109.87500000000001</v>
      </c>
    </row>
    <row r="1015" spans="1:7" x14ac:dyDescent="0.2">
      <c r="A1015" s="3" t="s">
        <v>71</v>
      </c>
      <c r="B1015" t="s">
        <v>970</v>
      </c>
      <c r="C1015" s="3">
        <v>24</v>
      </c>
      <c r="D1015" t="str">
        <f t="shared" si="15"/>
        <v>Pin maritime - Sud-Ouest Landes (INRA, N.Decourt &amp; B. Lemoine, 1969) - classe 3_24</v>
      </c>
      <c r="E1015" s="3">
        <v>120.9</v>
      </c>
      <c r="F1015" s="3">
        <v>19.7</v>
      </c>
      <c r="G1015" s="3">
        <v>101.2</v>
      </c>
    </row>
    <row r="1016" spans="1:7" x14ac:dyDescent="0.2">
      <c r="A1016" s="3" t="s">
        <v>71</v>
      </c>
      <c r="B1016" t="s">
        <v>970</v>
      </c>
      <c r="C1016" s="3">
        <v>25</v>
      </c>
      <c r="D1016" t="str">
        <f t="shared" si="15"/>
        <v>Pin maritime - Sud-Ouest Landes (INRA, N.Decourt &amp; B. Lemoine, 1969) - classe 3_25</v>
      </c>
      <c r="E1016" s="3">
        <v>112.5</v>
      </c>
      <c r="F1016" s="3">
        <v>0</v>
      </c>
      <c r="G1016" s="3">
        <v>112.5</v>
      </c>
    </row>
    <row r="1017" spans="1:7" x14ac:dyDescent="0.2">
      <c r="A1017" s="3" t="s">
        <v>71</v>
      </c>
      <c r="B1017" t="s">
        <v>970</v>
      </c>
      <c r="C1017" s="3">
        <v>26</v>
      </c>
      <c r="D1017" t="str">
        <f t="shared" si="15"/>
        <v>Pin maritime - Sud-Ouest Landes (INRA, N.Decourt &amp; B. Lemoine, 1969) - classe 3_26</v>
      </c>
      <c r="E1017" s="3">
        <v>123.8</v>
      </c>
      <c r="F1017" s="3">
        <v>0</v>
      </c>
      <c r="G1017" s="3">
        <v>123.8</v>
      </c>
    </row>
    <row r="1018" spans="1:7" x14ac:dyDescent="0.2">
      <c r="A1018" s="3" t="s">
        <v>71</v>
      </c>
      <c r="B1018" t="s">
        <v>970</v>
      </c>
      <c r="C1018" s="3">
        <v>27</v>
      </c>
      <c r="D1018" t="str">
        <f t="shared" si="15"/>
        <v>Pin maritime - Sud-Ouest Landes (INRA, N.Decourt &amp; B. Lemoine, 1969) - classe 3_27</v>
      </c>
      <c r="E1018" s="3">
        <v>135.1</v>
      </c>
      <c r="F1018" s="3">
        <v>0</v>
      </c>
      <c r="G1018" s="3">
        <v>135.1</v>
      </c>
    </row>
    <row r="1019" spans="1:7" x14ac:dyDescent="0.2">
      <c r="A1019" s="3" t="s">
        <v>71</v>
      </c>
      <c r="B1019" t="s">
        <v>970</v>
      </c>
      <c r="C1019" s="3">
        <v>28</v>
      </c>
      <c r="D1019" t="str">
        <f t="shared" si="15"/>
        <v>Pin maritime - Sud-Ouest Landes (INRA, N.Decourt &amp; B. Lemoine, 1969) - classe 3_28</v>
      </c>
      <c r="E1019" s="3">
        <v>146.4</v>
      </c>
      <c r="F1019" s="3">
        <v>23.4</v>
      </c>
      <c r="G1019" s="3">
        <v>123</v>
      </c>
    </row>
    <row r="1020" spans="1:7" x14ac:dyDescent="0.2">
      <c r="A1020" s="3" t="s">
        <v>71</v>
      </c>
      <c r="B1020" t="s">
        <v>970</v>
      </c>
      <c r="C1020" s="3">
        <v>29</v>
      </c>
      <c r="D1020" t="str">
        <f t="shared" si="15"/>
        <v>Pin maritime - Sud-Ouest Landes (INRA, N.Decourt &amp; B. Lemoine, 1969) - classe 3_29</v>
      </c>
      <c r="E1020" s="3">
        <v>134.76666666666665</v>
      </c>
      <c r="F1020" s="3">
        <v>0</v>
      </c>
      <c r="G1020" s="3">
        <v>134.76666666666665</v>
      </c>
    </row>
    <row r="1021" spans="1:7" x14ac:dyDescent="0.2">
      <c r="A1021" s="3" t="s">
        <v>71</v>
      </c>
      <c r="B1021" t="s">
        <v>970</v>
      </c>
      <c r="C1021" s="3">
        <v>30</v>
      </c>
      <c r="D1021" t="str">
        <f t="shared" si="15"/>
        <v>Pin maritime - Sud-Ouest Landes (INRA, N.Decourt &amp; B. Lemoine, 1969) - classe 3_30</v>
      </c>
      <c r="E1021" s="3">
        <v>146.5333333333333</v>
      </c>
      <c r="F1021" s="3">
        <v>0</v>
      </c>
      <c r="G1021" s="3">
        <v>146.5333333333333</v>
      </c>
    </row>
    <row r="1022" spans="1:7" x14ac:dyDescent="0.2">
      <c r="A1022" s="3" t="s">
        <v>71</v>
      </c>
      <c r="B1022" t="s">
        <v>969</v>
      </c>
      <c r="C1022" s="3">
        <v>1</v>
      </c>
      <c r="D1022" t="str">
        <f t="shared" si="15"/>
        <v>Pin maritime - Sud-Ouest Landes (INRA, N.Decourt &amp; B. Lemoine, 1969) - classe 4_1</v>
      </c>
      <c r="E1022" s="3">
        <v>1.3166666666666667</v>
      </c>
      <c r="F1022" s="3">
        <v>0</v>
      </c>
      <c r="G1022" s="3">
        <v>1.3166666666666667</v>
      </c>
    </row>
    <row r="1023" spans="1:7" x14ac:dyDescent="0.2">
      <c r="A1023" s="3" t="s">
        <v>71</v>
      </c>
      <c r="B1023" t="s">
        <v>969</v>
      </c>
      <c r="C1023" s="3">
        <v>2</v>
      </c>
      <c r="D1023" t="str">
        <f t="shared" si="15"/>
        <v>Pin maritime - Sud-Ouest Landes (INRA, N.Decourt &amp; B. Lemoine, 1969) - classe 4_2</v>
      </c>
      <c r="E1023" s="3">
        <v>2.6333333333333333</v>
      </c>
      <c r="F1023" s="3">
        <v>0</v>
      </c>
      <c r="G1023" s="3">
        <v>2.6333333333333333</v>
      </c>
    </row>
    <row r="1024" spans="1:7" x14ac:dyDescent="0.2">
      <c r="A1024" s="3" t="s">
        <v>71</v>
      </c>
      <c r="B1024" t="s">
        <v>969</v>
      </c>
      <c r="C1024" s="3">
        <v>3</v>
      </c>
      <c r="D1024" t="str">
        <f t="shared" si="15"/>
        <v>Pin maritime - Sud-Ouest Landes (INRA, N.Decourt &amp; B. Lemoine, 1969) - classe 4_3</v>
      </c>
      <c r="E1024" s="3">
        <v>3.95</v>
      </c>
      <c r="F1024" s="3">
        <v>0</v>
      </c>
      <c r="G1024" s="3">
        <v>3.95</v>
      </c>
    </row>
    <row r="1025" spans="1:7" x14ac:dyDescent="0.2">
      <c r="A1025" s="3" t="s">
        <v>71</v>
      </c>
      <c r="B1025" t="s">
        <v>969</v>
      </c>
      <c r="C1025" s="3">
        <v>4</v>
      </c>
      <c r="D1025" t="str">
        <f t="shared" si="15"/>
        <v>Pin maritime - Sud-Ouest Landes (INRA, N.Decourt &amp; B. Lemoine, 1969) - classe 4_4</v>
      </c>
      <c r="E1025" s="3">
        <v>5.2666666666666666</v>
      </c>
      <c r="F1025" s="3">
        <v>0</v>
      </c>
      <c r="G1025" s="3">
        <v>5.2666666666666666</v>
      </c>
    </row>
    <row r="1026" spans="1:7" x14ac:dyDescent="0.2">
      <c r="A1026" s="3" t="s">
        <v>71</v>
      </c>
      <c r="B1026" t="s">
        <v>969</v>
      </c>
      <c r="C1026" s="3">
        <v>5</v>
      </c>
      <c r="D1026" t="str">
        <f t="shared" si="15"/>
        <v>Pin maritime - Sud-Ouest Landes (INRA, N.Decourt &amp; B. Lemoine, 1969) - classe 4_5</v>
      </c>
      <c r="E1026" s="3">
        <v>6.583333333333333</v>
      </c>
      <c r="F1026" s="3">
        <v>0</v>
      </c>
      <c r="G1026" s="3">
        <v>6.583333333333333</v>
      </c>
    </row>
    <row r="1027" spans="1:7" x14ac:dyDescent="0.2">
      <c r="A1027" s="3" t="s">
        <v>71</v>
      </c>
      <c r="B1027" t="s">
        <v>969</v>
      </c>
      <c r="C1027" s="3">
        <v>6</v>
      </c>
      <c r="D1027" t="str">
        <f t="shared" ref="D1027:D1090" si="16">CONCATENATE(B1027,"_",C1027)</f>
        <v>Pin maritime - Sud-Ouest Landes (INRA, N.Decourt &amp; B. Lemoine, 1969) - classe 4_6</v>
      </c>
      <c r="E1027" s="3">
        <v>7.8999999999999995</v>
      </c>
      <c r="F1027" s="3">
        <v>0</v>
      </c>
      <c r="G1027" s="3">
        <v>7.8999999999999995</v>
      </c>
    </row>
    <row r="1028" spans="1:7" x14ac:dyDescent="0.2">
      <c r="A1028" s="3" t="s">
        <v>71</v>
      </c>
      <c r="B1028" t="s">
        <v>969</v>
      </c>
      <c r="C1028" s="3">
        <v>7</v>
      </c>
      <c r="D1028" t="str">
        <f t="shared" si="16"/>
        <v>Pin maritime - Sud-Ouest Landes (INRA, N.Decourt &amp; B. Lemoine, 1969) - classe 4_7</v>
      </c>
      <c r="E1028" s="3">
        <v>9.2166666666666668</v>
      </c>
      <c r="F1028" s="3">
        <v>0</v>
      </c>
      <c r="G1028" s="3">
        <v>9.2166666666666668</v>
      </c>
    </row>
    <row r="1029" spans="1:7" x14ac:dyDescent="0.2">
      <c r="A1029" s="3" t="s">
        <v>71</v>
      </c>
      <c r="B1029" t="s">
        <v>969</v>
      </c>
      <c r="C1029" s="3">
        <v>8</v>
      </c>
      <c r="D1029" t="str">
        <f t="shared" si="16"/>
        <v>Pin maritime - Sud-Ouest Landes (INRA, N.Decourt &amp; B. Lemoine, 1969) - classe 4_8</v>
      </c>
      <c r="E1029" s="3">
        <v>10.533333333333333</v>
      </c>
      <c r="F1029" s="3">
        <v>0</v>
      </c>
      <c r="G1029" s="3">
        <v>10.533333333333333</v>
      </c>
    </row>
    <row r="1030" spans="1:7" x14ac:dyDescent="0.2">
      <c r="A1030" s="3" t="s">
        <v>71</v>
      </c>
      <c r="B1030" t="s">
        <v>969</v>
      </c>
      <c r="C1030" s="3">
        <v>9</v>
      </c>
      <c r="D1030" t="str">
        <f t="shared" si="16"/>
        <v>Pin maritime - Sud-Ouest Landes (INRA, N.Decourt &amp; B. Lemoine, 1969) - classe 4_9</v>
      </c>
      <c r="E1030" s="3">
        <v>11.85</v>
      </c>
      <c r="F1030" s="3">
        <v>0</v>
      </c>
      <c r="G1030" s="3">
        <v>11.85</v>
      </c>
    </row>
    <row r="1031" spans="1:7" x14ac:dyDescent="0.2">
      <c r="A1031" s="3" t="s">
        <v>71</v>
      </c>
      <c r="B1031" t="s">
        <v>969</v>
      </c>
      <c r="C1031" s="3">
        <v>10</v>
      </c>
      <c r="D1031" t="str">
        <f t="shared" si="16"/>
        <v>Pin maritime - Sud-Ouest Landes (INRA, N.Decourt &amp; B. Lemoine, 1969) - classe 4_10</v>
      </c>
      <c r="E1031" s="3">
        <v>13.166666666666666</v>
      </c>
      <c r="F1031" s="3">
        <v>0</v>
      </c>
      <c r="G1031" s="3">
        <v>13.166666666666666</v>
      </c>
    </row>
    <row r="1032" spans="1:7" x14ac:dyDescent="0.2">
      <c r="A1032" s="3" t="s">
        <v>71</v>
      </c>
      <c r="B1032" t="s">
        <v>969</v>
      </c>
      <c r="C1032" s="3">
        <v>11</v>
      </c>
      <c r="D1032" t="str">
        <f t="shared" si="16"/>
        <v>Pin maritime - Sud-Ouest Landes (INRA, N.Decourt &amp; B. Lemoine, 1969) - classe 4_11</v>
      </c>
      <c r="E1032" s="3">
        <v>14.483333333333333</v>
      </c>
      <c r="F1032" s="3">
        <v>0</v>
      </c>
      <c r="G1032" s="3">
        <v>14.483333333333333</v>
      </c>
    </row>
    <row r="1033" spans="1:7" x14ac:dyDescent="0.2">
      <c r="A1033" s="3" t="s">
        <v>71</v>
      </c>
      <c r="B1033" t="s">
        <v>969</v>
      </c>
      <c r="C1033" s="3">
        <v>12</v>
      </c>
      <c r="D1033" t="str">
        <f t="shared" si="16"/>
        <v>Pin maritime - Sud-Ouest Landes (INRA, N.Decourt &amp; B. Lemoine, 1969) - classe 4_12</v>
      </c>
      <c r="E1033" s="3">
        <v>15.8</v>
      </c>
      <c r="F1033" s="3">
        <v>0</v>
      </c>
      <c r="G1033" s="3">
        <v>15.8</v>
      </c>
    </row>
    <row r="1034" spans="1:7" x14ac:dyDescent="0.2">
      <c r="A1034" s="3" t="s">
        <v>71</v>
      </c>
      <c r="B1034" t="s">
        <v>969</v>
      </c>
      <c r="C1034" s="3">
        <v>13</v>
      </c>
      <c r="D1034" t="str">
        <f t="shared" si="16"/>
        <v>Pin maritime - Sud-Ouest Landes (INRA, N.Decourt &amp; B. Lemoine, 1969) - classe 4_13</v>
      </c>
      <c r="E1034" s="3">
        <v>21.85</v>
      </c>
      <c r="F1034" s="3">
        <v>0</v>
      </c>
      <c r="G1034" s="3">
        <v>21.85</v>
      </c>
    </row>
    <row r="1035" spans="1:7" x14ac:dyDescent="0.2">
      <c r="A1035" s="3" t="s">
        <v>71</v>
      </c>
      <c r="B1035" t="s">
        <v>969</v>
      </c>
      <c r="C1035" s="3">
        <v>14</v>
      </c>
      <c r="D1035" t="str">
        <f t="shared" si="16"/>
        <v>Pin maritime - Sud-Ouest Landes (INRA, N.Decourt &amp; B. Lemoine, 1969) - classe 4_14</v>
      </c>
      <c r="E1035" s="3">
        <v>27.900000000000002</v>
      </c>
      <c r="F1035" s="3">
        <v>0</v>
      </c>
      <c r="G1035" s="3">
        <v>27.900000000000002</v>
      </c>
    </row>
    <row r="1036" spans="1:7" x14ac:dyDescent="0.2">
      <c r="A1036" s="3" t="s">
        <v>71</v>
      </c>
      <c r="B1036" t="s">
        <v>969</v>
      </c>
      <c r="C1036" s="3">
        <v>15</v>
      </c>
      <c r="D1036" t="str">
        <f t="shared" si="16"/>
        <v>Pin maritime - Sud-Ouest Landes (INRA, N.Decourt &amp; B. Lemoine, 1969) - classe 4_15</v>
      </c>
      <c r="E1036" s="3">
        <v>33.950000000000003</v>
      </c>
      <c r="F1036" s="3">
        <v>0</v>
      </c>
      <c r="G1036" s="3">
        <v>33.950000000000003</v>
      </c>
    </row>
    <row r="1037" spans="1:7" x14ac:dyDescent="0.2">
      <c r="A1037" s="3" t="s">
        <v>71</v>
      </c>
      <c r="B1037" t="s">
        <v>969</v>
      </c>
      <c r="C1037" s="3">
        <v>16</v>
      </c>
      <c r="D1037" t="str">
        <f t="shared" si="16"/>
        <v>Pin maritime - Sud-Ouest Landes (INRA, N.Decourt &amp; B. Lemoine, 1969) - classe 4_16</v>
      </c>
      <c r="E1037" s="3">
        <v>40</v>
      </c>
      <c r="F1037" s="3">
        <v>4.0999999999999996</v>
      </c>
      <c r="G1037" s="3">
        <v>35.9</v>
      </c>
    </row>
    <row r="1038" spans="1:7" x14ac:dyDescent="0.2">
      <c r="A1038" s="3" t="s">
        <v>71</v>
      </c>
      <c r="B1038" t="s">
        <v>969</v>
      </c>
      <c r="C1038" s="3">
        <v>17</v>
      </c>
      <c r="D1038" t="str">
        <f t="shared" si="16"/>
        <v>Pin maritime - Sud-Ouest Landes (INRA, N.Decourt &amp; B. Lemoine, 1969) - classe 4_17</v>
      </c>
      <c r="E1038" s="3">
        <v>42.2</v>
      </c>
      <c r="F1038" s="3">
        <v>0</v>
      </c>
      <c r="G1038" s="3">
        <v>42.2</v>
      </c>
    </row>
    <row r="1039" spans="1:7" x14ac:dyDescent="0.2">
      <c r="A1039" s="3" t="s">
        <v>71</v>
      </c>
      <c r="B1039" t="s">
        <v>969</v>
      </c>
      <c r="C1039" s="3">
        <v>18</v>
      </c>
      <c r="D1039" t="str">
        <f t="shared" si="16"/>
        <v>Pin maritime - Sud-Ouest Landes (INRA, N.Decourt &amp; B. Lemoine, 1969) - classe 4_18</v>
      </c>
      <c r="E1039" s="3">
        <v>48.5</v>
      </c>
      <c r="F1039" s="3">
        <v>0</v>
      </c>
      <c r="G1039" s="3">
        <v>48.5</v>
      </c>
    </row>
    <row r="1040" spans="1:7" x14ac:dyDescent="0.2">
      <c r="A1040" s="3" t="s">
        <v>71</v>
      </c>
      <c r="B1040" t="s">
        <v>969</v>
      </c>
      <c r="C1040" s="3">
        <v>19</v>
      </c>
      <c r="D1040" t="str">
        <f t="shared" si="16"/>
        <v>Pin maritime - Sud-Ouest Landes (INRA, N.Decourt &amp; B. Lemoine, 1969) - classe 4_19</v>
      </c>
      <c r="E1040" s="3">
        <v>54.8</v>
      </c>
      <c r="F1040" s="3">
        <v>0</v>
      </c>
      <c r="G1040" s="3">
        <v>54.8</v>
      </c>
    </row>
    <row r="1041" spans="1:7" x14ac:dyDescent="0.2">
      <c r="A1041" s="3" t="s">
        <v>71</v>
      </c>
      <c r="B1041" t="s">
        <v>969</v>
      </c>
      <c r="C1041" s="3">
        <v>20</v>
      </c>
      <c r="D1041" t="str">
        <f t="shared" si="16"/>
        <v>Pin maritime - Sud-Ouest Landes (INRA, N.Decourt &amp; B. Lemoine, 1969) - classe 4_20</v>
      </c>
      <c r="E1041" s="3">
        <v>61.1</v>
      </c>
      <c r="F1041" s="3">
        <v>4.7</v>
      </c>
      <c r="G1041" s="3">
        <v>56.4</v>
      </c>
    </row>
    <row r="1042" spans="1:7" x14ac:dyDescent="0.2">
      <c r="A1042" s="3" t="s">
        <v>71</v>
      </c>
      <c r="B1042" t="s">
        <v>969</v>
      </c>
      <c r="C1042" s="3">
        <v>21</v>
      </c>
      <c r="D1042" t="str">
        <f t="shared" si="16"/>
        <v>Pin maritime - Sud-Ouest Landes (INRA, N.Decourt &amp; B. Lemoine, 1969) - classe 4_21</v>
      </c>
      <c r="E1042" s="3">
        <v>64.599999999999994</v>
      </c>
      <c r="F1042" s="3">
        <v>0</v>
      </c>
      <c r="G1042" s="3">
        <v>64.599999999999994</v>
      </c>
    </row>
    <row r="1043" spans="1:7" x14ac:dyDescent="0.2">
      <c r="A1043" s="3" t="s">
        <v>71</v>
      </c>
      <c r="B1043" t="s">
        <v>969</v>
      </c>
      <c r="C1043" s="3">
        <v>22</v>
      </c>
      <c r="D1043" t="str">
        <f t="shared" si="16"/>
        <v>Pin maritime - Sud-Ouest Landes (INRA, N.Decourt &amp; B. Lemoine, 1969) - classe 4_22</v>
      </c>
      <c r="E1043" s="3">
        <v>72.8</v>
      </c>
      <c r="F1043" s="3">
        <v>0</v>
      </c>
      <c r="G1043" s="3">
        <v>72.8</v>
      </c>
    </row>
    <row r="1044" spans="1:7" x14ac:dyDescent="0.2">
      <c r="A1044" s="3" t="s">
        <v>71</v>
      </c>
      <c r="B1044" t="s">
        <v>969</v>
      </c>
      <c r="C1044" s="3">
        <v>23</v>
      </c>
      <c r="D1044" t="str">
        <f t="shared" si="16"/>
        <v>Pin maritime - Sud-Ouest Landes (INRA, N.Decourt &amp; B. Lemoine, 1969) - classe 4_23</v>
      </c>
      <c r="E1044" s="3">
        <v>81</v>
      </c>
      <c r="F1044" s="3">
        <v>0</v>
      </c>
      <c r="G1044" s="3">
        <v>81</v>
      </c>
    </row>
    <row r="1045" spans="1:7" x14ac:dyDescent="0.2">
      <c r="A1045" s="3" t="s">
        <v>71</v>
      </c>
      <c r="B1045" t="s">
        <v>969</v>
      </c>
      <c r="C1045" s="3">
        <v>24</v>
      </c>
      <c r="D1045" t="str">
        <f t="shared" si="16"/>
        <v>Pin maritime - Sud-Ouest Landes (INRA, N.Decourt &amp; B. Lemoine, 1969) - classe 4_24</v>
      </c>
      <c r="E1045" s="3">
        <v>89.2</v>
      </c>
      <c r="F1045" s="3">
        <v>12.5</v>
      </c>
      <c r="G1045" s="3">
        <v>76.7</v>
      </c>
    </row>
    <row r="1046" spans="1:7" x14ac:dyDescent="0.2">
      <c r="A1046" s="3" t="s">
        <v>71</v>
      </c>
      <c r="B1046" t="s">
        <v>969</v>
      </c>
      <c r="C1046" s="3">
        <v>25</v>
      </c>
      <c r="D1046" t="str">
        <f t="shared" si="16"/>
        <v>Pin maritime - Sud-Ouest Landes (INRA, N.Decourt &amp; B. Lemoine, 1969) - classe 4_25</v>
      </c>
      <c r="E1046" s="3">
        <v>84.575000000000003</v>
      </c>
      <c r="F1046" s="3">
        <v>0</v>
      </c>
      <c r="G1046" s="3">
        <v>84.575000000000003</v>
      </c>
    </row>
    <row r="1047" spans="1:7" x14ac:dyDescent="0.2">
      <c r="A1047" s="3" t="s">
        <v>71</v>
      </c>
      <c r="B1047" t="s">
        <v>969</v>
      </c>
      <c r="C1047" s="3">
        <v>26</v>
      </c>
      <c r="D1047" t="str">
        <f t="shared" si="16"/>
        <v>Pin maritime - Sud-Ouest Landes (INRA, N.Decourt &amp; B. Lemoine, 1969) - classe 4_26</v>
      </c>
      <c r="E1047" s="3">
        <v>92.45</v>
      </c>
      <c r="F1047" s="3">
        <v>0</v>
      </c>
      <c r="G1047" s="3">
        <v>92.45</v>
      </c>
    </row>
    <row r="1048" spans="1:7" x14ac:dyDescent="0.2">
      <c r="A1048" s="3" t="s">
        <v>71</v>
      </c>
      <c r="B1048" t="s">
        <v>969</v>
      </c>
      <c r="C1048" s="3">
        <v>27</v>
      </c>
      <c r="D1048" t="str">
        <f t="shared" si="16"/>
        <v>Pin maritime - Sud-Ouest Landes (INRA, N.Decourt &amp; B. Lemoine, 1969) - classe 4_27</v>
      </c>
      <c r="E1048" s="3">
        <v>100.325</v>
      </c>
      <c r="F1048" s="3">
        <v>0</v>
      </c>
      <c r="G1048" s="3">
        <v>100.325</v>
      </c>
    </row>
    <row r="1049" spans="1:7" x14ac:dyDescent="0.2">
      <c r="A1049" s="3" t="s">
        <v>71</v>
      </c>
      <c r="B1049" t="s">
        <v>969</v>
      </c>
      <c r="C1049" s="3">
        <v>28</v>
      </c>
      <c r="D1049" t="str">
        <f t="shared" si="16"/>
        <v>Pin maritime - Sud-Ouest Landes (INRA, N.Decourt &amp; B. Lemoine, 1969) - classe 4_28</v>
      </c>
      <c r="E1049" s="3">
        <v>108.2</v>
      </c>
      <c r="F1049" s="3">
        <v>13.1</v>
      </c>
      <c r="G1049" s="3">
        <v>95.1</v>
      </c>
    </row>
    <row r="1050" spans="1:7" x14ac:dyDescent="0.2">
      <c r="A1050" s="3" t="s">
        <v>71</v>
      </c>
      <c r="B1050" t="s">
        <v>969</v>
      </c>
      <c r="C1050" s="3">
        <v>29</v>
      </c>
      <c r="D1050" t="str">
        <f t="shared" si="16"/>
        <v>Pin maritime - Sud-Ouest Landes (INRA, N.Decourt &amp; B. Lemoine, 1969) - classe 4_29</v>
      </c>
      <c r="E1050" s="3">
        <v>103.08333333333333</v>
      </c>
      <c r="F1050" s="3">
        <v>0</v>
      </c>
      <c r="G1050" s="3">
        <v>103.08333333333333</v>
      </c>
    </row>
    <row r="1051" spans="1:7" x14ac:dyDescent="0.2">
      <c r="A1051" s="3" t="s">
        <v>71</v>
      </c>
      <c r="B1051" t="s">
        <v>969</v>
      </c>
      <c r="C1051" s="3">
        <v>30</v>
      </c>
      <c r="D1051" t="str">
        <f t="shared" si="16"/>
        <v>Pin maritime - Sud-Ouest Landes (INRA, N.Decourt &amp; B. Lemoine, 1969) - classe 4_30</v>
      </c>
      <c r="E1051" s="3">
        <v>111.06666666666666</v>
      </c>
      <c r="F1051" s="3">
        <v>0</v>
      </c>
      <c r="G1051" s="3">
        <v>111.06666666666666</v>
      </c>
    </row>
    <row r="1052" spans="1:7" x14ac:dyDescent="0.2">
      <c r="A1052" s="3" t="s">
        <v>4</v>
      </c>
      <c r="B1052" t="s">
        <v>979</v>
      </c>
      <c r="C1052" s="3">
        <v>1</v>
      </c>
      <c r="D1052" t="str">
        <f t="shared" si="16"/>
        <v>Hêtre - Nord-Est (INRA, R. Schober, 1972) - classe 9 (acct moyen à 100 ans : 9 m3/ha/an)_1</v>
      </c>
      <c r="E1052" s="3">
        <v>1.6</v>
      </c>
      <c r="F1052" s="3">
        <v>0</v>
      </c>
      <c r="G1052" s="3">
        <v>1.6</v>
      </c>
    </row>
    <row r="1053" spans="1:7" x14ac:dyDescent="0.2">
      <c r="A1053" s="3" t="s">
        <v>4</v>
      </c>
      <c r="B1053" t="s">
        <v>979</v>
      </c>
      <c r="C1053" s="3">
        <v>2</v>
      </c>
      <c r="D1053" t="str">
        <f t="shared" si="16"/>
        <v>Hêtre - Nord-Est (INRA, R. Schober, 1972) - classe 9 (acct moyen à 100 ans : 9 m3/ha/an)_2</v>
      </c>
      <c r="E1053" s="3">
        <v>3.2</v>
      </c>
      <c r="F1053" s="3">
        <v>0</v>
      </c>
      <c r="G1053" s="3">
        <v>3.2</v>
      </c>
    </row>
    <row r="1054" spans="1:7" x14ac:dyDescent="0.2">
      <c r="A1054" s="3" t="s">
        <v>4</v>
      </c>
      <c r="B1054" t="s">
        <v>979</v>
      </c>
      <c r="C1054" s="3">
        <v>3</v>
      </c>
      <c r="D1054" t="str">
        <f t="shared" si="16"/>
        <v>Hêtre - Nord-Est (INRA, R. Schober, 1972) - classe 9 (acct moyen à 100 ans : 9 m3/ha/an)_3</v>
      </c>
      <c r="E1054" s="3">
        <v>4.8000000000000007</v>
      </c>
      <c r="F1054" s="3">
        <v>0</v>
      </c>
      <c r="G1054" s="3">
        <v>4.8000000000000007</v>
      </c>
    </row>
    <row r="1055" spans="1:7" x14ac:dyDescent="0.2">
      <c r="A1055" s="3" t="s">
        <v>4</v>
      </c>
      <c r="B1055" t="s">
        <v>979</v>
      </c>
      <c r="C1055" s="3">
        <v>4</v>
      </c>
      <c r="D1055" t="str">
        <f t="shared" si="16"/>
        <v>Hêtre - Nord-Est (INRA, R. Schober, 1972) - classe 9 (acct moyen à 100 ans : 9 m3/ha/an)_4</v>
      </c>
      <c r="E1055" s="3">
        <v>6.4</v>
      </c>
      <c r="F1055" s="3">
        <v>0</v>
      </c>
      <c r="G1055" s="3">
        <v>6.4</v>
      </c>
    </row>
    <row r="1056" spans="1:7" x14ac:dyDescent="0.2">
      <c r="A1056" s="3" t="s">
        <v>4</v>
      </c>
      <c r="B1056" t="s">
        <v>979</v>
      </c>
      <c r="C1056" s="3">
        <v>5</v>
      </c>
      <c r="D1056" t="str">
        <f t="shared" si="16"/>
        <v>Hêtre - Nord-Est (INRA, R. Schober, 1972) - classe 9 (acct moyen à 100 ans : 9 m3/ha/an)_5</v>
      </c>
      <c r="E1056" s="3">
        <v>8</v>
      </c>
      <c r="F1056" s="3">
        <v>0</v>
      </c>
      <c r="G1056" s="3">
        <v>8</v>
      </c>
    </row>
    <row r="1057" spans="1:7" x14ac:dyDescent="0.2">
      <c r="A1057" s="3" t="s">
        <v>4</v>
      </c>
      <c r="B1057" t="s">
        <v>979</v>
      </c>
      <c r="C1057" s="3">
        <v>6</v>
      </c>
      <c r="D1057" t="str">
        <f t="shared" si="16"/>
        <v>Hêtre - Nord-Est (INRA, R. Schober, 1972) - classe 9 (acct moyen à 100 ans : 9 m3/ha/an)_6</v>
      </c>
      <c r="E1057" s="3">
        <v>9.6</v>
      </c>
      <c r="F1057" s="3">
        <v>0</v>
      </c>
      <c r="G1057" s="3">
        <v>9.6</v>
      </c>
    </row>
    <row r="1058" spans="1:7" x14ac:dyDescent="0.2">
      <c r="A1058" s="3" t="s">
        <v>4</v>
      </c>
      <c r="B1058" t="s">
        <v>979</v>
      </c>
      <c r="C1058" s="3">
        <v>7</v>
      </c>
      <c r="D1058" t="str">
        <f t="shared" si="16"/>
        <v>Hêtre - Nord-Est (INRA, R. Schober, 1972) - classe 9 (acct moyen à 100 ans : 9 m3/ha/an)_7</v>
      </c>
      <c r="E1058" s="3">
        <v>11.2</v>
      </c>
      <c r="F1058" s="3">
        <v>0</v>
      </c>
      <c r="G1058" s="3">
        <v>11.2</v>
      </c>
    </row>
    <row r="1059" spans="1:7" x14ac:dyDescent="0.2">
      <c r="A1059" s="3" t="s">
        <v>4</v>
      </c>
      <c r="B1059" t="s">
        <v>979</v>
      </c>
      <c r="C1059" s="3">
        <v>8</v>
      </c>
      <c r="D1059" t="str">
        <f t="shared" si="16"/>
        <v>Hêtre - Nord-Est (INRA, R. Schober, 1972) - classe 9 (acct moyen à 100 ans : 9 m3/ha/an)_8</v>
      </c>
      <c r="E1059" s="3">
        <v>12.799999999999999</v>
      </c>
      <c r="F1059" s="3">
        <v>0</v>
      </c>
      <c r="G1059" s="3">
        <v>12.799999999999999</v>
      </c>
    </row>
    <row r="1060" spans="1:7" x14ac:dyDescent="0.2">
      <c r="A1060" s="3" t="s">
        <v>4</v>
      </c>
      <c r="B1060" t="s">
        <v>979</v>
      </c>
      <c r="C1060" s="3">
        <v>9</v>
      </c>
      <c r="D1060" t="str">
        <f t="shared" si="16"/>
        <v>Hêtre - Nord-Est (INRA, R. Schober, 1972) - classe 9 (acct moyen à 100 ans : 9 m3/ha/an)_9</v>
      </c>
      <c r="E1060" s="3">
        <v>14.399999999999999</v>
      </c>
      <c r="F1060" s="3">
        <v>0</v>
      </c>
      <c r="G1060" s="3">
        <v>14.399999999999999</v>
      </c>
    </row>
    <row r="1061" spans="1:7" x14ac:dyDescent="0.2">
      <c r="A1061" s="3" t="s">
        <v>4</v>
      </c>
      <c r="B1061" t="s">
        <v>979</v>
      </c>
      <c r="C1061" s="3">
        <v>10</v>
      </c>
      <c r="D1061" t="str">
        <f t="shared" si="16"/>
        <v>Hêtre - Nord-Est (INRA, R. Schober, 1972) - classe 9 (acct moyen à 100 ans : 9 m3/ha/an)_10</v>
      </c>
      <c r="E1061" s="3">
        <v>15.999999999999998</v>
      </c>
      <c r="F1061" s="3">
        <v>0</v>
      </c>
      <c r="G1061" s="3">
        <v>15.999999999999998</v>
      </c>
    </row>
    <row r="1062" spans="1:7" x14ac:dyDescent="0.2">
      <c r="A1062" s="3" t="s">
        <v>4</v>
      </c>
      <c r="B1062" t="s">
        <v>979</v>
      </c>
      <c r="C1062" s="3">
        <v>11</v>
      </c>
      <c r="D1062" t="str">
        <f t="shared" si="16"/>
        <v>Hêtre - Nord-Est (INRA, R. Schober, 1972) - classe 9 (acct moyen à 100 ans : 9 m3/ha/an)_11</v>
      </c>
      <c r="E1062" s="3">
        <v>17.599999999999998</v>
      </c>
      <c r="F1062" s="3">
        <v>0</v>
      </c>
      <c r="G1062" s="3">
        <v>17.599999999999998</v>
      </c>
    </row>
    <row r="1063" spans="1:7" x14ac:dyDescent="0.2">
      <c r="A1063" s="3" t="s">
        <v>4</v>
      </c>
      <c r="B1063" t="s">
        <v>979</v>
      </c>
      <c r="C1063" s="3">
        <v>12</v>
      </c>
      <c r="D1063" t="str">
        <f t="shared" si="16"/>
        <v>Hêtre - Nord-Est (INRA, R. Schober, 1972) - classe 9 (acct moyen à 100 ans : 9 m3/ha/an)_12</v>
      </c>
      <c r="E1063" s="3">
        <v>19.2</v>
      </c>
      <c r="F1063" s="3">
        <v>0</v>
      </c>
      <c r="G1063" s="3">
        <v>19.2</v>
      </c>
    </row>
    <row r="1064" spans="1:7" x14ac:dyDescent="0.2">
      <c r="A1064" s="3" t="s">
        <v>4</v>
      </c>
      <c r="B1064" t="s">
        <v>979</v>
      </c>
      <c r="C1064" s="3">
        <v>13</v>
      </c>
      <c r="D1064" t="str">
        <f t="shared" si="16"/>
        <v>Hêtre - Nord-Est (INRA, R. Schober, 1972) - classe 9 (acct moyen à 100 ans : 9 m3/ha/an)_13</v>
      </c>
      <c r="E1064" s="3">
        <v>20.8</v>
      </c>
      <c r="F1064" s="3">
        <v>0</v>
      </c>
      <c r="G1064" s="3">
        <v>20.8</v>
      </c>
    </row>
    <row r="1065" spans="1:7" x14ac:dyDescent="0.2">
      <c r="A1065" s="3" t="s">
        <v>4</v>
      </c>
      <c r="B1065" t="s">
        <v>979</v>
      </c>
      <c r="C1065" s="3">
        <v>14</v>
      </c>
      <c r="D1065" t="str">
        <f t="shared" si="16"/>
        <v>Hêtre - Nord-Est (INRA, R. Schober, 1972) - classe 9 (acct moyen à 100 ans : 9 m3/ha/an)_14</v>
      </c>
      <c r="E1065" s="3">
        <v>22.400000000000002</v>
      </c>
      <c r="F1065" s="3">
        <v>0</v>
      </c>
      <c r="G1065" s="3">
        <v>22.400000000000002</v>
      </c>
    </row>
    <row r="1066" spans="1:7" x14ac:dyDescent="0.2">
      <c r="A1066" s="3" t="s">
        <v>4</v>
      </c>
      <c r="B1066" t="s">
        <v>979</v>
      </c>
      <c r="C1066" s="3">
        <v>15</v>
      </c>
      <c r="D1066" t="str">
        <f t="shared" si="16"/>
        <v>Hêtre - Nord-Est (INRA, R. Schober, 1972) - classe 9 (acct moyen à 100 ans : 9 m3/ha/an)_15</v>
      </c>
      <c r="E1066" s="3">
        <v>24.000000000000004</v>
      </c>
      <c r="F1066" s="3">
        <v>0</v>
      </c>
      <c r="G1066" s="3">
        <v>24.000000000000004</v>
      </c>
    </row>
    <row r="1067" spans="1:7" x14ac:dyDescent="0.2">
      <c r="A1067" s="3" t="s">
        <v>4</v>
      </c>
      <c r="B1067" t="s">
        <v>979</v>
      </c>
      <c r="C1067" s="3">
        <v>16</v>
      </c>
      <c r="D1067" t="str">
        <f t="shared" si="16"/>
        <v>Hêtre - Nord-Est (INRA, R. Schober, 1972) - classe 9 (acct moyen à 100 ans : 9 m3/ha/an)_16</v>
      </c>
      <c r="E1067" s="3">
        <v>25.600000000000005</v>
      </c>
      <c r="F1067" s="3">
        <v>0</v>
      </c>
      <c r="G1067" s="3">
        <v>25.600000000000005</v>
      </c>
    </row>
    <row r="1068" spans="1:7" x14ac:dyDescent="0.2">
      <c r="A1068" s="3" t="s">
        <v>4</v>
      </c>
      <c r="B1068" t="s">
        <v>979</v>
      </c>
      <c r="C1068" s="3">
        <v>17</v>
      </c>
      <c r="D1068" t="str">
        <f t="shared" si="16"/>
        <v>Hêtre - Nord-Est (INRA, R. Schober, 1972) - classe 9 (acct moyen à 100 ans : 9 m3/ha/an)_17</v>
      </c>
      <c r="E1068" s="3">
        <v>27.200000000000006</v>
      </c>
      <c r="F1068" s="3">
        <v>0</v>
      </c>
      <c r="G1068" s="3">
        <v>27.200000000000006</v>
      </c>
    </row>
    <row r="1069" spans="1:7" x14ac:dyDescent="0.2">
      <c r="A1069" s="3" t="s">
        <v>4</v>
      </c>
      <c r="B1069" t="s">
        <v>979</v>
      </c>
      <c r="C1069" s="3">
        <v>18</v>
      </c>
      <c r="D1069" t="str">
        <f t="shared" si="16"/>
        <v>Hêtre - Nord-Est (INRA, R. Schober, 1972) - classe 9 (acct moyen à 100 ans : 9 m3/ha/an)_18</v>
      </c>
      <c r="E1069" s="3">
        <v>28.800000000000008</v>
      </c>
      <c r="F1069" s="3">
        <v>0</v>
      </c>
      <c r="G1069" s="3">
        <v>28.800000000000008</v>
      </c>
    </row>
    <row r="1070" spans="1:7" x14ac:dyDescent="0.2">
      <c r="A1070" s="3" t="s">
        <v>4</v>
      </c>
      <c r="B1070" t="s">
        <v>979</v>
      </c>
      <c r="C1070" s="3">
        <v>19</v>
      </c>
      <c r="D1070" t="str">
        <f t="shared" si="16"/>
        <v>Hêtre - Nord-Est (INRA, R. Schober, 1972) - classe 9 (acct moyen à 100 ans : 9 m3/ha/an)_19</v>
      </c>
      <c r="E1070" s="3">
        <v>30.400000000000009</v>
      </c>
      <c r="F1070" s="3">
        <v>0</v>
      </c>
      <c r="G1070" s="3">
        <v>30.400000000000009</v>
      </c>
    </row>
    <row r="1071" spans="1:7" x14ac:dyDescent="0.2">
      <c r="A1071" s="3" t="s">
        <v>4</v>
      </c>
      <c r="B1071" t="s">
        <v>979</v>
      </c>
      <c r="C1071" s="3">
        <v>20</v>
      </c>
      <c r="D1071" t="str">
        <f t="shared" si="16"/>
        <v>Hêtre - Nord-Est (INRA, R. Schober, 1972) - classe 9 (acct moyen à 100 ans : 9 m3/ha/an)_20</v>
      </c>
      <c r="E1071" s="3">
        <v>32.000000000000007</v>
      </c>
      <c r="F1071" s="3">
        <v>0</v>
      </c>
      <c r="G1071" s="3">
        <v>32.000000000000007</v>
      </c>
    </row>
    <row r="1072" spans="1:7" x14ac:dyDescent="0.2">
      <c r="A1072" s="3" t="s">
        <v>4</v>
      </c>
      <c r="B1072" t="s">
        <v>979</v>
      </c>
      <c r="C1072" s="3">
        <v>21</v>
      </c>
      <c r="D1072" t="str">
        <f t="shared" si="16"/>
        <v>Hêtre - Nord-Est (INRA, R. Schober, 1972) - classe 9 (acct moyen à 100 ans : 9 m3/ha/an)_21</v>
      </c>
      <c r="E1072" s="3">
        <v>33.600000000000009</v>
      </c>
      <c r="F1072" s="3">
        <v>0</v>
      </c>
      <c r="G1072" s="3">
        <v>33.600000000000009</v>
      </c>
    </row>
    <row r="1073" spans="1:7" x14ac:dyDescent="0.2">
      <c r="A1073" s="3" t="s">
        <v>4</v>
      </c>
      <c r="B1073" t="s">
        <v>979</v>
      </c>
      <c r="C1073" s="3">
        <v>22</v>
      </c>
      <c r="D1073" t="str">
        <f t="shared" si="16"/>
        <v>Hêtre - Nord-Est (INRA, R. Schober, 1972) - classe 9 (acct moyen à 100 ans : 9 m3/ha/an)_22</v>
      </c>
      <c r="E1073" s="3">
        <v>35.20000000000001</v>
      </c>
      <c r="F1073" s="3">
        <v>0</v>
      </c>
      <c r="G1073" s="3">
        <v>35.20000000000001</v>
      </c>
    </row>
    <row r="1074" spans="1:7" x14ac:dyDescent="0.2">
      <c r="A1074" s="3" t="s">
        <v>4</v>
      </c>
      <c r="B1074" t="s">
        <v>979</v>
      </c>
      <c r="C1074" s="3">
        <v>23</v>
      </c>
      <c r="D1074" t="str">
        <f t="shared" si="16"/>
        <v>Hêtre - Nord-Est (INRA, R. Schober, 1972) - classe 9 (acct moyen à 100 ans : 9 m3/ha/an)_23</v>
      </c>
      <c r="E1074" s="3">
        <v>36.800000000000011</v>
      </c>
      <c r="F1074" s="3">
        <v>0</v>
      </c>
      <c r="G1074" s="3">
        <v>36.800000000000011</v>
      </c>
    </row>
    <row r="1075" spans="1:7" x14ac:dyDescent="0.2">
      <c r="A1075" s="3" t="s">
        <v>4</v>
      </c>
      <c r="B1075" t="s">
        <v>979</v>
      </c>
      <c r="C1075" s="3">
        <v>24</v>
      </c>
      <c r="D1075" t="str">
        <f t="shared" si="16"/>
        <v>Hêtre - Nord-Est (INRA, R. Schober, 1972) - classe 9 (acct moyen à 100 ans : 9 m3/ha/an)_24</v>
      </c>
      <c r="E1075" s="3">
        <v>38.400000000000013</v>
      </c>
      <c r="F1075" s="3">
        <v>0</v>
      </c>
      <c r="G1075" s="3">
        <v>38.400000000000013</v>
      </c>
    </row>
    <row r="1076" spans="1:7" x14ac:dyDescent="0.2">
      <c r="A1076" s="3" t="s">
        <v>4</v>
      </c>
      <c r="B1076" t="s">
        <v>979</v>
      </c>
      <c r="C1076" s="3">
        <v>25</v>
      </c>
      <c r="D1076" t="str">
        <f t="shared" si="16"/>
        <v>Hêtre - Nord-Est (INRA, R. Schober, 1972) - classe 9 (acct moyen à 100 ans : 9 m3/ha/an)_25</v>
      </c>
      <c r="E1076" s="3">
        <v>40.000000000000014</v>
      </c>
      <c r="F1076" s="3">
        <v>0</v>
      </c>
      <c r="G1076" s="3">
        <v>40.000000000000014</v>
      </c>
    </row>
    <row r="1077" spans="1:7" x14ac:dyDescent="0.2">
      <c r="A1077" s="3" t="s">
        <v>4</v>
      </c>
      <c r="B1077" t="s">
        <v>979</v>
      </c>
      <c r="C1077" s="3">
        <v>26</v>
      </c>
      <c r="D1077" t="str">
        <f t="shared" si="16"/>
        <v>Hêtre - Nord-Est (INRA, R. Schober, 1972) - classe 9 (acct moyen à 100 ans : 9 m3/ha/an)_26</v>
      </c>
      <c r="E1077" s="3">
        <v>41.600000000000016</v>
      </c>
      <c r="F1077" s="3">
        <v>0</v>
      </c>
      <c r="G1077" s="3">
        <v>41.600000000000016</v>
      </c>
    </row>
    <row r="1078" spans="1:7" x14ac:dyDescent="0.2">
      <c r="A1078" s="3" t="s">
        <v>4</v>
      </c>
      <c r="B1078" t="s">
        <v>979</v>
      </c>
      <c r="C1078" s="3">
        <v>27</v>
      </c>
      <c r="D1078" t="str">
        <f t="shared" si="16"/>
        <v>Hêtre - Nord-Est (INRA, R. Schober, 1972) - classe 9 (acct moyen à 100 ans : 9 m3/ha/an)_27</v>
      </c>
      <c r="E1078" s="3">
        <v>43.200000000000017</v>
      </c>
      <c r="F1078" s="3">
        <v>0</v>
      </c>
      <c r="G1078" s="3">
        <v>43.200000000000017</v>
      </c>
    </row>
    <row r="1079" spans="1:7" x14ac:dyDescent="0.2">
      <c r="A1079" s="3" t="s">
        <v>4</v>
      </c>
      <c r="B1079" t="s">
        <v>979</v>
      </c>
      <c r="C1079" s="3">
        <v>28</v>
      </c>
      <c r="D1079" t="str">
        <f t="shared" si="16"/>
        <v>Hêtre - Nord-Est (INRA, R. Schober, 1972) - classe 9 (acct moyen à 100 ans : 9 m3/ha/an)_28</v>
      </c>
      <c r="E1079" s="3">
        <v>44.800000000000018</v>
      </c>
      <c r="F1079" s="3">
        <v>0</v>
      </c>
      <c r="G1079" s="3">
        <v>44.800000000000018</v>
      </c>
    </row>
    <row r="1080" spans="1:7" x14ac:dyDescent="0.2">
      <c r="A1080" s="3" t="s">
        <v>4</v>
      </c>
      <c r="B1080" t="s">
        <v>979</v>
      </c>
      <c r="C1080" s="3">
        <v>29</v>
      </c>
      <c r="D1080" t="str">
        <f t="shared" si="16"/>
        <v>Hêtre - Nord-Est (INRA, R. Schober, 1972) - classe 9 (acct moyen à 100 ans : 9 m3/ha/an)_29</v>
      </c>
      <c r="E1080" s="3">
        <v>46.40000000000002</v>
      </c>
      <c r="F1080" s="3">
        <v>0</v>
      </c>
      <c r="G1080" s="3">
        <v>46.40000000000002</v>
      </c>
    </row>
    <row r="1081" spans="1:7" x14ac:dyDescent="0.2">
      <c r="A1081" s="3" t="s">
        <v>4</v>
      </c>
      <c r="B1081" t="s">
        <v>979</v>
      </c>
      <c r="C1081" s="3">
        <v>30</v>
      </c>
      <c r="D1081" t="str">
        <f t="shared" si="16"/>
        <v>Hêtre - Nord-Est (INRA, R. Schober, 1972) - classe 9 (acct moyen à 100 ans : 9 m3/ha/an)_30</v>
      </c>
      <c r="E1081" s="3">
        <v>48</v>
      </c>
      <c r="F1081" s="3">
        <v>0</v>
      </c>
      <c r="G1081" s="3">
        <v>48</v>
      </c>
    </row>
    <row r="1082" spans="1:7" x14ac:dyDescent="0.2">
      <c r="A1082" s="3" t="s">
        <v>4</v>
      </c>
      <c r="B1082" t="s">
        <v>980</v>
      </c>
      <c r="C1082" s="3">
        <v>1</v>
      </c>
      <c r="D1082" t="str">
        <f t="shared" si="16"/>
        <v>Hêtre - Nord-Ouest (INRA, Hamilton &amp; Christie, 1971) - classe 10 (acct moyen maximum : 10 m3/ha/an)_1</v>
      </c>
      <c r="E1082" s="3">
        <v>2.8</v>
      </c>
      <c r="F1082" s="3">
        <v>0</v>
      </c>
      <c r="G1082" s="3">
        <v>2.8</v>
      </c>
    </row>
    <row r="1083" spans="1:7" x14ac:dyDescent="0.2">
      <c r="A1083" s="3" t="s">
        <v>4</v>
      </c>
      <c r="B1083" t="s">
        <v>980</v>
      </c>
      <c r="C1083" s="3">
        <v>2</v>
      </c>
      <c r="D1083" t="str">
        <f t="shared" si="16"/>
        <v>Hêtre - Nord-Ouest (INRA, Hamilton &amp; Christie, 1971) - classe 10 (acct moyen maximum : 10 m3/ha/an)_2</v>
      </c>
      <c r="E1083" s="3">
        <v>5.6</v>
      </c>
      <c r="F1083" s="3">
        <v>0</v>
      </c>
      <c r="G1083" s="3">
        <v>5.6</v>
      </c>
    </row>
    <row r="1084" spans="1:7" x14ac:dyDescent="0.2">
      <c r="A1084" s="3" t="s">
        <v>4</v>
      </c>
      <c r="B1084" t="s">
        <v>980</v>
      </c>
      <c r="C1084" s="3">
        <v>3</v>
      </c>
      <c r="D1084" t="str">
        <f t="shared" si="16"/>
        <v>Hêtre - Nord-Ouest (INRA, Hamilton &amp; Christie, 1971) - classe 10 (acct moyen maximum : 10 m3/ha/an)_3</v>
      </c>
      <c r="E1084" s="3">
        <v>8.3999999999999986</v>
      </c>
      <c r="F1084" s="3">
        <v>0</v>
      </c>
      <c r="G1084" s="3">
        <v>8.3999999999999986</v>
      </c>
    </row>
    <row r="1085" spans="1:7" x14ac:dyDescent="0.2">
      <c r="A1085" s="3" t="s">
        <v>4</v>
      </c>
      <c r="B1085" t="s">
        <v>980</v>
      </c>
      <c r="C1085" s="3">
        <v>4</v>
      </c>
      <c r="D1085" t="str">
        <f t="shared" si="16"/>
        <v>Hêtre - Nord-Ouest (INRA, Hamilton &amp; Christie, 1971) - classe 10 (acct moyen maximum : 10 m3/ha/an)_4</v>
      </c>
      <c r="E1085" s="3">
        <v>11.2</v>
      </c>
      <c r="F1085" s="3">
        <v>0</v>
      </c>
      <c r="G1085" s="3">
        <v>11.2</v>
      </c>
    </row>
    <row r="1086" spans="1:7" x14ac:dyDescent="0.2">
      <c r="A1086" s="3" t="s">
        <v>4</v>
      </c>
      <c r="B1086" t="s">
        <v>980</v>
      </c>
      <c r="C1086" s="3">
        <v>5</v>
      </c>
      <c r="D1086" t="str">
        <f t="shared" si="16"/>
        <v>Hêtre - Nord-Ouest (INRA, Hamilton &amp; Christie, 1971) - classe 10 (acct moyen maximum : 10 m3/ha/an)_5</v>
      </c>
      <c r="E1086" s="3">
        <v>14</v>
      </c>
      <c r="F1086" s="3">
        <v>0</v>
      </c>
      <c r="G1086" s="3">
        <v>14</v>
      </c>
    </row>
    <row r="1087" spans="1:7" x14ac:dyDescent="0.2">
      <c r="A1087" s="3" t="s">
        <v>4</v>
      </c>
      <c r="B1087" t="s">
        <v>980</v>
      </c>
      <c r="C1087" s="3">
        <v>6</v>
      </c>
      <c r="D1087" t="str">
        <f t="shared" si="16"/>
        <v>Hêtre - Nord-Ouest (INRA, Hamilton &amp; Christie, 1971) - classe 10 (acct moyen maximum : 10 m3/ha/an)_6</v>
      </c>
      <c r="E1087" s="3">
        <v>16.8</v>
      </c>
      <c r="F1087" s="3">
        <v>0</v>
      </c>
      <c r="G1087" s="3">
        <v>16.8</v>
      </c>
    </row>
    <row r="1088" spans="1:7" x14ac:dyDescent="0.2">
      <c r="A1088" s="3" t="s">
        <v>4</v>
      </c>
      <c r="B1088" t="s">
        <v>980</v>
      </c>
      <c r="C1088" s="3">
        <v>7</v>
      </c>
      <c r="D1088" t="str">
        <f t="shared" si="16"/>
        <v>Hêtre - Nord-Ouest (INRA, Hamilton &amp; Christie, 1971) - classe 10 (acct moyen maximum : 10 m3/ha/an)_7</v>
      </c>
      <c r="E1088" s="3">
        <v>19.600000000000001</v>
      </c>
      <c r="F1088" s="3">
        <v>0</v>
      </c>
      <c r="G1088" s="3">
        <v>19.600000000000001</v>
      </c>
    </row>
    <row r="1089" spans="1:7" x14ac:dyDescent="0.2">
      <c r="A1089" s="3" t="s">
        <v>4</v>
      </c>
      <c r="B1089" t="s">
        <v>980</v>
      </c>
      <c r="C1089" s="3">
        <v>8</v>
      </c>
      <c r="D1089" t="str">
        <f t="shared" si="16"/>
        <v>Hêtre - Nord-Ouest (INRA, Hamilton &amp; Christie, 1971) - classe 10 (acct moyen maximum : 10 m3/ha/an)_8</v>
      </c>
      <c r="E1089" s="3">
        <v>22.400000000000002</v>
      </c>
      <c r="F1089" s="3">
        <v>0</v>
      </c>
      <c r="G1089" s="3">
        <v>22.400000000000002</v>
      </c>
    </row>
    <row r="1090" spans="1:7" x14ac:dyDescent="0.2">
      <c r="A1090" s="3" t="s">
        <v>4</v>
      </c>
      <c r="B1090" t="s">
        <v>980</v>
      </c>
      <c r="C1090" s="3">
        <v>9</v>
      </c>
      <c r="D1090" t="str">
        <f t="shared" si="16"/>
        <v>Hêtre - Nord-Ouest (INRA, Hamilton &amp; Christie, 1971) - classe 10 (acct moyen maximum : 10 m3/ha/an)_9</v>
      </c>
      <c r="E1090" s="3">
        <v>25.200000000000003</v>
      </c>
      <c r="F1090" s="3">
        <v>0</v>
      </c>
      <c r="G1090" s="3">
        <v>25.200000000000003</v>
      </c>
    </row>
    <row r="1091" spans="1:7" x14ac:dyDescent="0.2">
      <c r="A1091" s="3" t="s">
        <v>4</v>
      </c>
      <c r="B1091" t="s">
        <v>980</v>
      </c>
      <c r="C1091" s="3">
        <v>10</v>
      </c>
      <c r="D1091" t="str">
        <f t="shared" ref="D1091:D1154" si="17">CONCATENATE(B1091,"_",C1091)</f>
        <v>Hêtre - Nord-Ouest (INRA, Hamilton &amp; Christie, 1971) - classe 10 (acct moyen maximum : 10 m3/ha/an)_10</v>
      </c>
      <c r="E1091" s="3">
        <v>28.000000000000004</v>
      </c>
      <c r="F1091" s="3">
        <v>0</v>
      </c>
      <c r="G1091" s="3">
        <v>28.000000000000004</v>
      </c>
    </row>
    <row r="1092" spans="1:7" x14ac:dyDescent="0.2">
      <c r="A1092" s="3" t="s">
        <v>4</v>
      </c>
      <c r="B1092" t="s">
        <v>980</v>
      </c>
      <c r="C1092" s="3">
        <v>11</v>
      </c>
      <c r="D1092" t="str">
        <f t="shared" si="17"/>
        <v>Hêtre - Nord-Ouest (INRA, Hamilton &amp; Christie, 1971) - classe 10 (acct moyen maximum : 10 m3/ha/an)_11</v>
      </c>
      <c r="E1092" s="3">
        <v>30.800000000000004</v>
      </c>
      <c r="F1092" s="3">
        <v>0</v>
      </c>
      <c r="G1092" s="3">
        <v>30.800000000000004</v>
      </c>
    </row>
    <row r="1093" spans="1:7" x14ac:dyDescent="0.2">
      <c r="A1093" s="3" t="s">
        <v>4</v>
      </c>
      <c r="B1093" t="s">
        <v>980</v>
      </c>
      <c r="C1093" s="3">
        <v>12</v>
      </c>
      <c r="D1093" t="str">
        <f t="shared" si="17"/>
        <v>Hêtre - Nord-Ouest (INRA, Hamilton &amp; Christie, 1971) - classe 10 (acct moyen maximum : 10 m3/ha/an)_12</v>
      </c>
      <c r="E1093" s="3">
        <v>33.6</v>
      </c>
      <c r="F1093" s="3">
        <v>0</v>
      </c>
      <c r="G1093" s="3">
        <v>33.6</v>
      </c>
    </row>
    <row r="1094" spans="1:7" x14ac:dyDescent="0.2">
      <c r="A1094" s="3" t="s">
        <v>4</v>
      </c>
      <c r="B1094" t="s">
        <v>980</v>
      </c>
      <c r="C1094" s="3">
        <v>13</v>
      </c>
      <c r="D1094" t="str">
        <f t="shared" si="17"/>
        <v>Hêtre - Nord-Ouest (INRA, Hamilton &amp; Christie, 1971) - classe 10 (acct moyen maximum : 10 m3/ha/an)_13</v>
      </c>
      <c r="E1094" s="3">
        <v>36.4</v>
      </c>
      <c r="F1094" s="3">
        <v>0</v>
      </c>
      <c r="G1094" s="3">
        <v>36.4</v>
      </c>
    </row>
    <row r="1095" spans="1:7" x14ac:dyDescent="0.2">
      <c r="A1095" s="3" t="s">
        <v>4</v>
      </c>
      <c r="B1095" t="s">
        <v>980</v>
      </c>
      <c r="C1095" s="3">
        <v>14</v>
      </c>
      <c r="D1095" t="str">
        <f t="shared" si="17"/>
        <v>Hêtre - Nord-Ouest (INRA, Hamilton &amp; Christie, 1971) - classe 10 (acct moyen maximum : 10 m3/ha/an)_14</v>
      </c>
      <c r="E1095" s="3">
        <v>39.199999999999996</v>
      </c>
      <c r="F1095" s="3">
        <v>0</v>
      </c>
      <c r="G1095" s="3">
        <v>39.199999999999996</v>
      </c>
    </row>
    <row r="1096" spans="1:7" x14ac:dyDescent="0.2">
      <c r="A1096" s="3" t="s">
        <v>4</v>
      </c>
      <c r="B1096" t="s">
        <v>980</v>
      </c>
      <c r="C1096" s="3">
        <v>15</v>
      </c>
      <c r="D1096" t="str">
        <f t="shared" si="17"/>
        <v>Hêtre - Nord-Ouest (INRA, Hamilton &amp; Christie, 1971) - classe 10 (acct moyen maximum : 10 m3/ha/an)_15</v>
      </c>
      <c r="E1096" s="3">
        <v>41.999999999999993</v>
      </c>
      <c r="F1096" s="3">
        <v>0</v>
      </c>
      <c r="G1096" s="3">
        <v>41.999999999999993</v>
      </c>
    </row>
    <row r="1097" spans="1:7" x14ac:dyDescent="0.2">
      <c r="A1097" s="3" t="s">
        <v>4</v>
      </c>
      <c r="B1097" t="s">
        <v>980</v>
      </c>
      <c r="C1097" s="3">
        <v>16</v>
      </c>
      <c r="D1097" t="str">
        <f t="shared" si="17"/>
        <v>Hêtre - Nord-Ouest (INRA, Hamilton &amp; Christie, 1971) - classe 10 (acct moyen maximum : 10 m3/ha/an)_16</v>
      </c>
      <c r="E1097" s="3">
        <v>44.79999999999999</v>
      </c>
      <c r="F1097" s="3">
        <v>0</v>
      </c>
      <c r="G1097" s="3">
        <v>44.79999999999999</v>
      </c>
    </row>
    <row r="1098" spans="1:7" x14ac:dyDescent="0.2">
      <c r="A1098" s="3" t="s">
        <v>4</v>
      </c>
      <c r="B1098" t="s">
        <v>980</v>
      </c>
      <c r="C1098" s="3">
        <v>17</v>
      </c>
      <c r="D1098" t="str">
        <f t="shared" si="17"/>
        <v>Hêtre - Nord-Ouest (INRA, Hamilton &amp; Christie, 1971) - classe 10 (acct moyen maximum : 10 m3/ha/an)_17</v>
      </c>
      <c r="E1098" s="3">
        <v>47.599999999999987</v>
      </c>
      <c r="F1098" s="3">
        <v>0</v>
      </c>
      <c r="G1098" s="3">
        <v>47.599999999999987</v>
      </c>
    </row>
    <row r="1099" spans="1:7" x14ac:dyDescent="0.2">
      <c r="A1099" s="3" t="s">
        <v>4</v>
      </c>
      <c r="B1099" t="s">
        <v>980</v>
      </c>
      <c r="C1099" s="3">
        <v>18</v>
      </c>
      <c r="D1099" t="str">
        <f t="shared" si="17"/>
        <v>Hêtre - Nord-Ouest (INRA, Hamilton &amp; Christie, 1971) - classe 10 (acct moyen maximum : 10 m3/ha/an)_18</v>
      </c>
      <c r="E1099" s="3">
        <v>50.399999999999984</v>
      </c>
      <c r="F1099" s="3">
        <v>0</v>
      </c>
      <c r="G1099" s="3">
        <v>50.399999999999984</v>
      </c>
    </row>
    <row r="1100" spans="1:7" x14ac:dyDescent="0.2">
      <c r="A1100" s="3" t="s">
        <v>4</v>
      </c>
      <c r="B1100" t="s">
        <v>980</v>
      </c>
      <c r="C1100" s="3">
        <v>19</v>
      </c>
      <c r="D1100" t="str">
        <f t="shared" si="17"/>
        <v>Hêtre - Nord-Ouest (INRA, Hamilton &amp; Christie, 1971) - classe 10 (acct moyen maximum : 10 m3/ha/an)_19</v>
      </c>
      <c r="E1100" s="3">
        <v>53.199999999999982</v>
      </c>
      <c r="F1100" s="3">
        <v>0</v>
      </c>
      <c r="G1100" s="3">
        <v>53.199999999999982</v>
      </c>
    </row>
    <row r="1101" spans="1:7" x14ac:dyDescent="0.2">
      <c r="A1101" s="3" t="s">
        <v>4</v>
      </c>
      <c r="B1101" t="s">
        <v>980</v>
      </c>
      <c r="C1101" s="3">
        <v>20</v>
      </c>
      <c r="D1101" t="str">
        <f t="shared" si="17"/>
        <v>Hêtre - Nord-Ouest (INRA, Hamilton &amp; Christie, 1971) - classe 10 (acct moyen maximum : 10 m3/ha/an)_20</v>
      </c>
      <c r="E1101" s="3">
        <v>56</v>
      </c>
      <c r="F1101" s="3">
        <v>0</v>
      </c>
      <c r="G1101" s="3">
        <v>56</v>
      </c>
    </row>
    <row r="1102" spans="1:7" x14ac:dyDescent="0.2">
      <c r="A1102" s="3" t="s">
        <v>4</v>
      </c>
      <c r="B1102" t="s">
        <v>980</v>
      </c>
      <c r="C1102" s="3">
        <v>21</v>
      </c>
      <c r="D1102" t="str">
        <f t="shared" si="17"/>
        <v>Hêtre - Nord-Ouest (INRA, Hamilton &amp; Christie, 1971) - classe 10 (acct moyen maximum : 10 m3/ha/an)_21</v>
      </c>
      <c r="E1102" s="3">
        <v>67</v>
      </c>
      <c r="F1102" s="3">
        <v>0</v>
      </c>
      <c r="G1102" s="3">
        <v>67</v>
      </c>
    </row>
    <row r="1103" spans="1:7" x14ac:dyDescent="0.2">
      <c r="A1103" s="3" t="s">
        <v>4</v>
      </c>
      <c r="B1103" t="s">
        <v>980</v>
      </c>
      <c r="C1103" s="3">
        <v>22</v>
      </c>
      <c r="D1103" t="str">
        <f t="shared" si="17"/>
        <v>Hêtre - Nord-Ouest (INRA, Hamilton &amp; Christie, 1971) - classe 10 (acct moyen maximum : 10 m3/ha/an)_22</v>
      </c>
      <c r="E1103" s="3">
        <v>78</v>
      </c>
      <c r="F1103" s="3">
        <v>0</v>
      </c>
      <c r="G1103" s="3">
        <v>78</v>
      </c>
    </row>
    <row r="1104" spans="1:7" x14ac:dyDescent="0.2">
      <c r="A1104" s="3" t="s">
        <v>4</v>
      </c>
      <c r="B1104" t="s">
        <v>980</v>
      </c>
      <c r="C1104" s="3">
        <v>23</v>
      </c>
      <c r="D1104" t="str">
        <f t="shared" si="17"/>
        <v>Hêtre - Nord-Ouest (INRA, Hamilton &amp; Christie, 1971) - classe 10 (acct moyen maximum : 10 m3/ha/an)_23</v>
      </c>
      <c r="E1104" s="3">
        <v>89</v>
      </c>
      <c r="F1104" s="3">
        <v>0</v>
      </c>
      <c r="G1104" s="3">
        <v>89</v>
      </c>
    </row>
    <row r="1105" spans="1:7" x14ac:dyDescent="0.2">
      <c r="A1105" s="3" t="s">
        <v>4</v>
      </c>
      <c r="B1105" t="s">
        <v>980</v>
      </c>
      <c r="C1105" s="3">
        <v>24</v>
      </c>
      <c r="D1105" t="str">
        <f t="shared" si="17"/>
        <v>Hêtre - Nord-Ouest (INRA, Hamilton &amp; Christie, 1971) - classe 10 (acct moyen maximum : 10 m3/ha/an)_24</v>
      </c>
      <c r="E1105" s="3">
        <v>100</v>
      </c>
      <c r="F1105" s="3">
        <v>0</v>
      </c>
      <c r="G1105" s="3">
        <v>100</v>
      </c>
    </row>
    <row r="1106" spans="1:7" x14ac:dyDescent="0.2">
      <c r="A1106" s="3" t="s">
        <v>4</v>
      </c>
      <c r="B1106" t="s">
        <v>980</v>
      </c>
      <c r="C1106" s="3">
        <v>25</v>
      </c>
      <c r="D1106" t="str">
        <f t="shared" si="17"/>
        <v>Hêtre - Nord-Ouest (INRA, Hamilton &amp; Christie, 1971) - classe 10 (acct moyen maximum : 10 m3/ha/an)_25</v>
      </c>
      <c r="E1106" s="3">
        <v>111</v>
      </c>
      <c r="F1106" s="3">
        <v>26</v>
      </c>
      <c r="G1106" s="3">
        <v>85</v>
      </c>
    </row>
    <row r="1107" spans="1:7" x14ac:dyDescent="0.2">
      <c r="A1107" s="3" t="s">
        <v>4</v>
      </c>
      <c r="B1107" t="s">
        <v>980</v>
      </c>
      <c r="C1107" s="3">
        <v>26</v>
      </c>
      <c r="D1107" t="str">
        <f t="shared" si="17"/>
        <v>Hêtre - Nord-Ouest (INRA, Hamilton &amp; Christie, 1971) - classe 10 (acct moyen maximum : 10 m3/ha/an)_26</v>
      </c>
      <c r="E1107" s="3">
        <v>97.2</v>
      </c>
      <c r="F1107" s="3">
        <v>0</v>
      </c>
      <c r="G1107" s="3">
        <v>97.2</v>
      </c>
    </row>
    <row r="1108" spans="1:7" x14ac:dyDescent="0.2">
      <c r="A1108" s="3" t="s">
        <v>4</v>
      </c>
      <c r="B1108" t="s">
        <v>980</v>
      </c>
      <c r="C1108" s="3">
        <v>27</v>
      </c>
      <c r="D1108" t="str">
        <f t="shared" si="17"/>
        <v>Hêtre - Nord-Ouest (INRA, Hamilton &amp; Christie, 1971) - classe 10 (acct moyen maximum : 10 m3/ha/an)_27</v>
      </c>
      <c r="E1108" s="3">
        <v>109.4</v>
      </c>
      <c r="F1108" s="3">
        <v>0</v>
      </c>
      <c r="G1108" s="3">
        <v>109.4</v>
      </c>
    </row>
    <row r="1109" spans="1:7" x14ac:dyDescent="0.2">
      <c r="A1109" s="3" t="s">
        <v>4</v>
      </c>
      <c r="B1109" t="s">
        <v>980</v>
      </c>
      <c r="C1109" s="3">
        <v>28</v>
      </c>
      <c r="D1109" t="str">
        <f t="shared" si="17"/>
        <v>Hêtre - Nord-Ouest (INRA, Hamilton &amp; Christie, 1971) - classe 10 (acct moyen maximum : 10 m3/ha/an)_28</v>
      </c>
      <c r="E1109" s="3">
        <v>121.60000000000001</v>
      </c>
      <c r="F1109" s="3">
        <v>0</v>
      </c>
      <c r="G1109" s="3">
        <v>121.60000000000001</v>
      </c>
    </row>
    <row r="1110" spans="1:7" x14ac:dyDescent="0.2">
      <c r="A1110" s="3" t="s">
        <v>4</v>
      </c>
      <c r="B1110" t="s">
        <v>980</v>
      </c>
      <c r="C1110" s="3">
        <v>29</v>
      </c>
      <c r="D1110" t="str">
        <f t="shared" si="17"/>
        <v>Hêtre - Nord-Ouest (INRA, Hamilton &amp; Christie, 1971) - classe 10 (acct moyen maximum : 10 m3/ha/an)_29</v>
      </c>
      <c r="E1110" s="3">
        <v>133.80000000000001</v>
      </c>
      <c r="F1110" s="3">
        <v>0</v>
      </c>
      <c r="G1110" s="3">
        <v>133.80000000000001</v>
      </c>
    </row>
    <row r="1111" spans="1:7" x14ac:dyDescent="0.2">
      <c r="A1111" s="3" t="s">
        <v>4</v>
      </c>
      <c r="B1111" t="s">
        <v>980</v>
      </c>
      <c r="C1111" s="3">
        <v>30</v>
      </c>
      <c r="D1111" t="str">
        <f t="shared" si="17"/>
        <v>Hêtre - Nord-Ouest (INRA, Hamilton &amp; Christie, 1971) - classe 10 (acct moyen maximum : 10 m3/ha/an)_30</v>
      </c>
      <c r="E1111" s="3">
        <v>146</v>
      </c>
      <c r="F1111" s="3">
        <v>35</v>
      </c>
      <c r="G1111" s="3">
        <v>111</v>
      </c>
    </row>
    <row r="1112" spans="1:7" x14ac:dyDescent="0.2">
      <c r="A1112" s="3" t="s">
        <v>4</v>
      </c>
      <c r="B1112" t="s">
        <v>981</v>
      </c>
      <c r="C1112" s="3">
        <v>1</v>
      </c>
      <c r="D1112" t="str">
        <f t="shared" si="17"/>
        <v>Hêtre - Nord-Ouest (INRA, Hamilton &amp; Christie, 1971) - classe 8 (acct moyen maximum : 8 m3/ha/an)_1</v>
      </c>
      <c r="E1112" s="3">
        <v>1.6</v>
      </c>
      <c r="F1112" s="3">
        <v>0</v>
      </c>
      <c r="G1112" s="3">
        <v>1.6</v>
      </c>
    </row>
    <row r="1113" spans="1:7" x14ac:dyDescent="0.2">
      <c r="A1113" s="3" t="s">
        <v>4</v>
      </c>
      <c r="B1113" t="s">
        <v>981</v>
      </c>
      <c r="C1113" s="3">
        <v>2</v>
      </c>
      <c r="D1113" t="str">
        <f t="shared" si="17"/>
        <v>Hêtre - Nord-Ouest (INRA, Hamilton &amp; Christie, 1971) - classe 8 (acct moyen maximum : 8 m3/ha/an)_2</v>
      </c>
      <c r="E1113" s="3">
        <v>3.2</v>
      </c>
      <c r="F1113" s="3">
        <v>0</v>
      </c>
      <c r="G1113" s="3">
        <v>3.2</v>
      </c>
    </row>
    <row r="1114" spans="1:7" x14ac:dyDescent="0.2">
      <c r="A1114" s="3" t="s">
        <v>4</v>
      </c>
      <c r="B1114" t="s">
        <v>981</v>
      </c>
      <c r="C1114" s="3">
        <v>3</v>
      </c>
      <c r="D1114" t="str">
        <f t="shared" si="17"/>
        <v>Hêtre - Nord-Ouest (INRA, Hamilton &amp; Christie, 1971) - classe 8 (acct moyen maximum : 8 m3/ha/an)_3</v>
      </c>
      <c r="E1114" s="3">
        <v>4.8000000000000007</v>
      </c>
      <c r="F1114" s="3">
        <v>0</v>
      </c>
      <c r="G1114" s="3">
        <v>4.8000000000000007</v>
      </c>
    </row>
    <row r="1115" spans="1:7" x14ac:dyDescent="0.2">
      <c r="A1115" s="3" t="s">
        <v>4</v>
      </c>
      <c r="B1115" t="s">
        <v>981</v>
      </c>
      <c r="C1115" s="3">
        <v>4</v>
      </c>
      <c r="D1115" t="str">
        <f t="shared" si="17"/>
        <v>Hêtre - Nord-Ouest (INRA, Hamilton &amp; Christie, 1971) - classe 8 (acct moyen maximum : 8 m3/ha/an)_4</v>
      </c>
      <c r="E1115" s="3">
        <v>6.4</v>
      </c>
      <c r="F1115" s="3">
        <v>0</v>
      </c>
      <c r="G1115" s="3">
        <v>6.4</v>
      </c>
    </row>
    <row r="1116" spans="1:7" x14ac:dyDescent="0.2">
      <c r="A1116" s="3" t="s">
        <v>4</v>
      </c>
      <c r="B1116" t="s">
        <v>981</v>
      </c>
      <c r="C1116" s="3">
        <v>5</v>
      </c>
      <c r="D1116" t="str">
        <f t="shared" si="17"/>
        <v>Hêtre - Nord-Ouest (INRA, Hamilton &amp; Christie, 1971) - classe 8 (acct moyen maximum : 8 m3/ha/an)_5</v>
      </c>
      <c r="E1116" s="3">
        <v>8</v>
      </c>
      <c r="F1116" s="3">
        <v>0</v>
      </c>
      <c r="G1116" s="3">
        <v>8</v>
      </c>
    </row>
    <row r="1117" spans="1:7" x14ac:dyDescent="0.2">
      <c r="A1117" s="3" t="s">
        <v>4</v>
      </c>
      <c r="B1117" t="s">
        <v>981</v>
      </c>
      <c r="C1117" s="3">
        <v>6</v>
      </c>
      <c r="D1117" t="str">
        <f t="shared" si="17"/>
        <v>Hêtre - Nord-Ouest (INRA, Hamilton &amp; Christie, 1971) - classe 8 (acct moyen maximum : 8 m3/ha/an)_6</v>
      </c>
      <c r="E1117" s="3">
        <v>9.6</v>
      </c>
      <c r="F1117" s="3">
        <v>0</v>
      </c>
      <c r="G1117" s="3">
        <v>9.6</v>
      </c>
    </row>
    <row r="1118" spans="1:7" x14ac:dyDescent="0.2">
      <c r="A1118" s="3" t="s">
        <v>4</v>
      </c>
      <c r="B1118" t="s">
        <v>981</v>
      </c>
      <c r="C1118" s="3">
        <v>7</v>
      </c>
      <c r="D1118" t="str">
        <f t="shared" si="17"/>
        <v>Hêtre - Nord-Ouest (INRA, Hamilton &amp; Christie, 1971) - classe 8 (acct moyen maximum : 8 m3/ha/an)_7</v>
      </c>
      <c r="E1118" s="3">
        <v>11.2</v>
      </c>
      <c r="F1118" s="3">
        <v>0</v>
      </c>
      <c r="G1118" s="3">
        <v>11.2</v>
      </c>
    </row>
    <row r="1119" spans="1:7" x14ac:dyDescent="0.2">
      <c r="A1119" s="3" t="s">
        <v>4</v>
      </c>
      <c r="B1119" t="s">
        <v>981</v>
      </c>
      <c r="C1119" s="3">
        <v>8</v>
      </c>
      <c r="D1119" t="str">
        <f t="shared" si="17"/>
        <v>Hêtre - Nord-Ouest (INRA, Hamilton &amp; Christie, 1971) - classe 8 (acct moyen maximum : 8 m3/ha/an)_8</v>
      </c>
      <c r="E1119" s="3">
        <v>12.799999999999999</v>
      </c>
      <c r="F1119" s="3">
        <v>0</v>
      </c>
      <c r="G1119" s="3">
        <v>12.799999999999999</v>
      </c>
    </row>
    <row r="1120" spans="1:7" x14ac:dyDescent="0.2">
      <c r="A1120" s="3" t="s">
        <v>4</v>
      </c>
      <c r="B1120" t="s">
        <v>981</v>
      </c>
      <c r="C1120" s="3">
        <v>9</v>
      </c>
      <c r="D1120" t="str">
        <f t="shared" si="17"/>
        <v>Hêtre - Nord-Ouest (INRA, Hamilton &amp; Christie, 1971) - classe 8 (acct moyen maximum : 8 m3/ha/an)_9</v>
      </c>
      <c r="E1120" s="3">
        <v>14.399999999999999</v>
      </c>
      <c r="F1120" s="3">
        <v>0</v>
      </c>
      <c r="G1120" s="3">
        <v>14.399999999999999</v>
      </c>
    </row>
    <row r="1121" spans="1:7" x14ac:dyDescent="0.2">
      <c r="A1121" s="3" t="s">
        <v>4</v>
      </c>
      <c r="B1121" t="s">
        <v>981</v>
      </c>
      <c r="C1121" s="3">
        <v>10</v>
      </c>
      <c r="D1121" t="str">
        <f t="shared" si="17"/>
        <v>Hêtre - Nord-Ouest (INRA, Hamilton &amp; Christie, 1971) - classe 8 (acct moyen maximum : 8 m3/ha/an)_10</v>
      </c>
      <c r="E1121" s="3">
        <v>15.999999999999998</v>
      </c>
      <c r="F1121" s="3">
        <v>0</v>
      </c>
      <c r="G1121" s="3">
        <v>15.999999999999998</v>
      </c>
    </row>
    <row r="1122" spans="1:7" x14ac:dyDescent="0.2">
      <c r="A1122" s="3" t="s">
        <v>4</v>
      </c>
      <c r="B1122" t="s">
        <v>981</v>
      </c>
      <c r="C1122" s="3">
        <v>11</v>
      </c>
      <c r="D1122" t="str">
        <f t="shared" si="17"/>
        <v>Hêtre - Nord-Ouest (INRA, Hamilton &amp; Christie, 1971) - classe 8 (acct moyen maximum : 8 m3/ha/an)_11</v>
      </c>
      <c r="E1122" s="3">
        <v>17.599999999999998</v>
      </c>
      <c r="F1122" s="3">
        <v>0</v>
      </c>
      <c r="G1122" s="3">
        <v>17.599999999999998</v>
      </c>
    </row>
    <row r="1123" spans="1:7" x14ac:dyDescent="0.2">
      <c r="A1123" s="3" t="s">
        <v>4</v>
      </c>
      <c r="B1123" t="s">
        <v>981</v>
      </c>
      <c r="C1123" s="3">
        <v>12</v>
      </c>
      <c r="D1123" t="str">
        <f t="shared" si="17"/>
        <v>Hêtre - Nord-Ouest (INRA, Hamilton &amp; Christie, 1971) - classe 8 (acct moyen maximum : 8 m3/ha/an)_12</v>
      </c>
      <c r="E1123" s="3">
        <v>19.2</v>
      </c>
      <c r="F1123" s="3">
        <v>0</v>
      </c>
      <c r="G1123" s="3">
        <v>19.2</v>
      </c>
    </row>
    <row r="1124" spans="1:7" x14ac:dyDescent="0.2">
      <c r="A1124" s="3" t="s">
        <v>4</v>
      </c>
      <c r="B1124" t="s">
        <v>981</v>
      </c>
      <c r="C1124" s="3">
        <v>13</v>
      </c>
      <c r="D1124" t="str">
        <f t="shared" si="17"/>
        <v>Hêtre - Nord-Ouest (INRA, Hamilton &amp; Christie, 1971) - classe 8 (acct moyen maximum : 8 m3/ha/an)_13</v>
      </c>
      <c r="E1124" s="3">
        <v>20.8</v>
      </c>
      <c r="F1124" s="3">
        <v>0</v>
      </c>
      <c r="G1124" s="3">
        <v>20.8</v>
      </c>
    </row>
    <row r="1125" spans="1:7" x14ac:dyDescent="0.2">
      <c r="A1125" s="3" t="s">
        <v>4</v>
      </c>
      <c r="B1125" t="s">
        <v>981</v>
      </c>
      <c r="C1125" s="3">
        <v>14</v>
      </c>
      <c r="D1125" t="str">
        <f t="shared" si="17"/>
        <v>Hêtre - Nord-Ouest (INRA, Hamilton &amp; Christie, 1971) - classe 8 (acct moyen maximum : 8 m3/ha/an)_14</v>
      </c>
      <c r="E1125" s="3">
        <v>22.400000000000002</v>
      </c>
      <c r="F1125" s="3">
        <v>0</v>
      </c>
      <c r="G1125" s="3">
        <v>22.400000000000002</v>
      </c>
    </row>
    <row r="1126" spans="1:7" x14ac:dyDescent="0.2">
      <c r="A1126" s="3" t="s">
        <v>4</v>
      </c>
      <c r="B1126" t="s">
        <v>981</v>
      </c>
      <c r="C1126" s="3">
        <v>15</v>
      </c>
      <c r="D1126" t="str">
        <f t="shared" si="17"/>
        <v>Hêtre - Nord-Ouest (INRA, Hamilton &amp; Christie, 1971) - classe 8 (acct moyen maximum : 8 m3/ha/an)_15</v>
      </c>
      <c r="E1126" s="3">
        <v>24.000000000000004</v>
      </c>
      <c r="F1126" s="3">
        <v>0</v>
      </c>
      <c r="G1126" s="3">
        <v>24.000000000000004</v>
      </c>
    </row>
    <row r="1127" spans="1:7" x14ac:dyDescent="0.2">
      <c r="A1127" s="3" t="s">
        <v>4</v>
      </c>
      <c r="B1127" t="s">
        <v>981</v>
      </c>
      <c r="C1127" s="3">
        <v>16</v>
      </c>
      <c r="D1127" t="str">
        <f t="shared" si="17"/>
        <v>Hêtre - Nord-Ouest (INRA, Hamilton &amp; Christie, 1971) - classe 8 (acct moyen maximum : 8 m3/ha/an)_16</v>
      </c>
      <c r="E1127" s="3">
        <v>25.600000000000005</v>
      </c>
      <c r="F1127" s="3">
        <v>0</v>
      </c>
      <c r="G1127" s="3">
        <v>25.600000000000005</v>
      </c>
    </row>
    <row r="1128" spans="1:7" x14ac:dyDescent="0.2">
      <c r="A1128" s="3" t="s">
        <v>4</v>
      </c>
      <c r="B1128" t="s">
        <v>981</v>
      </c>
      <c r="C1128" s="3">
        <v>17</v>
      </c>
      <c r="D1128" t="str">
        <f t="shared" si="17"/>
        <v>Hêtre - Nord-Ouest (INRA, Hamilton &amp; Christie, 1971) - classe 8 (acct moyen maximum : 8 m3/ha/an)_17</v>
      </c>
      <c r="E1128" s="3">
        <v>27.200000000000006</v>
      </c>
      <c r="F1128" s="3">
        <v>0</v>
      </c>
      <c r="G1128" s="3">
        <v>27.200000000000006</v>
      </c>
    </row>
    <row r="1129" spans="1:7" x14ac:dyDescent="0.2">
      <c r="A1129" s="3" t="s">
        <v>4</v>
      </c>
      <c r="B1129" t="s">
        <v>981</v>
      </c>
      <c r="C1129" s="3">
        <v>18</v>
      </c>
      <c r="D1129" t="str">
        <f t="shared" si="17"/>
        <v>Hêtre - Nord-Ouest (INRA, Hamilton &amp; Christie, 1971) - classe 8 (acct moyen maximum : 8 m3/ha/an)_18</v>
      </c>
      <c r="E1129" s="3">
        <v>28.800000000000008</v>
      </c>
      <c r="F1129" s="3">
        <v>0</v>
      </c>
      <c r="G1129" s="3">
        <v>28.800000000000008</v>
      </c>
    </row>
    <row r="1130" spans="1:7" x14ac:dyDescent="0.2">
      <c r="A1130" s="3" t="s">
        <v>4</v>
      </c>
      <c r="B1130" t="s">
        <v>981</v>
      </c>
      <c r="C1130" s="3">
        <v>19</v>
      </c>
      <c r="D1130" t="str">
        <f t="shared" si="17"/>
        <v>Hêtre - Nord-Ouest (INRA, Hamilton &amp; Christie, 1971) - classe 8 (acct moyen maximum : 8 m3/ha/an)_19</v>
      </c>
      <c r="E1130" s="3">
        <v>30.400000000000009</v>
      </c>
      <c r="F1130" s="3">
        <v>0</v>
      </c>
      <c r="G1130" s="3">
        <v>30.400000000000009</v>
      </c>
    </row>
    <row r="1131" spans="1:7" x14ac:dyDescent="0.2">
      <c r="A1131" s="3" t="s">
        <v>4</v>
      </c>
      <c r="B1131" t="s">
        <v>981</v>
      </c>
      <c r="C1131" s="3">
        <v>20</v>
      </c>
      <c r="D1131" t="str">
        <f t="shared" si="17"/>
        <v>Hêtre - Nord-Ouest (INRA, Hamilton &amp; Christie, 1971) - classe 8 (acct moyen maximum : 8 m3/ha/an)_20</v>
      </c>
      <c r="E1131" s="3">
        <v>32</v>
      </c>
      <c r="F1131" s="3">
        <v>0</v>
      </c>
      <c r="G1131" s="3">
        <v>32</v>
      </c>
    </row>
    <row r="1132" spans="1:7" x14ac:dyDescent="0.2">
      <c r="A1132" s="3" t="s">
        <v>4</v>
      </c>
      <c r="B1132" t="s">
        <v>981</v>
      </c>
      <c r="C1132" s="3">
        <v>21</v>
      </c>
      <c r="D1132" t="str">
        <f t="shared" si="17"/>
        <v>Hêtre - Nord-Ouest (INRA, Hamilton &amp; Christie, 1971) - classe 8 (acct moyen maximum : 8 m3/ha/an)_21</v>
      </c>
      <c r="E1132" s="3">
        <v>40.799999999999997</v>
      </c>
      <c r="F1132" s="3">
        <v>0</v>
      </c>
      <c r="G1132" s="3">
        <v>40.799999999999997</v>
      </c>
    </row>
    <row r="1133" spans="1:7" x14ac:dyDescent="0.2">
      <c r="A1133" s="3" t="s">
        <v>4</v>
      </c>
      <c r="B1133" t="s">
        <v>981</v>
      </c>
      <c r="C1133" s="3">
        <v>22</v>
      </c>
      <c r="D1133" t="str">
        <f t="shared" si="17"/>
        <v>Hêtre - Nord-Ouest (INRA, Hamilton &amp; Christie, 1971) - classe 8 (acct moyen maximum : 8 m3/ha/an)_22</v>
      </c>
      <c r="E1133" s="3">
        <v>49.599999999999994</v>
      </c>
      <c r="F1133" s="3">
        <v>0</v>
      </c>
      <c r="G1133" s="3">
        <v>49.599999999999994</v>
      </c>
    </row>
    <row r="1134" spans="1:7" x14ac:dyDescent="0.2">
      <c r="A1134" s="3" t="s">
        <v>4</v>
      </c>
      <c r="B1134" t="s">
        <v>981</v>
      </c>
      <c r="C1134" s="3">
        <v>23</v>
      </c>
      <c r="D1134" t="str">
        <f t="shared" si="17"/>
        <v>Hêtre - Nord-Ouest (INRA, Hamilton &amp; Christie, 1971) - classe 8 (acct moyen maximum : 8 m3/ha/an)_23</v>
      </c>
      <c r="E1134" s="3">
        <v>58.399999999999991</v>
      </c>
      <c r="F1134" s="3">
        <v>0</v>
      </c>
      <c r="G1134" s="3">
        <v>58.399999999999991</v>
      </c>
    </row>
    <row r="1135" spans="1:7" x14ac:dyDescent="0.2">
      <c r="A1135" s="3" t="s">
        <v>4</v>
      </c>
      <c r="B1135" t="s">
        <v>981</v>
      </c>
      <c r="C1135" s="3">
        <v>24</v>
      </c>
      <c r="D1135" t="str">
        <f t="shared" si="17"/>
        <v>Hêtre - Nord-Ouest (INRA, Hamilton &amp; Christie, 1971) - classe 8 (acct moyen maximum : 8 m3/ha/an)_24</v>
      </c>
      <c r="E1135" s="3">
        <v>67.199999999999989</v>
      </c>
      <c r="F1135" s="3">
        <v>0</v>
      </c>
      <c r="G1135" s="3">
        <v>67.199999999999989</v>
      </c>
    </row>
    <row r="1136" spans="1:7" x14ac:dyDescent="0.2">
      <c r="A1136" s="3" t="s">
        <v>4</v>
      </c>
      <c r="B1136" t="s">
        <v>981</v>
      </c>
      <c r="C1136" s="3">
        <v>25</v>
      </c>
      <c r="D1136" t="str">
        <f t="shared" si="17"/>
        <v>Hêtre - Nord-Ouest (INRA, Hamilton &amp; Christie, 1971) - classe 8 (acct moyen maximum : 8 m3/ha/an)_25</v>
      </c>
      <c r="E1136" s="3">
        <v>76</v>
      </c>
      <c r="F1136" s="3">
        <v>7</v>
      </c>
      <c r="G1136" s="3">
        <v>69</v>
      </c>
    </row>
    <row r="1137" spans="1:7" x14ac:dyDescent="0.2">
      <c r="A1137" s="3" t="s">
        <v>4</v>
      </c>
      <c r="B1137" t="s">
        <v>981</v>
      </c>
      <c r="C1137" s="3">
        <v>26</v>
      </c>
      <c r="D1137" t="str">
        <f t="shared" si="17"/>
        <v>Hêtre - Nord-Ouest (INRA, Hamilton &amp; Christie, 1971) - classe 8 (acct moyen maximum : 8 m3/ha/an)_26</v>
      </c>
      <c r="E1137" s="3">
        <v>78.400000000000006</v>
      </c>
      <c r="F1137" s="3">
        <v>0</v>
      </c>
      <c r="G1137" s="3">
        <v>78.400000000000006</v>
      </c>
    </row>
    <row r="1138" spans="1:7" x14ac:dyDescent="0.2">
      <c r="A1138" s="3" t="s">
        <v>4</v>
      </c>
      <c r="B1138" t="s">
        <v>981</v>
      </c>
      <c r="C1138" s="3">
        <v>27</v>
      </c>
      <c r="D1138" t="str">
        <f t="shared" si="17"/>
        <v>Hêtre - Nord-Ouest (INRA, Hamilton &amp; Christie, 1971) - classe 8 (acct moyen maximum : 8 m3/ha/an)_27</v>
      </c>
      <c r="E1138" s="3">
        <v>87.800000000000011</v>
      </c>
      <c r="F1138" s="3">
        <v>0</v>
      </c>
      <c r="G1138" s="3">
        <v>87.800000000000011</v>
      </c>
    </row>
    <row r="1139" spans="1:7" x14ac:dyDescent="0.2">
      <c r="A1139" s="3" t="s">
        <v>4</v>
      </c>
      <c r="B1139" t="s">
        <v>981</v>
      </c>
      <c r="C1139" s="3">
        <v>28</v>
      </c>
      <c r="D1139" t="str">
        <f t="shared" si="17"/>
        <v>Hêtre - Nord-Ouest (INRA, Hamilton &amp; Christie, 1971) - classe 8 (acct moyen maximum : 8 m3/ha/an)_28</v>
      </c>
      <c r="E1139" s="3">
        <v>97.200000000000017</v>
      </c>
      <c r="F1139" s="3">
        <v>0</v>
      </c>
      <c r="G1139" s="3">
        <v>97.200000000000017</v>
      </c>
    </row>
    <row r="1140" spans="1:7" x14ac:dyDescent="0.2">
      <c r="A1140" s="3" t="s">
        <v>4</v>
      </c>
      <c r="B1140" t="s">
        <v>981</v>
      </c>
      <c r="C1140" s="3">
        <v>29</v>
      </c>
      <c r="D1140" t="str">
        <f t="shared" si="17"/>
        <v>Hêtre - Nord-Ouest (INRA, Hamilton &amp; Christie, 1971) - classe 8 (acct moyen maximum : 8 m3/ha/an)_29</v>
      </c>
      <c r="E1140" s="3">
        <v>106.60000000000002</v>
      </c>
      <c r="F1140" s="3">
        <v>0</v>
      </c>
      <c r="G1140" s="3">
        <v>106.60000000000002</v>
      </c>
    </row>
    <row r="1141" spans="1:7" x14ac:dyDescent="0.2">
      <c r="A1141" s="3" t="s">
        <v>4</v>
      </c>
      <c r="B1141" t="s">
        <v>981</v>
      </c>
      <c r="C1141" s="3">
        <v>30</v>
      </c>
      <c r="D1141" t="str">
        <f t="shared" si="17"/>
        <v>Hêtre - Nord-Ouest (INRA, Hamilton &amp; Christie, 1971) - classe 8 (acct moyen maximum : 8 m3/ha/an)_30</v>
      </c>
      <c r="E1141" s="3">
        <v>116</v>
      </c>
      <c r="F1141" s="3">
        <v>28</v>
      </c>
      <c r="G1141" s="3">
        <v>88</v>
      </c>
    </row>
    <row r="1142" spans="1:7" x14ac:dyDescent="0.2">
      <c r="A1142" s="3" t="s">
        <v>4</v>
      </c>
      <c r="B1142" t="s">
        <v>982</v>
      </c>
      <c r="C1142" s="3">
        <v>1</v>
      </c>
      <c r="D1142" t="str">
        <f t="shared" si="17"/>
        <v>Hêtre - Nord-Ouest (INRA, Hamilton &amp; Christie, 1971) - classe 6 (acct moyen maximum : 6 m3/ha/an)_1</v>
      </c>
      <c r="E1142" s="3">
        <v>1.6</v>
      </c>
      <c r="F1142" s="3">
        <v>0</v>
      </c>
      <c r="G1142" s="3">
        <v>1.6</v>
      </c>
    </row>
    <row r="1143" spans="1:7" x14ac:dyDescent="0.2">
      <c r="A1143" s="3" t="s">
        <v>4</v>
      </c>
      <c r="B1143" t="s">
        <v>982</v>
      </c>
      <c r="C1143" s="3">
        <v>2</v>
      </c>
      <c r="D1143" t="str">
        <f t="shared" si="17"/>
        <v>Hêtre - Nord-Ouest (INRA, Hamilton &amp; Christie, 1971) - classe 6 (acct moyen maximum : 6 m3/ha/an)_2</v>
      </c>
      <c r="E1143" s="3">
        <v>3.2</v>
      </c>
      <c r="F1143" s="3">
        <v>0</v>
      </c>
      <c r="G1143" s="3">
        <v>3.2</v>
      </c>
    </row>
    <row r="1144" spans="1:7" x14ac:dyDescent="0.2">
      <c r="A1144" s="3" t="s">
        <v>4</v>
      </c>
      <c r="B1144" t="s">
        <v>982</v>
      </c>
      <c r="C1144" s="3">
        <v>3</v>
      </c>
      <c r="D1144" t="str">
        <f t="shared" si="17"/>
        <v>Hêtre - Nord-Ouest (INRA, Hamilton &amp; Christie, 1971) - classe 6 (acct moyen maximum : 6 m3/ha/an)_3</v>
      </c>
      <c r="E1144" s="3">
        <v>4.8000000000000007</v>
      </c>
      <c r="F1144" s="3">
        <v>0</v>
      </c>
      <c r="G1144" s="3">
        <v>4.8000000000000007</v>
      </c>
    </row>
    <row r="1145" spans="1:7" x14ac:dyDescent="0.2">
      <c r="A1145" s="3" t="s">
        <v>4</v>
      </c>
      <c r="B1145" t="s">
        <v>982</v>
      </c>
      <c r="C1145" s="3">
        <v>4</v>
      </c>
      <c r="D1145" t="str">
        <f t="shared" si="17"/>
        <v>Hêtre - Nord-Ouest (INRA, Hamilton &amp; Christie, 1971) - classe 6 (acct moyen maximum : 6 m3/ha/an)_4</v>
      </c>
      <c r="E1145" s="3">
        <v>6.4</v>
      </c>
      <c r="F1145" s="3">
        <v>0</v>
      </c>
      <c r="G1145" s="3">
        <v>6.4</v>
      </c>
    </row>
    <row r="1146" spans="1:7" x14ac:dyDescent="0.2">
      <c r="A1146" s="3" t="s">
        <v>4</v>
      </c>
      <c r="B1146" t="s">
        <v>982</v>
      </c>
      <c r="C1146" s="3">
        <v>5</v>
      </c>
      <c r="D1146" t="str">
        <f t="shared" si="17"/>
        <v>Hêtre - Nord-Ouest (INRA, Hamilton &amp; Christie, 1971) - classe 6 (acct moyen maximum : 6 m3/ha/an)_5</v>
      </c>
      <c r="E1146" s="3">
        <v>8</v>
      </c>
      <c r="F1146" s="3">
        <v>0</v>
      </c>
      <c r="G1146" s="3">
        <v>8</v>
      </c>
    </row>
    <row r="1147" spans="1:7" x14ac:dyDescent="0.2">
      <c r="A1147" s="3" t="s">
        <v>4</v>
      </c>
      <c r="B1147" t="s">
        <v>982</v>
      </c>
      <c r="C1147" s="3">
        <v>6</v>
      </c>
      <c r="D1147" t="str">
        <f t="shared" si="17"/>
        <v>Hêtre - Nord-Ouest (INRA, Hamilton &amp; Christie, 1971) - classe 6 (acct moyen maximum : 6 m3/ha/an)_6</v>
      </c>
      <c r="E1147" s="3">
        <v>9.6</v>
      </c>
      <c r="F1147" s="3">
        <v>0</v>
      </c>
      <c r="G1147" s="3">
        <v>9.6</v>
      </c>
    </row>
    <row r="1148" spans="1:7" x14ac:dyDescent="0.2">
      <c r="A1148" s="3" t="s">
        <v>4</v>
      </c>
      <c r="B1148" t="s">
        <v>982</v>
      </c>
      <c r="C1148" s="3">
        <v>7</v>
      </c>
      <c r="D1148" t="str">
        <f t="shared" si="17"/>
        <v>Hêtre - Nord-Ouest (INRA, Hamilton &amp; Christie, 1971) - classe 6 (acct moyen maximum : 6 m3/ha/an)_7</v>
      </c>
      <c r="E1148" s="3">
        <v>11.2</v>
      </c>
      <c r="F1148" s="3">
        <v>0</v>
      </c>
      <c r="G1148" s="3">
        <v>11.2</v>
      </c>
    </row>
    <row r="1149" spans="1:7" x14ac:dyDescent="0.2">
      <c r="A1149" s="3" t="s">
        <v>4</v>
      </c>
      <c r="B1149" t="s">
        <v>982</v>
      </c>
      <c r="C1149" s="3">
        <v>8</v>
      </c>
      <c r="D1149" t="str">
        <f t="shared" si="17"/>
        <v>Hêtre - Nord-Ouest (INRA, Hamilton &amp; Christie, 1971) - classe 6 (acct moyen maximum : 6 m3/ha/an)_8</v>
      </c>
      <c r="E1149" s="3">
        <v>12.799999999999999</v>
      </c>
      <c r="F1149" s="3">
        <v>0</v>
      </c>
      <c r="G1149" s="3">
        <v>12.799999999999999</v>
      </c>
    </row>
    <row r="1150" spans="1:7" x14ac:dyDescent="0.2">
      <c r="A1150" s="3" t="s">
        <v>4</v>
      </c>
      <c r="B1150" t="s">
        <v>982</v>
      </c>
      <c r="C1150" s="3">
        <v>9</v>
      </c>
      <c r="D1150" t="str">
        <f t="shared" si="17"/>
        <v>Hêtre - Nord-Ouest (INRA, Hamilton &amp; Christie, 1971) - classe 6 (acct moyen maximum : 6 m3/ha/an)_9</v>
      </c>
      <c r="E1150" s="3">
        <v>14.399999999999999</v>
      </c>
      <c r="F1150" s="3">
        <v>0</v>
      </c>
      <c r="G1150" s="3">
        <v>14.399999999999999</v>
      </c>
    </row>
    <row r="1151" spans="1:7" x14ac:dyDescent="0.2">
      <c r="A1151" s="3" t="s">
        <v>4</v>
      </c>
      <c r="B1151" t="s">
        <v>982</v>
      </c>
      <c r="C1151" s="3">
        <v>10</v>
      </c>
      <c r="D1151" t="str">
        <f t="shared" si="17"/>
        <v>Hêtre - Nord-Ouest (INRA, Hamilton &amp; Christie, 1971) - classe 6 (acct moyen maximum : 6 m3/ha/an)_10</v>
      </c>
      <c r="E1151" s="3">
        <v>15.999999999999998</v>
      </c>
      <c r="F1151" s="3">
        <v>0</v>
      </c>
      <c r="G1151" s="3">
        <v>15.999999999999998</v>
      </c>
    </row>
    <row r="1152" spans="1:7" x14ac:dyDescent="0.2">
      <c r="A1152" s="3" t="s">
        <v>4</v>
      </c>
      <c r="B1152" t="s">
        <v>982</v>
      </c>
      <c r="C1152" s="3">
        <v>11</v>
      </c>
      <c r="D1152" t="str">
        <f t="shared" si="17"/>
        <v>Hêtre - Nord-Ouest (INRA, Hamilton &amp; Christie, 1971) - classe 6 (acct moyen maximum : 6 m3/ha/an)_11</v>
      </c>
      <c r="E1152" s="3">
        <v>17.599999999999998</v>
      </c>
      <c r="F1152" s="3">
        <v>0</v>
      </c>
      <c r="G1152" s="3">
        <v>17.599999999999998</v>
      </c>
    </row>
    <row r="1153" spans="1:7" x14ac:dyDescent="0.2">
      <c r="A1153" s="3" t="s">
        <v>4</v>
      </c>
      <c r="B1153" t="s">
        <v>982</v>
      </c>
      <c r="C1153" s="3">
        <v>12</v>
      </c>
      <c r="D1153" t="str">
        <f t="shared" si="17"/>
        <v>Hêtre - Nord-Ouest (INRA, Hamilton &amp; Christie, 1971) - classe 6 (acct moyen maximum : 6 m3/ha/an)_12</v>
      </c>
      <c r="E1153" s="3">
        <v>19.2</v>
      </c>
      <c r="F1153" s="3">
        <v>0</v>
      </c>
      <c r="G1153" s="3">
        <v>19.2</v>
      </c>
    </row>
    <row r="1154" spans="1:7" x14ac:dyDescent="0.2">
      <c r="A1154" s="3" t="s">
        <v>4</v>
      </c>
      <c r="B1154" t="s">
        <v>982</v>
      </c>
      <c r="C1154" s="3">
        <v>13</v>
      </c>
      <c r="D1154" t="str">
        <f t="shared" si="17"/>
        <v>Hêtre - Nord-Ouest (INRA, Hamilton &amp; Christie, 1971) - classe 6 (acct moyen maximum : 6 m3/ha/an)_13</v>
      </c>
      <c r="E1154" s="3">
        <v>20.8</v>
      </c>
      <c r="F1154" s="3">
        <v>0</v>
      </c>
      <c r="G1154" s="3">
        <v>20.8</v>
      </c>
    </row>
    <row r="1155" spans="1:7" x14ac:dyDescent="0.2">
      <c r="A1155" s="3" t="s">
        <v>4</v>
      </c>
      <c r="B1155" t="s">
        <v>982</v>
      </c>
      <c r="C1155" s="3">
        <v>14</v>
      </c>
      <c r="D1155" t="str">
        <f t="shared" ref="D1155:D1218" si="18">CONCATENATE(B1155,"_",C1155)</f>
        <v>Hêtre - Nord-Ouest (INRA, Hamilton &amp; Christie, 1971) - classe 6 (acct moyen maximum : 6 m3/ha/an)_14</v>
      </c>
      <c r="E1155" s="3">
        <v>22.400000000000002</v>
      </c>
      <c r="F1155" s="3">
        <v>0</v>
      </c>
      <c r="G1155" s="3">
        <v>22.400000000000002</v>
      </c>
    </row>
    <row r="1156" spans="1:7" x14ac:dyDescent="0.2">
      <c r="A1156" s="3" t="s">
        <v>4</v>
      </c>
      <c r="B1156" t="s">
        <v>982</v>
      </c>
      <c r="C1156" s="3">
        <v>15</v>
      </c>
      <c r="D1156" t="str">
        <f t="shared" si="18"/>
        <v>Hêtre - Nord-Ouest (INRA, Hamilton &amp; Christie, 1971) - classe 6 (acct moyen maximum : 6 m3/ha/an)_15</v>
      </c>
      <c r="E1156" s="3">
        <v>24.000000000000004</v>
      </c>
      <c r="F1156" s="3">
        <v>0</v>
      </c>
      <c r="G1156" s="3">
        <v>24.000000000000004</v>
      </c>
    </row>
    <row r="1157" spans="1:7" x14ac:dyDescent="0.2">
      <c r="A1157" s="3" t="s">
        <v>4</v>
      </c>
      <c r="B1157" t="s">
        <v>982</v>
      </c>
      <c r="C1157" s="3">
        <v>16</v>
      </c>
      <c r="D1157" t="str">
        <f t="shared" si="18"/>
        <v>Hêtre - Nord-Ouest (INRA, Hamilton &amp; Christie, 1971) - classe 6 (acct moyen maximum : 6 m3/ha/an)_16</v>
      </c>
      <c r="E1157" s="3">
        <v>25.600000000000005</v>
      </c>
      <c r="F1157" s="3">
        <v>0</v>
      </c>
      <c r="G1157" s="3">
        <v>25.600000000000005</v>
      </c>
    </row>
    <row r="1158" spans="1:7" x14ac:dyDescent="0.2">
      <c r="A1158" s="3" t="s">
        <v>4</v>
      </c>
      <c r="B1158" t="s">
        <v>982</v>
      </c>
      <c r="C1158" s="3">
        <v>17</v>
      </c>
      <c r="D1158" t="str">
        <f t="shared" si="18"/>
        <v>Hêtre - Nord-Ouest (INRA, Hamilton &amp; Christie, 1971) - classe 6 (acct moyen maximum : 6 m3/ha/an)_17</v>
      </c>
      <c r="E1158" s="3">
        <v>27.200000000000006</v>
      </c>
      <c r="F1158" s="3">
        <v>0</v>
      </c>
      <c r="G1158" s="3">
        <v>27.200000000000006</v>
      </c>
    </row>
    <row r="1159" spans="1:7" x14ac:dyDescent="0.2">
      <c r="A1159" s="3" t="s">
        <v>4</v>
      </c>
      <c r="B1159" t="s">
        <v>982</v>
      </c>
      <c r="C1159" s="3">
        <v>18</v>
      </c>
      <c r="D1159" t="str">
        <f t="shared" si="18"/>
        <v>Hêtre - Nord-Ouest (INRA, Hamilton &amp; Christie, 1971) - classe 6 (acct moyen maximum : 6 m3/ha/an)_18</v>
      </c>
      <c r="E1159" s="3">
        <v>28.800000000000008</v>
      </c>
      <c r="F1159" s="3">
        <v>0</v>
      </c>
      <c r="G1159" s="3">
        <v>28.800000000000008</v>
      </c>
    </row>
    <row r="1160" spans="1:7" x14ac:dyDescent="0.2">
      <c r="A1160" s="3" t="s">
        <v>4</v>
      </c>
      <c r="B1160" t="s">
        <v>982</v>
      </c>
      <c r="C1160" s="3">
        <v>19</v>
      </c>
      <c r="D1160" t="str">
        <f t="shared" si="18"/>
        <v>Hêtre - Nord-Ouest (INRA, Hamilton &amp; Christie, 1971) - classe 6 (acct moyen maximum : 6 m3/ha/an)_19</v>
      </c>
      <c r="E1160" s="3">
        <v>30.400000000000009</v>
      </c>
      <c r="F1160" s="3">
        <v>0</v>
      </c>
      <c r="G1160" s="3">
        <v>30.400000000000009</v>
      </c>
    </row>
    <row r="1161" spans="1:7" x14ac:dyDescent="0.2">
      <c r="A1161" s="3" t="s">
        <v>4</v>
      </c>
      <c r="B1161" t="s">
        <v>982</v>
      </c>
      <c r="C1161" s="3">
        <v>20</v>
      </c>
      <c r="D1161" t="str">
        <f t="shared" si="18"/>
        <v>Hêtre - Nord-Ouest (INRA, Hamilton &amp; Christie, 1971) - classe 6 (acct moyen maximum : 6 m3/ha/an)_20</v>
      </c>
      <c r="E1161" s="3">
        <v>32.000000000000007</v>
      </c>
      <c r="F1161" s="3">
        <v>0</v>
      </c>
      <c r="G1161" s="3">
        <v>32.000000000000007</v>
      </c>
    </row>
    <row r="1162" spans="1:7" x14ac:dyDescent="0.2">
      <c r="A1162" s="3" t="s">
        <v>4</v>
      </c>
      <c r="B1162" t="s">
        <v>982</v>
      </c>
      <c r="C1162" s="3">
        <v>21</v>
      </c>
      <c r="D1162" t="str">
        <f t="shared" si="18"/>
        <v>Hêtre - Nord-Ouest (INRA, Hamilton &amp; Christie, 1971) - classe 6 (acct moyen maximum : 6 m3/ha/an)_21</v>
      </c>
      <c r="E1162" s="3">
        <v>33.600000000000009</v>
      </c>
      <c r="F1162" s="3">
        <v>0</v>
      </c>
      <c r="G1162" s="3">
        <v>33.600000000000009</v>
      </c>
    </row>
    <row r="1163" spans="1:7" x14ac:dyDescent="0.2">
      <c r="A1163" s="3" t="s">
        <v>4</v>
      </c>
      <c r="B1163" t="s">
        <v>982</v>
      </c>
      <c r="C1163" s="3">
        <v>22</v>
      </c>
      <c r="D1163" t="str">
        <f t="shared" si="18"/>
        <v>Hêtre - Nord-Ouest (INRA, Hamilton &amp; Christie, 1971) - classe 6 (acct moyen maximum : 6 m3/ha/an)_22</v>
      </c>
      <c r="E1163" s="3">
        <v>35.20000000000001</v>
      </c>
      <c r="F1163" s="3">
        <v>0</v>
      </c>
      <c r="G1163" s="3">
        <v>35.20000000000001</v>
      </c>
    </row>
    <row r="1164" spans="1:7" x14ac:dyDescent="0.2">
      <c r="A1164" s="3" t="s">
        <v>4</v>
      </c>
      <c r="B1164" t="s">
        <v>982</v>
      </c>
      <c r="C1164" s="3">
        <v>23</v>
      </c>
      <c r="D1164" t="str">
        <f t="shared" si="18"/>
        <v>Hêtre - Nord-Ouest (INRA, Hamilton &amp; Christie, 1971) - classe 6 (acct moyen maximum : 6 m3/ha/an)_23</v>
      </c>
      <c r="E1164" s="3">
        <v>36.800000000000011</v>
      </c>
      <c r="F1164" s="3">
        <v>0</v>
      </c>
      <c r="G1164" s="3">
        <v>36.800000000000011</v>
      </c>
    </row>
    <row r="1165" spans="1:7" x14ac:dyDescent="0.2">
      <c r="A1165" s="3" t="s">
        <v>4</v>
      </c>
      <c r="B1165" t="s">
        <v>982</v>
      </c>
      <c r="C1165" s="3">
        <v>24</v>
      </c>
      <c r="D1165" t="str">
        <f t="shared" si="18"/>
        <v>Hêtre - Nord-Ouest (INRA, Hamilton &amp; Christie, 1971) - classe 6 (acct moyen maximum : 6 m3/ha/an)_24</v>
      </c>
      <c r="E1165" s="3">
        <v>38.400000000000013</v>
      </c>
      <c r="F1165" s="3">
        <v>0</v>
      </c>
      <c r="G1165" s="3">
        <v>38.400000000000013</v>
      </c>
    </row>
    <row r="1166" spans="1:7" x14ac:dyDescent="0.2">
      <c r="A1166" s="3" t="s">
        <v>4</v>
      </c>
      <c r="B1166" t="s">
        <v>982</v>
      </c>
      <c r="C1166" s="3">
        <v>25</v>
      </c>
      <c r="D1166" t="str">
        <f t="shared" si="18"/>
        <v>Hêtre - Nord-Ouest (INRA, Hamilton &amp; Christie, 1971) - classe 6 (acct moyen maximum : 6 m3/ha/an)_25</v>
      </c>
      <c r="E1166" s="3">
        <v>40</v>
      </c>
      <c r="F1166" s="3">
        <v>0</v>
      </c>
      <c r="G1166" s="3">
        <v>40</v>
      </c>
    </row>
    <row r="1167" spans="1:7" x14ac:dyDescent="0.2">
      <c r="A1167" s="3" t="s">
        <v>4</v>
      </c>
      <c r="B1167" t="s">
        <v>982</v>
      </c>
      <c r="C1167" s="3">
        <v>26</v>
      </c>
      <c r="D1167" t="str">
        <f t="shared" si="18"/>
        <v>Hêtre - Nord-Ouest (INRA, Hamilton &amp; Christie, 1971) - classe 6 (acct moyen maximum : 6 m3/ha/an)_26</v>
      </c>
      <c r="E1167" s="3">
        <v>46.6</v>
      </c>
      <c r="F1167" s="3">
        <v>0</v>
      </c>
      <c r="G1167" s="3">
        <v>46.6</v>
      </c>
    </row>
    <row r="1168" spans="1:7" x14ac:dyDescent="0.2">
      <c r="A1168" s="3" t="s">
        <v>4</v>
      </c>
      <c r="B1168" t="s">
        <v>982</v>
      </c>
      <c r="C1168" s="3">
        <v>27</v>
      </c>
      <c r="D1168" t="str">
        <f t="shared" si="18"/>
        <v>Hêtre - Nord-Ouest (INRA, Hamilton &amp; Christie, 1971) - classe 6 (acct moyen maximum : 6 m3/ha/an)_27</v>
      </c>
      <c r="E1168" s="3">
        <v>53.2</v>
      </c>
      <c r="F1168" s="3">
        <v>0</v>
      </c>
      <c r="G1168" s="3">
        <v>53.2</v>
      </c>
    </row>
    <row r="1169" spans="1:7" x14ac:dyDescent="0.2">
      <c r="A1169" s="3" t="s">
        <v>4</v>
      </c>
      <c r="B1169" t="s">
        <v>982</v>
      </c>
      <c r="C1169" s="3">
        <v>28</v>
      </c>
      <c r="D1169" t="str">
        <f t="shared" si="18"/>
        <v>Hêtre - Nord-Ouest (INRA, Hamilton &amp; Christie, 1971) - classe 6 (acct moyen maximum : 6 m3/ha/an)_28</v>
      </c>
      <c r="E1169" s="3">
        <v>59.800000000000004</v>
      </c>
      <c r="F1169" s="3">
        <v>0</v>
      </c>
      <c r="G1169" s="3">
        <v>59.800000000000004</v>
      </c>
    </row>
    <row r="1170" spans="1:7" x14ac:dyDescent="0.2">
      <c r="A1170" s="3" t="s">
        <v>4</v>
      </c>
      <c r="B1170" t="s">
        <v>982</v>
      </c>
      <c r="C1170" s="3">
        <v>29</v>
      </c>
      <c r="D1170" t="str">
        <f t="shared" si="18"/>
        <v>Hêtre - Nord-Ouest (INRA, Hamilton &amp; Christie, 1971) - classe 6 (acct moyen maximum : 6 m3/ha/an)_29</v>
      </c>
      <c r="E1170" s="3">
        <v>66.400000000000006</v>
      </c>
      <c r="F1170" s="3">
        <v>0</v>
      </c>
      <c r="G1170" s="3">
        <v>66.400000000000006</v>
      </c>
    </row>
    <row r="1171" spans="1:7" x14ac:dyDescent="0.2">
      <c r="A1171" s="3" t="s">
        <v>4</v>
      </c>
      <c r="B1171" t="s">
        <v>982</v>
      </c>
      <c r="C1171" s="3">
        <v>30</v>
      </c>
      <c r="D1171" t="str">
        <f t="shared" si="18"/>
        <v>Hêtre - Nord-Ouest (INRA, Hamilton &amp; Christie, 1971) - classe 6 (acct moyen maximum : 6 m3/ha/an)_30</v>
      </c>
      <c r="E1171" s="3">
        <v>73</v>
      </c>
      <c r="F1171" s="3">
        <v>12</v>
      </c>
      <c r="G1171" s="3">
        <v>61</v>
      </c>
    </row>
    <row r="1172" spans="1:7" x14ac:dyDescent="0.2">
      <c r="A1172" s="3" t="s">
        <v>4</v>
      </c>
      <c r="B1172" t="s">
        <v>983</v>
      </c>
      <c r="C1172" s="3">
        <v>1</v>
      </c>
      <c r="D1172" t="str">
        <f t="shared" si="18"/>
        <v>Hêtre - Nord-Ouest (INRA, Hamilton &amp; Christie, 1971) - classe 4 (acct moyen maximum : 4 m3/ha/an)_1</v>
      </c>
      <c r="E1172" s="3">
        <v>0.8666666666666667</v>
      </c>
      <c r="F1172" s="3">
        <v>0</v>
      </c>
      <c r="G1172" s="3">
        <v>0.8666666666666667</v>
      </c>
    </row>
    <row r="1173" spans="1:7" x14ac:dyDescent="0.2">
      <c r="A1173" s="3" t="s">
        <v>4</v>
      </c>
      <c r="B1173" t="s">
        <v>983</v>
      </c>
      <c r="C1173" s="3">
        <v>2</v>
      </c>
      <c r="D1173" t="str">
        <f t="shared" si="18"/>
        <v>Hêtre - Nord-Ouest (INRA, Hamilton &amp; Christie, 1971) - classe 4 (acct moyen maximum : 4 m3/ha/an)_2</v>
      </c>
      <c r="E1173" s="3">
        <v>1.7333333333333334</v>
      </c>
      <c r="F1173" s="3">
        <v>0</v>
      </c>
      <c r="G1173" s="3">
        <v>1.7333333333333334</v>
      </c>
    </row>
    <row r="1174" spans="1:7" x14ac:dyDescent="0.2">
      <c r="A1174" s="3" t="s">
        <v>4</v>
      </c>
      <c r="B1174" t="s">
        <v>983</v>
      </c>
      <c r="C1174" s="3">
        <v>3</v>
      </c>
      <c r="D1174" t="str">
        <f t="shared" si="18"/>
        <v>Hêtre - Nord-Ouest (INRA, Hamilton &amp; Christie, 1971) - classe 4 (acct moyen maximum : 4 m3/ha/an)_3</v>
      </c>
      <c r="E1174" s="3">
        <v>2.6</v>
      </c>
      <c r="F1174" s="3">
        <v>0</v>
      </c>
      <c r="G1174" s="3">
        <v>2.6</v>
      </c>
    </row>
    <row r="1175" spans="1:7" x14ac:dyDescent="0.2">
      <c r="A1175" s="3" t="s">
        <v>4</v>
      </c>
      <c r="B1175" t="s">
        <v>983</v>
      </c>
      <c r="C1175" s="3">
        <v>4</v>
      </c>
      <c r="D1175" t="str">
        <f t="shared" si="18"/>
        <v>Hêtre - Nord-Ouest (INRA, Hamilton &amp; Christie, 1971) - classe 4 (acct moyen maximum : 4 m3/ha/an)_4</v>
      </c>
      <c r="E1175" s="3">
        <v>3.4666666666666668</v>
      </c>
      <c r="F1175" s="3">
        <v>0</v>
      </c>
      <c r="G1175" s="3">
        <v>3.4666666666666668</v>
      </c>
    </row>
    <row r="1176" spans="1:7" x14ac:dyDescent="0.2">
      <c r="A1176" s="3" t="s">
        <v>4</v>
      </c>
      <c r="B1176" t="s">
        <v>983</v>
      </c>
      <c r="C1176" s="3">
        <v>5</v>
      </c>
      <c r="D1176" t="str">
        <f t="shared" si="18"/>
        <v>Hêtre - Nord-Ouest (INRA, Hamilton &amp; Christie, 1971) - classe 4 (acct moyen maximum : 4 m3/ha/an)_5</v>
      </c>
      <c r="E1176" s="3">
        <v>4.3333333333333339</v>
      </c>
      <c r="F1176" s="3">
        <v>0</v>
      </c>
      <c r="G1176" s="3">
        <v>4.3333333333333339</v>
      </c>
    </row>
    <row r="1177" spans="1:7" x14ac:dyDescent="0.2">
      <c r="A1177" s="3" t="s">
        <v>4</v>
      </c>
      <c r="B1177" t="s">
        <v>983</v>
      </c>
      <c r="C1177" s="3">
        <v>6</v>
      </c>
      <c r="D1177" t="str">
        <f t="shared" si="18"/>
        <v>Hêtre - Nord-Ouest (INRA, Hamilton &amp; Christie, 1971) - classe 4 (acct moyen maximum : 4 m3/ha/an)_6</v>
      </c>
      <c r="E1177" s="3">
        <v>5.2000000000000011</v>
      </c>
      <c r="F1177" s="3">
        <v>0</v>
      </c>
      <c r="G1177" s="3">
        <v>5.2000000000000011</v>
      </c>
    </row>
    <row r="1178" spans="1:7" x14ac:dyDescent="0.2">
      <c r="A1178" s="3" t="s">
        <v>4</v>
      </c>
      <c r="B1178" t="s">
        <v>983</v>
      </c>
      <c r="C1178" s="3">
        <v>7</v>
      </c>
      <c r="D1178" t="str">
        <f t="shared" si="18"/>
        <v>Hêtre - Nord-Ouest (INRA, Hamilton &amp; Christie, 1971) - classe 4 (acct moyen maximum : 4 m3/ha/an)_7</v>
      </c>
      <c r="E1178" s="3">
        <v>6.0666666666666682</v>
      </c>
      <c r="F1178" s="3">
        <v>0</v>
      </c>
      <c r="G1178" s="3">
        <v>6.0666666666666682</v>
      </c>
    </row>
    <row r="1179" spans="1:7" x14ac:dyDescent="0.2">
      <c r="A1179" s="3" t="s">
        <v>4</v>
      </c>
      <c r="B1179" t="s">
        <v>983</v>
      </c>
      <c r="C1179" s="3">
        <v>8</v>
      </c>
      <c r="D1179" t="str">
        <f t="shared" si="18"/>
        <v>Hêtre - Nord-Ouest (INRA, Hamilton &amp; Christie, 1971) - classe 4 (acct moyen maximum : 4 m3/ha/an)_8</v>
      </c>
      <c r="E1179" s="3">
        <v>6.9333333333333353</v>
      </c>
      <c r="F1179" s="3">
        <v>0</v>
      </c>
      <c r="G1179" s="3">
        <v>6.9333333333333353</v>
      </c>
    </row>
    <row r="1180" spans="1:7" x14ac:dyDescent="0.2">
      <c r="A1180" s="3" t="s">
        <v>4</v>
      </c>
      <c r="B1180" t="s">
        <v>983</v>
      </c>
      <c r="C1180" s="3">
        <v>9</v>
      </c>
      <c r="D1180" t="str">
        <f t="shared" si="18"/>
        <v>Hêtre - Nord-Ouest (INRA, Hamilton &amp; Christie, 1971) - classe 4 (acct moyen maximum : 4 m3/ha/an)_9</v>
      </c>
      <c r="E1180" s="3">
        <v>7.8000000000000025</v>
      </c>
      <c r="F1180" s="3">
        <v>0</v>
      </c>
      <c r="G1180" s="3">
        <v>7.8000000000000025</v>
      </c>
    </row>
    <row r="1181" spans="1:7" x14ac:dyDescent="0.2">
      <c r="A1181" s="3" t="s">
        <v>4</v>
      </c>
      <c r="B1181" t="s">
        <v>983</v>
      </c>
      <c r="C1181" s="3">
        <v>10</v>
      </c>
      <c r="D1181" t="str">
        <f t="shared" si="18"/>
        <v>Hêtre - Nord-Ouest (INRA, Hamilton &amp; Christie, 1971) - classe 4 (acct moyen maximum : 4 m3/ha/an)_10</v>
      </c>
      <c r="E1181" s="3">
        <v>8.6666666666666696</v>
      </c>
      <c r="F1181" s="3">
        <v>0</v>
      </c>
      <c r="G1181" s="3">
        <v>8.6666666666666696</v>
      </c>
    </row>
    <row r="1182" spans="1:7" x14ac:dyDescent="0.2">
      <c r="A1182" s="3" t="s">
        <v>4</v>
      </c>
      <c r="B1182" t="s">
        <v>983</v>
      </c>
      <c r="C1182" s="3">
        <v>11</v>
      </c>
      <c r="D1182" t="str">
        <f t="shared" si="18"/>
        <v>Hêtre - Nord-Ouest (INRA, Hamilton &amp; Christie, 1971) - classe 4 (acct moyen maximum : 4 m3/ha/an)_11</v>
      </c>
      <c r="E1182" s="3">
        <v>9.5333333333333368</v>
      </c>
      <c r="F1182" s="3">
        <v>0</v>
      </c>
      <c r="G1182" s="3">
        <v>9.5333333333333368</v>
      </c>
    </row>
    <row r="1183" spans="1:7" x14ac:dyDescent="0.2">
      <c r="A1183" s="3" t="s">
        <v>4</v>
      </c>
      <c r="B1183" t="s">
        <v>983</v>
      </c>
      <c r="C1183" s="3">
        <v>12</v>
      </c>
      <c r="D1183" t="str">
        <f t="shared" si="18"/>
        <v>Hêtre - Nord-Ouest (INRA, Hamilton &amp; Christie, 1971) - classe 4 (acct moyen maximum : 4 m3/ha/an)_12</v>
      </c>
      <c r="E1183" s="3">
        <v>10.400000000000004</v>
      </c>
      <c r="F1183" s="3">
        <v>0</v>
      </c>
      <c r="G1183" s="3">
        <v>10.400000000000004</v>
      </c>
    </row>
    <row r="1184" spans="1:7" x14ac:dyDescent="0.2">
      <c r="A1184" s="3" t="s">
        <v>4</v>
      </c>
      <c r="B1184" t="s">
        <v>983</v>
      </c>
      <c r="C1184" s="3">
        <v>13</v>
      </c>
      <c r="D1184" t="str">
        <f t="shared" si="18"/>
        <v>Hêtre - Nord-Ouest (INRA, Hamilton &amp; Christie, 1971) - classe 4 (acct moyen maximum : 4 m3/ha/an)_13</v>
      </c>
      <c r="E1184" s="3">
        <v>11.266666666666671</v>
      </c>
      <c r="F1184" s="3">
        <v>0</v>
      </c>
      <c r="G1184" s="3">
        <v>11.266666666666671</v>
      </c>
    </row>
    <row r="1185" spans="1:7" x14ac:dyDescent="0.2">
      <c r="A1185" s="3" t="s">
        <v>4</v>
      </c>
      <c r="B1185" t="s">
        <v>983</v>
      </c>
      <c r="C1185" s="3">
        <v>14</v>
      </c>
      <c r="D1185" t="str">
        <f t="shared" si="18"/>
        <v>Hêtre - Nord-Ouest (INRA, Hamilton &amp; Christie, 1971) - classe 4 (acct moyen maximum : 4 m3/ha/an)_14</v>
      </c>
      <c r="E1185" s="3">
        <v>12.133333333333338</v>
      </c>
      <c r="F1185" s="3">
        <v>0</v>
      </c>
      <c r="G1185" s="3">
        <v>12.133333333333338</v>
      </c>
    </row>
    <row r="1186" spans="1:7" x14ac:dyDescent="0.2">
      <c r="A1186" s="3" t="s">
        <v>4</v>
      </c>
      <c r="B1186" t="s">
        <v>983</v>
      </c>
      <c r="C1186" s="3">
        <v>15</v>
      </c>
      <c r="D1186" t="str">
        <f t="shared" si="18"/>
        <v>Hêtre - Nord-Ouest (INRA, Hamilton &amp; Christie, 1971) - classe 4 (acct moyen maximum : 4 m3/ha/an)_15</v>
      </c>
      <c r="E1186" s="3">
        <v>13.000000000000005</v>
      </c>
      <c r="F1186" s="3">
        <v>0</v>
      </c>
      <c r="G1186" s="3">
        <v>13.000000000000005</v>
      </c>
    </row>
    <row r="1187" spans="1:7" x14ac:dyDescent="0.2">
      <c r="A1187" s="3" t="s">
        <v>4</v>
      </c>
      <c r="B1187" t="s">
        <v>983</v>
      </c>
      <c r="C1187" s="3">
        <v>16</v>
      </c>
      <c r="D1187" t="str">
        <f t="shared" si="18"/>
        <v>Hêtre - Nord-Ouest (INRA, Hamilton &amp; Christie, 1971) - classe 4 (acct moyen maximum : 4 m3/ha/an)_16</v>
      </c>
      <c r="E1187" s="3">
        <v>13.866666666666672</v>
      </c>
      <c r="F1187" s="3">
        <v>0</v>
      </c>
      <c r="G1187" s="3">
        <v>13.866666666666672</v>
      </c>
    </row>
    <row r="1188" spans="1:7" x14ac:dyDescent="0.2">
      <c r="A1188" s="3" t="s">
        <v>4</v>
      </c>
      <c r="B1188" t="s">
        <v>983</v>
      </c>
      <c r="C1188" s="3">
        <v>17</v>
      </c>
      <c r="D1188" t="str">
        <f t="shared" si="18"/>
        <v>Hêtre - Nord-Ouest (INRA, Hamilton &amp; Christie, 1971) - classe 4 (acct moyen maximum : 4 m3/ha/an)_17</v>
      </c>
      <c r="E1188" s="3">
        <v>14.73333333333334</v>
      </c>
      <c r="F1188" s="3">
        <v>0</v>
      </c>
      <c r="G1188" s="3">
        <v>14.73333333333334</v>
      </c>
    </row>
    <row r="1189" spans="1:7" x14ac:dyDescent="0.2">
      <c r="A1189" s="3" t="s">
        <v>4</v>
      </c>
      <c r="B1189" t="s">
        <v>983</v>
      </c>
      <c r="C1189" s="3">
        <v>18</v>
      </c>
      <c r="D1189" t="str">
        <f t="shared" si="18"/>
        <v>Hêtre - Nord-Ouest (INRA, Hamilton &amp; Christie, 1971) - classe 4 (acct moyen maximum : 4 m3/ha/an)_18</v>
      </c>
      <c r="E1189" s="3">
        <v>15.600000000000007</v>
      </c>
      <c r="F1189" s="3">
        <v>0</v>
      </c>
      <c r="G1189" s="3">
        <v>15.600000000000007</v>
      </c>
    </row>
    <row r="1190" spans="1:7" x14ac:dyDescent="0.2">
      <c r="A1190" s="3" t="s">
        <v>4</v>
      </c>
      <c r="B1190" t="s">
        <v>983</v>
      </c>
      <c r="C1190" s="3">
        <v>19</v>
      </c>
      <c r="D1190" t="str">
        <f t="shared" si="18"/>
        <v>Hêtre - Nord-Ouest (INRA, Hamilton &amp; Christie, 1971) - classe 4 (acct moyen maximum : 4 m3/ha/an)_19</v>
      </c>
      <c r="E1190" s="3">
        <v>16.466666666666672</v>
      </c>
      <c r="F1190" s="3">
        <v>0</v>
      </c>
      <c r="G1190" s="3">
        <v>16.466666666666672</v>
      </c>
    </row>
    <row r="1191" spans="1:7" x14ac:dyDescent="0.2">
      <c r="A1191" s="3" t="s">
        <v>4</v>
      </c>
      <c r="B1191" t="s">
        <v>983</v>
      </c>
      <c r="C1191" s="3">
        <v>20</v>
      </c>
      <c r="D1191" t="str">
        <f t="shared" si="18"/>
        <v>Hêtre - Nord-Ouest (INRA, Hamilton &amp; Christie, 1971) - classe 4 (acct moyen maximum : 4 m3/ha/an)_20</v>
      </c>
      <c r="E1191" s="3">
        <v>17.333333333333339</v>
      </c>
      <c r="F1191" s="3">
        <v>0</v>
      </c>
      <c r="G1191" s="3">
        <v>17.333333333333339</v>
      </c>
    </row>
    <row r="1192" spans="1:7" x14ac:dyDescent="0.2">
      <c r="A1192" s="3" t="s">
        <v>4</v>
      </c>
      <c r="B1192" t="s">
        <v>983</v>
      </c>
      <c r="C1192" s="3">
        <v>21</v>
      </c>
      <c r="D1192" t="str">
        <f t="shared" si="18"/>
        <v>Hêtre - Nord-Ouest (INRA, Hamilton &amp; Christie, 1971) - classe 4 (acct moyen maximum : 4 m3/ha/an)_21</v>
      </c>
      <c r="E1192" s="3">
        <v>18.200000000000006</v>
      </c>
      <c r="F1192" s="3">
        <v>0</v>
      </c>
      <c r="G1192" s="3">
        <v>18.200000000000006</v>
      </c>
    </row>
    <row r="1193" spans="1:7" x14ac:dyDescent="0.2">
      <c r="A1193" s="3" t="s">
        <v>4</v>
      </c>
      <c r="B1193" t="s">
        <v>983</v>
      </c>
      <c r="C1193" s="3">
        <v>22</v>
      </c>
      <c r="D1193" t="str">
        <f t="shared" si="18"/>
        <v>Hêtre - Nord-Ouest (INRA, Hamilton &amp; Christie, 1971) - classe 4 (acct moyen maximum : 4 m3/ha/an)_22</v>
      </c>
      <c r="E1193" s="3">
        <v>19.066666666666674</v>
      </c>
      <c r="F1193" s="3">
        <v>0</v>
      </c>
      <c r="G1193" s="3">
        <v>19.066666666666674</v>
      </c>
    </row>
    <row r="1194" spans="1:7" x14ac:dyDescent="0.2">
      <c r="A1194" s="3" t="s">
        <v>4</v>
      </c>
      <c r="B1194" t="s">
        <v>983</v>
      </c>
      <c r="C1194" s="3">
        <v>23</v>
      </c>
      <c r="D1194" t="str">
        <f t="shared" si="18"/>
        <v>Hêtre - Nord-Ouest (INRA, Hamilton &amp; Christie, 1971) - classe 4 (acct moyen maximum : 4 m3/ha/an)_23</v>
      </c>
      <c r="E1194" s="3">
        <v>19.933333333333341</v>
      </c>
      <c r="F1194" s="3">
        <v>0</v>
      </c>
      <c r="G1194" s="3">
        <v>19.933333333333341</v>
      </c>
    </row>
    <row r="1195" spans="1:7" x14ac:dyDescent="0.2">
      <c r="A1195" s="3" t="s">
        <v>4</v>
      </c>
      <c r="B1195" t="s">
        <v>983</v>
      </c>
      <c r="C1195" s="3">
        <v>24</v>
      </c>
      <c r="D1195" t="str">
        <f t="shared" si="18"/>
        <v>Hêtre - Nord-Ouest (INRA, Hamilton &amp; Christie, 1971) - classe 4 (acct moyen maximum : 4 m3/ha/an)_24</v>
      </c>
      <c r="E1195" s="3">
        <v>20.800000000000008</v>
      </c>
      <c r="F1195" s="3">
        <v>0</v>
      </c>
      <c r="G1195" s="3">
        <v>20.800000000000008</v>
      </c>
    </row>
    <row r="1196" spans="1:7" x14ac:dyDescent="0.2">
      <c r="A1196" s="3" t="s">
        <v>4</v>
      </c>
      <c r="B1196" t="s">
        <v>983</v>
      </c>
      <c r="C1196" s="3">
        <v>25</v>
      </c>
      <c r="D1196" t="str">
        <f t="shared" si="18"/>
        <v>Hêtre - Nord-Ouest (INRA, Hamilton &amp; Christie, 1971) - classe 4 (acct moyen maximum : 4 m3/ha/an)_25</v>
      </c>
      <c r="E1196" s="3">
        <v>21.666666666666675</v>
      </c>
      <c r="F1196" s="3">
        <v>0</v>
      </c>
      <c r="G1196" s="3">
        <v>21.666666666666675</v>
      </c>
    </row>
    <row r="1197" spans="1:7" x14ac:dyDescent="0.2">
      <c r="A1197" s="3" t="s">
        <v>4</v>
      </c>
      <c r="B1197" t="s">
        <v>983</v>
      </c>
      <c r="C1197" s="3">
        <v>26</v>
      </c>
      <c r="D1197" t="str">
        <f t="shared" si="18"/>
        <v>Hêtre - Nord-Ouest (INRA, Hamilton &amp; Christie, 1971) - classe 4 (acct moyen maximum : 4 m3/ha/an)_26</v>
      </c>
      <c r="E1197" s="3">
        <v>22.533333333333342</v>
      </c>
      <c r="F1197" s="3">
        <v>0</v>
      </c>
      <c r="G1197" s="3">
        <v>22.533333333333342</v>
      </c>
    </row>
    <row r="1198" spans="1:7" x14ac:dyDescent="0.2">
      <c r="A1198" s="3" t="s">
        <v>4</v>
      </c>
      <c r="B1198" t="s">
        <v>983</v>
      </c>
      <c r="C1198" s="3">
        <v>27</v>
      </c>
      <c r="D1198" t="str">
        <f t="shared" si="18"/>
        <v>Hêtre - Nord-Ouest (INRA, Hamilton &amp; Christie, 1971) - classe 4 (acct moyen maximum : 4 m3/ha/an)_27</v>
      </c>
      <c r="E1198" s="3">
        <v>23.400000000000009</v>
      </c>
      <c r="F1198" s="3">
        <v>0</v>
      </c>
      <c r="G1198" s="3">
        <v>23.400000000000009</v>
      </c>
    </row>
    <row r="1199" spans="1:7" x14ac:dyDescent="0.2">
      <c r="A1199" s="3" t="s">
        <v>4</v>
      </c>
      <c r="B1199" t="s">
        <v>983</v>
      </c>
      <c r="C1199" s="3">
        <v>28</v>
      </c>
      <c r="D1199" t="str">
        <f t="shared" si="18"/>
        <v>Hêtre - Nord-Ouest (INRA, Hamilton &amp; Christie, 1971) - classe 4 (acct moyen maximum : 4 m3/ha/an)_28</v>
      </c>
      <c r="E1199" s="3">
        <v>24.266666666666676</v>
      </c>
      <c r="F1199" s="3">
        <v>0</v>
      </c>
      <c r="G1199" s="3">
        <v>24.266666666666676</v>
      </c>
    </row>
    <row r="1200" spans="1:7" x14ac:dyDescent="0.2">
      <c r="A1200" s="3" t="s">
        <v>4</v>
      </c>
      <c r="B1200" t="s">
        <v>983</v>
      </c>
      <c r="C1200" s="3">
        <v>29</v>
      </c>
      <c r="D1200" t="str">
        <f t="shared" si="18"/>
        <v>Hêtre - Nord-Ouest (INRA, Hamilton &amp; Christie, 1971) - classe 4 (acct moyen maximum : 4 m3/ha/an)_29</v>
      </c>
      <c r="E1200" s="3">
        <v>25.133333333333344</v>
      </c>
      <c r="F1200" s="3">
        <v>0</v>
      </c>
      <c r="G1200" s="3">
        <v>25.133333333333344</v>
      </c>
    </row>
    <row r="1201" spans="1:7" x14ac:dyDescent="0.2">
      <c r="A1201" s="3" t="s">
        <v>4</v>
      </c>
      <c r="B1201" t="s">
        <v>983</v>
      </c>
      <c r="C1201" s="3">
        <v>30</v>
      </c>
      <c r="D1201" t="str">
        <f t="shared" si="18"/>
        <v>Hêtre - Nord-Ouest (INRA, Hamilton &amp; Christie, 1971) - classe 4 (acct moyen maximum : 4 m3/ha/an)_30</v>
      </c>
      <c r="E1201" s="3">
        <v>26</v>
      </c>
      <c r="F1201" s="3">
        <v>0</v>
      </c>
      <c r="G1201" s="3">
        <v>26</v>
      </c>
    </row>
    <row r="1202" spans="1:7" x14ac:dyDescent="0.2">
      <c r="A1202" s="3" t="s">
        <v>1</v>
      </c>
      <c r="B1202" t="s">
        <v>995</v>
      </c>
      <c r="C1202" s="3">
        <v>1</v>
      </c>
      <c r="D1202" t="str">
        <f t="shared" si="18"/>
        <v>Chêne - Secteur ligérien (INRA, J.Parde , 1962) - classe unique (Centre et Ouest)_1</v>
      </c>
      <c r="E1202" s="3">
        <v>0.53333333333333333</v>
      </c>
      <c r="F1202" s="3">
        <v>0</v>
      </c>
      <c r="G1202" s="3">
        <v>0.53333333333333333</v>
      </c>
    </row>
    <row r="1203" spans="1:7" x14ac:dyDescent="0.2">
      <c r="A1203" s="3" t="s">
        <v>1</v>
      </c>
      <c r="B1203" t="s">
        <v>995</v>
      </c>
      <c r="C1203" s="3">
        <v>2</v>
      </c>
      <c r="D1203" t="str">
        <f t="shared" si="18"/>
        <v>Chêne - Secteur ligérien (INRA, J.Parde , 1962) - classe unique (Centre et Ouest)_2</v>
      </c>
      <c r="E1203" s="3">
        <v>1.0666666666666667</v>
      </c>
      <c r="F1203" s="3">
        <v>0</v>
      </c>
      <c r="G1203" s="3">
        <v>1.0666666666666667</v>
      </c>
    </row>
    <row r="1204" spans="1:7" x14ac:dyDescent="0.2">
      <c r="A1204" s="3" t="s">
        <v>1</v>
      </c>
      <c r="B1204" t="s">
        <v>995</v>
      </c>
      <c r="C1204" s="3">
        <v>3</v>
      </c>
      <c r="D1204" t="str">
        <f t="shared" si="18"/>
        <v>Chêne - Secteur ligérien (INRA, J.Parde , 1962) - classe unique (Centre et Ouest)_3</v>
      </c>
      <c r="E1204" s="3">
        <v>1.6</v>
      </c>
      <c r="F1204" s="3">
        <v>0</v>
      </c>
      <c r="G1204" s="3">
        <v>1.6</v>
      </c>
    </row>
    <row r="1205" spans="1:7" x14ac:dyDescent="0.2">
      <c r="A1205" s="3" t="s">
        <v>1</v>
      </c>
      <c r="B1205" t="s">
        <v>995</v>
      </c>
      <c r="C1205" s="3">
        <v>4</v>
      </c>
      <c r="D1205" t="str">
        <f t="shared" si="18"/>
        <v>Chêne - Secteur ligérien (INRA, J.Parde , 1962) - classe unique (Centre et Ouest)_4</v>
      </c>
      <c r="E1205" s="3">
        <v>2.1333333333333333</v>
      </c>
      <c r="F1205" s="3">
        <v>0</v>
      </c>
      <c r="G1205" s="3">
        <v>2.1333333333333333</v>
      </c>
    </row>
    <row r="1206" spans="1:7" x14ac:dyDescent="0.2">
      <c r="A1206" s="3" t="s">
        <v>1</v>
      </c>
      <c r="B1206" t="s">
        <v>995</v>
      </c>
      <c r="C1206" s="3">
        <v>5</v>
      </c>
      <c r="D1206" t="str">
        <f t="shared" si="18"/>
        <v>Chêne - Secteur ligérien (INRA, J.Parde , 1962) - classe unique (Centre et Ouest)_5</v>
      </c>
      <c r="E1206" s="3">
        <v>2.6666666666666665</v>
      </c>
      <c r="F1206" s="3">
        <v>0</v>
      </c>
      <c r="G1206" s="3">
        <v>2.6666666666666665</v>
      </c>
    </row>
    <row r="1207" spans="1:7" x14ac:dyDescent="0.2">
      <c r="A1207" s="3" t="s">
        <v>1</v>
      </c>
      <c r="B1207" t="s">
        <v>995</v>
      </c>
      <c r="C1207" s="3">
        <v>6</v>
      </c>
      <c r="D1207" t="str">
        <f t="shared" si="18"/>
        <v>Chêne - Secteur ligérien (INRA, J.Parde , 1962) - classe unique (Centre et Ouest)_6</v>
      </c>
      <c r="E1207" s="3">
        <v>3.1999999999999997</v>
      </c>
      <c r="F1207" s="3">
        <v>0</v>
      </c>
      <c r="G1207" s="3">
        <v>3.1999999999999997</v>
      </c>
    </row>
    <row r="1208" spans="1:7" x14ac:dyDescent="0.2">
      <c r="A1208" s="3" t="s">
        <v>1</v>
      </c>
      <c r="B1208" t="s">
        <v>995</v>
      </c>
      <c r="C1208" s="3">
        <v>7</v>
      </c>
      <c r="D1208" t="str">
        <f t="shared" si="18"/>
        <v>Chêne - Secteur ligérien (INRA, J.Parde , 1962) - classe unique (Centre et Ouest)_7</v>
      </c>
      <c r="E1208" s="3">
        <v>3.7333333333333329</v>
      </c>
      <c r="F1208" s="3">
        <v>0</v>
      </c>
      <c r="G1208" s="3">
        <v>3.7333333333333329</v>
      </c>
    </row>
    <row r="1209" spans="1:7" x14ac:dyDescent="0.2">
      <c r="A1209" s="3" t="s">
        <v>1</v>
      </c>
      <c r="B1209" t="s">
        <v>995</v>
      </c>
      <c r="C1209" s="3">
        <v>8</v>
      </c>
      <c r="D1209" t="str">
        <f t="shared" si="18"/>
        <v>Chêne - Secteur ligérien (INRA, J.Parde , 1962) - classe unique (Centre et Ouest)_8</v>
      </c>
      <c r="E1209" s="3">
        <v>4.2666666666666666</v>
      </c>
      <c r="F1209" s="3">
        <v>0</v>
      </c>
      <c r="G1209" s="3">
        <v>4.2666666666666666</v>
      </c>
    </row>
    <row r="1210" spans="1:7" x14ac:dyDescent="0.2">
      <c r="A1210" s="3" t="s">
        <v>1</v>
      </c>
      <c r="B1210" t="s">
        <v>995</v>
      </c>
      <c r="C1210" s="3">
        <v>9</v>
      </c>
      <c r="D1210" t="str">
        <f t="shared" si="18"/>
        <v>Chêne - Secteur ligérien (INRA, J.Parde , 1962) - classe unique (Centre et Ouest)_9</v>
      </c>
      <c r="E1210" s="3">
        <v>4.8</v>
      </c>
      <c r="F1210" s="3">
        <v>0</v>
      </c>
      <c r="G1210" s="3">
        <v>4.8</v>
      </c>
    </row>
    <row r="1211" spans="1:7" x14ac:dyDescent="0.2">
      <c r="A1211" s="3" t="s">
        <v>1</v>
      </c>
      <c r="B1211" t="s">
        <v>995</v>
      </c>
      <c r="C1211" s="3">
        <v>10</v>
      </c>
      <c r="D1211" t="str">
        <f t="shared" si="18"/>
        <v>Chêne - Secteur ligérien (INRA, J.Parde , 1962) - classe unique (Centre et Ouest)_10</v>
      </c>
      <c r="E1211" s="3">
        <v>5.333333333333333</v>
      </c>
      <c r="F1211" s="3">
        <v>0</v>
      </c>
      <c r="G1211" s="3">
        <v>5.333333333333333</v>
      </c>
    </row>
    <row r="1212" spans="1:7" x14ac:dyDescent="0.2">
      <c r="A1212" s="3" t="s">
        <v>1</v>
      </c>
      <c r="B1212" t="s">
        <v>995</v>
      </c>
      <c r="C1212" s="3">
        <v>11</v>
      </c>
      <c r="D1212" t="str">
        <f t="shared" si="18"/>
        <v>Chêne - Secteur ligérien (INRA, J.Parde , 1962) - classe unique (Centre et Ouest)_11</v>
      </c>
      <c r="E1212" s="3">
        <v>5.8666666666666663</v>
      </c>
      <c r="F1212" s="3">
        <v>0</v>
      </c>
      <c r="G1212" s="3">
        <v>5.8666666666666663</v>
      </c>
    </row>
    <row r="1213" spans="1:7" x14ac:dyDescent="0.2">
      <c r="A1213" s="3" t="s">
        <v>1</v>
      </c>
      <c r="B1213" t="s">
        <v>995</v>
      </c>
      <c r="C1213" s="3">
        <v>12</v>
      </c>
      <c r="D1213" t="str">
        <f t="shared" si="18"/>
        <v>Chêne - Secteur ligérien (INRA, J.Parde , 1962) - classe unique (Centre et Ouest)_12</v>
      </c>
      <c r="E1213" s="3">
        <v>6.3999999999999995</v>
      </c>
      <c r="F1213" s="3">
        <v>0</v>
      </c>
      <c r="G1213" s="3">
        <v>6.3999999999999995</v>
      </c>
    </row>
    <row r="1214" spans="1:7" x14ac:dyDescent="0.2">
      <c r="A1214" s="3" t="s">
        <v>1</v>
      </c>
      <c r="B1214" t="s">
        <v>995</v>
      </c>
      <c r="C1214" s="3">
        <v>13</v>
      </c>
      <c r="D1214" t="str">
        <f t="shared" si="18"/>
        <v>Chêne - Secteur ligérien (INRA, J.Parde , 1962) - classe unique (Centre et Ouest)_13</v>
      </c>
      <c r="E1214" s="3">
        <v>6.9333333333333327</v>
      </c>
      <c r="F1214" s="3">
        <v>0</v>
      </c>
      <c r="G1214" s="3">
        <v>6.9333333333333327</v>
      </c>
    </row>
    <row r="1215" spans="1:7" x14ac:dyDescent="0.2">
      <c r="A1215" s="3" t="s">
        <v>1</v>
      </c>
      <c r="B1215" t="s">
        <v>995</v>
      </c>
      <c r="C1215" s="3">
        <v>14</v>
      </c>
      <c r="D1215" t="str">
        <f t="shared" si="18"/>
        <v>Chêne - Secteur ligérien (INRA, J.Parde , 1962) - classe unique (Centre et Ouest)_14</v>
      </c>
      <c r="E1215" s="3">
        <v>7.4666666666666659</v>
      </c>
      <c r="F1215" s="3">
        <v>0</v>
      </c>
      <c r="G1215" s="3">
        <v>7.4666666666666659</v>
      </c>
    </row>
    <row r="1216" spans="1:7" x14ac:dyDescent="0.2">
      <c r="A1216" s="3" t="s">
        <v>1</v>
      </c>
      <c r="B1216" t="s">
        <v>995</v>
      </c>
      <c r="C1216" s="3">
        <v>15</v>
      </c>
      <c r="D1216" t="str">
        <f t="shared" si="18"/>
        <v>Chêne - Secteur ligérien (INRA, J.Parde , 1962) - classe unique (Centre et Ouest)_15</v>
      </c>
      <c r="E1216" s="3">
        <v>7.9999999999999991</v>
      </c>
      <c r="F1216" s="3">
        <v>0</v>
      </c>
      <c r="G1216" s="3">
        <v>7.9999999999999991</v>
      </c>
    </row>
    <row r="1217" spans="1:7" x14ac:dyDescent="0.2">
      <c r="A1217" s="3" t="s">
        <v>1</v>
      </c>
      <c r="B1217" t="s">
        <v>995</v>
      </c>
      <c r="C1217" s="3">
        <v>16</v>
      </c>
      <c r="D1217" t="str">
        <f t="shared" si="18"/>
        <v>Chêne - Secteur ligérien (INRA, J.Parde , 1962) - classe unique (Centre et Ouest)_16</v>
      </c>
      <c r="E1217" s="3">
        <v>8.5333333333333332</v>
      </c>
      <c r="F1217" s="3">
        <v>0</v>
      </c>
      <c r="G1217" s="3">
        <v>8.5333333333333332</v>
      </c>
    </row>
    <row r="1218" spans="1:7" x14ac:dyDescent="0.2">
      <c r="A1218" s="3" t="s">
        <v>1</v>
      </c>
      <c r="B1218" t="s">
        <v>995</v>
      </c>
      <c r="C1218" s="3">
        <v>17</v>
      </c>
      <c r="D1218" t="str">
        <f t="shared" si="18"/>
        <v>Chêne - Secteur ligérien (INRA, J.Parde , 1962) - classe unique (Centre et Ouest)_17</v>
      </c>
      <c r="E1218" s="3">
        <v>9.0666666666666664</v>
      </c>
      <c r="F1218" s="3">
        <v>0</v>
      </c>
      <c r="G1218" s="3">
        <v>9.0666666666666664</v>
      </c>
    </row>
    <row r="1219" spans="1:7" x14ac:dyDescent="0.2">
      <c r="A1219" s="3" t="s">
        <v>1</v>
      </c>
      <c r="B1219" t="s">
        <v>995</v>
      </c>
      <c r="C1219" s="3">
        <v>18</v>
      </c>
      <c r="D1219" t="str">
        <f t="shared" ref="D1219:D1282" si="19">CONCATENATE(B1219,"_",C1219)</f>
        <v>Chêne - Secteur ligérien (INRA, J.Parde , 1962) - classe unique (Centre et Ouest)_18</v>
      </c>
      <c r="E1219" s="3">
        <v>9.6</v>
      </c>
      <c r="F1219" s="3">
        <v>0</v>
      </c>
      <c r="G1219" s="3">
        <v>9.6</v>
      </c>
    </row>
    <row r="1220" spans="1:7" x14ac:dyDescent="0.2">
      <c r="A1220" s="3" t="s">
        <v>1</v>
      </c>
      <c r="B1220" t="s">
        <v>995</v>
      </c>
      <c r="C1220" s="3">
        <v>19</v>
      </c>
      <c r="D1220" t="str">
        <f t="shared" si="19"/>
        <v>Chêne - Secteur ligérien (INRA, J.Parde , 1962) - classe unique (Centre et Ouest)_19</v>
      </c>
      <c r="E1220" s="3">
        <v>10.133333333333333</v>
      </c>
      <c r="F1220" s="3">
        <v>0</v>
      </c>
      <c r="G1220" s="3">
        <v>10.133333333333333</v>
      </c>
    </row>
    <row r="1221" spans="1:7" x14ac:dyDescent="0.2">
      <c r="A1221" s="3" t="s">
        <v>1</v>
      </c>
      <c r="B1221" t="s">
        <v>995</v>
      </c>
      <c r="C1221" s="3">
        <v>20</v>
      </c>
      <c r="D1221" t="str">
        <f t="shared" si="19"/>
        <v>Chêne - Secteur ligérien (INRA, J.Parde , 1962) - classe unique (Centre et Ouest)_20</v>
      </c>
      <c r="E1221" s="3">
        <v>10.666666666666666</v>
      </c>
      <c r="F1221" s="3">
        <v>0</v>
      </c>
      <c r="G1221" s="3">
        <v>10.666666666666666</v>
      </c>
    </row>
    <row r="1222" spans="1:7" x14ac:dyDescent="0.2">
      <c r="A1222" s="3" t="s">
        <v>1</v>
      </c>
      <c r="B1222" t="s">
        <v>995</v>
      </c>
      <c r="C1222" s="3">
        <v>21</v>
      </c>
      <c r="D1222" t="str">
        <f t="shared" si="19"/>
        <v>Chêne - Secteur ligérien (INRA, J.Parde , 1962) - classe unique (Centre et Ouest)_21</v>
      </c>
      <c r="E1222" s="3">
        <v>11.2</v>
      </c>
      <c r="F1222" s="3">
        <v>0</v>
      </c>
      <c r="G1222" s="3">
        <v>11.2</v>
      </c>
    </row>
    <row r="1223" spans="1:7" x14ac:dyDescent="0.2">
      <c r="A1223" s="3" t="s">
        <v>1</v>
      </c>
      <c r="B1223" t="s">
        <v>995</v>
      </c>
      <c r="C1223" s="3">
        <v>22</v>
      </c>
      <c r="D1223" t="str">
        <f t="shared" si="19"/>
        <v>Chêne - Secteur ligérien (INRA, J.Parde , 1962) - classe unique (Centre et Ouest)_22</v>
      </c>
      <c r="E1223" s="3">
        <v>11.733333333333333</v>
      </c>
      <c r="F1223" s="3">
        <v>0</v>
      </c>
      <c r="G1223" s="3">
        <v>11.733333333333333</v>
      </c>
    </row>
    <row r="1224" spans="1:7" x14ac:dyDescent="0.2">
      <c r="A1224" s="3" t="s">
        <v>1</v>
      </c>
      <c r="B1224" t="s">
        <v>995</v>
      </c>
      <c r="C1224" s="3">
        <v>23</v>
      </c>
      <c r="D1224" t="str">
        <f t="shared" si="19"/>
        <v>Chêne - Secteur ligérien (INRA, J.Parde , 1962) - classe unique (Centre et Ouest)_23</v>
      </c>
      <c r="E1224" s="3">
        <v>12.266666666666666</v>
      </c>
      <c r="F1224" s="3">
        <v>0</v>
      </c>
      <c r="G1224" s="3">
        <v>12.266666666666666</v>
      </c>
    </row>
    <row r="1225" spans="1:7" x14ac:dyDescent="0.2">
      <c r="A1225" s="3" t="s">
        <v>1</v>
      </c>
      <c r="B1225" t="s">
        <v>995</v>
      </c>
      <c r="C1225" s="3">
        <v>24</v>
      </c>
      <c r="D1225" t="str">
        <f t="shared" si="19"/>
        <v>Chêne - Secteur ligérien (INRA, J.Parde , 1962) - classe unique (Centre et Ouest)_24</v>
      </c>
      <c r="E1225" s="3">
        <v>12.799999999999999</v>
      </c>
      <c r="F1225" s="3">
        <v>0</v>
      </c>
      <c r="G1225" s="3">
        <v>12.799999999999999</v>
      </c>
    </row>
    <row r="1226" spans="1:7" x14ac:dyDescent="0.2">
      <c r="A1226" s="3" t="s">
        <v>1</v>
      </c>
      <c r="B1226" t="s">
        <v>995</v>
      </c>
      <c r="C1226" s="3">
        <v>25</v>
      </c>
      <c r="D1226" t="str">
        <f t="shared" si="19"/>
        <v>Chêne - Secteur ligérien (INRA, J.Parde , 1962) - classe unique (Centre et Ouest)_25</v>
      </c>
      <c r="E1226" s="3">
        <v>13.333333333333332</v>
      </c>
      <c r="F1226" s="3">
        <v>0</v>
      </c>
      <c r="G1226" s="3">
        <v>13.333333333333332</v>
      </c>
    </row>
    <row r="1227" spans="1:7" x14ac:dyDescent="0.2">
      <c r="A1227" s="3" t="s">
        <v>1</v>
      </c>
      <c r="B1227" t="s">
        <v>995</v>
      </c>
      <c r="C1227" s="3">
        <v>26</v>
      </c>
      <c r="D1227" t="str">
        <f t="shared" si="19"/>
        <v>Chêne - Secteur ligérien (INRA, J.Parde , 1962) - classe unique (Centre et Ouest)_26</v>
      </c>
      <c r="E1227" s="3">
        <v>13.866666666666665</v>
      </c>
      <c r="F1227" s="3">
        <v>0</v>
      </c>
      <c r="G1227" s="3">
        <v>13.866666666666665</v>
      </c>
    </row>
    <row r="1228" spans="1:7" x14ac:dyDescent="0.2">
      <c r="A1228" s="3" t="s">
        <v>1</v>
      </c>
      <c r="B1228" t="s">
        <v>995</v>
      </c>
      <c r="C1228" s="3">
        <v>27</v>
      </c>
      <c r="D1228" t="str">
        <f t="shared" si="19"/>
        <v>Chêne - Secteur ligérien (INRA, J.Parde , 1962) - classe unique (Centre et Ouest)_27</v>
      </c>
      <c r="E1228" s="3">
        <v>14.399999999999999</v>
      </c>
      <c r="F1228" s="3">
        <v>0</v>
      </c>
      <c r="G1228" s="3">
        <v>14.399999999999999</v>
      </c>
    </row>
    <row r="1229" spans="1:7" x14ac:dyDescent="0.2">
      <c r="A1229" s="3" t="s">
        <v>1</v>
      </c>
      <c r="B1229" t="s">
        <v>995</v>
      </c>
      <c r="C1229" s="3">
        <v>28</v>
      </c>
      <c r="D1229" t="str">
        <f t="shared" si="19"/>
        <v>Chêne - Secteur ligérien (INRA, J.Parde , 1962) - classe unique (Centre et Ouest)_28</v>
      </c>
      <c r="E1229" s="3">
        <v>14.933333333333332</v>
      </c>
      <c r="F1229" s="3">
        <v>0</v>
      </c>
      <c r="G1229" s="3">
        <v>14.933333333333332</v>
      </c>
    </row>
    <row r="1230" spans="1:7" x14ac:dyDescent="0.2">
      <c r="A1230" s="3" t="s">
        <v>1</v>
      </c>
      <c r="B1230" t="s">
        <v>995</v>
      </c>
      <c r="C1230" s="3">
        <v>29</v>
      </c>
      <c r="D1230" t="str">
        <f t="shared" si="19"/>
        <v>Chêne - Secteur ligérien (INRA, J.Parde , 1962) - classe unique (Centre et Ouest)_29</v>
      </c>
      <c r="E1230" s="3">
        <v>15.466666666666665</v>
      </c>
      <c r="F1230" s="3">
        <v>0</v>
      </c>
      <c r="G1230" s="3">
        <v>15.466666666666665</v>
      </c>
    </row>
    <row r="1231" spans="1:7" x14ac:dyDescent="0.2">
      <c r="A1231" s="3" t="s">
        <v>1</v>
      </c>
      <c r="B1231" t="s">
        <v>995</v>
      </c>
      <c r="C1231" s="3">
        <v>30</v>
      </c>
      <c r="D1231" t="str">
        <f t="shared" si="19"/>
        <v>Chêne - Secteur ligérien (INRA, J.Parde , 1962) - classe unique (Centre et Ouest)_30</v>
      </c>
      <c r="E1231" s="3">
        <v>16</v>
      </c>
      <c r="F1231" s="3">
        <v>1</v>
      </c>
      <c r="G1231" s="3">
        <v>15</v>
      </c>
    </row>
    <row r="1232" spans="1:7" x14ac:dyDescent="0.2">
      <c r="A1232" s="3" t="s">
        <v>1</v>
      </c>
      <c r="B1232" t="s">
        <v>764</v>
      </c>
      <c r="C1232" s="3">
        <v>1</v>
      </c>
      <c r="D1232" t="str">
        <f t="shared" si="19"/>
        <v>Chêne (sessile) - CAPSIS - Fertilité 1 - 2000 tiges/ha_1</v>
      </c>
      <c r="E1232" s="3">
        <v>0</v>
      </c>
      <c r="F1232" s="3">
        <v>0</v>
      </c>
      <c r="G1232" s="3">
        <v>0</v>
      </c>
    </row>
    <row r="1233" spans="1:7" x14ac:dyDescent="0.2">
      <c r="A1233" s="3" t="s">
        <v>1</v>
      </c>
      <c r="B1233" t="s">
        <v>764</v>
      </c>
      <c r="C1233" s="3">
        <v>2</v>
      </c>
      <c r="D1233" t="str">
        <f t="shared" si="19"/>
        <v>Chêne (sessile) - CAPSIS - Fertilité 1 - 2000 tiges/ha_2</v>
      </c>
      <c r="E1233" s="3">
        <v>0</v>
      </c>
      <c r="F1233" s="3">
        <v>0</v>
      </c>
      <c r="G1233" s="3">
        <v>0</v>
      </c>
    </row>
    <row r="1234" spans="1:7" x14ac:dyDescent="0.2">
      <c r="A1234" s="3" t="s">
        <v>1</v>
      </c>
      <c r="B1234" t="s">
        <v>764</v>
      </c>
      <c r="C1234" s="3">
        <v>3</v>
      </c>
      <c r="D1234" t="str">
        <f t="shared" si="19"/>
        <v>Chêne (sessile) - CAPSIS - Fertilité 1 - 2000 tiges/ha_3</v>
      </c>
      <c r="E1234" s="3">
        <v>0</v>
      </c>
      <c r="F1234" s="3">
        <v>0</v>
      </c>
      <c r="G1234" s="3">
        <v>0</v>
      </c>
    </row>
    <row r="1235" spans="1:7" x14ac:dyDescent="0.2">
      <c r="A1235" s="3" t="s">
        <v>1</v>
      </c>
      <c r="B1235" t="s">
        <v>764</v>
      </c>
      <c r="C1235" s="3">
        <v>4</v>
      </c>
      <c r="D1235" t="str">
        <f t="shared" si="19"/>
        <v>Chêne (sessile) - CAPSIS - Fertilité 1 - 2000 tiges/ha_4</v>
      </c>
      <c r="E1235" s="3">
        <v>0</v>
      </c>
      <c r="F1235" s="3">
        <v>0</v>
      </c>
      <c r="G1235" s="3">
        <v>0</v>
      </c>
    </row>
    <row r="1236" spans="1:7" x14ac:dyDescent="0.2">
      <c r="A1236" s="3" t="s">
        <v>1</v>
      </c>
      <c r="B1236" t="s">
        <v>764</v>
      </c>
      <c r="C1236" s="3">
        <v>5</v>
      </c>
      <c r="D1236" t="str">
        <f t="shared" si="19"/>
        <v>Chêne (sessile) - CAPSIS - Fertilité 1 - 2000 tiges/ha_5</v>
      </c>
      <c r="E1236" s="3">
        <v>0</v>
      </c>
      <c r="F1236" s="3">
        <v>0</v>
      </c>
      <c r="G1236" s="3">
        <v>0</v>
      </c>
    </row>
    <row r="1237" spans="1:7" x14ac:dyDescent="0.2">
      <c r="A1237" s="3" t="s">
        <v>1</v>
      </c>
      <c r="B1237" t="s">
        <v>764</v>
      </c>
      <c r="C1237" s="3">
        <v>6</v>
      </c>
      <c r="D1237" t="str">
        <f t="shared" si="19"/>
        <v>Chêne (sessile) - CAPSIS - Fertilité 1 - 2000 tiges/ha_6</v>
      </c>
      <c r="E1237" s="3">
        <v>0</v>
      </c>
      <c r="F1237" s="3">
        <v>0</v>
      </c>
      <c r="G1237" s="3">
        <v>0</v>
      </c>
    </row>
    <row r="1238" spans="1:7" x14ac:dyDescent="0.2">
      <c r="A1238" s="3" t="s">
        <v>1</v>
      </c>
      <c r="B1238" t="s">
        <v>764</v>
      </c>
      <c r="C1238" s="3">
        <v>7</v>
      </c>
      <c r="D1238" t="str">
        <f t="shared" si="19"/>
        <v>Chêne (sessile) - CAPSIS - Fertilité 1 - 2000 tiges/ha_7</v>
      </c>
      <c r="E1238" s="3">
        <v>0</v>
      </c>
      <c r="F1238" s="3">
        <v>0</v>
      </c>
      <c r="G1238" s="3">
        <v>0</v>
      </c>
    </row>
    <row r="1239" spans="1:7" x14ac:dyDescent="0.2">
      <c r="A1239" s="3" t="s">
        <v>1</v>
      </c>
      <c r="B1239" t="s">
        <v>764</v>
      </c>
      <c r="C1239" s="3">
        <v>8</v>
      </c>
      <c r="D1239" t="str">
        <f t="shared" si="19"/>
        <v>Chêne (sessile) - CAPSIS - Fertilité 1 - 2000 tiges/ha_8</v>
      </c>
      <c r="E1239" s="3">
        <v>0</v>
      </c>
      <c r="F1239" s="3">
        <v>0</v>
      </c>
      <c r="G1239" s="3">
        <v>0</v>
      </c>
    </row>
    <row r="1240" spans="1:7" x14ac:dyDescent="0.2">
      <c r="A1240" s="3" t="s">
        <v>1</v>
      </c>
      <c r="B1240" t="s">
        <v>764</v>
      </c>
      <c r="C1240" s="3">
        <v>9</v>
      </c>
      <c r="D1240" t="str">
        <f t="shared" si="19"/>
        <v>Chêne (sessile) - CAPSIS - Fertilité 1 - 2000 tiges/ha_9</v>
      </c>
      <c r="E1240" s="3">
        <v>0</v>
      </c>
      <c r="F1240" s="3">
        <v>0</v>
      </c>
      <c r="G1240" s="3">
        <v>0</v>
      </c>
    </row>
    <row r="1241" spans="1:7" x14ac:dyDescent="0.2">
      <c r="A1241" s="3" t="s">
        <v>1</v>
      </c>
      <c r="B1241" t="s">
        <v>764</v>
      </c>
      <c r="C1241" s="3">
        <v>10</v>
      </c>
      <c r="D1241" t="str">
        <f t="shared" si="19"/>
        <v>Chêne (sessile) - CAPSIS - Fertilité 1 - 2000 tiges/ha_10</v>
      </c>
      <c r="E1241" s="3">
        <v>0</v>
      </c>
      <c r="F1241" s="3">
        <v>0</v>
      </c>
      <c r="G1241" s="3">
        <v>0</v>
      </c>
    </row>
    <row r="1242" spans="1:7" x14ac:dyDescent="0.2">
      <c r="A1242" s="3" t="s">
        <v>1</v>
      </c>
      <c r="B1242" t="s">
        <v>764</v>
      </c>
      <c r="C1242" s="3">
        <v>11</v>
      </c>
      <c r="D1242" t="str">
        <f t="shared" si="19"/>
        <v>Chêne (sessile) - CAPSIS - Fertilité 1 - 2000 tiges/ha_11</v>
      </c>
      <c r="E1242" s="3">
        <v>0</v>
      </c>
      <c r="F1242" s="3">
        <v>0</v>
      </c>
      <c r="G1242" s="3">
        <v>0</v>
      </c>
    </row>
    <row r="1243" spans="1:7" x14ac:dyDescent="0.2">
      <c r="A1243" s="3" t="s">
        <v>1</v>
      </c>
      <c r="B1243" t="s">
        <v>764</v>
      </c>
      <c r="C1243" s="3">
        <v>12</v>
      </c>
      <c r="D1243" t="str">
        <f t="shared" si="19"/>
        <v>Chêne (sessile) - CAPSIS - Fertilité 1 - 2000 tiges/ha_12</v>
      </c>
      <c r="E1243" s="3">
        <v>0</v>
      </c>
      <c r="F1243" s="3">
        <v>0</v>
      </c>
      <c r="G1243" s="3">
        <v>0</v>
      </c>
    </row>
    <row r="1244" spans="1:7" x14ac:dyDescent="0.2">
      <c r="A1244" s="3" t="s">
        <v>1</v>
      </c>
      <c r="B1244" t="s">
        <v>764</v>
      </c>
      <c r="C1244" s="3">
        <v>13</v>
      </c>
      <c r="D1244" t="str">
        <f t="shared" si="19"/>
        <v>Chêne (sessile) - CAPSIS - Fertilité 1 - 2000 tiges/ha_13</v>
      </c>
      <c r="E1244" s="3">
        <v>0</v>
      </c>
      <c r="F1244" s="3">
        <v>0</v>
      </c>
      <c r="G1244" s="3">
        <v>0</v>
      </c>
    </row>
    <row r="1245" spans="1:7" x14ac:dyDescent="0.2">
      <c r="A1245" s="3" t="s">
        <v>1</v>
      </c>
      <c r="B1245" t="s">
        <v>764</v>
      </c>
      <c r="C1245" s="3">
        <v>14</v>
      </c>
      <c r="D1245" t="str">
        <f t="shared" si="19"/>
        <v>Chêne (sessile) - CAPSIS - Fertilité 1 - 2000 tiges/ha_14</v>
      </c>
      <c r="E1245" s="3">
        <v>0</v>
      </c>
      <c r="F1245" s="3">
        <v>0</v>
      </c>
      <c r="G1245" s="3">
        <v>0</v>
      </c>
    </row>
    <row r="1246" spans="1:7" x14ac:dyDescent="0.2">
      <c r="A1246" s="3" t="s">
        <v>1</v>
      </c>
      <c r="B1246" t="s">
        <v>764</v>
      </c>
      <c r="C1246" s="3">
        <v>15</v>
      </c>
      <c r="D1246" t="str">
        <f t="shared" si="19"/>
        <v>Chêne (sessile) - CAPSIS - Fertilité 1 - 2000 tiges/ha_15</v>
      </c>
      <c r="E1246" s="3">
        <v>0.11</v>
      </c>
      <c r="F1246" s="3">
        <v>0</v>
      </c>
      <c r="G1246" s="3">
        <v>0.11</v>
      </c>
    </row>
    <row r="1247" spans="1:7" x14ac:dyDescent="0.2">
      <c r="A1247" s="3" t="s">
        <v>1</v>
      </c>
      <c r="B1247" t="s">
        <v>764</v>
      </c>
      <c r="C1247" s="3">
        <v>16</v>
      </c>
      <c r="D1247" t="str">
        <f t="shared" si="19"/>
        <v>Chêne (sessile) - CAPSIS - Fertilité 1 - 2000 tiges/ha_16</v>
      </c>
      <c r="E1247" s="3">
        <v>0.5033333333333333</v>
      </c>
      <c r="F1247" s="3">
        <v>0</v>
      </c>
      <c r="G1247" s="3">
        <v>0.5033333333333333</v>
      </c>
    </row>
    <row r="1248" spans="1:7" x14ac:dyDescent="0.2">
      <c r="A1248" s="3" t="s">
        <v>1</v>
      </c>
      <c r="B1248" t="s">
        <v>764</v>
      </c>
      <c r="C1248" s="3">
        <v>17</v>
      </c>
      <c r="D1248" t="str">
        <f t="shared" si="19"/>
        <v>Chêne (sessile) - CAPSIS - Fertilité 1 - 2000 tiges/ha_17</v>
      </c>
      <c r="E1248" s="3">
        <v>0.89666666666666661</v>
      </c>
      <c r="F1248" s="3">
        <v>0</v>
      </c>
      <c r="G1248" s="3">
        <v>0.89666666666666661</v>
      </c>
    </row>
    <row r="1249" spans="1:7" x14ac:dyDescent="0.2">
      <c r="A1249" s="3" t="s">
        <v>1</v>
      </c>
      <c r="B1249" t="s">
        <v>764</v>
      </c>
      <c r="C1249" s="3">
        <v>18</v>
      </c>
      <c r="D1249" t="str">
        <f t="shared" si="19"/>
        <v>Chêne (sessile) - CAPSIS - Fertilité 1 - 2000 tiges/ha_18</v>
      </c>
      <c r="E1249" s="3">
        <v>1.29</v>
      </c>
      <c r="F1249" s="3">
        <v>0</v>
      </c>
      <c r="G1249" s="3">
        <v>1.29</v>
      </c>
    </row>
    <row r="1250" spans="1:7" x14ac:dyDescent="0.2">
      <c r="A1250" s="3" t="s">
        <v>1</v>
      </c>
      <c r="B1250" t="s">
        <v>764</v>
      </c>
      <c r="C1250" s="3">
        <v>19</v>
      </c>
      <c r="D1250" t="str">
        <f t="shared" si="19"/>
        <v>Chêne (sessile) - CAPSIS - Fertilité 1 - 2000 tiges/ha_19</v>
      </c>
      <c r="E1250" s="3">
        <v>3.1133333333333333</v>
      </c>
      <c r="F1250" s="3">
        <v>0</v>
      </c>
      <c r="G1250" s="3">
        <v>3.1133333333333333</v>
      </c>
    </row>
    <row r="1251" spans="1:7" x14ac:dyDescent="0.2">
      <c r="A1251" s="3" t="s">
        <v>1</v>
      </c>
      <c r="B1251" t="s">
        <v>764</v>
      </c>
      <c r="C1251" s="3">
        <v>20</v>
      </c>
      <c r="D1251" t="str">
        <f t="shared" si="19"/>
        <v>Chêne (sessile) - CAPSIS - Fertilité 1 - 2000 tiges/ha_20</v>
      </c>
      <c r="E1251" s="3">
        <v>4.9366666666666665</v>
      </c>
      <c r="F1251" s="3">
        <v>0</v>
      </c>
      <c r="G1251" s="3">
        <v>4.9366666666666665</v>
      </c>
    </row>
    <row r="1252" spans="1:7" x14ac:dyDescent="0.2">
      <c r="A1252" s="3" t="s">
        <v>1</v>
      </c>
      <c r="B1252" t="s">
        <v>764</v>
      </c>
      <c r="C1252" s="3">
        <v>21</v>
      </c>
      <c r="D1252" t="str">
        <f t="shared" si="19"/>
        <v>Chêne (sessile) - CAPSIS - Fertilité 1 - 2000 tiges/ha_21</v>
      </c>
      <c r="E1252" s="3">
        <v>6.76</v>
      </c>
      <c r="F1252" s="3">
        <v>0</v>
      </c>
      <c r="G1252" s="3">
        <v>6.76</v>
      </c>
    </row>
    <row r="1253" spans="1:7" x14ac:dyDescent="0.2">
      <c r="A1253" s="3" t="s">
        <v>1</v>
      </c>
      <c r="B1253" t="s">
        <v>764</v>
      </c>
      <c r="C1253" s="3">
        <v>22</v>
      </c>
      <c r="D1253" t="str">
        <f t="shared" si="19"/>
        <v>Chêne (sessile) - CAPSIS - Fertilité 1 - 2000 tiges/ha_22</v>
      </c>
      <c r="E1253" s="3">
        <v>11.096666666666668</v>
      </c>
      <c r="F1253" s="3">
        <v>0</v>
      </c>
      <c r="G1253" s="3">
        <v>11.096666666666668</v>
      </c>
    </row>
    <row r="1254" spans="1:7" x14ac:dyDescent="0.2">
      <c r="A1254" s="3" t="s">
        <v>1</v>
      </c>
      <c r="B1254" t="s">
        <v>764</v>
      </c>
      <c r="C1254" s="3">
        <v>23</v>
      </c>
      <c r="D1254" t="str">
        <f t="shared" si="19"/>
        <v>Chêne (sessile) - CAPSIS - Fertilité 1 - 2000 tiges/ha_23</v>
      </c>
      <c r="E1254" s="3">
        <v>15.433333333333334</v>
      </c>
      <c r="F1254" s="3">
        <v>0</v>
      </c>
      <c r="G1254" s="3">
        <v>15.433333333333334</v>
      </c>
    </row>
    <row r="1255" spans="1:7" x14ac:dyDescent="0.2">
      <c r="A1255" s="3" t="s">
        <v>1</v>
      </c>
      <c r="B1255" t="s">
        <v>764</v>
      </c>
      <c r="C1255" s="3">
        <v>24</v>
      </c>
      <c r="D1255" t="str">
        <f t="shared" si="19"/>
        <v>Chêne (sessile) - CAPSIS - Fertilité 1 - 2000 tiges/ha_24</v>
      </c>
      <c r="E1255" s="3">
        <v>19.77</v>
      </c>
      <c r="F1255" s="3">
        <v>0</v>
      </c>
      <c r="G1255" s="3">
        <v>19.77</v>
      </c>
    </row>
    <row r="1256" spans="1:7" x14ac:dyDescent="0.2">
      <c r="A1256" s="3" t="s">
        <v>1</v>
      </c>
      <c r="B1256" t="s">
        <v>764</v>
      </c>
      <c r="C1256" s="3">
        <v>25</v>
      </c>
      <c r="D1256" t="str">
        <f t="shared" si="19"/>
        <v>Chêne (sessile) - CAPSIS - Fertilité 1 - 2000 tiges/ha_25</v>
      </c>
      <c r="E1256" s="3">
        <v>26.830000000000002</v>
      </c>
      <c r="F1256" s="3">
        <v>0</v>
      </c>
      <c r="G1256" s="3">
        <v>26.830000000000002</v>
      </c>
    </row>
    <row r="1257" spans="1:7" x14ac:dyDescent="0.2">
      <c r="A1257" s="3" t="s">
        <v>1</v>
      </c>
      <c r="B1257" t="s">
        <v>764</v>
      </c>
      <c r="C1257" s="3">
        <v>26</v>
      </c>
      <c r="D1257" t="str">
        <f t="shared" si="19"/>
        <v>Chêne (sessile) - CAPSIS - Fertilité 1 - 2000 tiges/ha_26</v>
      </c>
      <c r="E1257" s="3">
        <v>33.89</v>
      </c>
      <c r="F1257" s="3">
        <v>0</v>
      </c>
      <c r="G1257" s="3">
        <v>33.89</v>
      </c>
    </row>
    <row r="1258" spans="1:7" x14ac:dyDescent="0.2">
      <c r="A1258" s="3" t="s">
        <v>1</v>
      </c>
      <c r="B1258" t="s">
        <v>764</v>
      </c>
      <c r="C1258" s="3">
        <v>27</v>
      </c>
      <c r="D1258" t="str">
        <f t="shared" si="19"/>
        <v>Chêne (sessile) - CAPSIS - Fertilité 1 - 2000 tiges/ha_27</v>
      </c>
      <c r="E1258" s="3">
        <v>40.950000000000003</v>
      </c>
      <c r="F1258" s="3">
        <v>0</v>
      </c>
      <c r="G1258" s="3">
        <v>40.950000000000003</v>
      </c>
    </row>
    <row r="1259" spans="1:7" x14ac:dyDescent="0.2">
      <c r="A1259" s="3" t="s">
        <v>1</v>
      </c>
      <c r="B1259" t="s">
        <v>764</v>
      </c>
      <c r="C1259" s="3">
        <v>28</v>
      </c>
      <c r="D1259" t="str">
        <f t="shared" si="19"/>
        <v>Chêne (sessile) - CAPSIS - Fertilité 1 - 2000 tiges/ha_28</v>
      </c>
      <c r="E1259" s="3">
        <v>50.49</v>
      </c>
      <c r="F1259" s="3">
        <v>0</v>
      </c>
      <c r="G1259" s="3">
        <v>50.49</v>
      </c>
    </row>
    <row r="1260" spans="1:7" x14ac:dyDescent="0.2">
      <c r="A1260" s="3" t="s">
        <v>1</v>
      </c>
      <c r="B1260" t="s">
        <v>764</v>
      </c>
      <c r="C1260" s="3">
        <v>29</v>
      </c>
      <c r="D1260" t="str">
        <f t="shared" si="19"/>
        <v>Chêne (sessile) - CAPSIS - Fertilité 1 - 2000 tiges/ha_29</v>
      </c>
      <c r="E1260" s="3">
        <v>60.03</v>
      </c>
      <c r="F1260" s="3">
        <v>0</v>
      </c>
      <c r="G1260" s="3">
        <v>60.03</v>
      </c>
    </row>
    <row r="1261" spans="1:7" x14ac:dyDescent="0.2">
      <c r="A1261" s="3" t="s">
        <v>1</v>
      </c>
      <c r="B1261" t="s">
        <v>764</v>
      </c>
      <c r="C1261" s="3">
        <v>30</v>
      </c>
      <c r="D1261" t="str">
        <f t="shared" si="19"/>
        <v>Chêne (sessile) - CAPSIS - Fertilité 1 - 2000 tiges/ha_30</v>
      </c>
      <c r="E1261" s="3">
        <v>69.569999999999993</v>
      </c>
      <c r="F1261" s="3">
        <v>0</v>
      </c>
      <c r="G1261" s="3">
        <v>69.569999999999993</v>
      </c>
    </row>
    <row r="1262" spans="1:7" x14ac:dyDescent="0.2">
      <c r="A1262" s="3" t="s">
        <v>1</v>
      </c>
      <c r="B1262" t="s">
        <v>984</v>
      </c>
      <c r="C1262" s="3">
        <v>1</v>
      </c>
      <c r="D1262" t="str">
        <f t="shared" si="19"/>
        <v>Chênaies atlantiques - (ONF, Jarret P. , 2004) - classe 1_1</v>
      </c>
      <c r="E1262" s="3">
        <v>6.8965517241379309E-2</v>
      </c>
      <c r="F1262" s="3">
        <v>0</v>
      </c>
      <c r="G1262" s="3">
        <v>6.8965517241379309E-2</v>
      </c>
    </row>
    <row r="1263" spans="1:7" x14ac:dyDescent="0.2">
      <c r="A1263" s="3" t="s">
        <v>1</v>
      </c>
      <c r="B1263" t="s">
        <v>984</v>
      </c>
      <c r="C1263" s="3">
        <v>2</v>
      </c>
      <c r="D1263" t="str">
        <f t="shared" si="19"/>
        <v>Chênaies atlantiques - (ONF, Jarret P. , 2004) - classe 1_2</v>
      </c>
      <c r="E1263" s="3">
        <v>0.13793103448275862</v>
      </c>
      <c r="F1263" s="3">
        <v>0</v>
      </c>
      <c r="G1263" s="3">
        <v>0.13793103448275862</v>
      </c>
    </row>
    <row r="1264" spans="1:7" x14ac:dyDescent="0.2">
      <c r="A1264" s="3" t="s">
        <v>1</v>
      </c>
      <c r="B1264" t="s">
        <v>984</v>
      </c>
      <c r="C1264" s="3">
        <v>3</v>
      </c>
      <c r="D1264" t="str">
        <f t="shared" si="19"/>
        <v>Chênaies atlantiques - (ONF, Jarret P. , 2004) - classe 1_3</v>
      </c>
      <c r="E1264" s="3">
        <v>0.20689655172413793</v>
      </c>
      <c r="F1264" s="3">
        <v>0</v>
      </c>
      <c r="G1264" s="3">
        <v>0.20689655172413793</v>
      </c>
    </row>
    <row r="1265" spans="1:7" x14ac:dyDescent="0.2">
      <c r="A1265" s="3" t="s">
        <v>1</v>
      </c>
      <c r="B1265" t="s">
        <v>984</v>
      </c>
      <c r="C1265" s="3">
        <v>4</v>
      </c>
      <c r="D1265" t="str">
        <f t="shared" si="19"/>
        <v>Chênaies atlantiques - (ONF, Jarret P. , 2004) - classe 1_4</v>
      </c>
      <c r="E1265" s="3">
        <v>0.27586206896551724</v>
      </c>
      <c r="F1265" s="3">
        <v>0</v>
      </c>
      <c r="G1265" s="3">
        <v>0.27586206896551724</v>
      </c>
    </row>
    <row r="1266" spans="1:7" x14ac:dyDescent="0.2">
      <c r="A1266" s="3" t="s">
        <v>1</v>
      </c>
      <c r="B1266" t="s">
        <v>984</v>
      </c>
      <c r="C1266" s="3">
        <v>5</v>
      </c>
      <c r="D1266" t="str">
        <f t="shared" si="19"/>
        <v>Chênaies atlantiques - (ONF, Jarret P. , 2004) - classe 1_5</v>
      </c>
      <c r="E1266" s="3">
        <v>0.34482758620689657</v>
      </c>
      <c r="F1266" s="3">
        <v>0</v>
      </c>
      <c r="G1266" s="3">
        <v>0.34482758620689657</v>
      </c>
    </row>
    <row r="1267" spans="1:7" x14ac:dyDescent="0.2">
      <c r="A1267" s="3" t="s">
        <v>1</v>
      </c>
      <c r="B1267" t="s">
        <v>984</v>
      </c>
      <c r="C1267" s="3">
        <v>6</v>
      </c>
      <c r="D1267" t="str">
        <f t="shared" si="19"/>
        <v>Chênaies atlantiques - (ONF, Jarret P. , 2004) - classe 1_6</v>
      </c>
      <c r="E1267" s="3">
        <v>0.41379310344827591</v>
      </c>
      <c r="F1267" s="3">
        <v>0</v>
      </c>
      <c r="G1267" s="3">
        <v>0.41379310344827591</v>
      </c>
    </row>
    <row r="1268" spans="1:7" x14ac:dyDescent="0.2">
      <c r="A1268" s="3" t="s">
        <v>1</v>
      </c>
      <c r="B1268" t="s">
        <v>984</v>
      </c>
      <c r="C1268" s="3">
        <v>7</v>
      </c>
      <c r="D1268" t="str">
        <f t="shared" si="19"/>
        <v>Chênaies atlantiques - (ONF, Jarret P. , 2004) - classe 1_7</v>
      </c>
      <c r="E1268" s="3">
        <v>0.48275862068965525</v>
      </c>
      <c r="F1268" s="3">
        <v>0</v>
      </c>
      <c r="G1268" s="3">
        <v>0.48275862068965525</v>
      </c>
    </row>
    <row r="1269" spans="1:7" x14ac:dyDescent="0.2">
      <c r="A1269" s="3" t="s">
        <v>1</v>
      </c>
      <c r="B1269" t="s">
        <v>984</v>
      </c>
      <c r="C1269" s="3">
        <v>8</v>
      </c>
      <c r="D1269" t="str">
        <f t="shared" si="19"/>
        <v>Chênaies atlantiques - (ONF, Jarret P. , 2004) - classe 1_8</v>
      </c>
      <c r="E1269" s="3">
        <v>0.55172413793103459</v>
      </c>
      <c r="F1269" s="3">
        <v>0</v>
      </c>
      <c r="G1269" s="3">
        <v>0.55172413793103459</v>
      </c>
    </row>
    <row r="1270" spans="1:7" x14ac:dyDescent="0.2">
      <c r="A1270" s="3" t="s">
        <v>1</v>
      </c>
      <c r="B1270" t="s">
        <v>984</v>
      </c>
      <c r="C1270" s="3">
        <v>9</v>
      </c>
      <c r="D1270" t="str">
        <f t="shared" si="19"/>
        <v>Chênaies atlantiques - (ONF, Jarret P. , 2004) - classe 1_9</v>
      </c>
      <c r="E1270" s="3">
        <v>0.62068965517241392</v>
      </c>
      <c r="F1270" s="3">
        <v>0</v>
      </c>
      <c r="G1270" s="3">
        <v>0.62068965517241392</v>
      </c>
    </row>
    <row r="1271" spans="1:7" x14ac:dyDescent="0.2">
      <c r="A1271" s="3" t="s">
        <v>1</v>
      </c>
      <c r="B1271" t="s">
        <v>984</v>
      </c>
      <c r="C1271" s="3">
        <v>10</v>
      </c>
      <c r="D1271" t="str">
        <f t="shared" si="19"/>
        <v>Chênaies atlantiques - (ONF, Jarret P. , 2004) - classe 1_10</v>
      </c>
      <c r="E1271" s="3">
        <v>0.68965517241379326</v>
      </c>
      <c r="F1271" s="3">
        <v>0</v>
      </c>
      <c r="G1271" s="3">
        <v>0.68965517241379326</v>
      </c>
    </row>
    <row r="1272" spans="1:7" x14ac:dyDescent="0.2">
      <c r="A1272" s="3" t="s">
        <v>1</v>
      </c>
      <c r="B1272" t="s">
        <v>984</v>
      </c>
      <c r="C1272" s="3">
        <v>11</v>
      </c>
      <c r="D1272" t="str">
        <f t="shared" si="19"/>
        <v>Chênaies atlantiques - (ONF, Jarret P. , 2004) - classe 1_11</v>
      </c>
      <c r="E1272" s="3">
        <v>0.7586206896551726</v>
      </c>
      <c r="F1272" s="3">
        <v>0</v>
      </c>
      <c r="G1272" s="3">
        <v>0.7586206896551726</v>
      </c>
    </row>
    <row r="1273" spans="1:7" x14ac:dyDescent="0.2">
      <c r="A1273" s="3" t="s">
        <v>1</v>
      </c>
      <c r="B1273" t="s">
        <v>984</v>
      </c>
      <c r="C1273" s="3">
        <v>12</v>
      </c>
      <c r="D1273" t="str">
        <f t="shared" si="19"/>
        <v>Chênaies atlantiques - (ONF, Jarret P. , 2004) - classe 1_12</v>
      </c>
      <c r="E1273" s="3">
        <v>0.82758620689655193</v>
      </c>
      <c r="F1273" s="3">
        <v>0</v>
      </c>
      <c r="G1273" s="3">
        <v>0.82758620689655193</v>
      </c>
    </row>
    <row r="1274" spans="1:7" x14ac:dyDescent="0.2">
      <c r="A1274" s="3" t="s">
        <v>1</v>
      </c>
      <c r="B1274" t="s">
        <v>984</v>
      </c>
      <c r="C1274" s="3">
        <v>13</v>
      </c>
      <c r="D1274" t="str">
        <f t="shared" si="19"/>
        <v>Chênaies atlantiques - (ONF, Jarret P. , 2004) - classe 1_13</v>
      </c>
      <c r="E1274" s="3">
        <v>0.89655172413793127</v>
      </c>
      <c r="F1274" s="3">
        <v>0</v>
      </c>
      <c r="G1274" s="3">
        <v>0.89655172413793127</v>
      </c>
    </row>
    <row r="1275" spans="1:7" x14ac:dyDescent="0.2">
      <c r="A1275" s="3" t="s">
        <v>1</v>
      </c>
      <c r="B1275" t="s">
        <v>984</v>
      </c>
      <c r="C1275" s="3">
        <v>14</v>
      </c>
      <c r="D1275" t="str">
        <f t="shared" si="19"/>
        <v>Chênaies atlantiques - (ONF, Jarret P. , 2004) - classe 1_14</v>
      </c>
      <c r="E1275" s="3">
        <v>0.96551724137931061</v>
      </c>
      <c r="F1275" s="3">
        <v>0</v>
      </c>
      <c r="G1275" s="3">
        <v>0.96551724137931061</v>
      </c>
    </row>
    <row r="1276" spans="1:7" x14ac:dyDescent="0.2">
      <c r="A1276" s="3" t="s">
        <v>1</v>
      </c>
      <c r="B1276" t="s">
        <v>984</v>
      </c>
      <c r="C1276" s="3">
        <v>15</v>
      </c>
      <c r="D1276" t="str">
        <f t="shared" si="19"/>
        <v>Chênaies atlantiques - (ONF, Jarret P. , 2004) - classe 1_15</v>
      </c>
      <c r="E1276" s="3">
        <v>1.0344827586206899</v>
      </c>
      <c r="F1276" s="3">
        <v>0</v>
      </c>
      <c r="G1276" s="3">
        <v>1.0344827586206899</v>
      </c>
    </row>
    <row r="1277" spans="1:7" x14ac:dyDescent="0.2">
      <c r="A1277" s="3" t="s">
        <v>1</v>
      </c>
      <c r="B1277" t="s">
        <v>984</v>
      </c>
      <c r="C1277" s="3">
        <v>16</v>
      </c>
      <c r="D1277" t="str">
        <f t="shared" si="19"/>
        <v>Chênaies atlantiques - (ONF, Jarret P. , 2004) - classe 1_16</v>
      </c>
      <c r="E1277" s="3">
        <v>1.1034482758620692</v>
      </c>
      <c r="F1277" s="3">
        <v>0</v>
      </c>
      <c r="G1277" s="3">
        <v>1.1034482758620692</v>
      </c>
    </row>
    <row r="1278" spans="1:7" x14ac:dyDescent="0.2">
      <c r="A1278" s="3" t="s">
        <v>1</v>
      </c>
      <c r="B1278" t="s">
        <v>984</v>
      </c>
      <c r="C1278" s="3">
        <v>17</v>
      </c>
      <c r="D1278" t="str">
        <f t="shared" si="19"/>
        <v>Chênaies atlantiques - (ONF, Jarret P. , 2004) - classe 1_17</v>
      </c>
      <c r="E1278" s="3">
        <v>1.1724137931034484</v>
      </c>
      <c r="F1278" s="3">
        <v>0</v>
      </c>
      <c r="G1278" s="3">
        <v>1.1724137931034484</v>
      </c>
    </row>
    <row r="1279" spans="1:7" x14ac:dyDescent="0.2">
      <c r="A1279" s="3" t="s">
        <v>1</v>
      </c>
      <c r="B1279" t="s">
        <v>984</v>
      </c>
      <c r="C1279" s="3">
        <v>18</v>
      </c>
      <c r="D1279" t="str">
        <f t="shared" si="19"/>
        <v>Chênaies atlantiques - (ONF, Jarret P. , 2004) - classe 1_18</v>
      </c>
      <c r="E1279" s="3">
        <v>1.2413793103448276</v>
      </c>
      <c r="F1279" s="3">
        <v>0</v>
      </c>
      <c r="G1279" s="3">
        <v>1.2413793103448276</v>
      </c>
    </row>
    <row r="1280" spans="1:7" x14ac:dyDescent="0.2">
      <c r="A1280" s="3" t="s">
        <v>1</v>
      </c>
      <c r="B1280" t="s">
        <v>984</v>
      </c>
      <c r="C1280" s="3">
        <v>19</v>
      </c>
      <c r="D1280" t="str">
        <f t="shared" si="19"/>
        <v>Chênaies atlantiques - (ONF, Jarret P. , 2004) - classe 1_19</v>
      </c>
      <c r="E1280" s="3">
        <v>1.3103448275862069</v>
      </c>
      <c r="F1280" s="3">
        <v>0</v>
      </c>
      <c r="G1280" s="3">
        <v>1.3103448275862069</v>
      </c>
    </row>
    <row r="1281" spans="1:7" x14ac:dyDescent="0.2">
      <c r="A1281" s="3" t="s">
        <v>1</v>
      </c>
      <c r="B1281" t="s">
        <v>984</v>
      </c>
      <c r="C1281" s="3">
        <v>20</v>
      </c>
      <c r="D1281" t="str">
        <f t="shared" si="19"/>
        <v>Chênaies atlantiques - (ONF, Jarret P. , 2004) - classe 1_20</v>
      </c>
      <c r="E1281" s="3">
        <v>1.3793103448275861</v>
      </c>
      <c r="F1281" s="3">
        <v>0</v>
      </c>
      <c r="G1281" s="3">
        <v>1.3793103448275861</v>
      </c>
    </row>
    <row r="1282" spans="1:7" x14ac:dyDescent="0.2">
      <c r="A1282" s="3" t="s">
        <v>1</v>
      </c>
      <c r="B1282" t="s">
        <v>984</v>
      </c>
      <c r="C1282" s="3">
        <v>21</v>
      </c>
      <c r="D1282" t="str">
        <f t="shared" si="19"/>
        <v>Chênaies atlantiques - (ONF, Jarret P. , 2004) - classe 1_21</v>
      </c>
      <c r="E1282" s="3">
        <v>1.4482758620689653</v>
      </c>
      <c r="F1282" s="3">
        <v>0</v>
      </c>
      <c r="G1282" s="3">
        <v>1.4482758620689653</v>
      </c>
    </row>
    <row r="1283" spans="1:7" x14ac:dyDescent="0.2">
      <c r="A1283" s="3" t="s">
        <v>1</v>
      </c>
      <c r="B1283" t="s">
        <v>984</v>
      </c>
      <c r="C1283" s="3">
        <v>22</v>
      </c>
      <c r="D1283" t="str">
        <f t="shared" ref="D1283:D1346" si="20">CONCATENATE(B1283,"_",C1283)</f>
        <v>Chênaies atlantiques - (ONF, Jarret P. , 2004) - classe 1_22</v>
      </c>
      <c r="E1283" s="3">
        <v>1.5172413793103445</v>
      </c>
      <c r="F1283" s="3">
        <v>0</v>
      </c>
      <c r="G1283" s="3">
        <v>1.5172413793103445</v>
      </c>
    </row>
    <row r="1284" spans="1:7" x14ac:dyDescent="0.2">
      <c r="A1284" s="3" t="s">
        <v>1</v>
      </c>
      <c r="B1284" t="s">
        <v>984</v>
      </c>
      <c r="C1284" s="3">
        <v>23</v>
      </c>
      <c r="D1284" t="str">
        <f t="shared" si="20"/>
        <v>Chênaies atlantiques - (ONF, Jarret P. , 2004) - classe 1_23</v>
      </c>
      <c r="E1284" s="3">
        <v>1.5862068965517238</v>
      </c>
      <c r="F1284" s="3">
        <v>0</v>
      </c>
      <c r="G1284" s="3">
        <v>1.5862068965517238</v>
      </c>
    </row>
    <row r="1285" spans="1:7" x14ac:dyDescent="0.2">
      <c r="A1285" s="3" t="s">
        <v>1</v>
      </c>
      <c r="B1285" t="s">
        <v>984</v>
      </c>
      <c r="C1285" s="3">
        <v>24</v>
      </c>
      <c r="D1285" t="str">
        <f t="shared" si="20"/>
        <v>Chênaies atlantiques - (ONF, Jarret P. , 2004) - classe 1_24</v>
      </c>
      <c r="E1285" s="3">
        <v>1.655172413793103</v>
      </c>
      <c r="F1285" s="3">
        <v>0</v>
      </c>
      <c r="G1285" s="3">
        <v>1.655172413793103</v>
      </c>
    </row>
    <row r="1286" spans="1:7" x14ac:dyDescent="0.2">
      <c r="A1286" s="3" t="s">
        <v>1</v>
      </c>
      <c r="B1286" t="s">
        <v>984</v>
      </c>
      <c r="C1286" s="3">
        <v>25</v>
      </c>
      <c r="D1286" t="str">
        <f t="shared" si="20"/>
        <v>Chênaies atlantiques - (ONF, Jarret P. , 2004) - classe 1_25</v>
      </c>
      <c r="E1286" s="3">
        <v>1.7241379310344822</v>
      </c>
      <c r="F1286" s="3">
        <v>0</v>
      </c>
      <c r="G1286" s="3">
        <v>1.7241379310344822</v>
      </c>
    </row>
    <row r="1287" spans="1:7" x14ac:dyDescent="0.2">
      <c r="A1287" s="3" t="s">
        <v>1</v>
      </c>
      <c r="B1287" t="s">
        <v>984</v>
      </c>
      <c r="C1287" s="3">
        <v>26</v>
      </c>
      <c r="D1287" t="str">
        <f t="shared" si="20"/>
        <v>Chênaies atlantiques - (ONF, Jarret P. , 2004) - classe 1_26</v>
      </c>
      <c r="E1287" s="3">
        <v>1.7931034482758614</v>
      </c>
      <c r="F1287" s="3">
        <v>0</v>
      </c>
      <c r="G1287" s="3">
        <v>1.7931034482758614</v>
      </c>
    </row>
    <row r="1288" spans="1:7" x14ac:dyDescent="0.2">
      <c r="A1288" s="3" t="s">
        <v>1</v>
      </c>
      <c r="B1288" t="s">
        <v>984</v>
      </c>
      <c r="C1288" s="3">
        <v>27</v>
      </c>
      <c r="D1288" t="str">
        <f t="shared" si="20"/>
        <v>Chênaies atlantiques - (ONF, Jarret P. , 2004) - classe 1_27</v>
      </c>
      <c r="E1288" s="3">
        <v>1.8620689655172407</v>
      </c>
      <c r="F1288" s="3">
        <v>0</v>
      </c>
      <c r="G1288" s="3">
        <v>1.8620689655172407</v>
      </c>
    </row>
    <row r="1289" spans="1:7" x14ac:dyDescent="0.2">
      <c r="A1289" s="3" t="s">
        <v>1</v>
      </c>
      <c r="B1289" t="s">
        <v>984</v>
      </c>
      <c r="C1289" s="3">
        <v>28</v>
      </c>
      <c r="D1289" t="str">
        <f t="shared" si="20"/>
        <v>Chênaies atlantiques - (ONF, Jarret P. , 2004) - classe 1_28</v>
      </c>
      <c r="E1289" s="3">
        <v>1.9310344827586199</v>
      </c>
      <c r="F1289" s="3">
        <v>0</v>
      </c>
      <c r="G1289" s="3">
        <v>1.9310344827586199</v>
      </c>
    </row>
    <row r="1290" spans="1:7" x14ac:dyDescent="0.2">
      <c r="A1290" s="3" t="s">
        <v>1</v>
      </c>
      <c r="B1290" t="s">
        <v>984</v>
      </c>
      <c r="C1290" s="3">
        <v>29</v>
      </c>
      <c r="D1290" t="str">
        <f t="shared" si="20"/>
        <v>Chênaies atlantiques - (ONF, Jarret P. , 2004) - classe 1_29</v>
      </c>
      <c r="E1290" s="3">
        <v>2</v>
      </c>
      <c r="F1290" s="3">
        <v>0</v>
      </c>
      <c r="G1290" s="3">
        <v>2</v>
      </c>
    </row>
    <row r="1291" spans="1:7" x14ac:dyDescent="0.2">
      <c r="A1291" s="3" t="s">
        <v>1</v>
      </c>
      <c r="B1291" t="s">
        <v>984</v>
      </c>
      <c r="C1291" s="3">
        <v>30</v>
      </c>
      <c r="D1291" t="str">
        <f t="shared" si="20"/>
        <v>Chênaies atlantiques - (ONF, Jarret P. , 2004) - classe 1_30</v>
      </c>
      <c r="E1291" s="3">
        <v>4.875</v>
      </c>
      <c r="F1291" s="3">
        <v>0</v>
      </c>
      <c r="G1291" s="3">
        <v>4.875</v>
      </c>
    </row>
    <row r="1292" spans="1:7" x14ac:dyDescent="0.2">
      <c r="A1292" s="3" t="s">
        <v>1</v>
      </c>
      <c r="B1292" t="s">
        <v>985</v>
      </c>
      <c r="C1292" s="3">
        <v>1</v>
      </c>
      <c r="D1292" t="str">
        <f t="shared" si="20"/>
        <v>Chênaies atlantiques - (ONF, Jarret P. , 2004) - classe 2_1</v>
      </c>
      <c r="E1292" s="3">
        <v>0.16216216216216217</v>
      </c>
      <c r="F1292" s="3">
        <v>0</v>
      </c>
      <c r="G1292" s="3">
        <v>0.16216216216216217</v>
      </c>
    </row>
    <row r="1293" spans="1:7" x14ac:dyDescent="0.2">
      <c r="A1293" s="3" t="s">
        <v>1</v>
      </c>
      <c r="B1293" t="s">
        <v>985</v>
      </c>
      <c r="C1293" s="3">
        <v>2</v>
      </c>
      <c r="D1293" t="str">
        <f t="shared" si="20"/>
        <v>Chênaies atlantiques - (ONF, Jarret P. , 2004) - classe 2_2</v>
      </c>
      <c r="E1293" s="3">
        <v>0.32432432432432434</v>
      </c>
      <c r="F1293" s="3">
        <v>0</v>
      </c>
      <c r="G1293" s="3">
        <v>0.32432432432432434</v>
      </c>
    </row>
    <row r="1294" spans="1:7" x14ac:dyDescent="0.2">
      <c r="A1294" s="3" t="s">
        <v>1</v>
      </c>
      <c r="B1294" t="s">
        <v>985</v>
      </c>
      <c r="C1294" s="3">
        <v>3</v>
      </c>
      <c r="D1294" t="str">
        <f t="shared" si="20"/>
        <v>Chênaies atlantiques - (ONF, Jarret P. , 2004) - classe 2_3</v>
      </c>
      <c r="E1294" s="3">
        <v>0.48648648648648651</v>
      </c>
      <c r="F1294" s="3">
        <v>0</v>
      </c>
      <c r="G1294" s="3">
        <v>0.48648648648648651</v>
      </c>
    </row>
    <row r="1295" spans="1:7" x14ac:dyDescent="0.2">
      <c r="A1295" s="3" t="s">
        <v>1</v>
      </c>
      <c r="B1295" t="s">
        <v>985</v>
      </c>
      <c r="C1295" s="3">
        <v>4</v>
      </c>
      <c r="D1295" t="str">
        <f t="shared" si="20"/>
        <v>Chênaies atlantiques - (ONF, Jarret P. , 2004) - classe 2_4</v>
      </c>
      <c r="E1295" s="3">
        <v>0.64864864864864868</v>
      </c>
      <c r="F1295" s="3">
        <v>0</v>
      </c>
      <c r="G1295" s="3">
        <v>0.64864864864864868</v>
      </c>
    </row>
    <row r="1296" spans="1:7" x14ac:dyDescent="0.2">
      <c r="A1296" s="3" t="s">
        <v>1</v>
      </c>
      <c r="B1296" t="s">
        <v>985</v>
      </c>
      <c r="C1296" s="3">
        <v>5</v>
      </c>
      <c r="D1296" t="str">
        <f t="shared" si="20"/>
        <v>Chênaies atlantiques - (ONF, Jarret P. , 2004) - classe 2_5</v>
      </c>
      <c r="E1296" s="3">
        <v>0.81081081081081086</v>
      </c>
      <c r="F1296" s="3">
        <v>0</v>
      </c>
      <c r="G1296" s="3">
        <v>0.81081081081081086</v>
      </c>
    </row>
    <row r="1297" spans="1:7" x14ac:dyDescent="0.2">
      <c r="A1297" s="3" t="s">
        <v>1</v>
      </c>
      <c r="B1297" t="s">
        <v>985</v>
      </c>
      <c r="C1297" s="3">
        <v>6</v>
      </c>
      <c r="D1297" t="str">
        <f t="shared" si="20"/>
        <v>Chênaies atlantiques - (ONF, Jarret P. , 2004) - classe 2_6</v>
      </c>
      <c r="E1297" s="3">
        <v>0.97297297297297303</v>
      </c>
      <c r="F1297" s="3">
        <v>0</v>
      </c>
      <c r="G1297" s="3">
        <v>0.97297297297297303</v>
      </c>
    </row>
    <row r="1298" spans="1:7" x14ac:dyDescent="0.2">
      <c r="A1298" s="3" t="s">
        <v>1</v>
      </c>
      <c r="B1298" t="s">
        <v>985</v>
      </c>
      <c r="C1298" s="3">
        <v>7</v>
      </c>
      <c r="D1298" t="str">
        <f t="shared" si="20"/>
        <v>Chênaies atlantiques - (ONF, Jarret P. , 2004) - classe 2_7</v>
      </c>
      <c r="E1298" s="3">
        <v>1.1351351351351351</v>
      </c>
      <c r="F1298" s="3">
        <v>0</v>
      </c>
      <c r="G1298" s="3">
        <v>1.1351351351351351</v>
      </c>
    </row>
    <row r="1299" spans="1:7" x14ac:dyDescent="0.2">
      <c r="A1299" s="3" t="s">
        <v>1</v>
      </c>
      <c r="B1299" t="s">
        <v>985</v>
      </c>
      <c r="C1299" s="3">
        <v>8</v>
      </c>
      <c r="D1299" t="str">
        <f t="shared" si="20"/>
        <v>Chênaies atlantiques - (ONF, Jarret P. , 2004) - classe 2_8</v>
      </c>
      <c r="E1299" s="3">
        <v>1.2972972972972974</v>
      </c>
      <c r="F1299" s="3">
        <v>0</v>
      </c>
      <c r="G1299" s="3">
        <v>1.2972972972972974</v>
      </c>
    </row>
    <row r="1300" spans="1:7" x14ac:dyDescent="0.2">
      <c r="A1300" s="3" t="s">
        <v>1</v>
      </c>
      <c r="B1300" t="s">
        <v>985</v>
      </c>
      <c r="C1300" s="3">
        <v>9</v>
      </c>
      <c r="D1300" t="str">
        <f t="shared" si="20"/>
        <v>Chênaies atlantiques - (ONF, Jarret P. , 2004) - classe 2_9</v>
      </c>
      <c r="E1300" s="3">
        <v>1.4594594594594597</v>
      </c>
      <c r="F1300" s="3">
        <v>0</v>
      </c>
      <c r="G1300" s="3">
        <v>1.4594594594594597</v>
      </c>
    </row>
    <row r="1301" spans="1:7" x14ac:dyDescent="0.2">
      <c r="A1301" s="3" t="s">
        <v>1</v>
      </c>
      <c r="B1301" t="s">
        <v>985</v>
      </c>
      <c r="C1301" s="3">
        <v>10</v>
      </c>
      <c r="D1301" t="str">
        <f t="shared" si="20"/>
        <v>Chênaies atlantiques - (ONF, Jarret P. , 2004) - classe 2_10</v>
      </c>
      <c r="E1301" s="3">
        <v>1.6216216216216219</v>
      </c>
      <c r="F1301" s="3">
        <v>0</v>
      </c>
      <c r="G1301" s="3">
        <v>1.6216216216216219</v>
      </c>
    </row>
    <row r="1302" spans="1:7" x14ac:dyDescent="0.2">
      <c r="A1302" s="3" t="s">
        <v>1</v>
      </c>
      <c r="B1302" t="s">
        <v>985</v>
      </c>
      <c r="C1302" s="3">
        <v>11</v>
      </c>
      <c r="D1302" t="str">
        <f t="shared" si="20"/>
        <v>Chênaies atlantiques - (ONF, Jarret P. , 2004) - classe 2_11</v>
      </c>
      <c r="E1302" s="3">
        <v>1.7837837837837842</v>
      </c>
      <c r="F1302" s="3">
        <v>0</v>
      </c>
      <c r="G1302" s="3">
        <v>1.7837837837837842</v>
      </c>
    </row>
    <row r="1303" spans="1:7" x14ac:dyDescent="0.2">
      <c r="A1303" s="3" t="s">
        <v>1</v>
      </c>
      <c r="B1303" t="s">
        <v>985</v>
      </c>
      <c r="C1303" s="3">
        <v>12</v>
      </c>
      <c r="D1303" t="str">
        <f t="shared" si="20"/>
        <v>Chênaies atlantiques - (ONF, Jarret P. , 2004) - classe 2_12</v>
      </c>
      <c r="E1303" s="3">
        <v>1.9459459459459465</v>
      </c>
      <c r="F1303" s="3">
        <v>0</v>
      </c>
      <c r="G1303" s="3">
        <v>1.9459459459459465</v>
      </c>
    </row>
    <row r="1304" spans="1:7" x14ac:dyDescent="0.2">
      <c r="A1304" s="3" t="s">
        <v>1</v>
      </c>
      <c r="B1304" t="s">
        <v>985</v>
      </c>
      <c r="C1304" s="3">
        <v>13</v>
      </c>
      <c r="D1304" t="str">
        <f t="shared" si="20"/>
        <v>Chênaies atlantiques - (ONF, Jarret P. , 2004) - classe 2_13</v>
      </c>
      <c r="E1304" s="3">
        <v>2.1081081081081088</v>
      </c>
      <c r="F1304" s="3">
        <v>0</v>
      </c>
      <c r="G1304" s="3">
        <v>2.1081081081081088</v>
      </c>
    </row>
    <row r="1305" spans="1:7" x14ac:dyDescent="0.2">
      <c r="A1305" s="3" t="s">
        <v>1</v>
      </c>
      <c r="B1305" t="s">
        <v>985</v>
      </c>
      <c r="C1305" s="3">
        <v>14</v>
      </c>
      <c r="D1305" t="str">
        <f t="shared" si="20"/>
        <v>Chênaies atlantiques - (ONF, Jarret P. , 2004) - classe 2_14</v>
      </c>
      <c r="E1305" s="3">
        <v>2.2702702702702711</v>
      </c>
      <c r="F1305" s="3">
        <v>0</v>
      </c>
      <c r="G1305" s="3">
        <v>2.2702702702702711</v>
      </c>
    </row>
    <row r="1306" spans="1:7" x14ac:dyDescent="0.2">
      <c r="A1306" s="3" t="s">
        <v>1</v>
      </c>
      <c r="B1306" t="s">
        <v>985</v>
      </c>
      <c r="C1306" s="3">
        <v>15</v>
      </c>
      <c r="D1306" t="str">
        <f t="shared" si="20"/>
        <v>Chênaies atlantiques - (ONF, Jarret P. , 2004) - classe 2_15</v>
      </c>
      <c r="E1306" s="3">
        <v>2.4324324324324333</v>
      </c>
      <c r="F1306" s="3">
        <v>0</v>
      </c>
      <c r="G1306" s="3">
        <v>2.4324324324324333</v>
      </c>
    </row>
    <row r="1307" spans="1:7" x14ac:dyDescent="0.2">
      <c r="A1307" s="3" t="s">
        <v>1</v>
      </c>
      <c r="B1307" t="s">
        <v>985</v>
      </c>
      <c r="C1307" s="3">
        <v>16</v>
      </c>
      <c r="D1307" t="str">
        <f t="shared" si="20"/>
        <v>Chênaies atlantiques - (ONF, Jarret P. , 2004) - classe 2_16</v>
      </c>
      <c r="E1307" s="3">
        <v>2.5945945945945956</v>
      </c>
      <c r="F1307" s="3">
        <v>0</v>
      </c>
      <c r="G1307" s="3">
        <v>2.5945945945945956</v>
      </c>
    </row>
    <row r="1308" spans="1:7" x14ac:dyDescent="0.2">
      <c r="A1308" s="3" t="s">
        <v>1</v>
      </c>
      <c r="B1308" t="s">
        <v>985</v>
      </c>
      <c r="C1308" s="3">
        <v>17</v>
      </c>
      <c r="D1308" t="str">
        <f t="shared" si="20"/>
        <v>Chênaies atlantiques - (ONF, Jarret P. , 2004) - classe 2_17</v>
      </c>
      <c r="E1308" s="3">
        <v>2.7567567567567579</v>
      </c>
      <c r="F1308" s="3">
        <v>0</v>
      </c>
      <c r="G1308" s="3">
        <v>2.7567567567567579</v>
      </c>
    </row>
    <row r="1309" spans="1:7" x14ac:dyDescent="0.2">
      <c r="A1309" s="3" t="s">
        <v>1</v>
      </c>
      <c r="B1309" t="s">
        <v>985</v>
      </c>
      <c r="C1309" s="3">
        <v>18</v>
      </c>
      <c r="D1309" t="str">
        <f t="shared" si="20"/>
        <v>Chênaies atlantiques - (ONF, Jarret P. , 2004) - classe 2_18</v>
      </c>
      <c r="E1309" s="3">
        <v>2.9189189189189202</v>
      </c>
      <c r="F1309" s="3">
        <v>0</v>
      </c>
      <c r="G1309" s="3">
        <v>2.9189189189189202</v>
      </c>
    </row>
    <row r="1310" spans="1:7" x14ac:dyDescent="0.2">
      <c r="A1310" s="3" t="s">
        <v>1</v>
      </c>
      <c r="B1310" t="s">
        <v>985</v>
      </c>
      <c r="C1310" s="3">
        <v>19</v>
      </c>
      <c r="D1310" t="str">
        <f t="shared" si="20"/>
        <v>Chênaies atlantiques - (ONF, Jarret P. , 2004) - classe 2_19</v>
      </c>
      <c r="E1310" s="3">
        <v>3.0810810810810825</v>
      </c>
      <c r="F1310" s="3">
        <v>0</v>
      </c>
      <c r="G1310" s="3">
        <v>3.0810810810810825</v>
      </c>
    </row>
    <row r="1311" spans="1:7" x14ac:dyDescent="0.2">
      <c r="A1311" s="3" t="s">
        <v>1</v>
      </c>
      <c r="B1311" t="s">
        <v>985</v>
      </c>
      <c r="C1311" s="3">
        <v>20</v>
      </c>
      <c r="D1311" t="str">
        <f t="shared" si="20"/>
        <v>Chênaies atlantiques - (ONF, Jarret P. , 2004) - classe 2_20</v>
      </c>
      <c r="E1311" s="3">
        <v>3.2432432432432448</v>
      </c>
      <c r="F1311" s="3">
        <v>0</v>
      </c>
      <c r="G1311" s="3">
        <v>3.2432432432432448</v>
      </c>
    </row>
    <row r="1312" spans="1:7" x14ac:dyDescent="0.2">
      <c r="A1312" s="3" t="s">
        <v>1</v>
      </c>
      <c r="B1312" t="s">
        <v>985</v>
      </c>
      <c r="C1312" s="3">
        <v>21</v>
      </c>
      <c r="D1312" t="str">
        <f t="shared" si="20"/>
        <v>Chênaies atlantiques - (ONF, Jarret P. , 2004) - classe 2_21</v>
      </c>
      <c r="E1312" s="3">
        <v>3.405405405405407</v>
      </c>
      <c r="F1312" s="3">
        <v>0</v>
      </c>
      <c r="G1312" s="3">
        <v>3.405405405405407</v>
      </c>
    </row>
    <row r="1313" spans="1:7" x14ac:dyDescent="0.2">
      <c r="A1313" s="3" t="s">
        <v>1</v>
      </c>
      <c r="B1313" t="s">
        <v>985</v>
      </c>
      <c r="C1313" s="3">
        <v>22</v>
      </c>
      <c r="D1313" t="str">
        <f t="shared" si="20"/>
        <v>Chênaies atlantiques - (ONF, Jarret P. , 2004) - classe 2_22</v>
      </c>
      <c r="E1313" s="3">
        <v>3.5675675675675693</v>
      </c>
      <c r="F1313" s="3">
        <v>0</v>
      </c>
      <c r="G1313" s="3">
        <v>3.5675675675675693</v>
      </c>
    </row>
    <row r="1314" spans="1:7" x14ac:dyDescent="0.2">
      <c r="A1314" s="3" t="s">
        <v>1</v>
      </c>
      <c r="B1314" t="s">
        <v>985</v>
      </c>
      <c r="C1314" s="3">
        <v>23</v>
      </c>
      <c r="D1314" t="str">
        <f t="shared" si="20"/>
        <v>Chênaies atlantiques - (ONF, Jarret P. , 2004) - classe 2_23</v>
      </c>
      <c r="E1314" s="3">
        <v>3.7297297297297316</v>
      </c>
      <c r="F1314" s="3">
        <v>0</v>
      </c>
      <c r="G1314" s="3">
        <v>3.7297297297297316</v>
      </c>
    </row>
    <row r="1315" spans="1:7" x14ac:dyDescent="0.2">
      <c r="A1315" s="3" t="s">
        <v>1</v>
      </c>
      <c r="B1315" t="s">
        <v>985</v>
      </c>
      <c r="C1315" s="3">
        <v>24</v>
      </c>
      <c r="D1315" t="str">
        <f t="shared" si="20"/>
        <v>Chênaies atlantiques - (ONF, Jarret P. , 2004) - classe 2_24</v>
      </c>
      <c r="E1315" s="3">
        <v>3.8918918918918939</v>
      </c>
      <c r="F1315" s="3">
        <v>0</v>
      </c>
      <c r="G1315" s="3">
        <v>3.8918918918918939</v>
      </c>
    </row>
    <row r="1316" spans="1:7" x14ac:dyDescent="0.2">
      <c r="A1316" s="3" t="s">
        <v>1</v>
      </c>
      <c r="B1316" t="s">
        <v>985</v>
      </c>
      <c r="C1316" s="3">
        <v>25</v>
      </c>
      <c r="D1316" t="str">
        <f t="shared" si="20"/>
        <v>Chênaies atlantiques - (ONF, Jarret P. , 2004) - classe 2_25</v>
      </c>
      <c r="E1316" s="3">
        <v>4.0540540540540562</v>
      </c>
      <c r="F1316" s="3">
        <v>0</v>
      </c>
      <c r="G1316" s="3">
        <v>4.0540540540540562</v>
      </c>
    </row>
    <row r="1317" spans="1:7" x14ac:dyDescent="0.2">
      <c r="A1317" s="3" t="s">
        <v>1</v>
      </c>
      <c r="B1317" t="s">
        <v>985</v>
      </c>
      <c r="C1317" s="3">
        <v>26</v>
      </c>
      <c r="D1317" t="str">
        <f t="shared" si="20"/>
        <v>Chênaies atlantiques - (ONF, Jarret P. , 2004) - classe 2_26</v>
      </c>
      <c r="E1317" s="3">
        <v>4.2162162162162184</v>
      </c>
      <c r="F1317" s="3">
        <v>0</v>
      </c>
      <c r="G1317" s="3">
        <v>4.2162162162162184</v>
      </c>
    </row>
    <row r="1318" spans="1:7" x14ac:dyDescent="0.2">
      <c r="A1318" s="3" t="s">
        <v>1</v>
      </c>
      <c r="B1318" t="s">
        <v>985</v>
      </c>
      <c r="C1318" s="3">
        <v>27</v>
      </c>
      <c r="D1318" t="str">
        <f t="shared" si="20"/>
        <v>Chênaies atlantiques - (ONF, Jarret P. , 2004) - classe 2_27</v>
      </c>
      <c r="E1318" s="3">
        <v>4.3783783783783807</v>
      </c>
      <c r="F1318" s="3">
        <v>0</v>
      </c>
      <c r="G1318" s="3">
        <v>4.3783783783783807</v>
      </c>
    </row>
    <row r="1319" spans="1:7" x14ac:dyDescent="0.2">
      <c r="A1319" s="3" t="s">
        <v>1</v>
      </c>
      <c r="B1319" t="s">
        <v>985</v>
      </c>
      <c r="C1319" s="3">
        <v>28</v>
      </c>
      <c r="D1319" t="str">
        <f t="shared" si="20"/>
        <v>Chênaies atlantiques - (ONF, Jarret P. , 2004) - classe 2_28</v>
      </c>
      <c r="E1319" s="3">
        <v>4.540540540540543</v>
      </c>
      <c r="F1319" s="3">
        <v>0</v>
      </c>
      <c r="G1319" s="3">
        <v>4.540540540540543</v>
      </c>
    </row>
    <row r="1320" spans="1:7" x14ac:dyDescent="0.2">
      <c r="A1320" s="3" t="s">
        <v>1</v>
      </c>
      <c r="B1320" t="s">
        <v>985</v>
      </c>
      <c r="C1320" s="3">
        <v>29</v>
      </c>
      <c r="D1320" t="str">
        <f t="shared" si="20"/>
        <v>Chênaies atlantiques - (ONF, Jarret P. , 2004) - classe 2_29</v>
      </c>
      <c r="E1320" s="3">
        <v>4.7027027027027053</v>
      </c>
      <c r="F1320" s="3">
        <v>0</v>
      </c>
      <c r="G1320" s="3">
        <v>4.7027027027027053</v>
      </c>
    </row>
    <row r="1321" spans="1:7" x14ac:dyDescent="0.2">
      <c r="A1321" s="3" t="s">
        <v>1</v>
      </c>
      <c r="B1321" t="s">
        <v>985</v>
      </c>
      <c r="C1321" s="3">
        <v>30</v>
      </c>
      <c r="D1321" t="str">
        <f t="shared" si="20"/>
        <v>Chênaies atlantiques - (ONF, Jarret P. , 2004) - classe 2_30</v>
      </c>
      <c r="E1321" s="3">
        <v>4.8648648648648676</v>
      </c>
      <c r="F1321" s="3">
        <v>0</v>
      </c>
      <c r="G1321" s="3">
        <v>4.8648648648648676</v>
      </c>
    </row>
    <row r="1322" spans="1:7" x14ac:dyDescent="0.2">
      <c r="A1322" s="3" t="s">
        <v>1</v>
      </c>
      <c r="B1322" t="s">
        <v>986</v>
      </c>
      <c r="C1322" s="3">
        <v>1</v>
      </c>
      <c r="D1322" t="str">
        <f t="shared" si="20"/>
        <v>Chênaies atlantiques - (ONF, Jarret P. , 2004) - classe 3_1</v>
      </c>
      <c r="E1322" s="3">
        <v>0.22448979591836735</v>
      </c>
      <c r="F1322" s="3">
        <v>0</v>
      </c>
      <c r="G1322" s="3">
        <v>0.22448979591836735</v>
      </c>
    </row>
    <row r="1323" spans="1:7" x14ac:dyDescent="0.2">
      <c r="A1323" s="3" t="s">
        <v>1</v>
      </c>
      <c r="B1323" t="s">
        <v>986</v>
      </c>
      <c r="C1323" s="3">
        <v>2</v>
      </c>
      <c r="D1323" t="str">
        <f t="shared" si="20"/>
        <v>Chênaies atlantiques - (ONF, Jarret P. , 2004) - classe 3_2</v>
      </c>
      <c r="E1323" s="3">
        <v>0.44897959183673469</v>
      </c>
      <c r="F1323" s="3">
        <v>0</v>
      </c>
      <c r="G1323" s="3">
        <v>0.44897959183673469</v>
      </c>
    </row>
    <row r="1324" spans="1:7" x14ac:dyDescent="0.2">
      <c r="A1324" s="3" t="s">
        <v>1</v>
      </c>
      <c r="B1324" t="s">
        <v>986</v>
      </c>
      <c r="C1324" s="3">
        <v>3</v>
      </c>
      <c r="D1324" t="str">
        <f t="shared" si="20"/>
        <v>Chênaies atlantiques - (ONF, Jarret P. , 2004) - classe 3_3</v>
      </c>
      <c r="E1324" s="3">
        <v>0.67346938775510201</v>
      </c>
      <c r="F1324" s="3">
        <v>0</v>
      </c>
      <c r="G1324" s="3">
        <v>0.67346938775510201</v>
      </c>
    </row>
    <row r="1325" spans="1:7" x14ac:dyDescent="0.2">
      <c r="A1325" s="3" t="s">
        <v>1</v>
      </c>
      <c r="B1325" t="s">
        <v>986</v>
      </c>
      <c r="C1325" s="3">
        <v>4</v>
      </c>
      <c r="D1325" t="str">
        <f t="shared" si="20"/>
        <v>Chênaies atlantiques - (ONF, Jarret P. , 2004) - classe 3_4</v>
      </c>
      <c r="E1325" s="3">
        <v>0.89795918367346939</v>
      </c>
      <c r="F1325" s="3">
        <v>0</v>
      </c>
      <c r="G1325" s="3">
        <v>0.89795918367346939</v>
      </c>
    </row>
    <row r="1326" spans="1:7" x14ac:dyDescent="0.2">
      <c r="A1326" s="3" t="s">
        <v>1</v>
      </c>
      <c r="B1326" t="s">
        <v>986</v>
      </c>
      <c r="C1326" s="3">
        <v>5</v>
      </c>
      <c r="D1326" t="str">
        <f t="shared" si="20"/>
        <v>Chênaies atlantiques - (ONF, Jarret P. , 2004) - classe 3_5</v>
      </c>
      <c r="E1326" s="3">
        <v>1.1224489795918366</v>
      </c>
      <c r="F1326" s="3">
        <v>0</v>
      </c>
      <c r="G1326" s="3">
        <v>1.1224489795918366</v>
      </c>
    </row>
    <row r="1327" spans="1:7" x14ac:dyDescent="0.2">
      <c r="A1327" s="3" t="s">
        <v>1</v>
      </c>
      <c r="B1327" t="s">
        <v>986</v>
      </c>
      <c r="C1327" s="3">
        <v>6</v>
      </c>
      <c r="D1327" t="str">
        <f t="shared" si="20"/>
        <v>Chênaies atlantiques - (ONF, Jarret P. , 2004) - classe 3_6</v>
      </c>
      <c r="E1327" s="3">
        <v>1.346938775510204</v>
      </c>
      <c r="F1327" s="3">
        <v>0</v>
      </c>
      <c r="G1327" s="3">
        <v>1.346938775510204</v>
      </c>
    </row>
    <row r="1328" spans="1:7" x14ac:dyDescent="0.2">
      <c r="A1328" s="3" t="s">
        <v>1</v>
      </c>
      <c r="B1328" t="s">
        <v>986</v>
      </c>
      <c r="C1328" s="3">
        <v>7</v>
      </c>
      <c r="D1328" t="str">
        <f t="shared" si="20"/>
        <v>Chênaies atlantiques - (ONF, Jarret P. , 2004) - classe 3_7</v>
      </c>
      <c r="E1328" s="3">
        <v>1.5714285714285714</v>
      </c>
      <c r="F1328" s="3">
        <v>0</v>
      </c>
      <c r="G1328" s="3">
        <v>1.5714285714285714</v>
      </c>
    </row>
    <row r="1329" spans="1:7" x14ac:dyDescent="0.2">
      <c r="A1329" s="3" t="s">
        <v>1</v>
      </c>
      <c r="B1329" t="s">
        <v>986</v>
      </c>
      <c r="C1329" s="3">
        <v>8</v>
      </c>
      <c r="D1329" t="str">
        <f t="shared" si="20"/>
        <v>Chênaies atlantiques - (ONF, Jarret P. , 2004) - classe 3_8</v>
      </c>
      <c r="E1329" s="3">
        <v>1.7959183673469388</v>
      </c>
      <c r="F1329" s="3">
        <v>0</v>
      </c>
      <c r="G1329" s="3">
        <v>1.7959183673469388</v>
      </c>
    </row>
    <row r="1330" spans="1:7" x14ac:dyDescent="0.2">
      <c r="A1330" s="3" t="s">
        <v>1</v>
      </c>
      <c r="B1330" t="s">
        <v>986</v>
      </c>
      <c r="C1330" s="3">
        <v>9</v>
      </c>
      <c r="D1330" t="str">
        <f t="shared" si="20"/>
        <v>Chênaies atlantiques - (ONF, Jarret P. , 2004) - classe 3_9</v>
      </c>
      <c r="E1330" s="3">
        <v>2.0204081632653059</v>
      </c>
      <c r="F1330" s="3">
        <v>0</v>
      </c>
      <c r="G1330" s="3">
        <v>2.0204081632653059</v>
      </c>
    </row>
    <row r="1331" spans="1:7" x14ac:dyDescent="0.2">
      <c r="A1331" s="3" t="s">
        <v>1</v>
      </c>
      <c r="B1331" t="s">
        <v>986</v>
      </c>
      <c r="C1331" s="3">
        <v>10</v>
      </c>
      <c r="D1331" t="str">
        <f t="shared" si="20"/>
        <v>Chênaies atlantiques - (ONF, Jarret P. , 2004) - classe 3_10</v>
      </c>
      <c r="E1331" s="3">
        <v>2.2448979591836733</v>
      </c>
      <c r="F1331" s="3">
        <v>0</v>
      </c>
      <c r="G1331" s="3">
        <v>2.2448979591836733</v>
      </c>
    </row>
    <row r="1332" spans="1:7" x14ac:dyDescent="0.2">
      <c r="A1332" s="3" t="s">
        <v>1</v>
      </c>
      <c r="B1332" t="s">
        <v>986</v>
      </c>
      <c r="C1332" s="3">
        <v>11</v>
      </c>
      <c r="D1332" t="str">
        <f t="shared" si="20"/>
        <v>Chênaies atlantiques - (ONF, Jarret P. , 2004) - classe 3_11</v>
      </c>
      <c r="E1332" s="3">
        <v>2.4693877551020407</v>
      </c>
      <c r="F1332" s="3">
        <v>0</v>
      </c>
      <c r="G1332" s="3">
        <v>2.4693877551020407</v>
      </c>
    </row>
    <row r="1333" spans="1:7" x14ac:dyDescent="0.2">
      <c r="A1333" s="3" t="s">
        <v>1</v>
      </c>
      <c r="B1333" t="s">
        <v>986</v>
      </c>
      <c r="C1333" s="3">
        <v>12</v>
      </c>
      <c r="D1333" t="str">
        <f t="shared" si="20"/>
        <v>Chênaies atlantiques - (ONF, Jarret P. , 2004) - classe 3_12</v>
      </c>
      <c r="E1333" s="3">
        <v>2.693877551020408</v>
      </c>
      <c r="F1333" s="3">
        <v>0</v>
      </c>
      <c r="G1333" s="3">
        <v>2.693877551020408</v>
      </c>
    </row>
    <row r="1334" spans="1:7" x14ac:dyDescent="0.2">
      <c r="A1334" s="3" t="s">
        <v>1</v>
      </c>
      <c r="B1334" t="s">
        <v>986</v>
      </c>
      <c r="C1334" s="3">
        <v>13</v>
      </c>
      <c r="D1334" t="str">
        <f t="shared" si="20"/>
        <v>Chênaies atlantiques - (ONF, Jarret P. , 2004) - classe 3_13</v>
      </c>
      <c r="E1334" s="3">
        <v>2.9183673469387754</v>
      </c>
      <c r="F1334" s="3">
        <v>0</v>
      </c>
      <c r="G1334" s="3">
        <v>2.9183673469387754</v>
      </c>
    </row>
    <row r="1335" spans="1:7" x14ac:dyDescent="0.2">
      <c r="A1335" s="3" t="s">
        <v>1</v>
      </c>
      <c r="B1335" t="s">
        <v>986</v>
      </c>
      <c r="C1335" s="3">
        <v>14</v>
      </c>
      <c r="D1335" t="str">
        <f t="shared" si="20"/>
        <v>Chênaies atlantiques - (ONF, Jarret P. , 2004) - classe 3_14</v>
      </c>
      <c r="E1335" s="3">
        <v>3.1428571428571428</v>
      </c>
      <c r="F1335" s="3">
        <v>0</v>
      </c>
      <c r="G1335" s="3">
        <v>3.1428571428571428</v>
      </c>
    </row>
    <row r="1336" spans="1:7" x14ac:dyDescent="0.2">
      <c r="A1336" s="3" t="s">
        <v>1</v>
      </c>
      <c r="B1336" t="s">
        <v>986</v>
      </c>
      <c r="C1336" s="3">
        <v>15</v>
      </c>
      <c r="D1336" t="str">
        <f t="shared" si="20"/>
        <v>Chênaies atlantiques - (ONF, Jarret P. , 2004) - classe 3_15</v>
      </c>
      <c r="E1336" s="3">
        <v>3.3673469387755102</v>
      </c>
      <c r="F1336" s="3">
        <v>0</v>
      </c>
      <c r="G1336" s="3">
        <v>3.3673469387755102</v>
      </c>
    </row>
    <row r="1337" spans="1:7" x14ac:dyDescent="0.2">
      <c r="A1337" s="3" t="s">
        <v>1</v>
      </c>
      <c r="B1337" t="s">
        <v>986</v>
      </c>
      <c r="C1337" s="3">
        <v>16</v>
      </c>
      <c r="D1337" t="str">
        <f t="shared" si="20"/>
        <v>Chênaies atlantiques - (ONF, Jarret P. , 2004) - classe 3_16</v>
      </c>
      <c r="E1337" s="3">
        <v>3.5918367346938775</v>
      </c>
      <c r="F1337" s="3">
        <v>0</v>
      </c>
      <c r="G1337" s="3">
        <v>3.5918367346938775</v>
      </c>
    </row>
    <row r="1338" spans="1:7" x14ac:dyDescent="0.2">
      <c r="A1338" s="3" t="s">
        <v>1</v>
      </c>
      <c r="B1338" t="s">
        <v>986</v>
      </c>
      <c r="C1338" s="3">
        <v>17</v>
      </c>
      <c r="D1338" t="str">
        <f t="shared" si="20"/>
        <v>Chênaies atlantiques - (ONF, Jarret P. , 2004) - classe 3_17</v>
      </c>
      <c r="E1338" s="3">
        <v>3.8163265306122449</v>
      </c>
      <c r="F1338" s="3">
        <v>0</v>
      </c>
      <c r="G1338" s="3">
        <v>3.8163265306122449</v>
      </c>
    </row>
    <row r="1339" spans="1:7" x14ac:dyDescent="0.2">
      <c r="A1339" s="3" t="s">
        <v>1</v>
      </c>
      <c r="B1339" t="s">
        <v>986</v>
      </c>
      <c r="C1339" s="3">
        <v>18</v>
      </c>
      <c r="D1339" t="str">
        <f t="shared" si="20"/>
        <v>Chênaies atlantiques - (ONF, Jarret P. , 2004) - classe 3_18</v>
      </c>
      <c r="E1339" s="3">
        <v>4.0408163265306118</v>
      </c>
      <c r="F1339" s="3">
        <v>0</v>
      </c>
      <c r="G1339" s="3">
        <v>4.0408163265306118</v>
      </c>
    </row>
    <row r="1340" spans="1:7" x14ac:dyDescent="0.2">
      <c r="A1340" s="3" t="s">
        <v>1</v>
      </c>
      <c r="B1340" t="s">
        <v>986</v>
      </c>
      <c r="C1340" s="3">
        <v>19</v>
      </c>
      <c r="D1340" t="str">
        <f t="shared" si="20"/>
        <v>Chênaies atlantiques - (ONF, Jarret P. , 2004) - classe 3_19</v>
      </c>
      <c r="E1340" s="3">
        <v>4.2653061224489788</v>
      </c>
      <c r="F1340" s="3">
        <v>0</v>
      </c>
      <c r="G1340" s="3">
        <v>4.2653061224489788</v>
      </c>
    </row>
    <row r="1341" spans="1:7" x14ac:dyDescent="0.2">
      <c r="A1341" s="3" t="s">
        <v>1</v>
      </c>
      <c r="B1341" t="s">
        <v>986</v>
      </c>
      <c r="C1341" s="3">
        <v>20</v>
      </c>
      <c r="D1341" t="str">
        <f t="shared" si="20"/>
        <v>Chênaies atlantiques - (ONF, Jarret P. , 2004) - classe 3_20</v>
      </c>
      <c r="E1341" s="3">
        <v>4.4897959183673457</v>
      </c>
      <c r="F1341" s="3">
        <v>0</v>
      </c>
      <c r="G1341" s="3">
        <v>4.4897959183673457</v>
      </c>
    </row>
    <row r="1342" spans="1:7" x14ac:dyDescent="0.2">
      <c r="A1342" s="3" t="s">
        <v>1</v>
      </c>
      <c r="B1342" t="s">
        <v>986</v>
      </c>
      <c r="C1342" s="3">
        <v>21</v>
      </c>
      <c r="D1342" t="str">
        <f t="shared" si="20"/>
        <v>Chênaies atlantiques - (ONF, Jarret P. , 2004) - classe 3_21</v>
      </c>
      <c r="E1342" s="3">
        <v>4.7142857142857126</v>
      </c>
      <c r="F1342" s="3">
        <v>0</v>
      </c>
      <c r="G1342" s="3">
        <v>4.7142857142857126</v>
      </c>
    </row>
    <row r="1343" spans="1:7" x14ac:dyDescent="0.2">
      <c r="A1343" s="3" t="s">
        <v>1</v>
      </c>
      <c r="B1343" t="s">
        <v>986</v>
      </c>
      <c r="C1343" s="3">
        <v>22</v>
      </c>
      <c r="D1343" t="str">
        <f t="shared" si="20"/>
        <v>Chênaies atlantiques - (ONF, Jarret P. , 2004) - classe 3_22</v>
      </c>
      <c r="E1343" s="3">
        <v>4.9387755102040796</v>
      </c>
      <c r="F1343" s="3">
        <v>0</v>
      </c>
      <c r="G1343" s="3">
        <v>4.9387755102040796</v>
      </c>
    </row>
    <row r="1344" spans="1:7" x14ac:dyDescent="0.2">
      <c r="A1344" s="3" t="s">
        <v>1</v>
      </c>
      <c r="B1344" t="s">
        <v>986</v>
      </c>
      <c r="C1344" s="3">
        <v>23</v>
      </c>
      <c r="D1344" t="str">
        <f t="shared" si="20"/>
        <v>Chênaies atlantiques - (ONF, Jarret P. , 2004) - classe 3_23</v>
      </c>
      <c r="E1344" s="3">
        <v>5.1632653061224465</v>
      </c>
      <c r="F1344" s="3">
        <v>0</v>
      </c>
      <c r="G1344" s="3">
        <v>5.1632653061224465</v>
      </c>
    </row>
    <row r="1345" spans="1:7" x14ac:dyDescent="0.2">
      <c r="A1345" s="3" t="s">
        <v>1</v>
      </c>
      <c r="B1345" t="s">
        <v>986</v>
      </c>
      <c r="C1345" s="3">
        <v>24</v>
      </c>
      <c r="D1345" t="str">
        <f t="shared" si="20"/>
        <v>Chênaies atlantiques - (ONF, Jarret P. , 2004) - classe 3_24</v>
      </c>
      <c r="E1345" s="3">
        <v>5.3877551020408134</v>
      </c>
      <c r="F1345" s="3">
        <v>0</v>
      </c>
      <c r="G1345" s="3">
        <v>5.3877551020408134</v>
      </c>
    </row>
    <row r="1346" spans="1:7" x14ac:dyDescent="0.2">
      <c r="A1346" s="3" t="s">
        <v>1</v>
      </c>
      <c r="B1346" t="s">
        <v>986</v>
      </c>
      <c r="C1346" s="3">
        <v>25</v>
      </c>
      <c r="D1346" t="str">
        <f t="shared" si="20"/>
        <v>Chênaies atlantiques - (ONF, Jarret P. , 2004) - classe 3_25</v>
      </c>
      <c r="E1346" s="3">
        <v>5.6122448979591804</v>
      </c>
      <c r="F1346" s="3">
        <v>0</v>
      </c>
      <c r="G1346" s="3">
        <v>5.6122448979591804</v>
      </c>
    </row>
    <row r="1347" spans="1:7" x14ac:dyDescent="0.2">
      <c r="A1347" s="3" t="s">
        <v>1</v>
      </c>
      <c r="B1347" t="s">
        <v>986</v>
      </c>
      <c r="C1347" s="3">
        <v>26</v>
      </c>
      <c r="D1347" t="str">
        <f t="shared" ref="D1347:D1410" si="21">CONCATENATE(B1347,"_",C1347)</f>
        <v>Chênaies atlantiques - (ONF, Jarret P. , 2004) - classe 3_26</v>
      </c>
      <c r="E1347" s="3">
        <v>5.8367346938775473</v>
      </c>
      <c r="F1347" s="3">
        <v>0</v>
      </c>
      <c r="G1347" s="3">
        <v>5.8367346938775473</v>
      </c>
    </row>
    <row r="1348" spans="1:7" x14ac:dyDescent="0.2">
      <c r="A1348" s="3" t="s">
        <v>1</v>
      </c>
      <c r="B1348" t="s">
        <v>986</v>
      </c>
      <c r="C1348" s="3">
        <v>27</v>
      </c>
      <c r="D1348" t="str">
        <f t="shared" si="21"/>
        <v>Chênaies atlantiques - (ONF, Jarret P. , 2004) - classe 3_27</v>
      </c>
      <c r="E1348" s="3">
        <v>6.0612244897959142</v>
      </c>
      <c r="F1348" s="3">
        <v>0</v>
      </c>
      <c r="G1348" s="3">
        <v>6.0612244897959142</v>
      </c>
    </row>
    <row r="1349" spans="1:7" x14ac:dyDescent="0.2">
      <c r="A1349" s="3" t="s">
        <v>1</v>
      </c>
      <c r="B1349" t="s">
        <v>986</v>
      </c>
      <c r="C1349" s="3">
        <v>28</v>
      </c>
      <c r="D1349" t="str">
        <f t="shared" si="21"/>
        <v>Chênaies atlantiques - (ONF, Jarret P. , 2004) - classe 3_28</v>
      </c>
      <c r="E1349" s="3">
        <v>6.2857142857142811</v>
      </c>
      <c r="F1349" s="3">
        <v>0</v>
      </c>
      <c r="G1349" s="3">
        <v>6.2857142857142811</v>
      </c>
    </row>
    <row r="1350" spans="1:7" x14ac:dyDescent="0.2">
      <c r="A1350" s="3" t="s">
        <v>1</v>
      </c>
      <c r="B1350" t="s">
        <v>986</v>
      </c>
      <c r="C1350" s="3">
        <v>29</v>
      </c>
      <c r="D1350" t="str">
        <f t="shared" si="21"/>
        <v>Chênaies atlantiques - (ONF, Jarret P. , 2004) - classe 3_29</v>
      </c>
      <c r="E1350" s="3">
        <v>6.5102040816326481</v>
      </c>
      <c r="F1350" s="3">
        <v>0</v>
      </c>
      <c r="G1350" s="3">
        <v>6.5102040816326481</v>
      </c>
    </row>
    <row r="1351" spans="1:7" x14ac:dyDescent="0.2">
      <c r="A1351" s="3" t="s">
        <v>1</v>
      </c>
      <c r="B1351" t="s">
        <v>986</v>
      </c>
      <c r="C1351" s="3">
        <v>30</v>
      </c>
      <c r="D1351" t="str">
        <f t="shared" si="21"/>
        <v>Chênaies atlantiques - (ONF, Jarret P. , 2004) - classe 3_30</v>
      </c>
      <c r="E1351" s="3">
        <v>6.734693877551015</v>
      </c>
      <c r="F1351" s="3">
        <v>0</v>
      </c>
      <c r="G1351" s="3">
        <v>6.734693877551015</v>
      </c>
    </row>
    <row r="1352" spans="1:7" x14ac:dyDescent="0.2">
      <c r="A1352" s="3" t="s">
        <v>1</v>
      </c>
      <c r="B1352" t="s">
        <v>987</v>
      </c>
      <c r="C1352" s="3">
        <v>1</v>
      </c>
      <c r="D1352" t="str">
        <f t="shared" si="21"/>
        <v>Chênaies continentales - (ONF, sardin T. , 2008) - sylv. dynamique - classe 1_1</v>
      </c>
      <c r="E1352" s="3">
        <v>3.6388888888888888</v>
      </c>
      <c r="F1352" s="3">
        <v>0</v>
      </c>
      <c r="G1352" s="3">
        <v>3.6388888888888888</v>
      </c>
    </row>
    <row r="1353" spans="1:7" x14ac:dyDescent="0.2">
      <c r="A1353" s="3" t="s">
        <v>1</v>
      </c>
      <c r="B1353" t="s">
        <v>987</v>
      </c>
      <c r="C1353" s="3">
        <v>2</v>
      </c>
      <c r="D1353" t="str">
        <f t="shared" si="21"/>
        <v>Chênaies continentales - (ONF, sardin T. , 2008) - sylv. dynamique - classe 1_2</v>
      </c>
      <c r="E1353" s="3">
        <v>7.2777777777777777</v>
      </c>
      <c r="F1353" s="3">
        <v>0</v>
      </c>
      <c r="G1353" s="3">
        <v>7.2777777777777777</v>
      </c>
    </row>
    <row r="1354" spans="1:7" x14ac:dyDescent="0.2">
      <c r="A1354" s="3" t="s">
        <v>1</v>
      </c>
      <c r="B1354" t="s">
        <v>987</v>
      </c>
      <c r="C1354" s="3">
        <v>3</v>
      </c>
      <c r="D1354" t="str">
        <f t="shared" si="21"/>
        <v>Chênaies continentales - (ONF, sardin T. , 2008) - sylv. dynamique - classe 1_3</v>
      </c>
      <c r="E1354" s="3">
        <v>10.916666666666666</v>
      </c>
      <c r="F1354" s="3">
        <v>0</v>
      </c>
      <c r="G1354" s="3">
        <v>10.916666666666666</v>
      </c>
    </row>
    <row r="1355" spans="1:7" x14ac:dyDescent="0.2">
      <c r="A1355" s="3" t="s">
        <v>1</v>
      </c>
      <c r="B1355" t="s">
        <v>987</v>
      </c>
      <c r="C1355" s="3">
        <v>4</v>
      </c>
      <c r="D1355" t="str">
        <f t="shared" si="21"/>
        <v>Chênaies continentales - (ONF, sardin T. , 2008) - sylv. dynamique - classe 1_4</v>
      </c>
      <c r="E1355" s="3">
        <v>14.555555555555555</v>
      </c>
      <c r="F1355" s="3">
        <v>0</v>
      </c>
      <c r="G1355" s="3">
        <v>14.555555555555555</v>
      </c>
    </row>
    <row r="1356" spans="1:7" x14ac:dyDescent="0.2">
      <c r="A1356" s="3" t="s">
        <v>1</v>
      </c>
      <c r="B1356" t="s">
        <v>987</v>
      </c>
      <c r="C1356" s="3">
        <v>5</v>
      </c>
      <c r="D1356" t="str">
        <f t="shared" si="21"/>
        <v>Chênaies continentales - (ONF, sardin T. , 2008) - sylv. dynamique - classe 1_5</v>
      </c>
      <c r="E1356" s="3">
        <v>18.194444444444443</v>
      </c>
      <c r="F1356" s="3">
        <v>0</v>
      </c>
      <c r="G1356" s="3">
        <v>18.194444444444443</v>
      </c>
    </row>
    <row r="1357" spans="1:7" x14ac:dyDescent="0.2">
      <c r="A1357" s="3" t="s">
        <v>1</v>
      </c>
      <c r="B1357" t="s">
        <v>987</v>
      </c>
      <c r="C1357" s="3">
        <v>6</v>
      </c>
      <c r="D1357" t="str">
        <f t="shared" si="21"/>
        <v>Chênaies continentales - (ONF, sardin T. , 2008) - sylv. dynamique - classe 1_6</v>
      </c>
      <c r="E1357" s="3">
        <v>21.833333333333332</v>
      </c>
      <c r="F1357" s="3">
        <v>0</v>
      </c>
      <c r="G1357" s="3">
        <v>21.833333333333332</v>
      </c>
    </row>
    <row r="1358" spans="1:7" x14ac:dyDescent="0.2">
      <c r="A1358" s="3" t="s">
        <v>1</v>
      </c>
      <c r="B1358" t="s">
        <v>987</v>
      </c>
      <c r="C1358" s="3">
        <v>7</v>
      </c>
      <c r="D1358" t="str">
        <f t="shared" si="21"/>
        <v>Chênaies continentales - (ONF, sardin T. , 2008) - sylv. dynamique - classe 1_7</v>
      </c>
      <c r="E1358" s="3">
        <v>25.472222222222221</v>
      </c>
      <c r="F1358" s="3">
        <v>0</v>
      </c>
      <c r="G1358" s="3">
        <v>25.472222222222221</v>
      </c>
    </row>
    <row r="1359" spans="1:7" x14ac:dyDescent="0.2">
      <c r="A1359" s="3" t="s">
        <v>1</v>
      </c>
      <c r="B1359" t="s">
        <v>987</v>
      </c>
      <c r="C1359" s="3">
        <v>8</v>
      </c>
      <c r="D1359" t="str">
        <f t="shared" si="21"/>
        <v>Chênaies continentales - (ONF, sardin T. , 2008) - sylv. dynamique - classe 1_8</v>
      </c>
      <c r="E1359" s="3">
        <v>29.111111111111111</v>
      </c>
      <c r="F1359" s="3">
        <v>0</v>
      </c>
      <c r="G1359" s="3">
        <v>29.111111111111111</v>
      </c>
    </row>
    <row r="1360" spans="1:7" x14ac:dyDescent="0.2">
      <c r="A1360" s="3" t="s">
        <v>1</v>
      </c>
      <c r="B1360" t="s">
        <v>987</v>
      </c>
      <c r="C1360" s="3">
        <v>9</v>
      </c>
      <c r="D1360" t="str">
        <f t="shared" si="21"/>
        <v>Chênaies continentales - (ONF, sardin T. , 2008) - sylv. dynamique - classe 1_9</v>
      </c>
      <c r="E1360" s="3">
        <v>32.75</v>
      </c>
      <c r="F1360" s="3">
        <v>0</v>
      </c>
      <c r="G1360" s="3">
        <v>32.75</v>
      </c>
    </row>
    <row r="1361" spans="1:7" x14ac:dyDescent="0.2">
      <c r="A1361" s="3" t="s">
        <v>1</v>
      </c>
      <c r="B1361" t="s">
        <v>987</v>
      </c>
      <c r="C1361" s="3">
        <v>10</v>
      </c>
      <c r="D1361" t="str">
        <f t="shared" si="21"/>
        <v>Chênaies continentales - (ONF, sardin T. , 2008) - sylv. dynamique - classe 1_10</v>
      </c>
      <c r="E1361" s="3">
        <v>36.388888888888886</v>
      </c>
      <c r="F1361" s="3">
        <v>0</v>
      </c>
      <c r="G1361" s="3">
        <v>36.388888888888886</v>
      </c>
    </row>
    <row r="1362" spans="1:7" x14ac:dyDescent="0.2">
      <c r="A1362" s="3" t="s">
        <v>1</v>
      </c>
      <c r="B1362" t="s">
        <v>987</v>
      </c>
      <c r="C1362" s="3">
        <v>11</v>
      </c>
      <c r="D1362" t="str">
        <f t="shared" si="21"/>
        <v>Chênaies continentales - (ONF, sardin T. , 2008) - sylv. dynamique - classe 1_11</v>
      </c>
      <c r="E1362" s="3">
        <v>40.027777777777771</v>
      </c>
      <c r="F1362" s="3">
        <v>0</v>
      </c>
      <c r="G1362" s="3">
        <v>40.027777777777771</v>
      </c>
    </row>
    <row r="1363" spans="1:7" x14ac:dyDescent="0.2">
      <c r="A1363" s="3" t="s">
        <v>1</v>
      </c>
      <c r="B1363" t="s">
        <v>987</v>
      </c>
      <c r="C1363" s="3">
        <v>12</v>
      </c>
      <c r="D1363" t="str">
        <f t="shared" si="21"/>
        <v>Chênaies continentales - (ONF, sardin T. , 2008) - sylv. dynamique - classe 1_12</v>
      </c>
      <c r="E1363" s="3">
        <v>43.666666666666657</v>
      </c>
      <c r="F1363" s="3">
        <v>0</v>
      </c>
      <c r="G1363" s="3">
        <v>43.666666666666657</v>
      </c>
    </row>
    <row r="1364" spans="1:7" x14ac:dyDescent="0.2">
      <c r="A1364" s="3" t="s">
        <v>1</v>
      </c>
      <c r="B1364" t="s">
        <v>987</v>
      </c>
      <c r="C1364" s="3">
        <v>13</v>
      </c>
      <c r="D1364" t="str">
        <f t="shared" si="21"/>
        <v>Chênaies continentales - (ONF, sardin T. , 2008) - sylv. dynamique - classe 1_13</v>
      </c>
      <c r="E1364" s="3">
        <v>47.305555555555543</v>
      </c>
      <c r="F1364" s="3">
        <v>0</v>
      </c>
      <c r="G1364" s="3">
        <v>47.305555555555543</v>
      </c>
    </row>
    <row r="1365" spans="1:7" x14ac:dyDescent="0.2">
      <c r="A1365" s="3" t="s">
        <v>1</v>
      </c>
      <c r="B1365" t="s">
        <v>987</v>
      </c>
      <c r="C1365" s="3">
        <v>14</v>
      </c>
      <c r="D1365" t="str">
        <f t="shared" si="21"/>
        <v>Chênaies continentales - (ONF, sardin T. , 2008) - sylv. dynamique - classe 1_14</v>
      </c>
      <c r="E1365" s="3">
        <v>50.944444444444429</v>
      </c>
      <c r="F1365" s="3">
        <v>0</v>
      </c>
      <c r="G1365" s="3">
        <v>50.944444444444429</v>
      </c>
    </row>
    <row r="1366" spans="1:7" x14ac:dyDescent="0.2">
      <c r="A1366" s="3" t="s">
        <v>1</v>
      </c>
      <c r="B1366" t="s">
        <v>987</v>
      </c>
      <c r="C1366" s="3">
        <v>15</v>
      </c>
      <c r="D1366" t="str">
        <f t="shared" si="21"/>
        <v>Chênaies continentales - (ONF, sardin T. , 2008) - sylv. dynamique - classe 1_15</v>
      </c>
      <c r="E1366" s="3">
        <v>54.583333333333314</v>
      </c>
      <c r="F1366" s="3">
        <v>0</v>
      </c>
      <c r="G1366" s="3">
        <v>54.583333333333314</v>
      </c>
    </row>
    <row r="1367" spans="1:7" x14ac:dyDescent="0.2">
      <c r="A1367" s="3" t="s">
        <v>1</v>
      </c>
      <c r="B1367" t="s">
        <v>987</v>
      </c>
      <c r="C1367" s="3">
        <v>16</v>
      </c>
      <c r="D1367" t="str">
        <f t="shared" si="21"/>
        <v>Chênaies continentales - (ONF, sardin T. , 2008) - sylv. dynamique - classe 1_16</v>
      </c>
      <c r="E1367" s="3">
        <v>58.2222222222222</v>
      </c>
      <c r="F1367" s="3">
        <v>0</v>
      </c>
      <c r="G1367" s="3">
        <v>58.2222222222222</v>
      </c>
    </row>
    <row r="1368" spans="1:7" x14ac:dyDescent="0.2">
      <c r="A1368" s="3" t="s">
        <v>1</v>
      </c>
      <c r="B1368" t="s">
        <v>987</v>
      </c>
      <c r="C1368" s="3">
        <v>17</v>
      </c>
      <c r="D1368" t="str">
        <f t="shared" si="21"/>
        <v>Chênaies continentales - (ONF, sardin T. , 2008) - sylv. dynamique - classe 1_17</v>
      </c>
      <c r="E1368" s="3">
        <v>61.861111111111086</v>
      </c>
      <c r="F1368" s="3">
        <v>0</v>
      </c>
      <c r="G1368" s="3">
        <v>61.861111111111086</v>
      </c>
    </row>
    <row r="1369" spans="1:7" x14ac:dyDescent="0.2">
      <c r="A1369" s="3" t="s">
        <v>1</v>
      </c>
      <c r="B1369" t="s">
        <v>987</v>
      </c>
      <c r="C1369" s="3">
        <v>18</v>
      </c>
      <c r="D1369" t="str">
        <f t="shared" si="21"/>
        <v>Chênaies continentales - (ONF, sardin T. , 2008) - sylv. dynamique - classe 1_18</v>
      </c>
      <c r="E1369" s="3">
        <v>65.499999999999972</v>
      </c>
      <c r="F1369" s="3">
        <v>0</v>
      </c>
      <c r="G1369" s="3">
        <v>65.499999999999972</v>
      </c>
    </row>
    <row r="1370" spans="1:7" x14ac:dyDescent="0.2">
      <c r="A1370" s="3" t="s">
        <v>1</v>
      </c>
      <c r="B1370" t="s">
        <v>987</v>
      </c>
      <c r="C1370" s="3">
        <v>19</v>
      </c>
      <c r="D1370" t="str">
        <f t="shared" si="21"/>
        <v>Chênaies continentales - (ONF, sardin T. , 2008) - sylv. dynamique - classe 1_19</v>
      </c>
      <c r="E1370" s="3">
        <v>69.138888888888857</v>
      </c>
      <c r="F1370" s="3">
        <v>0</v>
      </c>
      <c r="G1370" s="3">
        <v>69.138888888888857</v>
      </c>
    </row>
    <row r="1371" spans="1:7" x14ac:dyDescent="0.2">
      <c r="A1371" s="3" t="s">
        <v>1</v>
      </c>
      <c r="B1371" t="s">
        <v>987</v>
      </c>
      <c r="C1371" s="3">
        <v>20</v>
      </c>
      <c r="D1371" t="str">
        <f t="shared" si="21"/>
        <v>Chênaies continentales - (ONF, sardin T. , 2008) - sylv. dynamique - classe 1_20</v>
      </c>
      <c r="E1371" s="3">
        <v>72.777777777777743</v>
      </c>
      <c r="F1371" s="3">
        <v>0</v>
      </c>
      <c r="G1371" s="3">
        <v>72.777777777777743</v>
      </c>
    </row>
    <row r="1372" spans="1:7" x14ac:dyDescent="0.2">
      <c r="A1372" s="3" t="s">
        <v>1</v>
      </c>
      <c r="B1372" t="s">
        <v>987</v>
      </c>
      <c r="C1372" s="3">
        <v>21</v>
      </c>
      <c r="D1372" t="str">
        <f t="shared" si="21"/>
        <v>Chênaies continentales - (ONF, sardin T. , 2008) - sylv. dynamique - classe 1_21</v>
      </c>
      <c r="E1372" s="3">
        <v>76.416666666666629</v>
      </c>
      <c r="F1372" s="3">
        <v>0</v>
      </c>
      <c r="G1372" s="3">
        <v>76.416666666666629</v>
      </c>
    </row>
    <row r="1373" spans="1:7" x14ac:dyDescent="0.2">
      <c r="A1373" s="3" t="s">
        <v>1</v>
      </c>
      <c r="B1373" t="s">
        <v>987</v>
      </c>
      <c r="C1373" s="3">
        <v>22</v>
      </c>
      <c r="D1373" t="str">
        <f t="shared" si="21"/>
        <v>Chênaies continentales - (ONF, sardin T. , 2008) - sylv. dynamique - classe 1_22</v>
      </c>
      <c r="E1373" s="3">
        <v>80.055555555555515</v>
      </c>
      <c r="F1373" s="3">
        <v>0</v>
      </c>
      <c r="G1373" s="3">
        <v>80.055555555555515</v>
      </c>
    </row>
    <row r="1374" spans="1:7" x14ac:dyDescent="0.2">
      <c r="A1374" s="3" t="s">
        <v>1</v>
      </c>
      <c r="B1374" t="s">
        <v>987</v>
      </c>
      <c r="C1374" s="3">
        <v>23</v>
      </c>
      <c r="D1374" t="str">
        <f t="shared" si="21"/>
        <v>Chênaies continentales - (ONF, sardin T. , 2008) - sylv. dynamique - classe 1_23</v>
      </c>
      <c r="E1374" s="3">
        <v>83.6944444444444</v>
      </c>
      <c r="F1374" s="3">
        <v>0</v>
      </c>
      <c r="G1374" s="3">
        <v>83.6944444444444</v>
      </c>
    </row>
    <row r="1375" spans="1:7" x14ac:dyDescent="0.2">
      <c r="A1375" s="3" t="s">
        <v>1</v>
      </c>
      <c r="B1375" t="s">
        <v>987</v>
      </c>
      <c r="C1375" s="3">
        <v>24</v>
      </c>
      <c r="D1375" t="str">
        <f t="shared" si="21"/>
        <v>Chênaies continentales - (ONF, sardin T. , 2008) - sylv. dynamique - classe 1_24</v>
      </c>
      <c r="E1375" s="3">
        <v>87.333333333333286</v>
      </c>
      <c r="F1375" s="3">
        <v>0</v>
      </c>
      <c r="G1375" s="3">
        <v>87.333333333333286</v>
      </c>
    </row>
    <row r="1376" spans="1:7" x14ac:dyDescent="0.2">
      <c r="A1376" s="3" t="s">
        <v>1</v>
      </c>
      <c r="B1376" t="s">
        <v>987</v>
      </c>
      <c r="C1376" s="3">
        <v>25</v>
      </c>
      <c r="D1376" t="str">
        <f t="shared" si="21"/>
        <v>Chênaies continentales - (ONF, sardin T. , 2008) - sylv. dynamique - classe 1_25</v>
      </c>
      <c r="E1376" s="3">
        <v>90.972222222222172</v>
      </c>
      <c r="F1376" s="3">
        <v>0</v>
      </c>
      <c r="G1376" s="3">
        <v>90.972222222222172</v>
      </c>
    </row>
    <row r="1377" spans="1:7" x14ac:dyDescent="0.2">
      <c r="A1377" s="3" t="s">
        <v>1</v>
      </c>
      <c r="B1377" t="s">
        <v>987</v>
      </c>
      <c r="C1377" s="3">
        <v>26</v>
      </c>
      <c r="D1377" t="str">
        <f t="shared" si="21"/>
        <v>Chênaies continentales - (ONF, sardin T. , 2008) - sylv. dynamique - classe 1_26</v>
      </c>
      <c r="E1377" s="3">
        <v>94.611111111111057</v>
      </c>
      <c r="F1377" s="3">
        <v>0</v>
      </c>
      <c r="G1377" s="3">
        <v>94.611111111111057</v>
      </c>
    </row>
    <row r="1378" spans="1:7" x14ac:dyDescent="0.2">
      <c r="A1378" s="3" t="s">
        <v>1</v>
      </c>
      <c r="B1378" t="s">
        <v>987</v>
      </c>
      <c r="C1378" s="3">
        <v>27</v>
      </c>
      <c r="D1378" t="str">
        <f t="shared" si="21"/>
        <v>Chênaies continentales - (ONF, sardin T. , 2008) - sylv. dynamique - classe 1_27</v>
      </c>
      <c r="E1378" s="3">
        <v>98.249999999999943</v>
      </c>
      <c r="F1378" s="3">
        <v>0</v>
      </c>
      <c r="G1378" s="3">
        <v>98.249999999999943</v>
      </c>
    </row>
    <row r="1379" spans="1:7" x14ac:dyDescent="0.2">
      <c r="A1379" s="3" t="s">
        <v>1</v>
      </c>
      <c r="B1379" t="s">
        <v>987</v>
      </c>
      <c r="C1379" s="3">
        <v>28</v>
      </c>
      <c r="D1379" t="str">
        <f t="shared" si="21"/>
        <v>Chênaies continentales - (ONF, sardin T. , 2008) - sylv. dynamique - classe 1_28</v>
      </c>
      <c r="E1379" s="3">
        <v>101.88888888888883</v>
      </c>
      <c r="F1379" s="3">
        <v>0</v>
      </c>
      <c r="G1379" s="3">
        <v>101.88888888888883</v>
      </c>
    </row>
    <row r="1380" spans="1:7" x14ac:dyDescent="0.2">
      <c r="A1380" s="3" t="s">
        <v>1</v>
      </c>
      <c r="B1380" t="s">
        <v>987</v>
      </c>
      <c r="C1380" s="3">
        <v>29</v>
      </c>
      <c r="D1380" t="str">
        <f t="shared" si="21"/>
        <v>Chênaies continentales - (ONF, sardin T. , 2008) - sylv. dynamique - classe 1_29</v>
      </c>
      <c r="E1380" s="3">
        <v>105.52777777777771</v>
      </c>
      <c r="F1380" s="3">
        <v>0</v>
      </c>
      <c r="G1380" s="3">
        <v>105.52777777777771</v>
      </c>
    </row>
    <row r="1381" spans="1:7" x14ac:dyDescent="0.2">
      <c r="A1381" s="3" t="s">
        <v>1</v>
      </c>
      <c r="B1381" t="s">
        <v>987</v>
      </c>
      <c r="C1381" s="3">
        <v>30</v>
      </c>
      <c r="D1381" t="str">
        <f t="shared" si="21"/>
        <v>Chênaies continentales - (ONF, sardin T. , 2008) - sylv. dynamique - classe 1_30</v>
      </c>
      <c r="E1381" s="3">
        <v>109.1666666666666</v>
      </c>
      <c r="F1381" s="3">
        <v>0</v>
      </c>
      <c r="G1381" s="3">
        <v>109.1666666666666</v>
      </c>
    </row>
    <row r="1382" spans="1:7" x14ac:dyDescent="0.2">
      <c r="A1382" s="3" t="s">
        <v>1</v>
      </c>
      <c r="B1382" t="s">
        <v>988</v>
      </c>
      <c r="C1382" s="3">
        <v>1</v>
      </c>
      <c r="D1382" t="str">
        <f t="shared" si="21"/>
        <v>Chênaies continentales - (ONF, sardin T. , 2008) - sylv. dynamique - classe 2_1</v>
      </c>
      <c r="E1382" s="3">
        <v>2.6904761904761907</v>
      </c>
      <c r="F1382" s="3">
        <v>0</v>
      </c>
      <c r="G1382" s="3">
        <v>2.6904761904761907</v>
      </c>
    </row>
    <row r="1383" spans="1:7" x14ac:dyDescent="0.2">
      <c r="A1383" s="3" t="s">
        <v>1</v>
      </c>
      <c r="B1383" t="s">
        <v>988</v>
      </c>
      <c r="C1383" s="3">
        <v>2</v>
      </c>
      <c r="D1383" t="str">
        <f t="shared" si="21"/>
        <v>Chênaies continentales - (ONF, sardin T. , 2008) - sylv. dynamique - classe 2_2</v>
      </c>
      <c r="E1383" s="3">
        <v>5.3809523809523814</v>
      </c>
      <c r="F1383" s="3">
        <v>0</v>
      </c>
      <c r="G1383" s="3">
        <v>5.3809523809523814</v>
      </c>
    </row>
    <row r="1384" spans="1:7" x14ac:dyDescent="0.2">
      <c r="A1384" s="3" t="s">
        <v>1</v>
      </c>
      <c r="B1384" t="s">
        <v>988</v>
      </c>
      <c r="C1384" s="3">
        <v>3</v>
      </c>
      <c r="D1384" t="str">
        <f t="shared" si="21"/>
        <v>Chênaies continentales - (ONF, sardin T. , 2008) - sylv. dynamique - classe 2_3</v>
      </c>
      <c r="E1384" s="3">
        <v>8.071428571428573</v>
      </c>
      <c r="F1384" s="3">
        <v>0</v>
      </c>
      <c r="G1384" s="3">
        <v>8.071428571428573</v>
      </c>
    </row>
    <row r="1385" spans="1:7" x14ac:dyDescent="0.2">
      <c r="A1385" s="3" t="s">
        <v>1</v>
      </c>
      <c r="B1385" t="s">
        <v>988</v>
      </c>
      <c r="C1385" s="3">
        <v>4</v>
      </c>
      <c r="D1385" t="str">
        <f t="shared" si="21"/>
        <v>Chênaies continentales - (ONF, sardin T. , 2008) - sylv. dynamique - classe 2_4</v>
      </c>
      <c r="E1385" s="3">
        <v>10.761904761904763</v>
      </c>
      <c r="F1385" s="3">
        <v>0</v>
      </c>
      <c r="G1385" s="3">
        <v>10.761904761904763</v>
      </c>
    </row>
    <row r="1386" spans="1:7" x14ac:dyDescent="0.2">
      <c r="A1386" s="3" t="s">
        <v>1</v>
      </c>
      <c r="B1386" t="s">
        <v>988</v>
      </c>
      <c r="C1386" s="3">
        <v>5</v>
      </c>
      <c r="D1386" t="str">
        <f t="shared" si="21"/>
        <v>Chênaies continentales - (ONF, sardin T. , 2008) - sylv. dynamique - classe 2_5</v>
      </c>
      <c r="E1386" s="3">
        <v>13.452380952380953</v>
      </c>
      <c r="F1386" s="3">
        <v>0</v>
      </c>
      <c r="G1386" s="3">
        <v>13.452380952380953</v>
      </c>
    </row>
    <row r="1387" spans="1:7" x14ac:dyDescent="0.2">
      <c r="A1387" s="3" t="s">
        <v>1</v>
      </c>
      <c r="B1387" t="s">
        <v>988</v>
      </c>
      <c r="C1387" s="3">
        <v>6</v>
      </c>
      <c r="D1387" t="str">
        <f t="shared" si="21"/>
        <v>Chênaies continentales - (ONF, sardin T. , 2008) - sylv. dynamique - classe 2_6</v>
      </c>
      <c r="E1387" s="3">
        <v>16.142857142857142</v>
      </c>
      <c r="F1387" s="3">
        <v>0</v>
      </c>
      <c r="G1387" s="3">
        <v>16.142857142857142</v>
      </c>
    </row>
    <row r="1388" spans="1:7" x14ac:dyDescent="0.2">
      <c r="A1388" s="3" t="s">
        <v>1</v>
      </c>
      <c r="B1388" t="s">
        <v>988</v>
      </c>
      <c r="C1388" s="3">
        <v>7</v>
      </c>
      <c r="D1388" t="str">
        <f t="shared" si="21"/>
        <v>Chênaies continentales - (ONF, sardin T. , 2008) - sylv. dynamique - classe 2_7</v>
      </c>
      <c r="E1388" s="3">
        <v>18.833333333333332</v>
      </c>
      <c r="F1388" s="3">
        <v>0</v>
      </c>
      <c r="G1388" s="3">
        <v>18.833333333333332</v>
      </c>
    </row>
    <row r="1389" spans="1:7" x14ac:dyDescent="0.2">
      <c r="A1389" s="3" t="s">
        <v>1</v>
      </c>
      <c r="B1389" t="s">
        <v>988</v>
      </c>
      <c r="C1389" s="3">
        <v>8</v>
      </c>
      <c r="D1389" t="str">
        <f t="shared" si="21"/>
        <v>Chênaies continentales - (ONF, sardin T. , 2008) - sylv. dynamique - classe 2_8</v>
      </c>
      <c r="E1389" s="3">
        <v>21.523809523809522</v>
      </c>
      <c r="F1389" s="3">
        <v>0</v>
      </c>
      <c r="G1389" s="3">
        <v>21.523809523809522</v>
      </c>
    </row>
    <row r="1390" spans="1:7" x14ac:dyDescent="0.2">
      <c r="A1390" s="3" t="s">
        <v>1</v>
      </c>
      <c r="B1390" t="s">
        <v>988</v>
      </c>
      <c r="C1390" s="3">
        <v>9</v>
      </c>
      <c r="D1390" t="str">
        <f t="shared" si="21"/>
        <v>Chênaies continentales - (ONF, sardin T. , 2008) - sylv. dynamique - classe 2_9</v>
      </c>
      <c r="E1390" s="3">
        <v>24.214285714285712</v>
      </c>
      <c r="F1390" s="3">
        <v>0</v>
      </c>
      <c r="G1390" s="3">
        <v>24.214285714285712</v>
      </c>
    </row>
    <row r="1391" spans="1:7" x14ac:dyDescent="0.2">
      <c r="A1391" s="3" t="s">
        <v>1</v>
      </c>
      <c r="B1391" t="s">
        <v>988</v>
      </c>
      <c r="C1391" s="3">
        <v>10</v>
      </c>
      <c r="D1391" t="str">
        <f t="shared" si="21"/>
        <v>Chênaies continentales - (ONF, sardin T. , 2008) - sylv. dynamique - classe 2_10</v>
      </c>
      <c r="E1391" s="3">
        <v>26.904761904761902</v>
      </c>
      <c r="F1391" s="3">
        <v>0</v>
      </c>
      <c r="G1391" s="3">
        <v>26.904761904761902</v>
      </c>
    </row>
    <row r="1392" spans="1:7" x14ac:dyDescent="0.2">
      <c r="A1392" s="3" t="s">
        <v>1</v>
      </c>
      <c r="B1392" t="s">
        <v>988</v>
      </c>
      <c r="C1392" s="3">
        <v>11</v>
      </c>
      <c r="D1392" t="str">
        <f t="shared" si="21"/>
        <v>Chênaies continentales - (ONF, sardin T. , 2008) - sylv. dynamique - classe 2_11</v>
      </c>
      <c r="E1392" s="3">
        <v>29.595238095238091</v>
      </c>
      <c r="F1392" s="3">
        <v>0</v>
      </c>
      <c r="G1392" s="3">
        <v>29.595238095238091</v>
      </c>
    </row>
    <row r="1393" spans="1:7" x14ac:dyDescent="0.2">
      <c r="A1393" s="3" t="s">
        <v>1</v>
      </c>
      <c r="B1393" t="s">
        <v>988</v>
      </c>
      <c r="C1393" s="3">
        <v>12</v>
      </c>
      <c r="D1393" t="str">
        <f t="shared" si="21"/>
        <v>Chênaies continentales - (ONF, sardin T. , 2008) - sylv. dynamique - classe 2_12</v>
      </c>
      <c r="E1393" s="3">
        <v>32.285714285714285</v>
      </c>
      <c r="F1393" s="3">
        <v>0</v>
      </c>
      <c r="G1393" s="3">
        <v>32.285714285714285</v>
      </c>
    </row>
    <row r="1394" spans="1:7" x14ac:dyDescent="0.2">
      <c r="A1394" s="3" t="s">
        <v>1</v>
      </c>
      <c r="B1394" t="s">
        <v>988</v>
      </c>
      <c r="C1394" s="3">
        <v>13</v>
      </c>
      <c r="D1394" t="str">
        <f t="shared" si="21"/>
        <v>Chênaies continentales - (ONF, sardin T. , 2008) - sylv. dynamique - classe 2_13</v>
      </c>
      <c r="E1394" s="3">
        <v>34.976190476190474</v>
      </c>
      <c r="F1394" s="3">
        <v>0</v>
      </c>
      <c r="G1394" s="3">
        <v>34.976190476190474</v>
      </c>
    </row>
    <row r="1395" spans="1:7" x14ac:dyDescent="0.2">
      <c r="A1395" s="3" t="s">
        <v>1</v>
      </c>
      <c r="B1395" t="s">
        <v>988</v>
      </c>
      <c r="C1395" s="3">
        <v>14</v>
      </c>
      <c r="D1395" t="str">
        <f t="shared" si="21"/>
        <v>Chênaies continentales - (ONF, sardin T. , 2008) - sylv. dynamique - classe 2_14</v>
      </c>
      <c r="E1395" s="3">
        <v>37.666666666666664</v>
      </c>
      <c r="F1395" s="3">
        <v>0</v>
      </c>
      <c r="G1395" s="3">
        <v>37.666666666666664</v>
      </c>
    </row>
    <row r="1396" spans="1:7" x14ac:dyDescent="0.2">
      <c r="A1396" s="3" t="s">
        <v>1</v>
      </c>
      <c r="B1396" t="s">
        <v>988</v>
      </c>
      <c r="C1396" s="3">
        <v>15</v>
      </c>
      <c r="D1396" t="str">
        <f t="shared" si="21"/>
        <v>Chênaies continentales - (ONF, sardin T. , 2008) - sylv. dynamique - classe 2_15</v>
      </c>
      <c r="E1396" s="3">
        <v>40.357142857142854</v>
      </c>
      <c r="F1396" s="3">
        <v>0</v>
      </c>
      <c r="G1396" s="3">
        <v>40.357142857142854</v>
      </c>
    </row>
    <row r="1397" spans="1:7" x14ac:dyDescent="0.2">
      <c r="A1397" s="3" t="s">
        <v>1</v>
      </c>
      <c r="B1397" t="s">
        <v>988</v>
      </c>
      <c r="C1397" s="3">
        <v>16</v>
      </c>
      <c r="D1397" t="str">
        <f t="shared" si="21"/>
        <v>Chênaies continentales - (ONF, sardin T. , 2008) - sylv. dynamique - classe 2_16</v>
      </c>
      <c r="E1397" s="3">
        <v>43.047619047619044</v>
      </c>
      <c r="F1397" s="3">
        <v>0</v>
      </c>
      <c r="G1397" s="3">
        <v>43.047619047619044</v>
      </c>
    </row>
    <row r="1398" spans="1:7" x14ac:dyDescent="0.2">
      <c r="A1398" s="3" t="s">
        <v>1</v>
      </c>
      <c r="B1398" t="s">
        <v>988</v>
      </c>
      <c r="C1398" s="3">
        <v>17</v>
      </c>
      <c r="D1398" t="str">
        <f t="shared" si="21"/>
        <v>Chênaies continentales - (ONF, sardin T. , 2008) - sylv. dynamique - classe 2_17</v>
      </c>
      <c r="E1398" s="3">
        <v>45.738095238095234</v>
      </c>
      <c r="F1398" s="3">
        <v>0</v>
      </c>
      <c r="G1398" s="3">
        <v>45.738095238095234</v>
      </c>
    </row>
    <row r="1399" spans="1:7" x14ac:dyDescent="0.2">
      <c r="A1399" s="3" t="s">
        <v>1</v>
      </c>
      <c r="B1399" t="s">
        <v>988</v>
      </c>
      <c r="C1399" s="3">
        <v>18</v>
      </c>
      <c r="D1399" t="str">
        <f t="shared" si="21"/>
        <v>Chênaies continentales - (ONF, sardin T. , 2008) - sylv. dynamique - classe 2_18</v>
      </c>
      <c r="E1399" s="3">
        <v>48.428571428571423</v>
      </c>
      <c r="F1399" s="3">
        <v>0</v>
      </c>
      <c r="G1399" s="3">
        <v>48.428571428571423</v>
      </c>
    </row>
    <row r="1400" spans="1:7" x14ac:dyDescent="0.2">
      <c r="A1400" s="3" t="s">
        <v>1</v>
      </c>
      <c r="B1400" t="s">
        <v>988</v>
      </c>
      <c r="C1400" s="3">
        <v>19</v>
      </c>
      <c r="D1400" t="str">
        <f t="shared" si="21"/>
        <v>Chênaies continentales - (ONF, sardin T. , 2008) - sylv. dynamique - classe 2_19</v>
      </c>
      <c r="E1400" s="3">
        <v>51.119047619047613</v>
      </c>
      <c r="F1400" s="3">
        <v>0</v>
      </c>
      <c r="G1400" s="3">
        <v>51.119047619047613</v>
      </c>
    </row>
    <row r="1401" spans="1:7" x14ac:dyDescent="0.2">
      <c r="A1401" s="3" t="s">
        <v>1</v>
      </c>
      <c r="B1401" t="s">
        <v>988</v>
      </c>
      <c r="C1401" s="3">
        <v>20</v>
      </c>
      <c r="D1401" t="str">
        <f t="shared" si="21"/>
        <v>Chênaies continentales - (ONF, sardin T. , 2008) - sylv. dynamique - classe 2_20</v>
      </c>
      <c r="E1401" s="3">
        <v>53.809523809523803</v>
      </c>
      <c r="F1401" s="3">
        <v>0</v>
      </c>
      <c r="G1401" s="3">
        <v>53.809523809523803</v>
      </c>
    </row>
    <row r="1402" spans="1:7" x14ac:dyDescent="0.2">
      <c r="A1402" s="3" t="s">
        <v>1</v>
      </c>
      <c r="B1402" t="s">
        <v>988</v>
      </c>
      <c r="C1402" s="3">
        <v>21</v>
      </c>
      <c r="D1402" t="str">
        <f t="shared" si="21"/>
        <v>Chênaies continentales - (ONF, sardin T. , 2008) - sylv. dynamique - classe 2_21</v>
      </c>
      <c r="E1402" s="3">
        <v>56.499999999999993</v>
      </c>
      <c r="F1402" s="3">
        <v>0</v>
      </c>
      <c r="G1402" s="3">
        <v>56.499999999999993</v>
      </c>
    </row>
    <row r="1403" spans="1:7" x14ac:dyDescent="0.2">
      <c r="A1403" s="3" t="s">
        <v>1</v>
      </c>
      <c r="B1403" t="s">
        <v>988</v>
      </c>
      <c r="C1403" s="3">
        <v>22</v>
      </c>
      <c r="D1403" t="str">
        <f t="shared" si="21"/>
        <v>Chênaies continentales - (ONF, sardin T. , 2008) - sylv. dynamique - classe 2_22</v>
      </c>
      <c r="E1403" s="3">
        <v>59.190476190476183</v>
      </c>
      <c r="F1403" s="3">
        <v>0</v>
      </c>
      <c r="G1403" s="3">
        <v>59.190476190476183</v>
      </c>
    </row>
    <row r="1404" spans="1:7" x14ac:dyDescent="0.2">
      <c r="A1404" s="3" t="s">
        <v>1</v>
      </c>
      <c r="B1404" t="s">
        <v>988</v>
      </c>
      <c r="C1404" s="3">
        <v>23</v>
      </c>
      <c r="D1404" t="str">
        <f t="shared" si="21"/>
        <v>Chênaies continentales - (ONF, sardin T. , 2008) - sylv. dynamique - classe 2_23</v>
      </c>
      <c r="E1404" s="3">
        <v>61.880952380952372</v>
      </c>
      <c r="F1404" s="3">
        <v>0</v>
      </c>
      <c r="G1404" s="3">
        <v>61.880952380952372</v>
      </c>
    </row>
    <row r="1405" spans="1:7" x14ac:dyDescent="0.2">
      <c r="A1405" s="3" t="s">
        <v>1</v>
      </c>
      <c r="B1405" t="s">
        <v>988</v>
      </c>
      <c r="C1405" s="3">
        <v>24</v>
      </c>
      <c r="D1405" t="str">
        <f t="shared" si="21"/>
        <v>Chênaies continentales - (ONF, sardin T. , 2008) - sylv. dynamique - classe 2_24</v>
      </c>
      <c r="E1405" s="3">
        <v>64.571428571428569</v>
      </c>
      <c r="F1405" s="3">
        <v>0</v>
      </c>
      <c r="G1405" s="3">
        <v>64.571428571428569</v>
      </c>
    </row>
    <row r="1406" spans="1:7" x14ac:dyDescent="0.2">
      <c r="A1406" s="3" t="s">
        <v>1</v>
      </c>
      <c r="B1406" t="s">
        <v>988</v>
      </c>
      <c r="C1406" s="3">
        <v>25</v>
      </c>
      <c r="D1406" t="str">
        <f t="shared" si="21"/>
        <v>Chênaies continentales - (ONF, sardin T. , 2008) - sylv. dynamique - classe 2_25</v>
      </c>
      <c r="E1406" s="3">
        <v>67.261904761904759</v>
      </c>
      <c r="F1406" s="3">
        <v>0</v>
      </c>
      <c r="G1406" s="3">
        <v>67.261904761904759</v>
      </c>
    </row>
    <row r="1407" spans="1:7" x14ac:dyDescent="0.2">
      <c r="A1407" s="3" t="s">
        <v>1</v>
      </c>
      <c r="B1407" t="s">
        <v>988</v>
      </c>
      <c r="C1407" s="3">
        <v>26</v>
      </c>
      <c r="D1407" t="str">
        <f t="shared" si="21"/>
        <v>Chênaies continentales - (ONF, sardin T. , 2008) - sylv. dynamique - classe 2_26</v>
      </c>
      <c r="E1407" s="3">
        <v>69.952380952380949</v>
      </c>
      <c r="F1407" s="3">
        <v>0</v>
      </c>
      <c r="G1407" s="3">
        <v>69.952380952380949</v>
      </c>
    </row>
    <row r="1408" spans="1:7" x14ac:dyDescent="0.2">
      <c r="A1408" s="3" t="s">
        <v>1</v>
      </c>
      <c r="B1408" t="s">
        <v>988</v>
      </c>
      <c r="C1408" s="3">
        <v>27</v>
      </c>
      <c r="D1408" t="str">
        <f t="shared" si="21"/>
        <v>Chênaies continentales - (ONF, sardin T. , 2008) - sylv. dynamique - classe 2_27</v>
      </c>
      <c r="E1408" s="3">
        <v>72.642857142857139</v>
      </c>
      <c r="F1408" s="3">
        <v>0</v>
      </c>
      <c r="G1408" s="3">
        <v>72.642857142857139</v>
      </c>
    </row>
    <row r="1409" spans="1:7" x14ac:dyDescent="0.2">
      <c r="A1409" s="3" t="s">
        <v>1</v>
      </c>
      <c r="B1409" t="s">
        <v>988</v>
      </c>
      <c r="C1409" s="3">
        <v>28</v>
      </c>
      <c r="D1409" t="str">
        <f t="shared" si="21"/>
        <v>Chênaies continentales - (ONF, sardin T. , 2008) - sylv. dynamique - classe 2_28</v>
      </c>
      <c r="E1409" s="3">
        <v>75.333333333333329</v>
      </c>
      <c r="F1409" s="3">
        <v>0</v>
      </c>
      <c r="G1409" s="3">
        <v>75.333333333333329</v>
      </c>
    </row>
    <row r="1410" spans="1:7" x14ac:dyDescent="0.2">
      <c r="A1410" s="3" t="s">
        <v>1</v>
      </c>
      <c r="B1410" t="s">
        <v>988</v>
      </c>
      <c r="C1410" s="3">
        <v>29</v>
      </c>
      <c r="D1410" t="str">
        <f t="shared" si="21"/>
        <v>Chênaies continentales - (ONF, sardin T. , 2008) - sylv. dynamique - classe 2_29</v>
      </c>
      <c r="E1410" s="3">
        <v>78.023809523809518</v>
      </c>
      <c r="F1410" s="3">
        <v>0</v>
      </c>
      <c r="G1410" s="3">
        <v>78.023809523809518</v>
      </c>
    </row>
    <row r="1411" spans="1:7" x14ac:dyDescent="0.2">
      <c r="A1411" s="3" t="s">
        <v>1</v>
      </c>
      <c r="B1411" t="s">
        <v>988</v>
      </c>
      <c r="C1411" s="3">
        <v>30</v>
      </c>
      <c r="D1411" t="str">
        <f t="shared" ref="D1411:D1474" si="22">CONCATENATE(B1411,"_",C1411)</f>
        <v>Chênaies continentales - (ONF, sardin T. , 2008) - sylv. dynamique - classe 2_30</v>
      </c>
      <c r="E1411" s="3">
        <v>80.714285714285708</v>
      </c>
      <c r="F1411" s="3">
        <v>0</v>
      </c>
      <c r="G1411" s="3">
        <v>80.714285714285708</v>
      </c>
    </row>
    <row r="1412" spans="1:7" x14ac:dyDescent="0.2">
      <c r="A1412" s="3" t="s">
        <v>1</v>
      </c>
      <c r="B1412" t="s">
        <v>989</v>
      </c>
      <c r="C1412" s="3">
        <v>1</v>
      </c>
      <c r="D1412" t="str">
        <f t="shared" si="22"/>
        <v>Chênaies continentales - (ONF, sardin T. , 2008) - sylv. dynamique - classe 3_1</v>
      </c>
      <c r="E1412" s="3">
        <v>2</v>
      </c>
      <c r="F1412" s="3">
        <v>0</v>
      </c>
      <c r="G1412" s="3">
        <v>2</v>
      </c>
    </row>
    <row r="1413" spans="1:7" x14ac:dyDescent="0.2">
      <c r="A1413" s="3" t="s">
        <v>1</v>
      </c>
      <c r="B1413" t="s">
        <v>989</v>
      </c>
      <c r="C1413" s="3">
        <v>2</v>
      </c>
      <c r="D1413" t="str">
        <f t="shared" si="22"/>
        <v>Chênaies continentales - (ONF, sardin T. , 2008) - sylv. dynamique - classe 3_2</v>
      </c>
      <c r="E1413" s="3">
        <v>4</v>
      </c>
      <c r="F1413" s="3">
        <v>0</v>
      </c>
      <c r="G1413" s="3">
        <v>4</v>
      </c>
    </row>
    <row r="1414" spans="1:7" x14ac:dyDescent="0.2">
      <c r="A1414" s="3" t="s">
        <v>1</v>
      </c>
      <c r="B1414" t="s">
        <v>989</v>
      </c>
      <c r="C1414" s="3">
        <v>3</v>
      </c>
      <c r="D1414" t="str">
        <f t="shared" si="22"/>
        <v>Chênaies continentales - (ONF, sardin T. , 2008) - sylv. dynamique - classe 3_3</v>
      </c>
      <c r="E1414" s="3">
        <v>6</v>
      </c>
      <c r="F1414" s="3">
        <v>0</v>
      </c>
      <c r="G1414" s="3">
        <v>6</v>
      </c>
    </row>
    <row r="1415" spans="1:7" x14ac:dyDescent="0.2">
      <c r="A1415" s="3" t="s">
        <v>1</v>
      </c>
      <c r="B1415" t="s">
        <v>989</v>
      </c>
      <c r="C1415" s="3">
        <v>4</v>
      </c>
      <c r="D1415" t="str">
        <f t="shared" si="22"/>
        <v>Chênaies continentales - (ONF, sardin T. , 2008) - sylv. dynamique - classe 3_4</v>
      </c>
      <c r="E1415" s="3">
        <v>8</v>
      </c>
      <c r="F1415" s="3">
        <v>0</v>
      </c>
      <c r="G1415" s="3">
        <v>8</v>
      </c>
    </row>
    <row r="1416" spans="1:7" x14ac:dyDescent="0.2">
      <c r="A1416" s="3" t="s">
        <v>1</v>
      </c>
      <c r="B1416" t="s">
        <v>989</v>
      </c>
      <c r="C1416" s="3">
        <v>5</v>
      </c>
      <c r="D1416" t="str">
        <f t="shared" si="22"/>
        <v>Chênaies continentales - (ONF, sardin T. , 2008) - sylv. dynamique - classe 3_5</v>
      </c>
      <c r="E1416" s="3">
        <v>10</v>
      </c>
      <c r="F1416" s="3">
        <v>0</v>
      </c>
      <c r="G1416" s="3">
        <v>10</v>
      </c>
    </row>
    <row r="1417" spans="1:7" x14ac:dyDescent="0.2">
      <c r="A1417" s="3" t="s">
        <v>1</v>
      </c>
      <c r="B1417" t="s">
        <v>989</v>
      </c>
      <c r="C1417" s="3">
        <v>6</v>
      </c>
      <c r="D1417" t="str">
        <f t="shared" si="22"/>
        <v>Chênaies continentales - (ONF, sardin T. , 2008) - sylv. dynamique - classe 3_6</v>
      </c>
      <c r="E1417" s="3">
        <v>12</v>
      </c>
      <c r="F1417" s="3">
        <v>0</v>
      </c>
      <c r="G1417" s="3">
        <v>12</v>
      </c>
    </row>
    <row r="1418" spans="1:7" x14ac:dyDescent="0.2">
      <c r="A1418" s="3" t="s">
        <v>1</v>
      </c>
      <c r="B1418" t="s">
        <v>989</v>
      </c>
      <c r="C1418" s="3">
        <v>7</v>
      </c>
      <c r="D1418" t="str">
        <f t="shared" si="22"/>
        <v>Chênaies continentales - (ONF, sardin T. , 2008) - sylv. dynamique - classe 3_7</v>
      </c>
      <c r="E1418" s="3">
        <v>14</v>
      </c>
      <c r="F1418" s="3">
        <v>0</v>
      </c>
      <c r="G1418" s="3">
        <v>14</v>
      </c>
    </row>
    <row r="1419" spans="1:7" x14ac:dyDescent="0.2">
      <c r="A1419" s="3" t="s">
        <v>1</v>
      </c>
      <c r="B1419" t="s">
        <v>989</v>
      </c>
      <c r="C1419" s="3">
        <v>8</v>
      </c>
      <c r="D1419" t="str">
        <f t="shared" si="22"/>
        <v>Chênaies continentales - (ONF, sardin T. , 2008) - sylv. dynamique - classe 3_8</v>
      </c>
      <c r="E1419" s="3">
        <v>16</v>
      </c>
      <c r="F1419" s="3">
        <v>0</v>
      </c>
      <c r="G1419" s="3">
        <v>16</v>
      </c>
    </row>
    <row r="1420" spans="1:7" x14ac:dyDescent="0.2">
      <c r="A1420" s="3" t="s">
        <v>1</v>
      </c>
      <c r="B1420" t="s">
        <v>989</v>
      </c>
      <c r="C1420" s="3">
        <v>9</v>
      </c>
      <c r="D1420" t="str">
        <f t="shared" si="22"/>
        <v>Chênaies continentales - (ONF, sardin T. , 2008) - sylv. dynamique - classe 3_9</v>
      </c>
      <c r="E1420" s="3">
        <v>18</v>
      </c>
      <c r="F1420" s="3">
        <v>0</v>
      </c>
      <c r="G1420" s="3">
        <v>18</v>
      </c>
    </row>
    <row r="1421" spans="1:7" x14ac:dyDescent="0.2">
      <c r="A1421" s="3" t="s">
        <v>1</v>
      </c>
      <c r="B1421" t="s">
        <v>989</v>
      </c>
      <c r="C1421" s="3">
        <v>10</v>
      </c>
      <c r="D1421" t="str">
        <f t="shared" si="22"/>
        <v>Chênaies continentales - (ONF, sardin T. , 2008) - sylv. dynamique - classe 3_10</v>
      </c>
      <c r="E1421" s="3">
        <v>20</v>
      </c>
      <c r="F1421" s="3">
        <v>0</v>
      </c>
      <c r="G1421" s="3">
        <v>20</v>
      </c>
    </row>
    <row r="1422" spans="1:7" x14ac:dyDescent="0.2">
      <c r="A1422" s="3" t="s">
        <v>1</v>
      </c>
      <c r="B1422" t="s">
        <v>989</v>
      </c>
      <c r="C1422" s="3">
        <v>11</v>
      </c>
      <c r="D1422" t="str">
        <f t="shared" si="22"/>
        <v>Chênaies continentales - (ONF, sardin T. , 2008) - sylv. dynamique - classe 3_11</v>
      </c>
      <c r="E1422" s="3">
        <v>22</v>
      </c>
      <c r="F1422" s="3">
        <v>0</v>
      </c>
      <c r="G1422" s="3">
        <v>22</v>
      </c>
    </row>
    <row r="1423" spans="1:7" x14ac:dyDescent="0.2">
      <c r="A1423" s="3" t="s">
        <v>1</v>
      </c>
      <c r="B1423" t="s">
        <v>989</v>
      </c>
      <c r="C1423" s="3">
        <v>12</v>
      </c>
      <c r="D1423" t="str">
        <f t="shared" si="22"/>
        <v>Chênaies continentales - (ONF, sardin T. , 2008) - sylv. dynamique - classe 3_12</v>
      </c>
      <c r="E1423" s="3">
        <v>24</v>
      </c>
      <c r="F1423" s="3">
        <v>0</v>
      </c>
      <c r="G1423" s="3">
        <v>24</v>
      </c>
    </row>
    <row r="1424" spans="1:7" x14ac:dyDescent="0.2">
      <c r="A1424" s="3" t="s">
        <v>1</v>
      </c>
      <c r="B1424" t="s">
        <v>989</v>
      </c>
      <c r="C1424" s="3">
        <v>13</v>
      </c>
      <c r="D1424" t="str">
        <f t="shared" si="22"/>
        <v>Chênaies continentales - (ONF, sardin T. , 2008) - sylv. dynamique - classe 3_13</v>
      </c>
      <c r="E1424" s="3">
        <v>26</v>
      </c>
      <c r="F1424" s="3">
        <v>0</v>
      </c>
      <c r="G1424" s="3">
        <v>26</v>
      </c>
    </row>
    <row r="1425" spans="1:7" x14ac:dyDescent="0.2">
      <c r="A1425" s="3" t="s">
        <v>1</v>
      </c>
      <c r="B1425" t="s">
        <v>989</v>
      </c>
      <c r="C1425" s="3">
        <v>14</v>
      </c>
      <c r="D1425" t="str">
        <f t="shared" si="22"/>
        <v>Chênaies continentales - (ONF, sardin T. , 2008) - sylv. dynamique - classe 3_14</v>
      </c>
      <c r="E1425" s="3">
        <v>28</v>
      </c>
      <c r="F1425" s="3">
        <v>0</v>
      </c>
      <c r="G1425" s="3">
        <v>28</v>
      </c>
    </row>
    <row r="1426" spans="1:7" x14ac:dyDescent="0.2">
      <c r="A1426" s="3" t="s">
        <v>1</v>
      </c>
      <c r="B1426" t="s">
        <v>989</v>
      </c>
      <c r="C1426" s="3">
        <v>15</v>
      </c>
      <c r="D1426" t="str">
        <f t="shared" si="22"/>
        <v>Chênaies continentales - (ONF, sardin T. , 2008) - sylv. dynamique - classe 3_15</v>
      </c>
      <c r="E1426" s="3">
        <v>30</v>
      </c>
      <c r="F1426" s="3">
        <v>0</v>
      </c>
      <c r="G1426" s="3">
        <v>30</v>
      </c>
    </row>
    <row r="1427" spans="1:7" x14ac:dyDescent="0.2">
      <c r="A1427" s="3" t="s">
        <v>1</v>
      </c>
      <c r="B1427" t="s">
        <v>989</v>
      </c>
      <c r="C1427" s="3">
        <v>16</v>
      </c>
      <c r="D1427" t="str">
        <f t="shared" si="22"/>
        <v>Chênaies continentales - (ONF, sardin T. , 2008) - sylv. dynamique - classe 3_16</v>
      </c>
      <c r="E1427" s="3">
        <v>32</v>
      </c>
      <c r="F1427" s="3">
        <v>0</v>
      </c>
      <c r="G1427" s="3">
        <v>32</v>
      </c>
    </row>
    <row r="1428" spans="1:7" x14ac:dyDescent="0.2">
      <c r="A1428" s="3" t="s">
        <v>1</v>
      </c>
      <c r="B1428" t="s">
        <v>989</v>
      </c>
      <c r="C1428" s="3">
        <v>17</v>
      </c>
      <c r="D1428" t="str">
        <f t="shared" si="22"/>
        <v>Chênaies continentales - (ONF, sardin T. , 2008) - sylv. dynamique - classe 3_17</v>
      </c>
      <c r="E1428" s="3">
        <v>34</v>
      </c>
      <c r="F1428" s="3">
        <v>0</v>
      </c>
      <c r="G1428" s="3">
        <v>34</v>
      </c>
    </row>
    <row r="1429" spans="1:7" x14ac:dyDescent="0.2">
      <c r="A1429" s="3" t="s">
        <v>1</v>
      </c>
      <c r="B1429" t="s">
        <v>989</v>
      </c>
      <c r="C1429" s="3">
        <v>18</v>
      </c>
      <c r="D1429" t="str">
        <f t="shared" si="22"/>
        <v>Chênaies continentales - (ONF, sardin T. , 2008) - sylv. dynamique - classe 3_18</v>
      </c>
      <c r="E1429" s="3">
        <v>36</v>
      </c>
      <c r="F1429" s="3">
        <v>0</v>
      </c>
      <c r="G1429" s="3">
        <v>36</v>
      </c>
    </row>
    <row r="1430" spans="1:7" x14ac:dyDescent="0.2">
      <c r="A1430" s="3" t="s">
        <v>1</v>
      </c>
      <c r="B1430" t="s">
        <v>989</v>
      </c>
      <c r="C1430" s="3">
        <v>19</v>
      </c>
      <c r="D1430" t="str">
        <f t="shared" si="22"/>
        <v>Chênaies continentales - (ONF, sardin T. , 2008) - sylv. dynamique - classe 3_19</v>
      </c>
      <c r="E1430" s="3">
        <v>38</v>
      </c>
      <c r="F1430" s="3">
        <v>0</v>
      </c>
      <c r="G1430" s="3">
        <v>38</v>
      </c>
    </row>
    <row r="1431" spans="1:7" x14ac:dyDescent="0.2">
      <c r="A1431" s="3" t="s">
        <v>1</v>
      </c>
      <c r="B1431" t="s">
        <v>989</v>
      </c>
      <c r="C1431" s="3">
        <v>20</v>
      </c>
      <c r="D1431" t="str">
        <f t="shared" si="22"/>
        <v>Chênaies continentales - (ONF, sardin T. , 2008) - sylv. dynamique - classe 3_20</v>
      </c>
      <c r="E1431" s="3">
        <v>40</v>
      </c>
      <c r="F1431" s="3">
        <v>0</v>
      </c>
      <c r="G1431" s="3">
        <v>40</v>
      </c>
    </row>
    <row r="1432" spans="1:7" x14ac:dyDescent="0.2">
      <c r="A1432" s="3" t="s">
        <v>1</v>
      </c>
      <c r="B1432" t="s">
        <v>989</v>
      </c>
      <c r="C1432" s="3">
        <v>21</v>
      </c>
      <c r="D1432" t="str">
        <f t="shared" si="22"/>
        <v>Chênaies continentales - (ONF, sardin T. , 2008) - sylv. dynamique - classe 3_21</v>
      </c>
      <c r="E1432" s="3">
        <v>42</v>
      </c>
      <c r="F1432" s="3">
        <v>0</v>
      </c>
      <c r="G1432" s="3">
        <v>42</v>
      </c>
    </row>
    <row r="1433" spans="1:7" x14ac:dyDescent="0.2">
      <c r="A1433" s="3" t="s">
        <v>1</v>
      </c>
      <c r="B1433" t="s">
        <v>989</v>
      </c>
      <c r="C1433" s="3">
        <v>22</v>
      </c>
      <c r="D1433" t="str">
        <f t="shared" si="22"/>
        <v>Chênaies continentales - (ONF, sardin T. , 2008) - sylv. dynamique - classe 3_22</v>
      </c>
      <c r="E1433" s="3">
        <v>44</v>
      </c>
      <c r="F1433" s="3">
        <v>0</v>
      </c>
      <c r="G1433" s="3">
        <v>44</v>
      </c>
    </row>
    <row r="1434" spans="1:7" x14ac:dyDescent="0.2">
      <c r="A1434" s="3" t="s">
        <v>1</v>
      </c>
      <c r="B1434" t="s">
        <v>989</v>
      </c>
      <c r="C1434" s="3">
        <v>23</v>
      </c>
      <c r="D1434" t="str">
        <f t="shared" si="22"/>
        <v>Chênaies continentales - (ONF, sardin T. , 2008) - sylv. dynamique - classe 3_23</v>
      </c>
      <c r="E1434" s="3">
        <v>46</v>
      </c>
      <c r="F1434" s="3">
        <v>0</v>
      </c>
      <c r="G1434" s="3">
        <v>46</v>
      </c>
    </row>
    <row r="1435" spans="1:7" x14ac:dyDescent="0.2">
      <c r="A1435" s="3" t="s">
        <v>1</v>
      </c>
      <c r="B1435" t="s">
        <v>989</v>
      </c>
      <c r="C1435" s="3">
        <v>24</v>
      </c>
      <c r="D1435" t="str">
        <f t="shared" si="22"/>
        <v>Chênaies continentales - (ONF, sardin T. , 2008) - sylv. dynamique - classe 3_24</v>
      </c>
      <c r="E1435" s="3">
        <v>48</v>
      </c>
      <c r="F1435" s="3">
        <v>0</v>
      </c>
      <c r="G1435" s="3">
        <v>48</v>
      </c>
    </row>
    <row r="1436" spans="1:7" x14ac:dyDescent="0.2">
      <c r="A1436" s="3" t="s">
        <v>1</v>
      </c>
      <c r="B1436" t="s">
        <v>989</v>
      </c>
      <c r="C1436" s="3">
        <v>25</v>
      </c>
      <c r="D1436" t="str">
        <f t="shared" si="22"/>
        <v>Chênaies continentales - (ONF, sardin T. , 2008) - sylv. dynamique - classe 3_25</v>
      </c>
      <c r="E1436" s="3">
        <v>50</v>
      </c>
      <c r="F1436" s="3">
        <v>0</v>
      </c>
      <c r="G1436" s="3">
        <v>50</v>
      </c>
    </row>
    <row r="1437" spans="1:7" x14ac:dyDescent="0.2">
      <c r="A1437" s="3" t="s">
        <v>1</v>
      </c>
      <c r="B1437" t="s">
        <v>989</v>
      </c>
      <c r="C1437" s="3">
        <v>26</v>
      </c>
      <c r="D1437" t="str">
        <f t="shared" si="22"/>
        <v>Chênaies continentales - (ONF, sardin T. , 2008) - sylv. dynamique - classe 3_26</v>
      </c>
      <c r="E1437" s="3">
        <v>52</v>
      </c>
      <c r="F1437" s="3">
        <v>0</v>
      </c>
      <c r="G1437" s="3">
        <v>52</v>
      </c>
    </row>
    <row r="1438" spans="1:7" x14ac:dyDescent="0.2">
      <c r="A1438" s="3" t="s">
        <v>1</v>
      </c>
      <c r="B1438" t="s">
        <v>989</v>
      </c>
      <c r="C1438" s="3">
        <v>27</v>
      </c>
      <c r="D1438" t="str">
        <f t="shared" si="22"/>
        <v>Chênaies continentales - (ONF, sardin T. , 2008) - sylv. dynamique - classe 3_27</v>
      </c>
      <c r="E1438" s="3">
        <v>54</v>
      </c>
      <c r="F1438" s="3">
        <v>0</v>
      </c>
      <c r="G1438" s="3">
        <v>54</v>
      </c>
    </row>
    <row r="1439" spans="1:7" x14ac:dyDescent="0.2">
      <c r="A1439" s="3" t="s">
        <v>1</v>
      </c>
      <c r="B1439" t="s">
        <v>989</v>
      </c>
      <c r="C1439" s="3">
        <v>28</v>
      </c>
      <c r="D1439" t="str">
        <f t="shared" si="22"/>
        <v>Chênaies continentales - (ONF, sardin T. , 2008) - sylv. dynamique - classe 3_28</v>
      </c>
      <c r="E1439" s="3">
        <v>56</v>
      </c>
      <c r="F1439" s="3">
        <v>0</v>
      </c>
      <c r="G1439" s="3">
        <v>56</v>
      </c>
    </row>
    <row r="1440" spans="1:7" x14ac:dyDescent="0.2">
      <c r="A1440" s="3" t="s">
        <v>1</v>
      </c>
      <c r="B1440" t="s">
        <v>989</v>
      </c>
      <c r="C1440" s="3">
        <v>29</v>
      </c>
      <c r="D1440" t="str">
        <f t="shared" si="22"/>
        <v>Chênaies continentales - (ONF, sardin T. , 2008) - sylv. dynamique - classe 3_29</v>
      </c>
      <c r="E1440" s="3">
        <v>58</v>
      </c>
      <c r="F1440" s="3">
        <v>0</v>
      </c>
      <c r="G1440" s="3">
        <v>58</v>
      </c>
    </row>
    <row r="1441" spans="1:7" x14ac:dyDescent="0.2">
      <c r="A1441" s="3" t="s">
        <v>1</v>
      </c>
      <c r="B1441" t="s">
        <v>989</v>
      </c>
      <c r="C1441" s="3">
        <v>30</v>
      </c>
      <c r="D1441" t="str">
        <f t="shared" si="22"/>
        <v>Chênaies continentales - (ONF, sardin T. , 2008) - sylv. dynamique - classe 3_30</v>
      </c>
      <c r="E1441" s="3">
        <v>60</v>
      </c>
      <c r="F1441" s="3">
        <v>0</v>
      </c>
      <c r="G1441" s="3">
        <v>60</v>
      </c>
    </row>
    <row r="1442" spans="1:7" x14ac:dyDescent="0.2">
      <c r="A1442" s="3" t="s">
        <v>1</v>
      </c>
      <c r="B1442" t="s">
        <v>990</v>
      </c>
      <c r="C1442" s="3">
        <v>1</v>
      </c>
      <c r="D1442" t="str">
        <f t="shared" si="22"/>
        <v>Chênaies continentales - (ONF, sardin T. , 2008) - sylv. classique - classe 1_1</v>
      </c>
      <c r="E1442" s="3">
        <v>4</v>
      </c>
      <c r="F1442" s="3">
        <v>0</v>
      </c>
      <c r="G1442" s="3">
        <v>4</v>
      </c>
    </row>
    <row r="1443" spans="1:7" x14ac:dyDescent="0.2">
      <c r="A1443" s="3" t="s">
        <v>1</v>
      </c>
      <c r="B1443" t="s">
        <v>990</v>
      </c>
      <c r="C1443" s="3">
        <v>2</v>
      </c>
      <c r="D1443" t="str">
        <f t="shared" si="22"/>
        <v>Chênaies continentales - (ONF, sardin T. , 2008) - sylv. classique - classe 1_2</v>
      </c>
      <c r="E1443" s="3">
        <v>8</v>
      </c>
      <c r="F1443" s="3">
        <v>0</v>
      </c>
      <c r="G1443" s="3">
        <v>8</v>
      </c>
    </row>
    <row r="1444" spans="1:7" x14ac:dyDescent="0.2">
      <c r="A1444" s="3" t="s">
        <v>1</v>
      </c>
      <c r="B1444" t="s">
        <v>990</v>
      </c>
      <c r="C1444" s="3">
        <v>3</v>
      </c>
      <c r="D1444" t="str">
        <f t="shared" si="22"/>
        <v>Chênaies continentales - (ONF, sardin T. , 2008) - sylv. classique - classe 1_3</v>
      </c>
      <c r="E1444" s="3">
        <v>12</v>
      </c>
      <c r="F1444" s="3">
        <v>0</v>
      </c>
      <c r="G1444" s="3">
        <v>12</v>
      </c>
    </row>
    <row r="1445" spans="1:7" x14ac:dyDescent="0.2">
      <c r="A1445" s="3" t="s">
        <v>1</v>
      </c>
      <c r="B1445" t="s">
        <v>990</v>
      </c>
      <c r="C1445" s="3">
        <v>4</v>
      </c>
      <c r="D1445" t="str">
        <f t="shared" si="22"/>
        <v>Chênaies continentales - (ONF, sardin T. , 2008) - sylv. classique - classe 1_4</v>
      </c>
      <c r="E1445" s="3">
        <v>16</v>
      </c>
      <c r="F1445" s="3">
        <v>0</v>
      </c>
      <c r="G1445" s="3">
        <v>16</v>
      </c>
    </row>
    <row r="1446" spans="1:7" x14ac:dyDescent="0.2">
      <c r="A1446" s="3" t="s">
        <v>1</v>
      </c>
      <c r="B1446" t="s">
        <v>990</v>
      </c>
      <c r="C1446" s="3">
        <v>5</v>
      </c>
      <c r="D1446" t="str">
        <f t="shared" si="22"/>
        <v>Chênaies continentales - (ONF, sardin T. , 2008) - sylv. classique - classe 1_5</v>
      </c>
      <c r="E1446" s="3">
        <v>20</v>
      </c>
      <c r="F1446" s="3">
        <v>0</v>
      </c>
      <c r="G1446" s="3">
        <v>20</v>
      </c>
    </row>
    <row r="1447" spans="1:7" x14ac:dyDescent="0.2">
      <c r="A1447" s="3" t="s">
        <v>1</v>
      </c>
      <c r="B1447" t="s">
        <v>990</v>
      </c>
      <c r="C1447" s="3">
        <v>6</v>
      </c>
      <c r="D1447" t="str">
        <f t="shared" si="22"/>
        <v>Chênaies continentales - (ONF, sardin T. , 2008) - sylv. classique - classe 1_6</v>
      </c>
      <c r="E1447" s="3">
        <v>24</v>
      </c>
      <c r="F1447" s="3">
        <v>0</v>
      </c>
      <c r="G1447" s="3">
        <v>24</v>
      </c>
    </row>
    <row r="1448" spans="1:7" x14ac:dyDescent="0.2">
      <c r="A1448" s="3" t="s">
        <v>1</v>
      </c>
      <c r="B1448" t="s">
        <v>990</v>
      </c>
      <c r="C1448" s="3">
        <v>7</v>
      </c>
      <c r="D1448" t="str">
        <f t="shared" si="22"/>
        <v>Chênaies continentales - (ONF, sardin T. , 2008) - sylv. classique - classe 1_7</v>
      </c>
      <c r="E1448" s="3">
        <v>28</v>
      </c>
      <c r="F1448" s="3">
        <v>0</v>
      </c>
      <c r="G1448" s="3">
        <v>28</v>
      </c>
    </row>
    <row r="1449" spans="1:7" x14ac:dyDescent="0.2">
      <c r="A1449" s="3" t="s">
        <v>1</v>
      </c>
      <c r="B1449" t="s">
        <v>990</v>
      </c>
      <c r="C1449" s="3">
        <v>8</v>
      </c>
      <c r="D1449" t="str">
        <f t="shared" si="22"/>
        <v>Chênaies continentales - (ONF, sardin T. , 2008) - sylv. classique - classe 1_8</v>
      </c>
      <c r="E1449" s="3">
        <v>32</v>
      </c>
      <c r="F1449" s="3">
        <v>0</v>
      </c>
      <c r="G1449" s="3">
        <v>32</v>
      </c>
    </row>
    <row r="1450" spans="1:7" x14ac:dyDescent="0.2">
      <c r="A1450" s="3" t="s">
        <v>1</v>
      </c>
      <c r="B1450" t="s">
        <v>990</v>
      </c>
      <c r="C1450" s="3">
        <v>9</v>
      </c>
      <c r="D1450" t="str">
        <f t="shared" si="22"/>
        <v>Chênaies continentales - (ONF, sardin T. , 2008) - sylv. classique - classe 1_9</v>
      </c>
      <c r="E1450" s="3">
        <v>36</v>
      </c>
      <c r="F1450" s="3">
        <v>0</v>
      </c>
      <c r="G1450" s="3">
        <v>36</v>
      </c>
    </row>
    <row r="1451" spans="1:7" x14ac:dyDescent="0.2">
      <c r="A1451" s="3" t="s">
        <v>1</v>
      </c>
      <c r="B1451" t="s">
        <v>990</v>
      </c>
      <c r="C1451" s="3">
        <v>10</v>
      </c>
      <c r="D1451" t="str">
        <f t="shared" si="22"/>
        <v>Chênaies continentales - (ONF, sardin T. , 2008) - sylv. classique - classe 1_10</v>
      </c>
      <c r="E1451" s="3">
        <v>40</v>
      </c>
      <c r="F1451" s="3">
        <v>0</v>
      </c>
      <c r="G1451" s="3">
        <v>40</v>
      </c>
    </row>
    <row r="1452" spans="1:7" x14ac:dyDescent="0.2">
      <c r="A1452" s="3" t="s">
        <v>1</v>
      </c>
      <c r="B1452" t="s">
        <v>990</v>
      </c>
      <c r="C1452" s="3">
        <v>11</v>
      </c>
      <c r="D1452" t="str">
        <f t="shared" si="22"/>
        <v>Chênaies continentales - (ONF, sardin T. , 2008) - sylv. classique - classe 1_11</v>
      </c>
      <c r="E1452" s="3">
        <v>44</v>
      </c>
      <c r="F1452" s="3">
        <v>0</v>
      </c>
      <c r="G1452" s="3">
        <v>44</v>
      </c>
    </row>
    <row r="1453" spans="1:7" x14ac:dyDescent="0.2">
      <c r="A1453" s="3" t="s">
        <v>1</v>
      </c>
      <c r="B1453" t="s">
        <v>990</v>
      </c>
      <c r="C1453" s="3">
        <v>12</v>
      </c>
      <c r="D1453" t="str">
        <f t="shared" si="22"/>
        <v>Chênaies continentales - (ONF, sardin T. , 2008) - sylv. classique - classe 1_12</v>
      </c>
      <c r="E1453" s="3">
        <v>48</v>
      </c>
      <c r="F1453" s="3">
        <v>0</v>
      </c>
      <c r="G1453" s="3">
        <v>48</v>
      </c>
    </row>
    <row r="1454" spans="1:7" x14ac:dyDescent="0.2">
      <c r="A1454" s="3" t="s">
        <v>1</v>
      </c>
      <c r="B1454" t="s">
        <v>990</v>
      </c>
      <c r="C1454" s="3">
        <v>13</v>
      </c>
      <c r="D1454" t="str">
        <f t="shared" si="22"/>
        <v>Chênaies continentales - (ONF, sardin T. , 2008) - sylv. classique - classe 1_13</v>
      </c>
      <c r="E1454" s="3">
        <v>52</v>
      </c>
      <c r="F1454" s="3">
        <v>0</v>
      </c>
      <c r="G1454" s="3">
        <v>52</v>
      </c>
    </row>
    <row r="1455" spans="1:7" x14ac:dyDescent="0.2">
      <c r="A1455" s="3" t="s">
        <v>1</v>
      </c>
      <c r="B1455" t="s">
        <v>990</v>
      </c>
      <c r="C1455" s="3">
        <v>14</v>
      </c>
      <c r="D1455" t="str">
        <f t="shared" si="22"/>
        <v>Chênaies continentales - (ONF, sardin T. , 2008) - sylv. classique - classe 1_14</v>
      </c>
      <c r="E1455" s="3">
        <v>56</v>
      </c>
      <c r="F1455" s="3">
        <v>0</v>
      </c>
      <c r="G1455" s="3">
        <v>56</v>
      </c>
    </row>
    <row r="1456" spans="1:7" x14ac:dyDescent="0.2">
      <c r="A1456" s="3" t="s">
        <v>1</v>
      </c>
      <c r="B1456" t="s">
        <v>990</v>
      </c>
      <c r="C1456" s="3">
        <v>15</v>
      </c>
      <c r="D1456" t="str">
        <f t="shared" si="22"/>
        <v>Chênaies continentales - (ONF, sardin T. , 2008) - sylv. classique - classe 1_15</v>
      </c>
      <c r="E1456" s="3">
        <v>60</v>
      </c>
      <c r="F1456" s="3">
        <v>0</v>
      </c>
      <c r="G1456" s="3">
        <v>60</v>
      </c>
    </row>
    <row r="1457" spans="1:7" x14ac:dyDescent="0.2">
      <c r="A1457" s="3" t="s">
        <v>1</v>
      </c>
      <c r="B1457" t="s">
        <v>990</v>
      </c>
      <c r="C1457" s="3">
        <v>16</v>
      </c>
      <c r="D1457" t="str">
        <f t="shared" si="22"/>
        <v>Chênaies continentales - (ONF, sardin T. , 2008) - sylv. classique - classe 1_16</v>
      </c>
      <c r="E1457" s="3">
        <v>64</v>
      </c>
      <c r="F1457" s="3">
        <v>0</v>
      </c>
      <c r="G1457" s="3">
        <v>64</v>
      </c>
    </row>
    <row r="1458" spans="1:7" x14ac:dyDescent="0.2">
      <c r="A1458" s="3" t="s">
        <v>1</v>
      </c>
      <c r="B1458" t="s">
        <v>990</v>
      </c>
      <c r="C1458" s="3">
        <v>17</v>
      </c>
      <c r="D1458" t="str">
        <f t="shared" si="22"/>
        <v>Chênaies continentales - (ONF, sardin T. , 2008) - sylv. classique - classe 1_17</v>
      </c>
      <c r="E1458" s="3">
        <v>68</v>
      </c>
      <c r="F1458" s="3">
        <v>0</v>
      </c>
      <c r="G1458" s="3">
        <v>68</v>
      </c>
    </row>
    <row r="1459" spans="1:7" x14ac:dyDescent="0.2">
      <c r="A1459" s="3" t="s">
        <v>1</v>
      </c>
      <c r="B1459" t="s">
        <v>990</v>
      </c>
      <c r="C1459" s="3">
        <v>18</v>
      </c>
      <c r="D1459" t="str">
        <f t="shared" si="22"/>
        <v>Chênaies continentales - (ONF, sardin T. , 2008) - sylv. classique - classe 1_18</v>
      </c>
      <c r="E1459" s="3">
        <v>72</v>
      </c>
      <c r="F1459" s="3">
        <v>0</v>
      </c>
      <c r="G1459" s="3">
        <v>72</v>
      </c>
    </row>
    <row r="1460" spans="1:7" x14ac:dyDescent="0.2">
      <c r="A1460" s="3" t="s">
        <v>1</v>
      </c>
      <c r="B1460" t="s">
        <v>990</v>
      </c>
      <c r="C1460" s="3">
        <v>19</v>
      </c>
      <c r="D1460" t="str">
        <f t="shared" si="22"/>
        <v>Chênaies continentales - (ONF, sardin T. , 2008) - sylv. classique - classe 1_19</v>
      </c>
      <c r="E1460" s="3">
        <v>76</v>
      </c>
      <c r="F1460" s="3">
        <v>0</v>
      </c>
      <c r="G1460" s="3">
        <v>76</v>
      </c>
    </row>
    <row r="1461" spans="1:7" x14ac:dyDescent="0.2">
      <c r="A1461" s="3" t="s">
        <v>1</v>
      </c>
      <c r="B1461" t="s">
        <v>990</v>
      </c>
      <c r="C1461" s="3">
        <v>20</v>
      </c>
      <c r="D1461" t="str">
        <f t="shared" si="22"/>
        <v>Chênaies continentales - (ONF, sardin T. , 2008) - sylv. classique - classe 1_20</v>
      </c>
      <c r="E1461" s="3">
        <v>80</v>
      </c>
      <c r="F1461" s="3">
        <v>0</v>
      </c>
      <c r="G1461" s="3">
        <v>80</v>
      </c>
    </row>
    <row r="1462" spans="1:7" x14ac:dyDescent="0.2">
      <c r="A1462" s="3" t="s">
        <v>1</v>
      </c>
      <c r="B1462" t="s">
        <v>990</v>
      </c>
      <c r="C1462" s="3">
        <v>21</v>
      </c>
      <c r="D1462" t="str">
        <f t="shared" si="22"/>
        <v>Chênaies continentales - (ONF, sardin T. , 2008) - sylv. classique - classe 1_21</v>
      </c>
      <c r="E1462" s="3">
        <v>84</v>
      </c>
      <c r="F1462" s="3">
        <v>0</v>
      </c>
      <c r="G1462" s="3">
        <v>84</v>
      </c>
    </row>
    <row r="1463" spans="1:7" x14ac:dyDescent="0.2">
      <c r="A1463" s="3" t="s">
        <v>1</v>
      </c>
      <c r="B1463" t="s">
        <v>990</v>
      </c>
      <c r="C1463" s="3">
        <v>22</v>
      </c>
      <c r="D1463" t="str">
        <f t="shared" si="22"/>
        <v>Chênaies continentales - (ONF, sardin T. , 2008) - sylv. classique - classe 1_22</v>
      </c>
      <c r="E1463" s="3">
        <v>88</v>
      </c>
      <c r="F1463" s="3">
        <v>0</v>
      </c>
      <c r="G1463" s="3">
        <v>88</v>
      </c>
    </row>
    <row r="1464" spans="1:7" x14ac:dyDescent="0.2">
      <c r="A1464" s="3" t="s">
        <v>1</v>
      </c>
      <c r="B1464" t="s">
        <v>990</v>
      </c>
      <c r="C1464" s="3">
        <v>23</v>
      </c>
      <c r="D1464" t="str">
        <f t="shared" si="22"/>
        <v>Chênaies continentales - (ONF, sardin T. , 2008) - sylv. classique - classe 1_23</v>
      </c>
      <c r="E1464" s="3">
        <v>92</v>
      </c>
      <c r="F1464" s="3">
        <v>0</v>
      </c>
      <c r="G1464" s="3">
        <v>92</v>
      </c>
    </row>
    <row r="1465" spans="1:7" x14ac:dyDescent="0.2">
      <c r="A1465" s="3" t="s">
        <v>1</v>
      </c>
      <c r="B1465" t="s">
        <v>990</v>
      </c>
      <c r="C1465" s="3">
        <v>24</v>
      </c>
      <c r="D1465" t="str">
        <f t="shared" si="22"/>
        <v>Chênaies continentales - (ONF, sardin T. , 2008) - sylv. classique - classe 1_24</v>
      </c>
      <c r="E1465" s="3">
        <v>96</v>
      </c>
      <c r="F1465" s="3">
        <v>0</v>
      </c>
      <c r="G1465" s="3">
        <v>96</v>
      </c>
    </row>
    <row r="1466" spans="1:7" x14ac:dyDescent="0.2">
      <c r="A1466" s="3" t="s">
        <v>1</v>
      </c>
      <c r="B1466" t="s">
        <v>990</v>
      </c>
      <c r="C1466" s="3">
        <v>25</v>
      </c>
      <c r="D1466" t="str">
        <f t="shared" si="22"/>
        <v>Chênaies continentales - (ONF, sardin T. , 2008) - sylv. classique - classe 1_25</v>
      </c>
      <c r="E1466" s="3">
        <v>100</v>
      </c>
      <c r="F1466" s="3">
        <v>0</v>
      </c>
      <c r="G1466" s="3">
        <v>100</v>
      </c>
    </row>
    <row r="1467" spans="1:7" x14ac:dyDescent="0.2">
      <c r="A1467" s="3" t="s">
        <v>1</v>
      </c>
      <c r="B1467" t="s">
        <v>990</v>
      </c>
      <c r="C1467" s="3">
        <v>26</v>
      </c>
      <c r="D1467" t="str">
        <f t="shared" si="22"/>
        <v>Chênaies continentales - (ONF, sardin T. , 2008) - sylv. classique - classe 1_26</v>
      </c>
      <c r="E1467" s="3">
        <v>104</v>
      </c>
      <c r="F1467" s="3">
        <v>0</v>
      </c>
      <c r="G1467" s="3">
        <v>104</v>
      </c>
    </row>
    <row r="1468" spans="1:7" x14ac:dyDescent="0.2">
      <c r="A1468" s="3" t="s">
        <v>1</v>
      </c>
      <c r="B1468" t="s">
        <v>990</v>
      </c>
      <c r="C1468" s="3">
        <v>27</v>
      </c>
      <c r="D1468" t="str">
        <f t="shared" si="22"/>
        <v>Chênaies continentales - (ONF, sardin T. , 2008) - sylv. classique - classe 1_27</v>
      </c>
      <c r="E1468" s="3">
        <v>108</v>
      </c>
      <c r="F1468" s="3">
        <v>0</v>
      </c>
      <c r="G1468" s="3">
        <v>108</v>
      </c>
    </row>
    <row r="1469" spans="1:7" x14ac:dyDescent="0.2">
      <c r="A1469" s="3" t="s">
        <v>1</v>
      </c>
      <c r="B1469" t="s">
        <v>990</v>
      </c>
      <c r="C1469" s="3">
        <v>28</v>
      </c>
      <c r="D1469" t="str">
        <f t="shared" si="22"/>
        <v>Chênaies continentales - (ONF, sardin T. , 2008) - sylv. classique - classe 1_28</v>
      </c>
      <c r="E1469" s="3">
        <v>112</v>
      </c>
      <c r="F1469" s="3">
        <v>0</v>
      </c>
      <c r="G1469" s="3">
        <v>112</v>
      </c>
    </row>
    <row r="1470" spans="1:7" x14ac:dyDescent="0.2">
      <c r="A1470" s="3" t="s">
        <v>1</v>
      </c>
      <c r="B1470" t="s">
        <v>990</v>
      </c>
      <c r="C1470" s="3">
        <v>29</v>
      </c>
      <c r="D1470" t="str">
        <f t="shared" si="22"/>
        <v>Chênaies continentales - (ONF, sardin T. , 2008) - sylv. classique - classe 1_29</v>
      </c>
      <c r="E1470" s="3">
        <v>116</v>
      </c>
      <c r="F1470" s="3">
        <v>0</v>
      </c>
      <c r="G1470" s="3">
        <v>116</v>
      </c>
    </row>
    <row r="1471" spans="1:7" x14ac:dyDescent="0.2">
      <c r="A1471" s="3" t="s">
        <v>1</v>
      </c>
      <c r="B1471" t="s">
        <v>990</v>
      </c>
      <c r="C1471" s="3">
        <v>30</v>
      </c>
      <c r="D1471" t="str">
        <f t="shared" si="22"/>
        <v>Chênaies continentales - (ONF, sardin T. , 2008) - sylv. classique - classe 1_30</v>
      </c>
      <c r="E1471" s="3">
        <v>120</v>
      </c>
      <c r="F1471" s="3">
        <v>0</v>
      </c>
      <c r="G1471" s="3">
        <v>120</v>
      </c>
    </row>
    <row r="1472" spans="1:7" x14ac:dyDescent="0.2">
      <c r="A1472" s="3" t="s">
        <v>1</v>
      </c>
      <c r="B1472" t="s">
        <v>991</v>
      </c>
      <c r="C1472" s="3">
        <v>1</v>
      </c>
      <c r="D1472" t="str">
        <f t="shared" si="22"/>
        <v>Chênaies continentales - (ONF, sardin T. , 2008) - sylv. classique - classe 2_1</v>
      </c>
      <c r="E1472" s="3">
        <v>3</v>
      </c>
      <c r="F1472" s="3">
        <v>0</v>
      </c>
      <c r="G1472" s="3">
        <v>3</v>
      </c>
    </row>
    <row r="1473" spans="1:7" x14ac:dyDescent="0.2">
      <c r="A1473" s="3" t="s">
        <v>1</v>
      </c>
      <c r="B1473" t="s">
        <v>991</v>
      </c>
      <c r="C1473" s="3">
        <v>2</v>
      </c>
      <c r="D1473" t="str">
        <f t="shared" si="22"/>
        <v>Chênaies continentales - (ONF, sardin T. , 2008) - sylv. classique - classe 2_2</v>
      </c>
      <c r="E1473" s="3">
        <v>6</v>
      </c>
      <c r="F1473" s="3">
        <v>0</v>
      </c>
      <c r="G1473" s="3">
        <v>6</v>
      </c>
    </row>
    <row r="1474" spans="1:7" x14ac:dyDescent="0.2">
      <c r="A1474" s="3" t="s">
        <v>1</v>
      </c>
      <c r="B1474" t="s">
        <v>991</v>
      </c>
      <c r="C1474" s="3">
        <v>3</v>
      </c>
      <c r="D1474" t="str">
        <f t="shared" si="22"/>
        <v>Chênaies continentales - (ONF, sardin T. , 2008) - sylv. classique - classe 2_3</v>
      </c>
      <c r="E1474" s="3">
        <v>9</v>
      </c>
      <c r="F1474" s="3">
        <v>0</v>
      </c>
      <c r="G1474" s="3">
        <v>9</v>
      </c>
    </row>
    <row r="1475" spans="1:7" x14ac:dyDescent="0.2">
      <c r="A1475" s="3" t="s">
        <v>1</v>
      </c>
      <c r="B1475" t="s">
        <v>991</v>
      </c>
      <c r="C1475" s="3">
        <v>4</v>
      </c>
      <c r="D1475" t="str">
        <f t="shared" ref="D1475:D1538" si="23">CONCATENATE(B1475,"_",C1475)</f>
        <v>Chênaies continentales - (ONF, sardin T. , 2008) - sylv. classique - classe 2_4</v>
      </c>
      <c r="E1475" s="3">
        <v>12</v>
      </c>
      <c r="F1475" s="3">
        <v>0</v>
      </c>
      <c r="G1475" s="3">
        <v>12</v>
      </c>
    </row>
    <row r="1476" spans="1:7" x14ac:dyDescent="0.2">
      <c r="A1476" s="3" t="s">
        <v>1</v>
      </c>
      <c r="B1476" t="s">
        <v>991</v>
      </c>
      <c r="C1476" s="3">
        <v>5</v>
      </c>
      <c r="D1476" t="str">
        <f t="shared" si="23"/>
        <v>Chênaies continentales - (ONF, sardin T. , 2008) - sylv. classique - classe 2_5</v>
      </c>
      <c r="E1476" s="3">
        <v>15</v>
      </c>
      <c r="F1476" s="3">
        <v>0</v>
      </c>
      <c r="G1476" s="3">
        <v>15</v>
      </c>
    </row>
    <row r="1477" spans="1:7" x14ac:dyDescent="0.2">
      <c r="A1477" s="3" t="s">
        <v>1</v>
      </c>
      <c r="B1477" t="s">
        <v>991</v>
      </c>
      <c r="C1477" s="3">
        <v>6</v>
      </c>
      <c r="D1477" t="str">
        <f t="shared" si="23"/>
        <v>Chênaies continentales - (ONF, sardin T. , 2008) - sylv. classique - classe 2_6</v>
      </c>
      <c r="E1477" s="3">
        <v>18</v>
      </c>
      <c r="F1477" s="3">
        <v>0</v>
      </c>
      <c r="G1477" s="3">
        <v>18</v>
      </c>
    </row>
    <row r="1478" spans="1:7" x14ac:dyDescent="0.2">
      <c r="A1478" s="3" t="s">
        <v>1</v>
      </c>
      <c r="B1478" t="s">
        <v>991</v>
      </c>
      <c r="C1478" s="3">
        <v>7</v>
      </c>
      <c r="D1478" t="str">
        <f t="shared" si="23"/>
        <v>Chênaies continentales - (ONF, sardin T. , 2008) - sylv. classique - classe 2_7</v>
      </c>
      <c r="E1478" s="3">
        <v>21</v>
      </c>
      <c r="F1478" s="3">
        <v>0</v>
      </c>
      <c r="G1478" s="3">
        <v>21</v>
      </c>
    </row>
    <row r="1479" spans="1:7" x14ac:dyDescent="0.2">
      <c r="A1479" s="3" t="s">
        <v>1</v>
      </c>
      <c r="B1479" t="s">
        <v>991</v>
      </c>
      <c r="C1479" s="3">
        <v>8</v>
      </c>
      <c r="D1479" t="str">
        <f t="shared" si="23"/>
        <v>Chênaies continentales - (ONF, sardin T. , 2008) - sylv. classique - classe 2_8</v>
      </c>
      <c r="E1479" s="3">
        <v>24</v>
      </c>
      <c r="F1479" s="3">
        <v>0</v>
      </c>
      <c r="G1479" s="3">
        <v>24</v>
      </c>
    </row>
    <row r="1480" spans="1:7" x14ac:dyDescent="0.2">
      <c r="A1480" s="3" t="s">
        <v>1</v>
      </c>
      <c r="B1480" t="s">
        <v>991</v>
      </c>
      <c r="C1480" s="3">
        <v>9</v>
      </c>
      <c r="D1480" t="str">
        <f t="shared" si="23"/>
        <v>Chênaies continentales - (ONF, sardin T. , 2008) - sylv. classique - classe 2_9</v>
      </c>
      <c r="E1480" s="3">
        <v>27</v>
      </c>
      <c r="F1480" s="3">
        <v>0</v>
      </c>
      <c r="G1480" s="3">
        <v>27</v>
      </c>
    </row>
    <row r="1481" spans="1:7" x14ac:dyDescent="0.2">
      <c r="A1481" s="3" t="s">
        <v>1</v>
      </c>
      <c r="B1481" t="s">
        <v>991</v>
      </c>
      <c r="C1481" s="3">
        <v>10</v>
      </c>
      <c r="D1481" t="str">
        <f t="shared" si="23"/>
        <v>Chênaies continentales - (ONF, sardin T. , 2008) - sylv. classique - classe 2_10</v>
      </c>
      <c r="E1481" s="3">
        <v>30</v>
      </c>
      <c r="F1481" s="3">
        <v>0</v>
      </c>
      <c r="G1481" s="3">
        <v>30</v>
      </c>
    </row>
    <row r="1482" spans="1:7" x14ac:dyDescent="0.2">
      <c r="A1482" s="3" t="s">
        <v>1</v>
      </c>
      <c r="B1482" t="s">
        <v>991</v>
      </c>
      <c r="C1482" s="3">
        <v>11</v>
      </c>
      <c r="D1482" t="str">
        <f t="shared" si="23"/>
        <v>Chênaies continentales - (ONF, sardin T. , 2008) - sylv. classique - classe 2_11</v>
      </c>
      <c r="E1482" s="3">
        <v>33</v>
      </c>
      <c r="F1482" s="3">
        <v>0</v>
      </c>
      <c r="G1482" s="3">
        <v>33</v>
      </c>
    </row>
    <row r="1483" spans="1:7" x14ac:dyDescent="0.2">
      <c r="A1483" s="3" t="s">
        <v>1</v>
      </c>
      <c r="B1483" t="s">
        <v>991</v>
      </c>
      <c r="C1483" s="3">
        <v>12</v>
      </c>
      <c r="D1483" t="str">
        <f t="shared" si="23"/>
        <v>Chênaies continentales - (ONF, sardin T. , 2008) - sylv. classique - classe 2_12</v>
      </c>
      <c r="E1483" s="3">
        <v>36</v>
      </c>
      <c r="F1483" s="3">
        <v>0</v>
      </c>
      <c r="G1483" s="3">
        <v>36</v>
      </c>
    </row>
    <row r="1484" spans="1:7" x14ac:dyDescent="0.2">
      <c r="A1484" s="3" t="s">
        <v>1</v>
      </c>
      <c r="B1484" t="s">
        <v>991</v>
      </c>
      <c r="C1484" s="3">
        <v>13</v>
      </c>
      <c r="D1484" t="str">
        <f t="shared" si="23"/>
        <v>Chênaies continentales - (ONF, sardin T. , 2008) - sylv. classique - classe 2_13</v>
      </c>
      <c r="E1484" s="3">
        <v>39</v>
      </c>
      <c r="F1484" s="3">
        <v>0</v>
      </c>
      <c r="G1484" s="3">
        <v>39</v>
      </c>
    </row>
    <row r="1485" spans="1:7" x14ac:dyDescent="0.2">
      <c r="A1485" s="3" t="s">
        <v>1</v>
      </c>
      <c r="B1485" t="s">
        <v>991</v>
      </c>
      <c r="C1485" s="3">
        <v>14</v>
      </c>
      <c r="D1485" t="str">
        <f t="shared" si="23"/>
        <v>Chênaies continentales - (ONF, sardin T. , 2008) - sylv. classique - classe 2_14</v>
      </c>
      <c r="E1485" s="3">
        <v>42</v>
      </c>
      <c r="F1485" s="3">
        <v>0</v>
      </c>
      <c r="G1485" s="3">
        <v>42</v>
      </c>
    </row>
    <row r="1486" spans="1:7" x14ac:dyDescent="0.2">
      <c r="A1486" s="3" t="s">
        <v>1</v>
      </c>
      <c r="B1486" t="s">
        <v>991</v>
      </c>
      <c r="C1486" s="3">
        <v>15</v>
      </c>
      <c r="D1486" t="str">
        <f t="shared" si="23"/>
        <v>Chênaies continentales - (ONF, sardin T. , 2008) - sylv. classique - classe 2_15</v>
      </c>
      <c r="E1486" s="3">
        <v>45</v>
      </c>
      <c r="F1486" s="3">
        <v>0</v>
      </c>
      <c r="G1486" s="3">
        <v>45</v>
      </c>
    </row>
    <row r="1487" spans="1:7" x14ac:dyDescent="0.2">
      <c r="A1487" s="3" t="s">
        <v>1</v>
      </c>
      <c r="B1487" t="s">
        <v>991</v>
      </c>
      <c r="C1487" s="3">
        <v>16</v>
      </c>
      <c r="D1487" t="str">
        <f t="shared" si="23"/>
        <v>Chênaies continentales - (ONF, sardin T. , 2008) - sylv. classique - classe 2_16</v>
      </c>
      <c r="E1487" s="3">
        <v>48</v>
      </c>
      <c r="F1487" s="3">
        <v>0</v>
      </c>
      <c r="G1487" s="3">
        <v>48</v>
      </c>
    </row>
    <row r="1488" spans="1:7" x14ac:dyDescent="0.2">
      <c r="A1488" s="3" t="s">
        <v>1</v>
      </c>
      <c r="B1488" t="s">
        <v>991</v>
      </c>
      <c r="C1488" s="3">
        <v>17</v>
      </c>
      <c r="D1488" t="str">
        <f t="shared" si="23"/>
        <v>Chênaies continentales - (ONF, sardin T. , 2008) - sylv. classique - classe 2_17</v>
      </c>
      <c r="E1488" s="3">
        <v>51</v>
      </c>
      <c r="F1488" s="3">
        <v>0</v>
      </c>
      <c r="G1488" s="3">
        <v>51</v>
      </c>
    </row>
    <row r="1489" spans="1:7" x14ac:dyDescent="0.2">
      <c r="A1489" s="3" t="s">
        <v>1</v>
      </c>
      <c r="B1489" t="s">
        <v>991</v>
      </c>
      <c r="C1489" s="3">
        <v>18</v>
      </c>
      <c r="D1489" t="str">
        <f t="shared" si="23"/>
        <v>Chênaies continentales - (ONF, sardin T. , 2008) - sylv. classique - classe 2_18</v>
      </c>
      <c r="E1489" s="3">
        <v>54</v>
      </c>
      <c r="F1489" s="3">
        <v>0</v>
      </c>
      <c r="G1489" s="3">
        <v>54</v>
      </c>
    </row>
    <row r="1490" spans="1:7" x14ac:dyDescent="0.2">
      <c r="A1490" s="3" t="s">
        <v>1</v>
      </c>
      <c r="B1490" t="s">
        <v>991</v>
      </c>
      <c r="C1490" s="3">
        <v>19</v>
      </c>
      <c r="D1490" t="str">
        <f t="shared" si="23"/>
        <v>Chênaies continentales - (ONF, sardin T. , 2008) - sylv. classique - classe 2_19</v>
      </c>
      <c r="E1490" s="3">
        <v>57</v>
      </c>
      <c r="F1490" s="3">
        <v>0</v>
      </c>
      <c r="G1490" s="3">
        <v>57</v>
      </c>
    </row>
    <row r="1491" spans="1:7" x14ac:dyDescent="0.2">
      <c r="A1491" s="3" t="s">
        <v>1</v>
      </c>
      <c r="B1491" t="s">
        <v>991</v>
      </c>
      <c r="C1491" s="3">
        <v>20</v>
      </c>
      <c r="D1491" t="str">
        <f t="shared" si="23"/>
        <v>Chênaies continentales - (ONF, sardin T. , 2008) - sylv. classique - classe 2_20</v>
      </c>
      <c r="E1491" s="3">
        <v>60</v>
      </c>
      <c r="F1491" s="3">
        <v>0</v>
      </c>
      <c r="G1491" s="3">
        <v>60</v>
      </c>
    </row>
    <row r="1492" spans="1:7" x14ac:dyDescent="0.2">
      <c r="A1492" s="3" t="s">
        <v>1</v>
      </c>
      <c r="B1492" t="s">
        <v>991</v>
      </c>
      <c r="C1492" s="3">
        <v>21</v>
      </c>
      <c r="D1492" t="str">
        <f t="shared" si="23"/>
        <v>Chênaies continentales - (ONF, sardin T. , 2008) - sylv. classique - classe 2_21</v>
      </c>
      <c r="E1492" s="3">
        <v>63</v>
      </c>
      <c r="F1492" s="3">
        <v>0</v>
      </c>
      <c r="G1492" s="3">
        <v>63</v>
      </c>
    </row>
    <row r="1493" spans="1:7" x14ac:dyDescent="0.2">
      <c r="A1493" s="3" t="s">
        <v>1</v>
      </c>
      <c r="B1493" t="s">
        <v>991</v>
      </c>
      <c r="C1493" s="3">
        <v>22</v>
      </c>
      <c r="D1493" t="str">
        <f t="shared" si="23"/>
        <v>Chênaies continentales - (ONF, sardin T. , 2008) - sylv. classique - classe 2_22</v>
      </c>
      <c r="E1493" s="3">
        <v>66</v>
      </c>
      <c r="F1493" s="3">
        <v>0</v>
      </c>
      <c r="G1493" s="3">
        <v>66</v>
      </c>
    </row>
    <row r="1494" spans="1:7" x14ac:dyDescent="0.2">
      <c r="A1494" s="3" t="s">
        <v>1</v>
      </c>
      <c r="B1494" t="s">
        <v>991</v>
      </c>
      <c r="C1494" s="3">
        <v>23</v>
      </c>
      <c r="D1494" t="str">
        <f t="shared" si="23"/>
        <v>Chênaies continentales - (ONF, sardin T. , 2008) - sylv. classique - classe 2_23</v>
      </c>
      <c r="E1494" s="3">
        <v>69</v>
      </c>
      <c r="F1494" s="3">
        <v>0</v>
      </c>
      <c r="G1494" s="3">
        <v>69</v>
      </c>
    </row>
    <row r="1495" spans="1:7" x14ac:dyDescent="0.2">
      <c r="A1495" s="3" t="s">
        <v>1</v>
      </c>
      <c r="B1495" t="s">
        <v>991</v>
      </c>
      <c r="C1495" s="3">
        <v>24</v>
      </c>
      <c r="D1495" t="str">
        <f t="shared" si="23"/>
        <v>Chênaies continentales - (ONF, sardin T. , 2008) - sylv. classique - classe 2_24</v>
      </c>
      <c r="E1495" s="3">
        <v>72</v>
      </c>
      <c r="F1495" s="3">
        <v>0</v>
      </c>
      <c r="G1495" s="3">
        <v>72</v>
      </c>
    </row>
    <row r="1496" spans="1:7" x14ac:dyDescent="0.2">
      <c r="A1496" s="3" t="s">
        <v>1</v>
      </c>
      <c r="B1496" t="s">
        <v>991</v>
      </c>
      <c r="C1496" s="3">
        <v>25</v>
      </c>
      <c r="D1496" t="str">
        <f t="shared" si="23"/>
        <v>Chênaies continentales - (ONF, sardin T. , 2008) - sylv. classique - classe 2_25</v>
      </c>
      <c r="E1496" s="3">
        <v>75</v>
      </c>
      <c r="F1496" s="3">
        <v>0</v>
      </c>
      <c r="G1496" s="3">
        <v>75</v>
      </c>
    </row>
    <row r="1497" spans="1:7" x14ac:dyDescent="0.2">
      <c r="A1497" s="3" t="s">
        <v>1</v>
      </c>
      <c r="B1497" t="s">
        <v>991</v>
      </c>
      <c r="C1497" s="3">
        <v>26</v>
      </c>
      <c r="D1497" t="str">
        <f t="shared" si="23"/>
        <v>Chênaies continentales - (ONF, sardin T. , 2008) - sylv. classique - classe 2_26</v>
      </c>
      <c r="E1497" s="3">
        <v>78</v>
      </c>
      <c r="F1497" s="3">
        <v>0</v>
      </c>
      <c r="G1497" s="3">
        <v>78</v>
      </c>
    </row>
    <row r="1498" spans="1:7" x14ac:dyDescent="0.2">
      <c r="A1498" s="3" t="s">
        <v>1</v>
      </c>
      <c r="B1498" t="s">
        <v>991</v>
      </c>
      <c r="C1498" s="3">
        <v>27</v>
      </c>
      <c r="D1498" t="str">
        <f t="shared" si="23"/>
        <v>Chênaies continentales - (ONF, sardin T. , 2008) - sylv. classique - classe 2_27</v>
      </c>
      <c r="E1498" s="3">
        <v>81</v>
      </c>
      <c r="F1498" s="3">
        <v>0</v>
      </c>
      <c r="G1498" s="3">
        <v>81</v>
      </c>
    </row>
    <row r="1499" spans="1:7" x14ac:dyDescent="0.2">
      <c r="A1499" s="3" t="s">
        <v>1</v>
      </c>
      <c r="B1499" t="s">
        <v>991</v>
      </c>
      <c r="C1499" s="3">
        <v>28</v>
      </c>
      <c r="D1499" t="str">
        <f t="shared" si="23"/>
        <v>Chênaies continentales - (ONF, sardin T. , 2008) - sylv. classique - classe 2_28</v>
      </c>
      <c r="E1499" s="3">
        <v>84</v>
      </c>
      <c r="F1499" s="3">
        <v>0</v>
      </c>
      <c r="G1499" s="3">
        <v>84</v>
      </c>
    </row>
    <row r="1500" spans="1:7" x14ac:dyDescent="0.2">
      <c r="A1500" s="3" t="s">
        <v>1</v>
      </c>
      <c r="B1500" t="s">
        <v>991</v>
      </c>
      <c r="C1500" s="3">
        <v>29</v>
      </c>
      <c r="D1500" t="str">
        <f t="shared" si="23"/>
        <v>Chênaies continentales - (ONF, sardin T. , 2008) - sylv. classique - classe 2_29</v>
      </c>
      <c r="E1500" s="3">
        <v>87</v>
      </c>
      <c r="F1500" s="3">
        <v>0</v>
      </c>
      <c r="G1500" s="3">
        <v>87</v>
      </c>
    </row>
    <row r="1501" spans="1:7" x14ac:dyDescent="0.2">
      <c r="A1501" s="3" t="s">
        <v>1</v>
      </c>
      <c r="B1501" t="s">
        <v>991</v>
      </c>
      <c r="C1501" s="3">
        <v>30</v>
      </c>
      <c r="D1501" t="str">
        <f t="shared" si="23"/>
        <v>Chênaies continentales - (ONF, sardin T. , 2008) - sylv. classique - classe 2_30</v>
      </c>
      <c r="E1501" s="3">
        <v>90</v>
      </c>
      <c r="F1501" s="3">
        <v>0</v>
      </c>
      <c r="G1501" s="3">
        <v>90</v>
      </c>
    </row>
    <row r="1502" spans="1:7" x14ac:dyDescent="0.2">
      <c r="A1502" s="3" t="s">
        <v>1</v>
      </c>
      <c r="B1502" t="s">
        <v>992</v>
      </c>
      <c r="C1502" s="3">
        <v>1</v>
      </c>
      <c r="D1502" t="str">
        <f t="shared" si="23"/>
        <v>Chênaies continentales - (ONF, sardin T. , 2008) - sylv. classique - classe 3_1</v>
      </c>
      <c r="E1502" s="3">
        <v>2.1607142857142856</v>
      </c>
      <c r="F1502" s="3">
        <v>0</v>
      </c>
      <c r="G1502" s="3">
        <v>2.1607142857142856</v>
      </c>
    </row>
    <row r="1503" spans="1:7" x14ac:dyDescent="0.2">
      <c r="A1503" s="3" t="s">
        <v>1</v>
      </c>
      <c r="B1503" t="s">
        <v>992</v>
      </c>
      <c r="C1503" s="3">
        <v>2</v>
      </c>
      <c r="D1503" t="str">
        <f t="shared" si="23"/>
        <v>Chênaies continentales - (ONF, sardin T. , 2008) - sylv. classique - classe 3_2</v>
      </c>
      <c r="E1503" s="3">
        <v>4.3214285714285712</v>
      </c>
      <c r="F1503" s="3">
        <v>0</v>
      </c>
      <c r="G1503" s="3">
        <v>4.3214285714285712</v>
      </c>
    </row>
    <row r="1504" spans="1:7" x14ac:dyDescent="0.2">
      <c r="A1504" s="3" t="s">
        <v>1</v>
      </c>
      <c r="B1504" t="s">
        <v>992</v>
      </c>
      <c r="C1504" s="3">
        <v>3</v>
      </c>
      <c r="D1504" t="str">
        <f t="shared" si="23"/>
        <v>Chênaies continentales - (ONF, sardin T. , 2008) - sylv. classique - classe 3_3</v>
      </c>
      <c r="E1504" s="3">
        <v>6.4821428571428568</v>
      </c>
      <c r="F1504" s="3">
        <v>0</v>
      </c>
      <c r="G1504" s="3">
        <v>6.4821428571428568</v>
      </c>
    </row>
    <row r="1505" spans="1:7" x14ac:dyDescent="0.2">
      <c r="A1505" s="3" t="s">
        <v>1</v>
      </c>
      <c r="B1505" t="s">
        <v>992</v>
      </c>
      <c r="C1505" s="3">
        <v>4</v>
      </c>
      <c r="D1505" t="str">
        <f t="shared" si="23"/>
        <v>Chênaies continentales - (ONF, sardin T. , 2008) - sylv. classique - classe 3_4</v>
      </c>
      <c r="E1505" s="3">
        <v>8.6428571428571423</v>
      </c>
      <c r="F1505" s="3">
        <v>0</v>
      </c>
      <c r="G1505" s="3">
        <v>8.6428571428571423</v>
      </c>
    </row>
    <row r="1506" spans="1:7" x14ac:dyDescent="0.2">
      <c r="A1506" s="3" t="s">
        <v>1</v>
      </c>
      <c r="B1506" t="s">
        <v>992</v>
      </c>
      <c r="C1506" s="3">
        <v>5</v>
      </c>
      <c r="D1506" t="str">
        <f t="shared" si="23"/>
        <v>Chênaies continentales - (ONF, sardin T. , 2008) - sylv. classique - classe 3_5</v>
      </c>
      <c r="E1506" s="3">
        <v>10.803571428571427</v>
      </c>
      <c r="F1506" s="3">
        <v>0</v>
      </c>
      <c r="G1506" s="3">
        <v>10.803571428571427</v>
      </c>
    </row>
    <row r="1507" spans="1:7" x14ac:dyDescent="0.2">
      <c r="A1507" s="3" t="s">
        <v>1</v>
      </c>
      <c r="B1507" t="s">
        <v>992</v>
      </c>
      <c r="C1507" s="3">
        <v>6</v>
      </c>
      <c r="D1507" t="str">
        <f t="shared" si="23"/>
        <v>Chênaies continentales - (ONF, sardin T. , 2008) - sylv. classique - classe 3_6</v>
      </c>
      <c r="E1507" s="3">
        <v>12.964285714285712</v>
      </c>
      <c r="F1507" s="3">
        <v>0</v>
      </c>
      <c r="G1507" s="3">
        <v>12.964285714285712</v>
      </c>
    </row>
    <row r="1508" spans="1:7" x14ac:dyDescent="0.2">
      <c r="A1508" s="3" t="s">
        <v>1</v>
      </c>
      <c r="B1508" t="s">
        <v>992</v>
      </c>
      <c r="C1508" s="3">
        <v>7</v>
      </c>
      <c r="D1508" t="str">
        <f t="shared" si="23"/>
        <v>Chênaies continentales - (ONF, sardin T. , 2008) - sylv. classique - classe 3_7</v>
      </c>
      <c r="E1508" s="3">
        <v>15.124999999999996</v>
      </c>
      <c r="F1508" s="3">
        <v>0</v>
      </c>
      <c r="G1508" s="3">
        <v>15.124999999999996</v>
      </c>
    </row>
    <row r="1509" spans="1:7" x14ac:dyDescent="0.2">
      <c r="A1509" s="3" t="s">
        <v>1</v>
      </c>
      <c r="B1509" t="s">
        <v>992</v>
      </c>
      <c r="C1509" s="3">
        <v>8</v>
      </c>
      <c r="D1509" t="str">
        <f t="shared" si="23"/>
        <v>Chênaies continentales - (ONF, sardin T. , 2008) - sylv. classique - classe 3_8</v>
      </c>
      <c r="E1509" s="3">
        <v>17.285714285714281</v>
      </c>
      <c r="F1509" s="3">
        <v>0</v>
      </c>
      <c r="G1509" s="3">
        <v>17.285714285714281</v>
      </c>
    </row>
    <row r="1510" spans="1:7" x14ac:dyDescent="0.2">
      <c r="A1510" s="3" t="s">
        <v>1</v>
      </c>
      <c r="B1510" t="s">
        <v>992</v>
      </c>
      <c r="C1510" s="3">
        <v>9</v>
      </c>
      <c r="D1510" t="str">
        <f t="shared" si="23"/>
        <v>Chênaies continentales - (ONF, sardin T. , 2008) - sylv. classique - classe 3_9</v>
      </c>
      <c r="E1510" s="3">
        <v>19.446428571428566</v>
      </c>
      <c r="F1510" s="3">
        <v>0</v>
      </c>
      <c r="G1510" s="3">
        <v>19.446428571428566</v>
      </c>
    </row>
    <row r="1511" spans="1:7" x14ac:dyDescent="0.2">
      <c r="A1511" s="3" t="s">
        <v>1</v>
      </c>
      <c r="B1511" t="s">
        <v>992</v>
      </c>
      <c r="C1511" s="3">
        <v>10</v>
      </c>
      <c r="D1511" t="str">
        <f t="shared" si="23"/>
        <v>Chênaies continentales - (ONF, sardin T. , 2008) - sylv. classique - classe 3_10</v>
      </c>
      <c r="E1511" s="3">
        <v>21.607142857142851</v>
      </c>
      <c r="F1511" s="3">
        <v>0</v>
      </c>
      <c r="G1511" s="3">
        <v>21.607142857142851</v>
      </c>
    </row>
    <row r="1512" spans="1:7" x14ac:dyDescent="0.2">
      <c r="A1512" s="3" t="s">
        <v>1</v>
      </c>
      <c r="B1512" t="s">
        <v>992</v>
      </c>
      <c r="C1512" s="3">
        <v>11</v>
      </c>
      <c r="D1512" t="str">
        <f t="shared" si="23"/>
        <v>Chênaies continentales - (ONF, sardin T. , 2008) - sylv. classique - classe 3_11</v>
      </c>
      <c r="E1512" s="3">
        <v>23.767857142857135</v>
      </c>
      <c r="F1512" s="3">
        <v>0</v>
      </c>
      <c r="G1512" s="3">
        <v>23.767857142857135</v>
      </c>
    </row>
    <row r="1513" spans="1:7" x14ac:dyDescent="0.2">
      <c r="A1513" s="3" t="s">
        <v>1</v>
      </c>
      <c r="B1513" t="s">
        <v>992</v>
      </c>
      <c r="C1513" s="3">
        <v>12</v>
      </c>
      <c r="D1513" t="str">
        <f t="shared" si="23"/>
        <v>Chênaies continentales - (ONF, sardin T. , 2008) - sylv. classique - classe 3_12</v>
      </c>
      <c r="E1513" s="3">
        <v>25.92857142857142</v>
      </c>
      <c r="F1513" s="3">
        <v>0</v>
      </c>
      <c r="G1513" s="3">
        <v>25.92857142857142</v>
      </c>
    </row>
    <row r="1514" spans="1:7" x14ac:dyDescent="0.2">
      <c r="A1514" s="3" t="s">
        <v>1</v>
      </c>
      <c r="B1514" t="s">
        <v>992</v>
      </c>
      <c r="C1514" s="3">
        <v>13</v>
      </c>
      <c r="D1514" t="str">
        <f t="shared" si="23"/>
        <v>Chênaies continentales - (ONF, sardin T. , 2008) - sylv. classique - classe 3_13</v>
      </c>
      <c r="E1514" s="3">
        <v>28.089285714285705</v>
      </c>
      <c r="F1514" s="3">
        <v>0</v>
      </c>
      <c r="G1514" s="3">
        <v>28.089285714285705</v>
      </c>
    </row>
    <row r="1515" spans="1:7" x14ac:dyDescent="0.2">
      <c r="A1515" s="3" t="s">
        <v>1</v>
      </c>
      <c r="B1515" t="s">
        <v>992</v>
      </c>
      <c r="C1515" s="3">
        <v>14</v>
      </c>
      <c r="D1515" t="str">
        <f t="shared" si="23"/>
        <v>Chênaies continentales - (ONF, sardin T. , 2008) - sylv. classique - classe 3_14</v>
      </c>
      <c r="E1515" s="3">
        <v>30.249999999999989</v>
      </c>
      <c r="F1515" s="3">
        <v>0</v>
      </c>
      <c r="G1515" s="3">
        <v>30.249999999999989</v>
      </c>
    </row>
    <row r="1516" spans="1:7" x14ac:dyDescent="0.2">
      <c r="A1516" s="3" t="s">
        <v>1</v>
      </c>
      <c r="B1516" t="s">
        <v>992</v>
      </c>
      <c r="C1516" s="3">
        <v>15</v>
      </c>
      <c r="D1516" t="str">
        <f t="shared" si="23"/>
        <v>Chênaies continentales - (ONF, sardin T. , 2008) - sylv. classique - classe 3_15</v>
      </c>
      <c r="E1516" s="3">
        <v>32.410714285714278</v>
      </c>
      <c r="F1516" s="3">
        <v>0</v>
      </c>
      <c r="G1516" s="3">
        <v>32.410714285714278</v>
      </c>
    </row>
    <row r="1517" spans="1:7" x14ac:dyDescent="0.2">
      <c r="A1517" s="3" t="s">
        <v>1</v>
      </c>
      <c r="B1517" t="s">
        <v>992</v>
      </c>
      <c r="C1517" s="3">
        <v>16</v>
      </c>
      <c r="D1517" t="str">
        <f t="shared" si="23"/>
        <v>Chênaies continentales - (ONF, sardin T. , 2008) - sylv. classique - classe 3_16</v>
      </c>
      <c r="E1517" s="3">
        <v>34.571428571428562</v>
      </c>
      <c r="F1517" s="3">
        <v>0</v>
      </c>
      <c r="G1517" s="3">
        <v>34.571428571428562</v>
      </c>
    </row>
    <row r="1518" spans="1:7" x14ac:dyDescent="0.2">
      <c r="A1518" s="3" t="s">
        <v>1</v>
      </c>
      <c r="B1518" t="s">
        <v>992</v>
      </c>
      <c r="C1518" s="3">
        <v>17</v>
      </c>
      <c r="D1518" t="str">
        <f t="shared" si="23"/>
        <v>Chênaies continentales - (ONF, sardin T. , 2008) - sylv. classique - classe 3_17</v>
      </c>
      <c r="E1518" s="3">
        <v>36.732142857142847</v>
      </c>
      <c r="F1518" s="3">
        <v>0</v>
      </c>
      <c r="G1518" s="3">
        <v>36.732142857142847</v>
      </c>
    </row>
    <row r="1519" spans="1:7" x14ac:dyDescent="0.2">
      <c r="A1519" s="3" t="s">
        <v>1</v>
      </c>
      <c r="B1519" t="s">
        <v>992</v>
      </c>
      <c r="C1519" s="3">
        <v>18</v>
      </c>
      <c r="D1519" t="str">
        <f t="shared" si="23"/>
        <v>Chênaies continentales - (ONF, sardin T. , 2008) - sylv. classique - classe 3_18</v>
      </c>
      <c r="E1519" s="3">
        <v>38.892857142857132</v>
      </c>
      <c r="F1519" s="3">
        <v>0</v>
      </c>
      <c r="G1519" s="3">
        <v>38.892857142857132</v>
      </c>
    </row>
    <row r="1520" spans="1:7" x14ac:dyDescent="0.2">
      <c r="A1520" s="3" t="s">
        <v>1</v>
      </c>
      <c r="B1520" t="s">
        <v>992</v>
      </c>
      <c r="C1520" s="3">
        <v>19</v>
      </c>
      <c r="D1520" t="str">
        <f t="shared" si="23"/>
        <v>Chênaies continentales - (ONF, sardin T. , 2008) - sylv. classique - classe 3_19</v>
      </c>
      <c r="E1520" s="3">
        <v>41.053571428571416</v>
      </c>
      <c r="F1520" s="3">
        <v>0</v>
      </c>
      <c r="G1520" s="3">
        <v>41.053571428571416</v>
      </c>
    </row>
    <row r="1521" spans="1:7" x14ac:dyDescent="0.2">
      <c r="A1521" s="3" t="s">
        <v>1</v>
      </c>
      <c r="B1521" t="s">
        <v>992</v>
      </c>
      <c r="C1521" s="3">
        <v>20</v>
      </c>
      <c r="D1521" t="str">
        <f t="shared" si="23"/>
        <v>Chênaies continentales - (ONF, sardin T. , 2008) - sylv. classique - classe 3_20</v>
      </c>
      <c r="E1521" s="3">
        <v>43.214285714285701</v>
      </c>
      <c r="F1521" s="3">
        <v>0</v>
      </c>
      <c r="G1521" s="3">
        <v>43.214285714285701</v>
      </c>
    </row>
    <row r="1522" spans="1:7" x14ac:dyDescent="0.2">
      <c r="A1522" s="3" t="s">
        <v>1</v>
      </c>
      <c r="B1522" t="s">
        <v>992</v>
      </c>
      <c r="C1522" s="3">
        <v>21</v>
      </c>
      <c r="D1522" t="str">
        <f t="shared" si="23"/>
        <v>Chênaies continentales - (ONF, sardin T. , 2008) - sylv. classique - classe 3_21</v>
      </c>
      <c r="E1522" s="3">
        <v>45.374999999999986</v>
      </c>
      <c r="F1522" s="3">
        <v>0</v>
      </c>
      <c r="G1522" s="3">
        <v>45.374999999999986</v>
      </c>
    </row>
    <row r="1523" spans="1:7" x14ac:dyDescent="0.2">
      <c r="A1523" s="3" t="s">
        <v>1</v>
      </c>
      <c r="B1523" t="s">
        <v>992</v>
      </c>
      <c r="C1523" s="3">
        <v>22</v>
      </c>
      <c r="D1523" t="str">
        <f t="shared" si="23"/>
        <v>Chênaies continentales - (ONF, sardin T. , 2008) - sylv. classique - classe 3_22</v>
      </c>
      <c r="E1523" s="3">
        <v>47.53571428571427</v>
      </c>
      <c r="F1523" s="3">
        <v>0</v>
      </c>
      <c r="G1523" s="3">
        <v>47.53571428571427</v>
      </c>
    </row>
    <row r="1524" spans="1:7" x14ac:dyDescent="0.2">
      <c r="A1524" s="3" t="s">
        <v>1</v>
      </c>
      <c r="B1524" t="s">
        <v>992</v>
      </c>
      <c r="C1524" s="3">
        <v>23</v>
      </c>
      <c r="D1524" t="str">
        <f t="shared" si="23"/>
        <v>Chênaies continentales - (ONF, sardin T. , 2008) - sylv. classique - classe 3_23</v>
      </c>
      <c r="E1524" s="3">
        <v>49.696428571428555</v>
      </c>
      <c r="F1524" s="3">
        <v>0</v>
      </c>
      <c r="G1524" s="3">
        <v>49.696428571428555</v>
      </c>
    </row>
    <row r="1525" spans="1:7" x14ac:dyDescent="0.2">
      <c r="A1525" s="3" t="s">
        <v>1</v>
      </c>
      <c r="B1525" t="s">
        <v>992</v>
      </c>
      <c r="C1525" s="3">
        <v>24</v>
      </c>
      <c r="D1525" t="str">
        <f t="shared" si="23"/>
        <v>Chênaies continentales - (ONF, sardin T. , 2008) - sylv. classique - classe 3_24</v>
      </c>
      <c r="E1525" s="3">
        <v>51.85714285714284</v>
      </c>
      <c r="F1525" s="3">
        <v>0</v>
      </c>
      <c r="G1525" s="3">
        <v>51.85714285714284</v>
      </c>
    </row>
    <row r="1526" spans="1:7" x14ac:dyDescent="0.2">
      <c r="A1526" s="3" t="s">
        <v>1</v>
      </c>
      <c r="B1526" t="s">
        <v>992</v>
      </c>
      <c r="C1526" s="3">
        <v>25</v>
      </c>
      <c r="D1526" t="str">
        <f t="shared" si="23"/>
        <v>Chênaies continentales - (ONF, sardin T. , 2008) - sylv. classique - classe 3_25</v>
      </c>
      <c r="E1526" s="3">
        <v>54.017857142857125</v>
      </c>
      <c r="F1526" s="3">
        <v>0</v>
      </c>
      <c r="G1526" s="3">
        <v>54.017857142857125</v>
      </c>
    </row>
    <row r="1527" spans="1:7" x14ac:dyDescent="0.2">
      <c r="A1527" s="3" t="s">
        <v>1</v>
      </c>
      <c r="B1527" t="s">
        <v>992</v>
      </c>
      <c r="C1527" s="3">
        <v>26</v>
      </c>
      <c r="D1527" t="str">
        <f t="shared" si="23"/>
        <v>Chênaies continentales - (ONF, sardin T. , 2008) - sylv. classique - classe 3_26</v>
      </c>
      <c r="E1527" s="3">
        <v>56.178571428571409</v>
      </c>
      <c r="F1527" s="3">
        <v>0</v>
      </c>
      <c r="G1527" s="3">
        <v>56.178571428571409</v>
      </c>
    </row>
    <row r="1528" spans="1:7" x14ac:dyDescent="0.2">
      <c r="A1528" s="3" t="s">
        <v>1</v>
      </c>
      <c r="B1528" t="s">
        <v>992</v>
      </c>
      <c r="C1528" s="3">
        <v>27</v>
      </c>
      <c r="D1528" t="str">
        <f t="shared" si="23"/>
        <v>Chênaies continentales - (ONF, sardin T. , 2008) - sylv. classique - classe 3_27</v>
      </c>
      <c r="E1528" s="3">
        <v>58.339285714285694</v>
      </c>
      <c r="F1528" s="3">
        <v>0</v>
      </c>
      <c r="G1528" s="3">
        <v>58.339285714285694</v>
      </c>
    </row>
    <row r="1529" spans="1:7" x14ac:dyDescent="0.2">
      <c r="A1529" s="3" t="s">
        <v>1</v>
      </c>
      <c r="B1529" t="s">
        <v>992</v>
      </c>
      <c r="C1529" s="3">
        <v>28</v>
      </c>
      <c r="D1529" t="str">
        <f t="shared" si="23"/>
        <v>Chênaies continentales - (ONF, sardin T. , 2008) - sylv. classique - classe 3_28</v>
      </c>
      <c r="E1529" s="3">
        <v>60.499999999999979</v>
      </c>
      <c r="F1529" s="3">
        <v>0</v>
      </c>
      <c r="G1529" s="3">
        <v>60.499999999999979</v>
      </c>
    </row>
    <row r="1530" spans="1:7" x14ac:dyDescent="0.2">
      <c r="A1530" s="3" t="s">
        <v>1</v>
      </c>
      <c r="B1530" t="s">
        <v>992</v>
      </c>
      <c r="C1530" s="3">
        <v>29</v>
      </c>
      <c r="D1530" t="str">
        <f t="shared" si="23"/>
        <v>Chênaies continentales - (ONF, sardin T. , 2008) - sylv. classique - classe 3_29</v>
      </c>
      <c r="E1530" s="3">
        <v>62.660714285714263</v>
      </c>
      <c r="F1530" s="3">
        <v>0</v>
      </c>
      <c r="G1530" s="3">
        <v>62.660714285714263</v>
      </c>
    </row>
    <row r="1531" spans="1:7" x14ac:dyDescent="0.2">
      <c r="A1531" s="3" t="s">
        <v>1</v>
      </c>
      <c r="B1531" t="s">
        <v>992</v>
      </c>
      <c r="C1531" s="3">
        <v>30</v>
      </c>
      <c r="D1531" t="str">
        <f t="shared" si="23"/>
        <v>Chênaies continentales - (ONF, sardin T. , 2008) - sylv. classique - classe 3_30</v>
      </c>
      <c r="E1531" s="3">
        <v>64.821428571428555</v>
      </c>
      <c r="F1531" s="3">
        <v>0</v>
      </c>
      <c r="G1531" s="3">
        <v>64.821428571428555</v>
      </c>
    </row>
    <row r="1532" spans="1:7" x14ac:dyDescent="0.2">
      <c r="A1532" s="3" t="s">
        <v>77</v>
      </c>
      <c r="B1532" t="s">
        <v>993</v>
      </c>
      <c r="C1532" s="3">
        <v>1</v>
      </c>
      <c r="D1532" t="str">
        <f t="shared" si="23"/>
        <v>Châtaignier - (Forêt - entreprise n °179-Mars 2008) - classe unique_1</v>
      </c>
      <c r="E1532" s="3">
        <v>11.5</v>
      </c>
      <c r="F1532" s="3">
        <v>0</v>
      </c>
      <c r="G1532" s="3">
        <v>11.5</v>
      </c>
    </row>
    <row r="1533" spans="1:7" x14ac:dyDescent="0.2">
      <c r="A1533" s="3" t="s">
        <v>77</v>
      </c>
      <c r="B1533" t="s">
        <v>993</v>
      </c>
      <c r="C1533" s="3">
        <v>2</v>
      </c>
      <c r="D1533" t="str">
        <f t="shared" si="23"/>
        <v>Châtaignier - (Forêt - entreprise n °179-Mars 2008) - classe unique_2</v>
      </c>
      <c r="E1533" s="3">
        <v>23</v>
      </c>
      <c r="F1533" s="3">
        <v>0</v>
      </c>
      <c r="G1533" s="3">
        <v>23</v>
      </c>
    </row>
    <row r="1534" spans="1:7" x14ac:dyDescent="0.2">
      <c r="A1534" s="3" t="s">
        <v>77</v>
      </c>
      <c r="B1534" t="s">
        <v>993</v>
      </c>
      <c r="C1534" s="3">
        <v>3</v>
      </c>
      <c r="D1534" t="str">
        <f t="shared" si="23"/>
        <v>Châtaignier - (Forêt - entreprise n °179-Mars 2008) - classe unique_3</v>
      </c>
      <c r="E1534" s="3">
        <v>34.5</v>
      </c>
      <c r="F1534" s="3">
        <v>0</v>
      </c>
      <c r="G1534" s="3">
        <v>34.5</v>
      </c>
    </row>
    <row r="1535" spans="1:7" x14ac:dyDescent="0.2">
      <c r="A1535" s="3" t="s">
        <v>77</v>
      </c>
      <c r="B1535" t="s">
        <v>993</v>
      </c>
      <c r="C1535" s="3">
        <v>4</v>
      </c>
      <c r="D1535" t="str">
        <f t="shared" si="23"/>
        <v>Châtaignier - (Forêt - entreprise n °179-Mars 2008) - classe unique_4</v>
      </c>
      <c r="E1535" s="3">
        <v>46</v>
      </c>
      <c r="F1535" s="3">
        <v>0</v>
      </c>
      <c r="G1535" s="3">
        <v>46</v>
      </c>
    </row>
    <row r="1536" spans="1:7" x14ac:dyDescent="0.2">
      <c r="A1536" s="3" t="s">
        <v>77</v>
      </c>
      <c r="B1536" t="s">
        <v>993</v>
      </c>
      <c r="C1536" s="3">
        <v>5</v>
      </c>
      <c r="D1536" t="str">
        <f t="shared" si="23"/>
        <v>Châtaignier - (Forêt - entreprise n °179-Mars 2008) - classe unique_5</v>
      </c>
      <c r="E1536" s="3">
        <v>57.5</v>
      </c>
      <c r="F1536" s="3">
        <v>0</v>
      </c>
      <c r="G1536" s="3">
        <v>57.5</v>
      </c>
    </row>
    <row r="1537" spans="1:7" x14ac:dyDescent="0.2">
      <c r="A1537" s="3" t="s">
        <v>77</v>
      </c>
      <c r="B1537" t="s">
        <v>993</v>
      </c>
      <c r="C1537" s="3">
        <v>6</v>
      </c>
      <c r="D1537" t="str">
        <f t="shared" si="23"/>
        <v>Châtaignier - (Forêt - entreprise n °179-Mars 2008) - classe unique_6</v>
      </c>
      <c r="E1537" s="3">
        <v>69</v>
      </c>
      <c r="F1537" s="3">
        <v>0</v>
      </c>
      <c r="G1537" s="3">
        <v>69</v>
      </c>
    </row>
    <row r="1538" spans="1:7" x14ac:dyDescent="0.2">
      <c r="A1538" s="3" t="s">
        <v>77</v>
      </c>
      <c r="B1538" t="s">
        <v>993</v>
      </c>
      <c r="C1538" s="3">
        <v>7</v>
      </c>
      <c r="D1538" t="str">
        <f t="shared" si="23"/>
        <v>Châtaignier - (Forêt - entreprise n °179-Mars 2008) - classe unique_7</v>
      </c>
      <c r="E1538" s="3">
        <v>80.5</v>
      </c>
      <c r="F1538" s="3">
        <v>0</v>
      </c>
      <c r="G1538" s="3">
        <v>80.5</v>
      </c>
    </row>
    <row r="1539" spans="1:7" x14ac:dyDescent="0.2">
      <c r="A1539" s="3" t="s">
        <v>77</v>
      </c>
      <c r="B1539" t="s">
        <v>993</v>
      </c>
      <c r="C1539" s="3">
        <v>8</v>
      </c>
      <c r="D1539" t="str">
        <f t="shared" ref="D1539:D1561" si="24">CONCATENATE(B1539,"_",C1539)</f>
        <v>Châtaignier - (Forêt - entreprise n °179-Mars 2008) - classe unique_8</v>
      </c>
      <c r="E1539" s="3">
        <v>92</v>
      </c>
      <c r="F1539" s="3">
        <v>0</v>
      </c>
      <c r="G1539" s="3">
        <v>92</v>
      </c>
    </row>
    <row r="1540" spans="1:7" x14ac:dyDescent="0.2">
      <c r="A1540" s="3" t="s">
        <v>77</v>
      </c>
      <c r="B1540" t="s">
        <v>993</v>
      </c>
      <c r="C1540" s="3">
        <v>9</v>
      </c>
      <c r="D1540" t="str">
        <f t="shared" si="24"/>
        <v>Châtaignier - (Forêt - entreprise n °179-Mars 2008) - classe unique_9</v>
      </c>
      <c r="E1540" s="3">
        <v>103.5</v>
      </c>
      <c r="F1540" s="3">
        <v>0</v>
      </c>
      <c r="G1540" s="3">
        <v>103.5</v>
      </c>
    </row>
    <row r="1541" spans="1:7" x14ac:dyDescent="0.2">
      <c r="A1541" s="3" t="s">
        <v>77</v>
      </c>
      <c r="B1541" t="s">
        <v>993</v>
      </c>
      <c r="C1541" s="3">
        <v>10</v>
      </c>
      <c r="D1541" t="str">
        <f t="shared" si="24"/>
        <v>Châtaignier - (Forêt - entreprise n °179-Mars 2008) - classe unique_10</v>
      </c>
      <c r="E1541" s="3">
        <v>115</v>
      </c>
      <c r="F1541" s="3">
        <v>71</v>
      </c>
      <c r="G1541" s="3">
        <v>44</v>
      </c>
    </row>
    <row r="1542" spans="1:7" x14ac:dyDescent="0.2">
      <c r="A1542" s="3" t="s">
        <v>77</v>
      </c>
      <c r="B1542" t="s">
        <v>993</v>
      </c>
      <c r="C1542" s="3">
        <v>11</v>
      </c>
      <c r="D1542" t="str">
        <f t="shared" si="24"/>
        <v>Châtaignier - (Forêt - entreprise n °179-Mars 2008) - classe unique_11</v>
      </c>
      <c r="E1542" s="3">
        <v>52</v>
      </c>
      <c r="F1542" s="3">
        <v>0</v>
      </c>
      <c r="G1542" s="3">
        <v>52</v>
      </c>
    </row>
    <row r="1543" spans="1:7" x14ac:dyDescent="0.2">
      <c r="A1543" s="3" t="s">
        <v>77</v>
      </c>
      <c r="B1543" t="s">
        <v>993</v>
      </c>
      <c r="C1543" s="3">
        <v>12</v>
      </c>
      <c r="D1543" t="str">
        <f t="shared" si="24"/>
        <v>Châtaignier - (Forêt - entreprise n °179-Mars 2008) - classe unique_12</v>
      </c>
      <c r="E1543" s="3">
        <v>60</v>
      </c>
      <c r="F1543" s="3">
        <v>0</v>
      </c>
      <c r="G1543" s="3">
        <v>60</v>
      </c>
    </row>
    <row r="1544" spans="1:7" x14ac:dyDescent="0.2">
      <c r="A1544" s="3" t="s">
        <v>77</v>
      </c>
      <c r="B1544" t="s">
        <v>993</v>
      </c>
      <c r="C1544" s="3">
        <v>13</v>
      </c>
      <c r="D1544" t="str">
        <f t="shared" si="24"/>
        <v>Châtaignier - (Forêt - entreprise n °179-Mars 2008) - classe unique_13</v>
      </c>
      <c r="E1544" s="3">
        <v>68</v>
      </c>
      <c r="F1544" s="3">
        <v>0</v>
      </c>
      <c r="G1544" s="3">
        <v>68</v>
      </c>
    </row>
    <row r="1545" spans="1:7" x14ac:dyDescent="0.2">
      <c r="A1545" s="3" t="s">
        <v>77</v>
      </c>
      <c r="B1545" t="s">
        <v>993</v>
      </c>
      <c r="C1545" s="3">
        <v>14</v>
      </c>
      <c r="D1545" t="str">
        <f t="shared" si="24"/>
        <v>Châtaignier - (Forêt - entreprise n °179-Mars 2008) - classe unique_14</v>
      </c>
      <c r="E1545" s="3">
        <v>76</v>
      </c>
      <c r="F1545" s="3">
        <v>0</v>
      </c>
      <c r="G1545" s="3">
        <v>76</v>
      </c>
    </row>
    <row r="1546" spans="1:7" x14ac:dyDescent="0.2">
      <c r="A1546" s="3" t="s">
        <v>77</v>
      </c>
      <c r="B1546" t="s">
        <v>993</v>
      </c>
      <c r="C1546" s="3">
        <v>15</v>
      </c>
      <c r="D1546" t="str">
        <f t="shared" si="24"/>
        <v>Châtaignier - (Forêt - entreprise n °179-Mars 2008) - classe unique_15</v>
      </c>
      <c r="E1546" s="3">
        <v>84</v>
      </c>
      <c r="F1546" s="3">
        <v>0</v>
      </c>
      <c r="G1546" s="3">
        <v>84</v>
      </c>
    </row>
    <row r="1547" spans="1:7" x14ac:dyDescent="0.2">
      <c r="A1547" s="3" t="s">
        <v>77</v>
      </c>
      <c r="B1547" t="s">
        <v>993</v>
      </c>
      <c r="C1547" s="3">
        <v>16</v>
      </c>
      <c r="D1547" t="str">
        <f t="shared" si="24"/>
        <v>Châtaignier - (Forêt - entreprise n °179-Mars 2008) - classe unique_16</v>
      </c>
      <c r="E1547" s="3">
        <v>92</v>
      </c>
      <c r="F1547" s="3">
        <v>33</v>
      </c>
      <c r="G1547" s="3">
        <v>59</v>
      </c>
    </row>
    <row r="1548" spans="1:7" x14ac:dyDescent="0.2">
      <c r="A1548" s="3" t="s">
        <v>77</v>
      </c>
      <c r="B1548" t="s">
        <v>993</v>
      </c>
      <c r="C1548" s="3">
        <v>17</v>
      </c>
      <c r="D1548" t="str">
        <f t="shared" si="24"/>
        <v>Châtaignier - (Forêt - entreprise n °179-Mars 2008) - classe unique_17</v>
      </c>
      <c r="E1548" s="3">
        <v>63.333333333333336</v>
      </c>
      <c r="F1548" s="3">
        <v>0</v>
      </c>
      <c r="G1548" s="3">
        <v>63.333333333333336</v>
      </c>
    </row>
    <row r="1549" spans="1:7" x14ac:dyDescent="0.2">
      <c r="A1549" s="3" t="s">
        <v>77</v>
      </c>
      <c r="B1549" t="s">
        <v>993</v>
      </c>
      <c r="C1549" s="3">
        <v>18</v>
      </c>
      <c r="D1549" t="str">
        <f t="shared" si="24"/>
        <v>Châtaignier - (Forêt - entreprise n °179-Mars 2008) - classe unique_18</v>
      </c>
      <c r="E1549" s="3">
        <v>71.333333333333343</v>
      </c>
      <c r="F1549" s="3">
        <v>0</v>
      </c>
      <c r="G1549" s="3">
        <v>71.333333333333343</v>
      </c>
    </row>
    <row r="1550" spans="1:7" x14ac:dyDescent="0.2">
      <c r="A1550" s="3" t="s">
        <v>77</v>
      </c>
      <c r="B1550" t="s">
        <v>993</v>
      </c>
      <c r="C1550" s="3">
        <v>19</v>
      </c>
      <c r="D1550" t="str">
        <f t="shared" si="24"/>
        <v>Châtaignier - (Forêt - entreprise n °179-Mars 2008) - classe unique_19</v>
      </c>
      <c r="E1550" s="3">
        <v>79.333333333333343</v>
      </c>
      <c r="F1550" s="3">
        <v>0</v>
      </c>
      <c r="G1550" s="3">
        <v>79.333333333333343</v>
      </c>
    </row>
    <row r="1551" spans="1:7" x14ac:dyDescent="0.2">
      <c r="A1551" s="3" t="s">
        <v>77</v>
      </c>
      <c r="B1551" t="s">
        <v>993</v>
      </c>
      <c r="C1551" s="3">
        <v>20</v>
      </c>
      <c r="D1551" t="str">
        <f t="shared" si="24"/>
        <v>Châtaignier - (Forêt - entreprise n °179-Mars 2008) - classe unique_20</v>
      </c>
      <c r="E1551" s="3">
        <v>87.333333333333343</v>
      </c>
      <c r="F1551" s="3">
        <v>0</v>
      </c>
      <c r="G1551" s="3">
        <v>87.333333333333343</v>
      </c>
    </row>
    <row r="1552" spans="1:7" x14ac:dyDescent="0.2">
      <c r="A1552" s="3" t="s">
        <v>77</v>
      </c>
      <c r="B1552" t="s">
        <v>993</v>
      </c>
      <c r="C1552" s="3">
        <v>21</v>
      </c>
      <c r="D1552" t="str">
        <f t="shared" si="24"/>
        <v>Châtaignier - (Forêt - entreprise n °179-Mars 2008) - classe unique_21</v>
      </c>
      <c r="E1552" s="3">
        <v>95.333333333333343</v>
      </c>
      <c r="F1552" s="3">
        <v>0</v>
      </c>
      <c r="G1552" s="3">
        <v>95.333333333333343</v>
      </c>
    </row>
    <row r="1553" spans="1:7" x14ac:dyDescent="0.2">
      <c r="A1553" s="3" t="s">
        <v>77</v>
      </c>
      <c r="B1553" t="s">
        <v>993</v>
      </c>
      <c r="C1553" s="3">
        <v>22</v>
      </c>
      <c r="D1553" t="str">
        <f t="shared" si="24"/>
        <v>Châtaignier - (Forêt - entreprise n °179-Mars 2008) - classe unique_22</v>
      </c>
      <c r="E1553" s="3">
        <v>103.33333333333334</v>
      </c>
      <c r="F1553" s="3">
        <v>0</v>
      </c>
      <c r="G1553" s="3">
        <v>103.33333333333334</v>
      </c>
    </row>
    <row r="1554" spans="1:7" x14ac:dyDescent="0.2">
      <c r="A1554" s="3" t="s">
        <v>77</v>
      </c>
      <c r="B1554" t="s">
        <v>993</v>
      </c>
      <c r="C1554" s="3">
        <v>23</v>
      </c>
      <c r="D1554" t="str">
        <f t="shared" si="24"/>
        <v>Châtaignier - (Forêt - entreprise n °179-Mars 2008) - classe unique_23</v>
      </c>
      <c r="E1554" s="3">
        <v>111.33333333333334</v>
      </c>
      <c r="F1554" s="3">
        <v>0</v>
      </c>
      <c r="G1554" s="3">
        <v>111.33333333333334</v>
      </c>
    </row>
    <row r="1555" spans="1:7" x14ac:dyDescent="0.2">
      <c r="A1555" s="3" t="s">
        <v>77</v>
      </c>
      <c r="B1555" t="s">
        <v>993</v>
      </c>
      <c r="C1555" s="3">
        <v>24</v>
      </c>
      <c r="D1555" t="str">
        <f t="shared" si="24"/>
        <v>Châtaignier - (Forêt - entreprise n °179-Mars 2008) - classe unique_24</v>
      </c>
      <c r="E1555" s="3">
        <v>119.33333333333334</v>
      </c>
      <c r="F1555" s="3">
        <v>0</v>
      </c>
      <c r="G1555" s="3">
        <v>119.33333333333334</v>
      </c>
    </row>
    <row r="1556" spans="1:7" x14ac:dyDescent="0.2">
      <c r="A1556" s="3" t="s">
        <v>77</v>
      </c>
      <c r="B1556" t="s">
        <v>993</v>
      </c>
      <c r="C1556" s="3">
        <v>25</v>
      </c>
      <c r="D1556" t="str">
        <f t="shared" si="24"/>
        <v>Châtaignier - (Forêt - entreprise n °179-Mars 2008) - classe unique_25</v>
      </c>
      <c r="E1556" s="3">
        <v>131</v>
      </c>
      <c r="F1556" s="3">
        <v>41</v>
      </c>
      <c r="G1556" s="3">
        <v>90</v>
      </c>
    </row>
    <row r="1557" spans="1:7" x14ac:dyDescent="0.2">
      <c r="A1557" s="3" t="s">
        <v>77</v>
      </c>
      <c r="B1557" t="s">
        <v>993</v>
      </c>
      <c r="C1557" s="3">
        <v>26</v>
      </c>
      <c r="D1557" t="str">
        <f t="shared" si="24"/>
        <v>Châtaignier - (Forêt - entreprise n °179-Mars 2008) - classe unique_26</v>
      </c>
      <c r="E1557" s="3">
        <v>97.05</v>
      </c>
      <c r="F1557" s="3">
        <v>0</v>
      </c>
      <c r="G1557" s="3">
        <v>97.05</v>
      </c>
    </row>
    <row r="1558" spans="1:7" x14ac:dyDescent="0.2">
      <c r="A1558" s="3" t="s">
        <v>77</v>
      </c>
      <c r="B1558" t="s">
        <v>993</v>
      </c>
      <c r="C1558" s="3">
        <v>27</v>
      </c>
      <c r="D1558" t="str">
        <f t="shared" si="24"/>
        <v>Châtaignier - (Forêt - entreprise n °179-Mars 2008) - classe unique_27</v>
      </c>
      <c r="E1558" s="3">
        <v>104.1</v>
      </c>
      <c r="F1558" s="3">
        <v>0</v>
      </c>
      <c r="G1558" s="3">
        <v>104.1</v>
      </c>
    </row>
    <row r="1559" spans="1:7" x14ac:dyDescent="0.2">
      <c r="A1559" s="3" t="s">
        <v>77</v>
      </c>
      <c r="B1559" t="s">
        <v>993</v>
      </c>
      <c r="C1559" s="3">
        <v>28</v>
      </c>
      <c r="D1559" t="str">
        <f t="shared" si="24"/>
        <v>Châtaignier - (Forêt - entreprise n °179-Mars 2008) - classe unique_28</v>
      </c>
      <c r="E1559" s="3">
        <v>111.14999999999999</v>
      </c>
      <c r="F1559" s="3">
        <v>0</v>
      </c>
      <c r="G1559" s="3">
        <v>111.14999999999999</v>
      </c>
    </row>
    <row r="1560" spans="1:7" x14ac:dyDescent="0.2">
      <c r="A1560" s="3" t="s">
        <v>77</v>
      </c>
      <c r="B1560" t="s">
        <v>993</v>
      </c>
      <c r="C1560" s="3">
        <v>29</v>
      </c>
      <c r="D1560" t="str">
        <f t="shared" si="24"/>
        <v>Châtaignier - (Forêt - entreprise n °179-Mars 2008) - classe unique_29</v>
      </c>
      <c r="E1560" s="3">
        <v>118.19999999999999</v>
      </c>
      <c r="F1560" s="3">
        <v>0</v>
      </c>
      <c r="G1560" s="3">
        <v>118.19999999999999</v>
      </c>
    </row>
    <row r="1561" spans="1:7" x14ac:dyDescent="0.2">
      <c r="A1561" s="3" t="s">
        <v>77</v>
      </c>
      <c r="B1561" t="s">
        <v>993</v>
      </c>
      <c r="C1561" s="3">
        <v>30</v>
      </c>
      <c r="D1561" t="str">
        <f t="shared" si="24"/>
        <v>Châtaignier - (Forêt - entreprise n °179-Mars 2008) - classe unique_30</v>
      </c>
      <c r="E1561" s="3">
        <v>125.24999999999999</v>
      </c>
      <c r="F1561" s="3">
        <v>0</v>
      </c>
      <c r="G1561" s="3">
        <v>125.24999999999999</v>
      </c>
    </row>
  </sheetData>
  <sheetProtection algorithmName="SHA-512" hashValue="W/1WKKRdsoj5x8egU0RC+TPOq0vSOcaXooz0zE8puTlXiyE7rdJkodbsLrEJFxoehx1YnrczKvKTD5Mgu1Sdtg==" saltValue="GRTz1suilcyWrjtTa9gMMA==" spinCount="100000" sheet="1" objects="1" scenarios="1"/>
  <phoneticPr fontId="5"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5"/>
  </sheetPr>
  <dimension ref="A1:AR100"/>
  <sheetViews>
    <sheetView zoomScale="116" zoomScaleNormal="120" workbookViewId="0">
      <selection activeCell="C859" sqref="C859"/>
    </sheetView>
  </sheetViews>
  <sheetFormatPr baseColWidth="10" defaultRowHeight="16" x14ac:dyDescent="0.2"/>
  <cols>
    <col min="1" max="1" width="9.33203125" customWidth="1"/>
    <col min="2" max="2" width="20.5" customWidth="1"/>
    <col min="3" max="3" width="24" bestFit="1" customWidth="1"/>
    <col min="8" max="8" width="5.6640625" customWidth="1"/>
    <col min="9" max="9" width="12.6640625" customWidth="1"/>
    <col min="10" max="17" width="11.5" customWidth="1"/>
    <col min="18" max="18" width="2.83203125" customWidth="1"/>
    <col min="19" max="19" width="11.1640625" customWidth="1"/>
    <col min="20" max="20" width="28.5" bestFit="1" customWidth="1"/>
    <col min="21" max="21" width="12.83203125" customWidth="1"/>
    <col min="22" max="22" width="18.6640625" style="4" bestFit="1" customWidth="1"/>
    <col min="23" max="35" width="10.83203125" style="4"/>
    <col min="36" max="36" width="5" customWidth="1"/>
    <col min="38" max="38" width="14.6640625" style="3" customWidth="1"/>
    <col min="39" max="39" width="87.33203125" style="3" bestFit="1" customWidth="1"/>
    <col min="41" max="42" width="10.83203125" customWidth="1"/>
    <col min="45" max="45" width="4.33203125" customWidth="1"/>
  </cols>
  <sheetData>
    <row r="1" spans="1:44" ht="16" customHeight="1" x14ac:dyDescent="0.2">
      <c r="A1" s="499" t="s">
        <v>176</v>
      </c>
      <c r="B1" s="20" t="s">
        <v>6</v>
      </c>
      <c r="C1" s="21" t="s">
        <v>172</v>
      </c>
      <c r="D1" s="21" t="s">
        <v>173</v>
      </c>
      <c r="I1" s="498" t="s">
        <v>294</v>
      </c>
      <c r="J1" t="s">
        <v>7</v>
      </c>
      <c r="K1" s="34" t="s">
        <v>272</v>
      </c>
      <c r="L1" s="33" t="s">
        <v>160</v>
      </c>
      <c r="M1" s="33" t="s">
        <v>80</v>
      </c>
      <c r="N1" s="33" t="s">
        <v>21</v>
      </c>
      <c r="O1" s="33" t="s">
        <v>20</v>
      </c>
      <c r="P1" s="33" t="s">
        <v>22</v>
      </c>
      <c r="Q1" s="33" t="s">
        <v>162</v>
      </c>
      <c r="S1" s="498" t="s">
        <v>619</v>
      </c>
      <c r="T1" t="s">
        <v>7</v>
      </c>
      <c r="U1" s="4" t="s">
        <v>610</v>
      </c>
      <c r="V1" s="4" t="s">
        <v>855</v>
      </c>
      <c r="W1" s="4" t="s">
        <v>250</v>
      </c>
      <c r="X1" s="4" t="s">
        <v>846</v>
      </c>
      <c r="Y1" s="4" t="s">
        <v>251</v>
      </c>
      <c r="Z1" s="4" t="s">
        <v>252</v>
      </c>
      <c r="AA1" s="4" t="s">
        <v>854</v>
      </c>
      <c r="AB1" s="4" t="s">
        <v>253</v>
      </c>
      <c r="AC1" s="4" t="s">
        <v>850</v>
      </c>
      <c r="AD1" s="4" t="s">
        <v>254</v>
      </c>
      <c r="AE1" s="4" t="s">
        <v>847</v>
      </c>
      <c r="AF1" s="4" t="s">
        <v>848</v>
      </c>
      <c r="AG1" s="4" t="s">
        <v>255</v>
      </c>
      <c r="AH1" s="4" t="s">
        <v>256</v>
      </c>
      <c r="AI1" s="4" t="s">
        <v>849</v>
      </c>
      <c r="AK1" s="498" t="s">
        <v>997</v>
      </c>
      <c r="AL1" s="3" t="s">
        <v>610</v>
      </c>
      <c r="AM1" s="3" t="s">
        <v>996</v>
      </c>
      <c r="AO1" s="498" t="s">
        <v>234</v>
      </c>
      <c r="AP1" s="4" t="s">
        <v>230</v>
      </c>
      <c r="AQ1" s="4" t="s">
        <v>231</v>
      </c>
      <c r="AR1" s="4" t="s">
        <v>232</v>
      </c>
    </row>
    <row r="2" spans="1:44" x14ac:dyDescent="0.2">
      <c r="A2" s="499"/>
      <c r="B2" s="25" t="s">
        <v>224</v>
      </c>
      <c r="C2" s="26" t="s">
        <v>168</v>
      </c>
      <c r="D2" s="26" t="s">
        <v>9</v>
      </c>
      <c r="I2" s="498"/>
      <c r="J2" t="s">
        <v>10</v>
      </c>
      <c r="K2" s="35" t="s">
        <v>1</v>
      </c>
      <c r="L2" s="84">
        <v>50</v>
      </c>
      <c r="M2" s="84"/>
      <c r="N2" s="90">
        <v>0.37</v>
      </c>
      <c r="O2" s="90">
        <v>0.1</v>
      </c>
      <c r="P2" s="90">
        <v>0.26</v>
      </c>
      <c r="Q2" s="87">
        <v>0.27</v>
      </c>
      <c r="S2" s="498"/>
      <c r="T2" t="s">
        <v>10</v>
      </c>
      <c r="U2" s="4" t="s">
        <v>1</v>
      </c>
      <c r="V2" s="4">
        <v>50</v>
      </c>
      <c r="W2" s="4">
        <v>45</v>
      </c>
      <c r="X2" s="4">
        <v>50</v>
      </c>
      <c r="Y2" s="4">
        <v>50</v>
      </c>
      <c r="Z2" s="4">
        <v>55</v>
      </c>
      <c r="AB2" s="4">
        <v>45</v>
      </c>
      <c r="AC2" s="4">
        <v>45</v>
      </c>
      <c r="AD2" s="4">
        <v>55</v>
      </c>
      <c r="AE2" s="4">
        <v>45</v>
      </c>
      <c r="AG2" s="4">
        <v>45</v>
      </c>
      <c r="AH2" s="4">
        <v>50</v>
      </c>
      <c r="AI2" s="4">
        <v>40</v>
      </c>
      <c r="AK2" s="498"/>
      <c r="AL2" s="3" t="s">
        <v>59</v>
      </c>
      <c r="AM2" s="81" t="s">
        <v>936</v>
      </c>
      <c r="AO2" s="498"/>
      <c r="AP2" s="4">
        <v>10</v>
      </c>
      <c r="AQ2" s="4">
        <v>1</v>
      </c>
      <c r="AR2" s="4" t="str">
        <f>CONCATENATE("V0",AP2)</f>
        <v>V010</v>
      </c>
    </row>
    <row r="3" spans="1:44" x14ac:dyDescent="0.2">
      <c r="A3" s="499"/>
      <c r="B3" s="27" t="s">
        <v>225</v>
      </c>
      <c r="C3" s="28" t="s">
        <v>169</v>
      </c>
      <c r="D3" s="28" t="s">
        <v>174</v>
      </c>
      <c r="I3" s="498"/>
      <c r="J3" t="s">
        <v>10</v>
      </c>
      <c r="K3" s="36" t="s">
        <v>4</v>
      </c>
      <c r="L3" s="85">
        <v>50</v>
      </c>
      <c r="M3" s="85"/>
      <c r="N3" s="91">
        <v>0.25</v>
      </c>
      <c r="O3" s="91">
        <v>0.22</v>
      </c>
      <c r="P3" s="91">
        <v>0.26</v>
      </c>
      <c r="Q3" s="88">
        <v>0.27</v>
      </c>
      <c r="S3" s="498"/>
      <c r="T3" t="s">
        <v>10</v>
      </c>
      <c r="U3" s="4" t="s">
        <v>4</v>
      </c>
      <c r="V3" s="4">
        <v>45</v>
      </c>
      <c r="W3" s="4">
        <v>40</v>
      </c>
      <c r="X3" s="4">
        <v>40</v>
      </c>
      <c r="Y3" s="4">
        <v>55</v>
      </c>
      <c r="Z3" s="4">
        <v>45</v>
      </c>
      <c r="AB3" s="4">
        <v>40</v>
      </c>
      <c r="AC3" s="4">
        <v>40</v>
      </c>
      <c r="AD3" s="4">
        <v>45</v>
      </c>
      <c r="AE3" s="4">
        <v>40</v>
      </c>
      <c r="AG3" s="4">
        <v>30</v>
      </c>
      <c r="AH3" s="4">
        <v>40</v>
      </c>
      <c r="AI3" s="4">
        <v>40</v>
      </c>
      <c r="AK3" s="498"/>
      <c r="AL3" s="3" t="s">
        <v>59</v>
      </c>
      <c r="AM3" s="81" t="s">
        <v>938</v>
      </c>
      <c r="AO3" s="498"/>
      <c r="AP3" s="4">
        <v>15</v>
      </c>
      <c r="AQ3" s="4">
        <v>2</v>
      </c>
      <c r="AR3" s="4" t="str">
        <f t="shared" ref="AR3:AR19" si="0">CONCATENATE("V0",AP3)</f>
        <v>V015</v>
      </c>
    </row>
    <row r="4" spans="1:44" x14ac:dyDescent="0.2">
      <c r="A4" s="499"/>
      <c r="D4" s="26" t="s">
        <v>175</v>
      </c>
      <c r="I4" s="498"/>
      <c r="J4" t="s">
        <v>10</v>
      </c>
      <c r="K4" s="35" t="s">
        <v>77</v>
      </c>
      <c r="L4" s="84">
        <v>50</v>
      </c>
      <c r="M4" s="84"/>
      <c r="N4" s="90">
        <v>0.25</v>
      </c>
      <c r="O4" s="90">
        <v>0.22</v>
      </c>
      <c r="P4" s="90">
        <v>0</v>
      </c>
      <c r="Q4" s="87">
        <v>0.53</v>
      </c>
      <c r="S4" s="498"/>
      <c r="T4" t="s">
        <v>10</v>
      </c>
      <c r="U4" s="4" t="s">
        <v>77</v>
      </c>
      <c r="V4" s="4">
        <v>40</v>
      </c>
      <c r="W4" s="4">
        <v>40</v>
      </c>
      <c r="X4" s="4">
        <v>40</v>
      </c>
      <c r="Y4" s="4">
        <v>40</v>
      </c>
      <c r="Z4" s="4">
        <v>40</v>
      </c>
      <c r="AB4" s="4">
        <v>40</v>
      </c>
      <c r="AC4" s="4">
        <v>40</v>
      </c>
      <c r="AD4" s="4">
        <v>40</v>
      </c>
      <c r="AE4" s="4">
        <v>40</v>
      </c>
      <c r="AG4" s="4">
        <v>40</v>
      </c>
      <c r="AH4" s="4">
        <v>40</v>
      </c>
      <c r="AK4" s="498"/>
      <c r="AL4" s="3" t="s">
        <v>59</v>
      </c>
      <c r="AM4" s="81" t="s">
        <v>937</v>
      </c>
      <c r="AO4" s="498"/>
      <c r="AP4" s="4">
        <v>20</v>
      </c>
      <c r="AQ4" s="4">
        <v>3</v>
      </c>
      <c r="AR4" s="4" t="str">
        <f t="shared" si="0"/>
        <v>V020</v>
      </c>
    </row>
    <row r="5" spans="1:44" x14ac:dyDescent="0.2">
      <c r="I5" s="498"/>
      <c r="J5" t="s">
        <v>10</v>
      </c>
      <c r="K5" s="36" t="s">
        <v>179</v>
      </c>
      <c r="L5" s="85"/>
      <c r="M5" s="85"/>
      <c r="N5" s="91">
        <v>0</v>
      </c>
      <c r="O5" s="91">
        <v>0</v>
      </c>
      <c r="P5" s="91">
        <v>0</v>
      </c>
      <c r="Q5" s="88">
        <v>1</v>
      </c>
      <c r="S5" s="498"/>
      <c r="T5" t="s">
        <v>10</v>
      </c>
      <c r="U5" s="4" t="s">
        <v>179</v>
      </c>
      <c r="V5" s="4">
        <v>30</v>
      </c>
      <c r="X5" s="4">
        <v>25</v>
      </c>
      <c r="Y5" s="4">
        <v>30</v>
      </c>
      <c r="AC5" s="4">
        <v>35</v>
      </c>
      <c r="AE5" s="4">
        <v>25</v>
      </c>
      <c r="AK5" s="498"/>
      <c r="AL5" s="3" t="s">
        <v>59</v>
      </c>
      <c r="AM5" s="81" t="s">
        <v>939</v>
      </c>
      <c r="AO5" s="498"/>
      <c r="AP5" s="4">
        <v>25</v>
      </c>
      <c r="AQ5" s="4">
        <v>4</v>
      </c>
      <c r="AR5" s="4" t="str">
        <f t="shared" si="0"/>
        <v>V025</v>
      </c>
    </row>
    <row r="6" spans="1:44" ht="16" customHeight="1" x14ac:dyDescent="0.2">
      <c r="A6" s="498" t="s">
        <v>177</v>
      </c>
      <c r="B6" s="4" t="s">
        <v>8</v>
      </c>
      <c r="C6" s="4" t="s">
        <v>858</v>
      </c>
      <c r="D6" s="4" t="s">
        <v>271</v>
      </c>
      <c r="E6" s="4" t="s">
        <v>228</v>
      </c>
      <c r="F6" s="4" t="s">
        <v>17</v>
      </c>
      <c r="G6" s="4" t="s">
        <v>61</v>
      </c>
      <c r="I6" s="498"/>
      <c r="J6" t="s">
        <v>10</v>
      </c>
      <c r="K6" s="36" t="s">
        <v>74</v>
      </c>
      <c r="L6" s="85">
        <v>25</v>
      </c>
      <c r="M6" s="85"/>
      <c r="N6" s="91">
        <v>0.4</v>
      </c>
      <c r="O6" s="91">
        <v>0.25</v>
      </c>
      <c r="P6" s="91">
        <v>0.15</v>
      </c>
      <c r="Q6" s="88">
        <v>0.2</v>
      </c>
      <c r="S6" s="498"/>
      <c r="T6" t="s">
        <v>10</v>
      </c>
      <c r="U6" s="4" t="s">
        <v>59</v>
      </c>
      <c r="V6" s="4">
        <v>45</v>
      </c>
      <c r="W6" s="4">
        <v>40</v>
      </c>
      <c r="X6" s="4">
        <v>45</v>
      </c>
      <c r="Y6" s="4">
        <v>55</v>
      </c>
      <c r="Z6" s="4">
        <v>40</v>
      </c>
      <c r="AB6" s="4">
        <v>40</v>
      </c>
      <c r="AC6" s="4">
        <v>35</v>
      </c>
      <c r="AD6" s="4">
        <v>45</v>
      </c>
      <c r="AE6" s="4">
        <v>40</v>
      </c>
      <c r="AG6" s="4">
        <v>40</v>
      </c>
      <c r="AH6" s="4">
        <v>45</v>
      </c>
      <c r="AK6" s="498"/>
      <c r="AL6" s="3" t="s">
        <v>59</v>
      </c>
      <c r="AM6" s="81" t="s">
        <v>940</v>
      </c>
      <c r="AO6" s="498"/>
      <c r="AP6" s="4">
        <v>30</v>
      </c>
      <c r="AQ6" s="4">
        <v>5</v>
      </c>
      <c r="AR6" s="4" t="str">
        <f t="shared" si="0"/>
        <v>V030</v>
      </c>
    </row>
    <row r="7" spans="1:44" x14ac:dyDescent="0.2">
      <c r="A7" s="498"/>
      <c r="B7" s="76" t="s">
        <v>856</v>
      </c>
      <c r="C7" s="76" t="s">
        <v>811</v>
      </c>
      <c r="D7" s="76" t="s">
        <v>77</v>
      </c>
      <c r="E7" s="76" t="s">
        <v>164</v>
      </c>
      <c r="F7" s="250">
        <v>0.64562210702786416</v>
      </c>
      <c r="G7" s="76">
        <v>1.56</v>
      </c>
      <c r="I7" s="498"/>
      <c r="J7" t="s">
        <v>10</v>
      </c>
      <c r="K7" s="36" t="s">
        <v>58</v>
      </c>
      <c r="L7" s="85">
        <v>25</v>
      </c>
      <c r="M7" s="85"/>
      <c r="N7" s="91">
        <v>0.4</v>
      </c>
      <c r="O7" s="91">
        <v>0.25</v>
      </c>
      <c r="P7" s="91">
        <v>0.15</v>
      </c>
      <c r="Q7" s="88">
        <v>0.2</v>
      </c>
      <c r="S7" s="498"/>
      <c r="T7" t="s">
        <v>10</v>
      </c>
      <c r="U7" s="4" t="s">
        <v>69</v>
      </c>
      <c r="V7" s="4">
        <v>40</v>
      </c>
      <c r="W7" s="4">
        <v>35</v>
      </c>
      <c r="X7" s="4">
        <v>40</v>
      </c>
      <c r="Y7" s="4">
        <v>45</v>
      </c>
      <c r="AB7" s="4">
        <v>35</v>
      </c>
      <c r="AC7" s="4">
        <v>35</v>
      </c>
      <c r="AE7" s="4">
        <v>35</v>
      </c>
      <c r="AG7" s="4">
        <v>40</v>
      </c>
      <c r="AI7" s="4">
        <v>40</v>
      </c>
      <c r="AK7" s="498"/>
      <c r="AL7" s="3" t="s">
        <v>59</v>
      </c>
      <c r="AM7" s="81" t="s">
        <v>941</v>
      </c>
      <c r="AN7" s="79"/>
      <c r="AO7" s="498"/>
      <c r="AP7" s="4">
        <v>35</v>
      </c>
      <c r="AQ7" s="4">
        <v>6</v>
      </c>
      <c r="AR7" s="4" t="str">
        <f t="shared" si="0"/>
        <v>V035</v>
      </c>
    </row>
    <row r="8" spans="1:44" ht="16.25" customHeight="1" x14ac:dyDescent="0.2">
      <c r="A8" s="498"/>
      <c r="B8" s="76" t="s">
        <v>857</v>
      </c>
      <c r="C8" s="24" t="s">
        <v>62</v>
      </c>
      <c r="D8" s="76" t="s">
        <v>77</v>
      </c>
      <c r="E8" s="76" t="s">
        <v>164</v>
      </c>
      <c r="F8" s="251">
        <v>0.65564382246563602</v>
      </c>
      <c r="G8" s="24">
        <v>1.56</v>
      </c>
      <c r="I8" s="498"/>
      <c r="J8" t="s">
        <v>10</v>
      </c>
      <c r="K8" s="36" t="s">
        <v>60</v>
      </c>
      <c r="L8" s="85">
        <v>25</v>
      </c>
      <c r="M8" s="85"/>
      <c r="N8" s="91">
        <v>0.35</v>
      </c>
      <c r="O8" s="91">
        <v>0.2</v>
      </c>
      <c r="P8" s="91">
        <v>0.25</v>
      </c>
      <c r="Q8" s="88">
        <v>0.2</v>
      </c>
      <c r="S8" s="498"/>
      <c r="T8" t="s">
        <v>10</v>
      </c>
      <c r="U8" s="4" t="s">
        <v>71</v>
      </c>
      <c r="V8" s="4">
        <v>40</v>
      </c>
      <c r="W8" s="4">
        <v>30</v>
      </c>
      <c r="X8" s="4">
        <v>30</v>
      </c>
      <c r="Y8" s="4">
        <v>45</v>
      </c>
      <c r="Z8" s="4">
        <v>35</v>
      </c>
      <c r="AB8" s="4">
        <v>30</v>
      </c>
      <c r="AC8" s="4">
        <v>30</v>
      </c>
      <c r="AD8" s="4">
        <v>40</v>
      </c>
      <c r="AE8" s="4">
        <v>35</v>
      </c>
      <c r="AG8" s="4">
        <v>30</v>
      </c>
      <c r="AH8" s="4">
        <v>35</v>
      </c>
      <c r="AK8" s="498"/>
      <c r="AL8" s="4" t="s">
        <v>74</v>
      </c>
      <c r="AM8" s="39" t="s">
        <v>942</v>
      </c>
      <c r="AO8" s="498"/>
      <c r="AP8" s="4">
        <v>40</v>
      </c>
      <c r="AQ8" s="4">
        <v>7</v>
      </c>
      <c r="AR8" s="4" t="str">
        <f t="shared" si="0"/>
        <v>V040</v>
      </c>
    </row>
    <row r="9" spans="1:44" x14ac:dyDescent="0.2">
      <c r="A9" s="498"/>
      <c r="B9" s="76" t="s">
        <v>235</v>
      </c>
      <c r="C9" s="76" t="s">
        <v>258</v>
      </c>
      <c r="D9" s="76" t="s">
        <v>77</v>
      </c>
      <c r="E9" s="76" t="s">
        <v>164</v>
      </c>
      <c r="F9" s="250">
        <v>0.45328342557799939</v>
      </c>
      <c r="G9" s="76">
        <v>1.56</v>
      </c>
      <c r="I9" s="498"/>
      <c r="J9" t="s">
        <v>10</v>
      </c>
      <c r="K9" s="36" t="s">
        <v>71</v>
      </c>
      <c r="L9" s="85">
        <v>25</v>
      </c>
      <c r="M9" s="85"/>
      <c r="N9" s="91">
        <v>0.45</v>
      </c>
      <c r="O9" s="91">
        <v>0.1</v>
      </c>
      <c r="P9" s="91">
        <v>0.25</v>
      </c>
      <c r="Q9" s="88">
        <v>0.2</v>
      </c>
      <c r="S9" s="498"/>
      <c r="T9" t="s">
        <v>10</v>
      </c>
      <c r="U9" s="4" t="s">
        <v>60</v>
      </c>
      <c r="V9" s="4">
        <v>40</v>
      </c>
      <c r="W9" s="4">
        <v>35</v>
      </c>
      <c r="X9" s="4">
        <v>35</v>
      </c>
      <c r="Y9" s="4">
        <v>40</v>
      </c>
      <c r="Z9" s="4">
        <v>35</v>
      </c>
      <c r="AB9" s="4">
        <v>35</v>
      </c>
      <c r="AC9" s="4">
        <v>35</v>
      </c>
      <c r="AD9" s="4">
        <v>40</v>
      </c>
      <c r="AE9" s="4">
        <v>35</v>
      </c>
      <c r="AG9" s="4">
        <v>30</v>
      </c>
      <c r="AH9" s="4">
        <v>40</v>
      </c>
      <c r="AI9" s="4">
        <v>35</v>
      </c>
      <c r="AK9" s="498"/>
      <c r="AL9" s="4" t="s">
        <v>74</v>
      </c>
      <c r="AM9" s="39" t="s">
        <v>943</v>
      </c>
      <c r="AO9" s="498"/>
      <c r="AP9" s="4">
        <v>45</v>
      </c>
      <c r="AQ9" s="4">
        <v>8</v>
      </c>
      <c r="AR9" s="4" t="str">
        <f t="shared" si="0"/>
        <v>V045</v>
      </c>
    </row>
    <row r="10" spans="1:44" x14ac:dyDescent="0.2">
      <c r="A10" s="498"/>
      <c r="B10" s="76" t="s">
        <v>859</v>
      </c>
      <c r="C10" s="24" t="s">
        <v>63</v>
      </c>
      <c r="D10" s="76" t="s">
        <v>179</v>
      </c>
      <c r="E10" s="76" t="s">
        <v>164</v>
      </c>
      <c r="F10" s="251">
        <v>0.53</v>
      </c>
      <c r="G10" s="24">
        <v>1.56</v>
      </c>
      <c r="I10" s="498"/>
      <c r="J10" t="s">
        <v>10</v>
      </c>
      <c r="K10" s="36" t="s">
        <v>59</v>
      </c>
      <c r="L10" s="85">
        <v>25</v>
      </c>
      <c r="M10" s="85"/>
      <c r="N10" s="91">
        <v>0.6</v>
      </c>
      <c r="O10" s="91">
        <v>0.15</v>
      </c>
      <c r="P10" s="91">
        <v>0.05</v>
      </c>
      <c r="Q10" s="88">
        <v>0.2</v>
      </c>
      <c r="S10" s="498"/>
      <c r="T10" t="s">
        <v>10</v>
      </c>
      <c r="U10" s="4" t="s">
        <v>74</v>
      </c>
      <c r="V10" s="4">
        <v>45</v>
      </c>
      <c r="W10" s="4">
        <v>40</v>
      </c>
      <c r="X10" s="4">
        <v>40</v>
      </c>
      <c r="Y10" s="4">
        <v>40</v>
      </c>
      <c r="AB10" s="4">
        <v>40</v>
      </c>
      <c r="AC10" s="4">
        <v>40</v>
      </c>
      <c r="AD10" s="4">
        <v>45</v>
      </c>
      <c r="AE10" s="4">
        <v>30</v>
      </c>
      <c r="AG10" s="4">
        <v>40</v>
      </c>
      <c r="AI10" s="4">
        <v>40</v>
      </c>
      <c r="AK10" s="498"/>
      <c r="AL10" s="4" t="s">
        <v>74</v>
      </c>
      <c r="AM10" s="39" t="s">
        <v>944</v>
      </c>
      <c r="AO10" s="498"/>
      <c r="AP10" s="4">
        <v>50</v>
      </c>
      <c r="AQ10" s="4">
        <v>9</v>
      </c>
      <c r="AR10" s="4" t="str">
        <f t="shared" si="0"/>
        <v>V050</v>
      </c>
    </row>
    <row r="11" spans="1:44" ht="16" customHeight="1" x14ac:dyDescent="0.2">
      <c r="A11" s="498"/>
      <c r="B11" s="76" t="s">
        <v>236</v>
      </c>
      <c r="C11" s="24" t="s">
        <v>64</v>
      </c>
      <c r="D11" s="76" t="s">
        <v>76</v>
      </c>
      <c r="E11" s="76" t="s">
        <v>165</v>
      </c>
      <c r="F11" s="251">
        <v>0.47686108724897958</v>
      </c>
      <c r="G11" s="24">
        <v>1.3</v>
      </c>
      <c r="I11" s="498"/>
      <c r="J11" t="s">
        <v>10</v>
      </c>
      <c r="K11" s="36" t="s">
        <v>69</v>
      </c>
      <c r="L11" s="85">
        <v>25</v>
      </c>
      <c r="M11" s="85"/>
      <c r="N11" s="91">
        <v>0.55000000000000004</v>
      </c>
      <c r="O11" s="91">
        <v>0.1</v>
      </c>
      <c r="P11" s="91">
        <v>0.15</v>
      </c>
      <c r="Q11" s="88">
        <v>0.2</v>
      </c>
      <c r="S11" s="498"/>
      <c r="T11" t="s">
        <v>10</v>
      </c>
      <c r="U11" s="4" t="s">
        <v>76</v>
      </c>
      <c r="V11" s="4">
        <v>40</v>
      </c>
      <c r="W11" s="4">
        <v>30</v>
      </c>
      <c r="X11" s="4">
        <v>40</v>
      </c>
      <c r="Y11" s="4">
        <v>40</v>
      </c>
      <c r="Z11" s="4">
        <v>40</v>
      </c>
      <c r="AB11" s="4">
        <v>30</v>
      </c>
      <c r="AC11" s="4">
        <v>35</v>
      </c>
      <c r="AD11" s="4">
        <v>40</v>
      </c>
      <c r="AE11" s="4">
        <v>40</v>
      </c>
      <c r="AG11" s="4">
        <v>40</v>
      </c>
      <c r="AI11" s="4">
        <v>35</v>
      </c>
      <c r="AK11" s="498"/>
      <c r="AL11" s="4" t="s">
        <v>74</v>
      </c>
      <c r="AM11" s="39" t="s">
        <v>994</v>
      </c>
      <c r="AO11" s="498"/>
      <c r="AP11" s="4">
        <v>55</v>
      </c>
      <c r="AQ11" s="4">
        <v>10</v>
      </c>
      <c r="AR11" s="4" t="str">
        <f t="shared" si="0"/>
        <v>V055</v>
      </c>
    </row>
    <row r="12" spans="1:44" x14ac:dyDescent="0.2">
      <c r="A12" s="498"/>
      <c r="B12" s="76" t="s">
        <v>860</v>
      </c>
      <c r="C12" s="24" t="s">
        <v>2</v>
      </c>
      <c r="D12" s="76" t="s">
        <v>179</v>
      </c>
      <c r="E12" s="76" t="s">
        <v>164</v>
      </c>
      <c r="F12" s="251">
        <v>0.61457308557114543</v>
      </c>
      <c r="G12" s="24">
        <v>1.56</v>
      </c>
      <c r="I12" s="498"/>
      <c r="J12" t="s">
        <v>10</v>
      </c>
      <c r="K12" t="s">
        <v>76</v>
      </c>
      <c r="L12" s="4">
        <v>25</v>
      </c>
      <c r="M12" s="55"/>
      <c r="N12" s="92">
        <v>0.35</v>
      </c>
      <c r="O12" s="92">
        <v>0.2</v>
      </c>
      <c r="P12" s="92">
        <v>0.25</v>
      </c>
      <c r="Q12" s="89">
        <v>0.2</v>
      </c>
      <c r="S12" s="498"/>
      <c r="U12" s="4"/>
      <c r="AK12" s="498"/>
      <c r="AL12" s="4" t="s">
        <v>60</v>
      </c>
      <c r="AM12" s="39" t="s">
        <v>949</v>
      </c>
      <c r="AO12" s="498"/>
      <c r="AP12" s="4">
        <v>60</v>
      </c>
      <c r="AQ12" s="4">
        <v>11</v>
      </c>
      <c r="AR12" s="4" t="str">
        <f t="shared" si="0"/>
        <v>V060</v>
      </c>
    </row>
    <row r="13" spans="1:44" x14ac:dyDescent="0.2">
      <c r="A13" s="498"/>
      <c r="B13" s="76" t="s">
        <v>861</v>
      </c>
      <c r="C13" s="24" t="s">
        <v>3</v>
      </c>
      <c r="D13" s="76" t="s">
        <v>77</v>
      </c>
      <c r="E13" s="76" t="s">
        <v>164</v>
      </c>
      <c r="F13" s="251">
        <v>0.50569854504011802</v>
      </c>
      <c r="G13" s="24">
        <v>1.56</v>
      </c>
      <c r="I13" s="101"/>
      <c r="S13" s="498"/>
      <c r="U13" s="4"/>
      <c r="AK13" s="498"/>
      <c r="AL13" s="4" t="s">
        <v>60</v>
      </c>
      <c r="AM13" s="39" t="s">
        <v>950</v>
      </c>
      <c r="AO13" s="498"/>
      <c r="AP13" s="4">
        <v>65</v>
      </c>
      <c r="AQ13" s="4">
        <v>12</v>
      </c>
      <c r="AR13" s="4" t="str">
        <f t="shared" si="0"/>
        <v>V065</v>
      </c>
    </row>
    <row r="14" spans="1:44" x14ac:dyDescent="0.2">
      <c r="A14" s="498"/>
      <c r="B14" s="76" t="s">
        <v>862</v>
      </c>
      <c r="C14" s="24" t="s">
        <v>1</v>
      </c>
      <c r="D14" s="76" t="s">
        <v>1</v>
      </c>
      <c r="E14" s="76" t="s">
        <v>164</v>
      </c>
      <c r="F14" s="251">
        <v>0.64</v>
      </c>
      <c r="G14" s="24">
        <v>1.56</v>
      </c>
      <c r="I14" s="17" t="s">
        <v>284</v>
      </c>
      <c r="U14" s="4"/>
      <c r="AK14" s="498"/>
      <c r="AL14" s="4" t="s">
        <v>60</v>
      </c>
      <c r="AM14" s="39" t="s">
        <v>951</v>
      </c>
      <c r="AO14" s="498"/>
      <c r="AP14" s="4">
        <v>70</v>
      </c>
      <c r="AQ14" s="4">
        <v>13</v>
      </c>
      <c r="AR14" s="4" t="str">
        <f t="shared" si="0"/>
        <v>V070</v>
      </c>
    </row>
    <row r="15" spans="1:44" x14ac:dyDescent="0.2">
      <c r="A15" s="498"/>
      <c r="B15" s="76" t="s">
        <v>237</v>
      </c>
      <c r="C15" s="24" t="s">
        <v>65</v>
      </c>
      <c r="D15" s="76" t="s">
        <v>77</v>
      </c>
      <c r="E15" s="76" t="s">
        <v>164</v>
      </c>
      <c r="F15" s="24">
        <v>0.72099999999999997</v>
      </c>
      <c r="G15" s="24">
        <v>1.56</v>
      </c>
      <c r="I15" s="498" t="s">
        <v>295</v>
      </c>
      <c r="J15" t="s">
        <v>7</v>
      </c>
      <c r="K15" s="34" t="s">
        <v>272</v>
      </c>
      <c r="L15" s="33" t="s">
        <v>160</v>
      </c>
      <c r="M15" s="33" t="s">
        <v>80</v>
      </c>
      <c r="N15" s="33" t="s">
        <v>81</v>
      </c>
      <c r="O15" s="33" t="s">
        <v>84</v>
      </c>
      <c r="P15" s="33" t="s">
        <v>83</v>
      </c>
      <c r="U15" s="4"/>
      <c r="AK15" s="498"/>
      <c r="AL15" s="4" t="s">
        <v>60</v>
      </c>
      <c r="AM15" s="39" t="s">
        <v>952</v>
      </c>
      <c r="AO15" s="498"/>
      <c r="AP15" s="4">
        <v>75</v>
      </c>
      <c r="AQ15" s="4">
        <v>14</v>
      </c>
      <c r="AR15" s="4" t="str">
        <f t="shared" si="0"/>
        <v>V075</v>
      </c>
    </row>
    <row r="16" spans="1:44" ht="16.25" customHeight="1" x14ac:dyDescent="0.2">
      <c r="A16" s="498"/>
      <c r="B16" s="76" t="s">
        <v>863</v>
      </c>
      <c r="C16" s="24" t="s">
        <v>66</v>
      </c>
      <c r="D16" s="76" t="s">
        <v>77</v>
      </c>
      <c r="E16" s="76" t="s">
        <v>164</v>
      </c>
      <c r="F16" s="24">
        <v>0.65600000000000003</v>
      </c>
      <c r="G16" s="24">
        <v>1.56</v>
      </c>
      <c r="I16" s="498"/>
      <c r="J16" t="s">
        <v>10</v>
      </c>
      <c r="K16" s="35" t="s">
        <v>1</v>
      </c>
      <c r="L16" s="84">
        <v>50</v>
      </c>
      <c r="M16" s="84"/>
      <c r="N16" s="93">
        <f t="shared" ref="N16:P18" si="1">N2*100%/SUM($N2:$P2)</f>
        <v>0.50684931506849318</v>
      </c>
      <c r="O16" s="93">
        <f t="shared" si="1"/>
        <v>0.13698630136986303</v>
      </c>
      <c r="P16" s="93">
        <f t="shared" si="1"/>
        <v>0.35616438356164387</v>
      </c>
      <c r="Q16" s="1"/>
      <c r="S16" s="498" t="s">
        <v>743</v>
      </c>
      <c r="T16" t="s">
        <v>883</v>
      </c>
      <c r="U16" t="s">
        <v>884</v>
      </c>
      <c r="V16" t="s">
        <v>6</v>
      </c>
      <c r="AK16" s="498"/>
      <c r="AL16" s="4" t="s">
        <v>60</v>
      </c>
      <c r="AM16" s="81" t="s">
        <v>953</v>
      </c>
      <c r="AO16" s="498"/>
      <c r="AP16" s="4">
        <v>80</v>
      </c>
      <c r="AQ16" s="4">
        <v>15</v>
      </c>
      <c r="AR16" s="4" t="str">
        <f t="shared" si="0"/>
        <v>V080</v>
      </c>
    </row>
    <row r="17" spans="1:44" x14ac:dyDescent="0.2">
      <c r="A17" s="498"/>
      <c r="B17" s="76" t="s">
        <v>238</v>
      </c>
      <c r="C17" s="24" t="s">
        <v>59</v>
      </c>
      <c r="D17" s="76" t="s">
        <v>59</v>
      </c>
      <c r="E17" s="76" t="s">
        <v>165</v>
      </c>
      <c r="F17" s="24">
        <v>0.45600000000000002</v>
      </c>
      <c r="G17" s="24">
        <v>1.3</v>
      </c>
      <c r="I17" s="498"/>
      <c r="J17" t="s">
        <v>10</v>
      </c>
      <c r="K17" s="36" t="s">
        <v>4</v>
      </c>
      <c r="L17" s="85">
        <v>50</v>
      </c>
      <c r="M17" s="85"/>
      <c r="N17" s="93">
        <f t="shared" si="1"/>
        <v>0.34246575342465752</v>
      </c>
      <c r="O17" s="93">
        <f t="shared" si="1"/>
        <v>0.30136986301369861</v>
      </c>
      <c r="P17" s="93">
        <f t="shared" si="1"/>
        <v>0.35616438356164387</v>
      </c>
      <c r="Q17" s="1"/>
      <c r="S17" s="498"/>
      <c r="T17" s="4" t="s">
        <v>880</v>
      </c>
      <c r="U17" s="4" t="s">
        <v>739</v>
      </c>
      <c r="V17" s="4" t="s">
        <v>225</v>
      </c>
      <c r="AK17" s="498"/>
      <c r="AL17" s="3" t="s">
        <v>76</v>
      </c>
      <c r="AM17" s="81" t="s">
        <v>954</v>
      </c>
      <c r="AO17" s="498"/>
      <c r="AP17" s="4">
        <v>85</v>
      </c>
      <c r="AQ17" s="4">
        <v>16</v>
      </c>
      <c r="AR17" s="4" t="str">
        <f t="shared" si="0"/>
        <v>V085</v>
      </c>
    </row>
    <row r="18" spans="1:44" ht="16.25" customHeight="1" x14ac:dyDescent="0.2">
      <c r="A18" s="498"/>
      <c r="B18" s="76" t="s">
        <v>864</v>
      </c>
      <c r="C18" s="24" t="s">
        <v>58</v>
      </c>
      <c r="D18" s="76" t="s">
        <v>58</v>
      </c>
      <c r="E18" s="76" t="s">
        <v>165</v>
      </c>
      <c r="F18" s="24">
        <v>0.38800000000000001</v>
      </c>
      <c r="G18" s="24">
        <v>1.3</v>
      </c>
      <c r="I18" s="498"/>
      <c r="J18" t="s">
        <v>10</v>
      </c>
      <c r="K18" s="35" t="s">
        <v>77</v>
      </c>
      <c r="L18" s="84">
        <v>50</v>
      </c>
      <c r="M18" s="84"/>
      <c r="N18" s="93">
        <f t="shared" si="1"/>
        <v>0.53191489361702127</v>
      </c>
      <c r="O18" s="93">
        <f t="shared" si="1"/>
        <v>0.46808510638297873</v>
      </c>
      <c r="P18" s="93">
        <f t="shared" si="1"/>
        <v>0</v>
      </c>
      <c r="Q18" s="1"/>
      <c r="S18" s="498"/>
      <c r="T18" s="4" t="s">
        <v>879</v>
      </c>
      <c r="U18" s="4" t="s">
        <v>740</v>
      </c>
      <c r="V18" s="4" t="s">
        <v>225</v>
      </c>
      <c r="AK18" s="498"/>
      <c r="AL18" s="3" t="s">
        <v>76</v>
      </c>
      <c r="AM18" s="81" t="s">
        <v>955</v>
      </c>
      <c r="AO18" s="498"/>
      <c r="AP18" s="4">
        <v>90</v>
      </c>
      <c r="AQ18" s="4">
        <v>17</v>
      </c>
      <c r="AR18" s="4" t="str">
        <f t="shared" si="0"/>
        <v>V090</v>
      </c>
    </row>
    <row r="19" spans="1:44" x14ac:dyDescent="0.2">
      <c r="A19" s="498"/>
      <c r="B19" s="76" t="s">
        <v>865</v>
      </c>
      <c r="C19" s="76" t="s">
        <v>814</v>
      </c>
      <c r="D19" s="76" t="s">
        <v>77</v>
      </c>
      <c r="E19" s="76" t="s">
        <v>164</v>
      </c>
      <c r="F19" s="76">
        <v>0.57399999999999995</v>
      </c>
      <c r="G19" s="76">
        <v>1.56</v>
      </c>
      <c r="I19" s="498"/>
      <c r="J19" t="s">
        <v>10</v>
      </c>
      <c r="K19" s="36" t="s">
        <v>179</v>
      </c>
      <c r="L19" s="85"/>
      <c r="M19" s="85"/>
      <c r="N19" s="93">
        <v>0</v>
      </c>
      <c r="O19" s="93">
        <v>0</v>
      </c>
      <c r="P19" s="93">
        <v>0</v>
      </c>
      <c r="Q19" s="1"/>
      <c r="S19" s="498"/>
      <c r="T19" s="4" t="s">
        <v>881</v>
      </c>
      <c r="U19" s="4" t="s">
        <v>741</v>
      </c>
      <c r="V19" s="4" t="s">
        <v>224</v>
      </c>
      <c r="AK19" s="498"/>
      <c r="AL19" s="3" t="s">
        <v>76</v>
      </c>
      <c r="AM19" s="81" t="s">
        <v>956</v>
      </c>
      <c r="AO19" s="498"/>
      <c r="AP19" s="4">
        <v>95</v>
      </c>
      <c r="AQ19" s="4">
        <v>18</v>
      </c>
      <c r="AR19" s="4" t="str">
        <f t="shared" si="0"/>
        <v>V095</v>
      </c>
    </row>
    <row r="20" spans="1:44" x14ac:dyDescent="0.2">
      <c r="A20" s="498"/>
      <c r="B20" s="76" t="s">
        <v>239</v>
      </c>
      <c r="C20" s="76" t="s">
        <v>825</v>
      </c>
      <c r="D20" s="76" t="s">
        <v>77</v>
      </c>
      <c r="E20" s="76" t="s">
        <v>164</v>
      </c>
      <c r="F20" s="76">
        <v>0.56899999999999995</v>
      </c>
      <c r="G20" s="76">
        <v>1.56</v>
      </c>
      <c r="I20" s="498"/>
      <c r="J20" t="s">
        <v>10</v>
      </c>
      <c r="K20" s="36" t="s">
        <v>74</v>
      </c>
      <c r="L20" s="85">
        <v>25</v>
      </c>
      <c r="M20" s="85"/>
      <c r="N20" s="93">
        <f t="shared" ref="N20:P25" si="2">N6*100%/SUM($N6:$P6)</f>
        <v>0.5</v>
      </c>
      <c r="O20" s="93">
        <f t="shared" si="2"/>
        <v>0.3125</v>
      </c>
      <c r="P20" s="93">
        <f t="shared" si="2"/>
        <v>0.18749999999999997</v>
      </c>
      <c r="Q20" s="1"/>
      <c r="S20" s="498"/>
      <c r="T20" s="4" t="s">
        <v>882</v>
      </c>
      <c r="U20" s="4" t="s">
        <v>742</v>
      </c>
      <c r="V20" s="4" t="s">
        <v>224</v>
      </c>
      <c r="AK20" s="498"/>
      <c r="AL20" s="3" t="s">
        <v>76</v>
      </c>
      <c r="AM20" s="81" t="s">
        <v>957</v>
      </c>
      <c r="AO20" s="498"/>
      <c r="AP20" s="4">
        <v>100</v>
      </c>
      <c r="AQ20" s="4">
        <v>19</v>
      </c>
      <c r="AR20" s="4" t="str">
        <f>CONCATENATE("V",AP20)</f>
        <v>V100</v>
      </c>
    </row>
    <row r="21" spans="1:44" ht="16" customHeight="1" x14ac:dyDescent="0.2">
      <c r="A21" s="498"/>
      <c r="B21" s="76" t="s">
        <v>240</v>
      </c>
      <c r="C21" s="76" t="s">
        <v>812</v>
      </c>
      <c r="D21" s="76" t="s">
        <v>77</v>
      </c>
      <c r="E21" s="76" t="s">
        <v>164</v>
      </c>
      <c r="F21" s="24">
        <v>0.52700000000000002</v>
      </c>
      <c r="G21" s="24">
        <v>1.56</v>
      </c>
      <c r="I21" s="498"/>
      <c r="J21" t="s">
        <v>10</v>
      </c>
      <c r="K21" s="36" t="s">
        <v>58</v>
      </c>
      <c r="L21" s="85">
        <v>25</v>
      </c>
      <c r="M21" s="85"/>
      <c r="N21" s="93">
        <f t="shared" si="2"/>
        <v>0.5</v>
      </c>
      <c r="O21" s="93">
        <f t="shared" si="2"/>
        <v>0.3125</v>
      </c>
      <c r="P21" s="93">
        <f t="shared" si="2"/>
        <v>0.18749999999999997</v>
      </c>
      <c r="Q21" s="1"/>
      <c r="S21" s="101"/>
      <c r="T21" s="4"/>
      <c r="U21" s="4"/>
      <c r="AK21" s="498"/>
      <c r="AL21" s="3" t="s">
        <v>76</v>
      </c>
      <c r="AM21" s="81" t="s">
        <v>958</v>
      </c>
      <c r="AO21" s="498"/>
      <c r="AP21" s="4">
        <v>105</v>
      </c>
      <c r="AQ21" s="4">
        <v>20</v>
      </c>
      <c r="AR21" s="4" t="str">
        <f t="shared" ref="AR21:AR30" si="3">CONCATENATE("V",AP21)</f>
        <v>V105</v>
      </c>
    </row>
    <row r="22" spans="1:44" x14ac:dyDescent="0.2">
      <c r="A22" s="498"/>
      <c r="B22" s="76" t="s">
        <v>241</v>
      </c>
      <c r="C22" s="24" t="s">
        <v>68</v>
      </c>
      <c r="D22" s="76" t="s">
        <v>77</v>
      </c>
      <c r="E22" s="76" t="s">
        <v>164</v>
      </c>
      <c r="F22" s="24">
        <v>0.59399999999999997</v>
      </c>
      <c r="G22" s="24">
        <v>1.56</v>
      </c>
      <c r="I22" s="498"/>
      <c r="J22" t="s">
        <v>10</v>
      </c>
      <c r="K22" s="36" t="s">
        <v>60</v>
      </c>
      <c r="L22" s="85">
        <v>25</v>
      </c>
      <c r="M22" s="85"/>
      <c r="N22" s="93">
        <f t="shared" si="2"/>
        <v>0.43749999999999994</v>
      </c>
      <c r="O22" s="93">
        <f t="shared" si="2"/>
        <v>0.25</v>
      </c>
      <c r="P22" s="93">
        <f t="shared" si="2"/>
        <v>0.3125</v>
      </c>
      <c r="Q22" s="1"/>
      <c r="S22" s="101"/>
      <c r="T22" s="4"/>
      <c r="U22" s="4"/>
      <c r="AK22" s="498"/>
      <c r="AL22" s="3" t="s">
        <v>76</v>
      </c>
      <c r="AM22" s="81" t="s">
        <v>959</v>
      </c>
      <c r="AO22" s="498"/>
      <c r="AP22" s="4">
        <v>110</v>
      </c>
      <c r="AQ22" s="4">
        <v>21</v>
      </c>
      <c r="AR22" s="4" t="str">
        <f t="shared" si="3"/>
        <v>V110</v>
      </c>
    </row>
    <row r="23" spans="1:44" x14ac:dyDescent="0.2">
      <c r="A23" s="498"/>
      <c r="B23" s="76" t="s">
        <v>242</v>
      </c>
      <c r="C23" s="24" t="s">
        <v>4</v>
      </c>
      <c r="D23" s="76" t="s">
        <v>4</v>
      </c>
      <c r="E23" s="76" t="s">
        <v>164</v>
      </c>
      <c r="F23" s="24">
        <v>0.60699999999999998</v>
      </c>
      <c r="G23" s="24">
        <v>1.56</v>
      </c>
      <c r="I23" s="498"/>
      <c r="J23" t="s">
        <v>10</v>
      </c>
      <c r="K23" s="36" t="s">
        <v>71</v>
      </c>
      <c r="L23" s="85">
        <v>25</v>
      </c>
      <c r="M23" s="85"/>
      <c r="N23" s="93">
        <f t="shared" si="2"/>
        <v>0.5625</v>
      </c>
      <c r="O23" s="93">
        <f t="shared" si="2"/>
        <v>0.125</v>
      </c>
      <c r="P23" s="93">
        <f t="shared" si="2"/>
        <v>0.3125</v>
      </c>
      <c r="Q23" s="1"/>
      <c r="AK23" s="498"/>
      <c r="AL23" s="3" t="s">
        <v>76</v>
      </c>
      <c r="AM23" s="81" t="s">
        <v>960</v>
      </c>
      <c r="AO23" s="498"/>
      <c r="AP23" s="4">
        <v>115</v>
      </c>
      <c r="AQ23" s="4">
        <v>22</v>
      </c>
      <c r="AR23" s="4" t="str">
        <f t="shared" si="3"/>
        <v>V115</v>
      </c>
    </row>
    <row r="24" spans="1:44" x14ac:dyDescent="0.2">
      <c r="A24" s="498"/>
      <c r="B24" s="76" t="s">
        <v>700</v>
      </c>
      <c r="C24" s="24" t="s">
        <v>69</v>
      </c>
      <c r="D24" s="76" t="s">
        <v>69</v>
      </c>
      <c r="E24" s="76" t="s">
        <v>165</v>
      </c>
      <c r="F24" s="24">
        <v>0.499</v>
      </c>
      <c r="G24" s="24">
        <v>1.3</v>
      </c>
      <c r="I24" s="498"/>
      <c r="J24" t="s">
        <v>10</v>
      </c>
      <c r="K24" s="36" t="s">
        <v>59</v>
      </c>
      <c r="L24" s="85">
        <v>25</v>
      </c>
      <c r="M24" s="85"/>
      <c r="N24" s="93">
        <f t="shared" si="2"/>
        <v>0.74999999999999989</v>
      </c>
      <c r="O24" s="93">
        <f t="shared" si="2"/>
        <v>0.18749999999999997</v>
      </c>
      <c r="P24" s="93">
        <f t="shared" si="2"/>
        <v>6.25E-2</v>
      </c>
      <c r="Q24" s="1"/>
      <c r="AK24" s="498"/>
      <c r="AL24" s="3" t="s">
        <v>76</v>
      </c>
      <c r="AM24" s="81" t="s">
        <v>961</v>
      </c>
      <c r="AO24" s="498"/>
      <c r="AP24" s="4">
        <v>120</v>
      </c>
      <c r="AQ24" s="4">
        <v>23</v>
      </c>
      <c r="AR24" s="4" t="str">
        <f t="shared" si="3"/>
        <v>V120</v>
      </c>
    </row>
    <row r="25" spans="1:44" x14ac:dyDescent="0.2">
      <c r="A25" s="498"/>
      <c r="B25" s="76" t="s">
        <v>866</v>
      </c>
      <c r="C25" s="24" t="s">
        <v>70</v>
      </c>
      <c r="D25" s="76" t="s">
        <v>77</v>
      </c>
      <c r="E25" s="76" t="s">
        <v>164</v>
      </c>
      <c r="F25" s="24">
        <v>0.53200000000000003</v>
      </c>
      <c r="G25" s="24">
        <v>1.56</v>
      </c>
      <c r="I25" s="498"/>
      <c r="J25" t="s">
        <v>10</v>
      </c>
      <c r="K25" s="36" t="s">
        <v>69</v>
      </c>
      <c r="L25" s="85">
        <v>25</v>
      </c>
      <c r="M25" s="85"/>
      <c r="N25" s="93">
        <f t="shared" si="2"/>
        <v>0.6875</v>
      </c>
      <c r="O25" s="93">
        <f t="shared" si="2"/>
        <v>0.125</v>
      </c>
      <c r="P25" s="93">
        <f t="shared" si="2"/>
        <v>0.18749999999999997</v>
      </c>
      <c r="Q25" s="1"/>
      <c r="S25" s="498" t="s">
        <v>620</v>
      </c>
      <c r="T25" s="79" t="s">
        <v>267</v>
      </c>
      <c r="U25" s="79" t="s">
        <v>266</v>
      </c>
      <c r="V25" s="121" t="s">
        <v>299</v>
      </c>
      <c r="AK25" s="498"/>
      <c r="AL25" s="3" t="s">
        <v>76</v>
      </c>
      <c r="AM25" s="81" t="s">
        <v>962</v>
      </c>
      <c r="AO25" s="498"/>
      <c r="AP25" s="4">
        <v>125</v>
      </c>
      <c r="AQ25" s="4">
        <v>24</v>
      </c>
      <c r="AR25" s="4" t="str">
        <f t="shared" si="3"/>
        <v>V125</v>
      </c>
    </row>
    <row r="26" spans="1:44" ht="16" customHeight="1" x14ac:dyDescent="0.2">
      <c r="A26" s="498"/>
      <c r="B26" s="76" t="s">
        <v>243</v>
      </c>
      <c r="C26" s="76" t="s">
        <v>813</v>
      </c>
      <c r="D26" s="76" t="s">
        <v>76</v>
      </c>
      <c r="E26" s="76" t="s">
        <v>165</v>
      </c>
      <c r="F26" s="24">
        <v>0.53700000000000003</v>
      </c>
      <c r="G26" s="24">
        <v>1.3</v>
      </c>
      <c r="I26" s="498"/>
      <c r="J26" t="s">
        <v>10</v>
      </c>
      <c r="K26" t="s">
        <v>76</v>
      </c>
      <c r="L26" s="4">
        <v>25</v>
      </c>
      <c r="M26" s="55"/>
      <c r="N26" s="93">
        <f t="shared" ref="N26:P26" si="4">N12*100%/SUM($N12:$P12)</f>
        <v>0.43749999999999994</v>
      </c>
      <c r="O26" s="93">
        <f t="shared" si="4"/>
        <v>0.25</v>
      </c>
      <c r="P26" s="93">
        <f t="shared" si="4"/>
        <v>0.3125</v>
      </c>
      <c r="Q26" s="1"/>
      <c r="S26" s="498"/>
      <c r="T26" s="4">
        <v>0</v>
      </c>
      <c r="U26" s="80">
        <v>500</v>
      </c>
      <c r="V26" s="16">
        <v>0.25</v>
      </c>
      <c r="AK26" s="498"/>
      <c r="AL26" s="3" t="s">
        <v>76</v>
      </c>
      <c r="AM26" s="81" t="s">
        <v>963</v>
      </c>
      <c r="AO26" s="498"/>
      <c r="AP26" s="4">
        <v>130</v>
      </c>
      <c r="AQ26" s="4">
        <v>25</v>
      </c>
      <c r="AR26" s="4" t="str">
        <f t="shared" si="3"/>
        <v>V130</v>
      </c>
    </row>
    <row r="27" spans="1:44" x14ac:dyDescent="0.2">
      <c r="A27" s="498"/>
      <c r="B27" s="76" t="s">
        <v>245</v>
      </c>
      <c r="C27" s="24" t="s">
        <v>71</v>
      </c>
      <c r="D27" s="76" t="s">
        <v>71</v>
      </c>
      <c r="E27" s="76" t="s">
        <v>165</v>
      </c>
      <c r="F27" s="24">
        <v>0.44400000000000001</v>
      </c>
      <c r="G27" s="24">
        <v>1.3</v>
      </c>
      <c r="S27" s="498"/>
      <c r="T27" s="4">
        <v>500</v>
      </c>
      <c r="U27" s="80">
        <v>2500</v>
      </c>
      <c r="V27" s="16">
        <v>0.2</v>
      </c>
      <c r="AK27" s="498"/>
      <c r="AL27" s="3" t="s">
        <v>76</v>
      </c>
      <c r="AM27" s="81" t="s">
        <v>964</v>
      </c>
      <c r="AO27" s="498"/>
      <c r="AP27" s="4">
        <v>135</v>
      </c>
      <c r="AQ27" s="4">
        <v>26</v>
      </c>
      <c r="AR27" s="4" t="str">
        <f t="shared" si="3"/>
        <v>V135</v>
      </c>
    </row>
    <row r="28" spans="1:44" ht="16" customHeight="1" x14ac:dyDescent="0.2">
      <c r="A28" s="498"/>
      <c r="B28" s="76" t="s">
        <v>867</v>
      </c>
      <c r="C28" s="24" t="s">
        <v>72</v>
      </c>
      <c r="D28" s="76" t="s">
        <v>76</v>
      </c>
      <c r="E28" s="76" t="s">
        <v>165</v>
      </c>
      <c r="F28" s="24">
        <v>0.52400000000000002</v>
      </c>
      <c r="G28" s="24">
        <v>1.3</v>
      </c>
      <c r="J28" s="17" t="s">
        <v>167</v>
      </c>
      <c r="S28" s="498"/>
      <c r="T28" s="4">
        <v>2500</v>
      </c>
      <c r="U28" s="80">
        <v>5000</v>
      </c>
      <c r="V28" s="16">
        <v>0.15</v>
      </c>
      <c r="AK28" s="498"/>
      <c r="AL28" s="3" t="s">
        <v>76</v>
      </c>
      <c r="AM28" s="81" t="s">
        <v>965</v>
      </c>
      <c r="AO28" s="498"/>
      <c r="AP28" s="4">
        <v>140</v>
      </c>
      <c r="AQ28" s="4">
        <v>27</v>
      </c>
      <c r="AR28" s="4" t="str">
        <f t="shared" si="3"/>
        <v>V140</v>
      </c>
    </row>
    <row r="29" spans="1:44" x14ac:dyDescent="0.2">
      <c r="A29" s="498"/>
      <c r="B29" s="76" t="s">
        <v>246</v>
      </c>
      <c r="C29" s="24" t="s">
        <v>60</v>
      </c>
      <c r="D29" s="76" t="s">
        <v>60</v>
      </c>
      <c r="E29" s="76" t="s">
        <v>165</v>
      </c>
      <c r="F29" s="24">
        <v>0.45900000000000002</v>
      </c>
      <c r="G29" s="24">
        <v>1.3</v>
      </c>
      <c r="I29" s="499" t="s">
        <v>178</v>
      </c>
      <c r="J29" s="39" t="s">
        <v>7</v>
      </c>
      <c r="K29" s="39" t="s">
        <v>166</v>
      </c>
      <c r="L29" s="39" t="s">
        <v>81</v>
      </c>
      <c r="M29" s="39" t="s">
        <v>84</v>
      </c>
      <c r="N29" s="39" t="s">
        <v>82</v>
      </c>
      <c r="O29" s="39" t="s">
        <v>83</v>
      </c>
      <c r="S29" s="498"/>
      <c r="T29" s="4">
        <v>5000</v>
      </c>
      <c r="U29" s="80">
        <v>10000</v>
      </c>
      <c r="V29" s="16">
        <v>0.1</v>
      </c>
      <c r="AK29" s="498"/>
      <c r="AL29" s="3" t="s">
        <v>76</v>
      </c>
      <c r="AM29" s="81" t="s">
        <v>972</v>
      </c>
      <c r="AO29" s="498"/>
      <c r="AP29" s="4">
        <v>145</v>
      </c>
      <c r="AQ29" s="4">
        <v>28</v>
      </c>
      <c r="AR29" s="4" t="str">
        <f t="shared" si="3"/>
        <v>V145</v>
      </c>
    </row>
    <row r="30" spans="1:44" x14ac:dyDescent="0.2">
      <c r="A30" s="498"/>
      <c r="B30" s="76" t="s">
        <v>244</v>
      </c>
      <c r="C30" s="76" t="s">
        <v>826</v>
      </c>
      <c r="D30" s="76" t="s">
        <v>60</v>
      </c>
      <c r="E30" s="76" t="s">
        <v>165</v>
      </c>
      <c r="F30" s="250">
        <v>0.49</v>
      </c>
      <c r="G30" s="76">
        <v>1.3</v>
      </c>
      <c r="I30" s="499"/>
      <c r="J30" t="s">
        <v>10</v>
      </c>
      <c r="K30" s="4" t="s">
        <v>164</v>
      </c>
      <c r="L30" s="16">
        <f>1/2.1</f>
        <v>0.47619047619047616</v>
      </c>
      <c r="M30" s="16">
        <f>1/3.1</f>
        <v>0.32258064516129031</v>
      </c>
      <c r="N30" s="16">
        <f>1/2.75</f>
        <v>0.36363636363636365</v>
      </c>
      <c r="O30" s="16">
        <f>1/2.75</f>
        <v>0.36363636363636365</v>
      </c>
      <c r="S30" s="498"/>
      <c r="T30" s="4">
        <v>10000</v>
      </c>
      <c r="U30" s="80"/>
      <c r="V30" s="16">
        <v>0.05</v>
      </c>
      <c r="AK30" s="498"/>
      <c r="AL30" s="3" t="s">
        <v>76</v>
      </c>
      <c r="AM30" s="81" t="s">
        <v>973</v>
      </c>
      <c r="AO30" s="498"/>
      <c r="AP30" s="4">
        <v>150</v>
      </c>
      <c r="AQ30" s="4">
        <v>29</v>
      </c>
      <c r="AR30" s="4" t="str">
        <f t="shared" si="3"/>
        <v>V150</v>
      </c>
    </row>
    <row r="31" spans="1:44" x14ac:dyDescent="0.2">
      <c r="A31" s="498"/>
      <c r="B31" s="76" t="s">
        <v>247</v>
      </c>
      <c r="C31" s="24" t="s">
        <v>73</v>
      </c>
      <c r="D31" s="76" t="s">
        <v>77</v>
      </c>
      <c r="E31" s="76" t="s">
        <v>164</v>
      </c>
      <c r="F31" s="251">
        <v>0.64</v>
      </c>
      <c r="G31" s="24">
        <v>1.56</v>
      </c>
      <c r="I31" s="499"/>
      <c r="J31" t="s">
        <v>10</v>
      </c>
      <c r="K31" s="4" t="s">
        <v>165</v>
      </c>
      <c r="L31" s="16">
        <f>1/2</f>
        <v>0.5</v>
      </c>
      <c r="M31" s="16">
        <f>1/2</f>
        <v>0.5</v>
      </c>
      <c r="N31" s="16">
        <f>1/2.75</f>
        <v>0.36363636363636365</v>
      </c>
      <c r="O31" s="16">
        <f>1/2.75</f>
        <v>0.36363636363636365</v>
      </c>
      <c r="AK31" s="498"/>
      <c r="AL31" s="3" t="s">
        <v>76</v>
      </c>
      <c r="AM31" s="81" t="s">
        <v>974</v>
      </c>
    </row>
    <row r="32" spans="1:44" x14ac:dyDescent="0.2">
      <c r="A32" s="498"/>
      <c r="B32" s="76" t="s">
        <v>248</v>
      </c>
      <c r="C32" s="24" t="s">
        <v>74</v>
      </c>
      <c r="D32" s="76" t="s">
        <v>74</v>
      </c>
      <c r="E32" s="76" t="s">
        <v>165</v>
      </c>
      <c r="F32" s="24">
        <v>0.41699999999999998</v>
      </c>
      <c r="G32" s="24">
        <v>1.3</v>
      </c>
      <c r="I32" s="18"/>
      <c r="AK32" s="498"/>
      <c r="AL32" s="3" t="s">
        <v>76</v>
      </c>
      <c r="AM32" s="81" t="s">
        <v>975</v>
      </c>
    </row>
    <row r="33" spans="1:39" x14ac:dyDescent="0.2">
      <c r="A33" s="498"/>
      <c r="B33" s="76" t="s">
        <v>868</v>
      </c>
      <c r="C33" s="24" t="s">
        <v>75</v>
      </c>
      <c r="D33" s="76" t="s">
        <v>77</v>
      </c>
      <c r="E33" s="76" t="s">
        <v>164</v>
      </c>
      <c r="F33" s="24">
        <v>0.41799999999999998</v>
      </c>
      <c r="G33" s="24">
        <v>1.56</v>
      </c>
      <c r="I33" s="19"/>
      <c r="S33" s="498" t="s">
        <v>932</v>
      </c>
      <c r="T33" s="4" t="s">
        <v>272</v>
      </c>
      <c r="U33" s="4" t="s">
        <v>930</v>
      </c>
      <c r="V33" s="4" t="s">
        <v>931</v>
      </c>
      <c r="AK33" s="498"/>
      <c r="AL33" s="128" t="s">
        <v>71</v>
      </c>
      <c r="AM33" s="81" t="s">
        <v>967</v>
      </c>
    </row>
    <row r="34" spans="1:39" x14ac:dyDescent="0.2">
      <c r="A34" s="498"/>
      <c r="B34" s="76" t="s">
        <v>869</v>
      </c>
      <c r="C34" s="76" t="s">
        <v>179</v>
      </c>
      <c r="D34" s="76" t="s">
        <v>179</v>
      </c>
      <c r="E34" s="76" t="s">
        <v>164</v>
      </c>
      <c r="F34" s="76">
        <v>0.52100000000000002</v>
      </c>
      <c r="G34" s="76">
        <v>1.56</v>
      </c>
      <c r="I34" s="101"/>
      <c r="S34" s="498"/>
      <c r="T34" s="76" t="s">
        <v>1</v>
      </c>
      <c r="U34" s="286">
        <v>0.65</v>
      </c>
      <c r="V34" s="22">
        <v>0.35</v>
      </c>
      <c r="AK34" s="498"/>
      <c r="AL34" s="128" t="s">
        <v>71</v>
      </c>
      <c r="AM34" s="81" t="s">
        <v>971</v>
      </c>
    </row>
    <row r="35" spans="1:39" x14ac:dyDescent="0.2">
      <c r="A35" s="498"/>
      <c r="B35" s="76" t="s">
        <v>870</v>
      </c>
      <c r="C35" s="76" t="s">
        <v>77</v>
      </c>
      <c r="D35" s="76" t="s">
        <v>77</v>
      </c>
      <c r="E35" s="76" t="s">
        <v>164</v>
      </c>
      <c r="F35" s="76">
        <v>0.60299999999999998</v>
      </c>
      <c r="G35" s="76">
        <v>1.56</v>
      </c>
      <c r="I35" s="498" t="s">
        <v>617</v>
      </c>
      <c r="J35" t="s">
        <v>26</v>
      </c>
      <c r="K35" t="s">
        <v>23</v>
      </c>
      <c r="L35" t="s">
        <v>24</v>
      </c>
      <c r="M35" t="s">
        <v>25</v>
      </c>
      <c r="S35" s="498"/>
      <c r="T35" s="4" t="s">
        <v>4</v>
      </c>
      <c r="U35" s="22">
        <v>0.6</v>
      </c>
      <c r="V35" s="22">
        <v>0.4</v>
      </c>
      <c r="AK35" s="498"/>
      <c r="AL35" s="128" t="s">
        <v>71</v>
      </c>
      <c r="AM35" s="81" t="s">
        <v>970</v>
      </c>
    </row>
    <row r="36" spans="1:39" x14ac:dyDescent="0.2">
      <c r="A36" s="498"/>
      <c r="B36" s="76" t="s">
        <v>871</v>
      </c>
      <c r="C36" s="76" t="s">
        <v>76</v>
      </c>
      <c r="D36" s="76" t="s">
        <v>76</v>
      </c>
      <c r="E36" s="76" t="s">
        <v>165</v>
      </c>
      <c r="F36" s="24">
        <v>0.441</v>
      </c>
      <c r="G36" s="24">
        <v>1.3</v>
      </c>
      <c r="I36" s="498"/>
      <c r="J36" t="s">
        <v>81</v>
      </c>
      <c r="K36" s="1">
        <v>0.12</v>
      </c>
      <c r="L36" s="1">
        <v>0.55000000000000004</v>
      </c>
      <c r="M36" s="1">
        <v>0.33</v>
      </c>
      <c r="S36" s="498"/>
      <c r="T36" s="4" t="s">
        <v>77</v>
      </c>
      <c r="U36" s="22">
        <v>0.65</v>
      </c>
      <c r="V36" s="22">
        <v>0.35</v>
      </c>
      <c r="AK36" s="498"/>
      <c r="AL36" s="128" t="s">
        <v>71</v>
      </c>
      <c r="AM36" s="81" t="s">
        <v>969</v>
      </c>
    </row>
    <row r="37" spans="1:39" x14ac:dyDescent="0.2">
      <c r="A37" s="101"/>
      <c r="B37" s="247"/>
      <c r="C37" s="248"/>
      <c r="I37" s="498"/>
      <c r="J37" t="s">
        <v>84</v>
      </c>
      <c r="K37" s="1">
        <v>0.18</v>
      </c>
      <c r="L37" s="1">
        <v>0.8</v>
      </c>
      <c r="M37" s="1">
        <v>0.02</v>
      </c>
      <c r="S37" s="498"/>
      <c r="T37" s="4" t="s">
        <v>179</v>
      </c>
      <c r="U37" s="22">
        <f t="shared" ref="U37" si="5">SUM(N5:O5)</f>
        <v>0</v>
      </c>
      <c r="V37" s="22">
        <f t="shared" ref="V37" si="6">SUM(P5:Q5)</f>
        <v>1</v>
      </c>
      <c r="AK37" s="498"/>
      <c r="AL37" s="3" t="s">
        <v>4</v>
      </c>
      <c r="AM37" s="81" t="s">
        <v>979</v>
      </c>
    </row>
    <row r="38" spans="1:39" x14ac:dyDescent="0.2">
      <c r="A38" s="101"/>
      <c r="B38" s="247"/>
      <c r="C38" s="248"/>
      <c r="I38" s="498"/>
      <c r="J38" t="s">
        <v>82</v>
      </c>
      <c r="K38" s="1">
        <v>0.06</v>
      </c>
      <c r="L38" s="1">
        <v>0.81</v>
      </c>
      <c r="M38" s="1">
        <v>0.13</v>
      </c>
      <c r="S38" s="498"/>
      <c r="T38" s="4" t="s">
        <v>74</v>
      </c>
      <c r="U38" s="22">
        <v>0.7</v>
      </c>
      <c r="V38" s="22">
        <v>0.3</v>
      </c>
      <c r="AK38" s="498"/>
      <c r="AL38" s="3" t="s">
        <v>4</v>
      </c>
      <c r="AM38" s="81" t="s">
        <v>980</v>
      </c>
    </row>
    <row r="39" spans="1:39" ht="16" customHeight="1" x14ac:dyDescent="0.2">
      <c r="A39" s="498" t="s">
        <v>830</v>
      </c>
      <c r="B39" s="252" t="s">
        <v>7</v>
      </c>
      <c r="C39" s="253" t="s">
        <v>831</v>
      </c>
      <c r="D39" t="s">
        <v>845</v>
      </c>
      <c r="I39" s="498"/>
      <c r="J39" t="s">
        <v>83</v>
      </c>
      <c r="K39" s="1">
        <v>0.24</v>
      </c>
      <c r="L39" s="1">
        <v>0.47</v>
      </c>
      <c r="M39" s="1">
        <v>0.28999999999999998</v>
      </c>
      <c r="S39" s="498"/>
      <c r="T39" s="4" t="s">
        <v>58</v>
      </c>
      <c r="U39" s="22">
        <v>0.8</v>
      </c>
      <c r="V39" s="22">
        <v>0.2</v>
      </c>
      <c r="AK39" s="498"/>
      <c r="AL39" s="3" t="s">
        <v>4</v>
      </c>
      <c r="AM39" s="81" t="s">
        <v>981</v>
      </c>
    </row>
    <row r="40" spans="1:39" ht="16" customHeight="1" x14ac:dyDescent="0.2">
      <c r="A40" s="498"/>
      <c r="B40" s="247" t="s">
        <v>10</v>
      </c>
      <c r="C40" s="248" t="s">
        <v>832</v>
      </c>
      <c r="D40" s="4" t="s">
        <v>250</v>
      </c>
      <c r="I40" s="101"/>
      <c r="S40" s="498"/>
      <c r="T40" s="4" t="s">
        <v>60</v>
      </c>
      <c r="U40" s="22">
        <v>0.7</v>
      </c>
      <c r="V40" s="22">
        <v>0.3</v>
      </c>
      <c r="AK40" s="498"/>
      <c r="AL40" s="3" t="s">
        <v>4</v>
      </c>
      <c r="AM40" s="81" t="s">
        <v>982</v>
      </c>
    </row>
    <row r="41" spans="1:39" ht="16" customHeight="1" x14ac:dyDescent="0.2">
      <c r="A41" s="498"/>
      <c r="B41" s="247" t="s">
        <v>10</v>
      </c>
      <c r="C41" s="248" t="s">
        <v>833</v>
      </c>
      <c r="D41" s="4" t="s">
        <v>846</v>
      </c>
      <c r="I41" s="101"/>
      <c r="S41" s="498"/>
      <c r="T41" s="4" t="s">
        <v>71</v>
      </c>
      <c r="U41" s="22">
        <v>0.9</v>
      </c>
      <c r="V41" s="22">
        <v>0.1</v>
      </c>
      <c r="AK41" s="498"/>
      <c r="AL41" s="3" t="s">
        <v>4</v>
      </c>
      <c r="AM41" s="81" t="s">
        <v>983</v>
      </c>
    </row>
    <row r="42" spans="1:39" x14ac:dyDescent="0.2">
      <c r="A42" s="498"/>
      <c r="B42" s="247" t="s">
        <v>10</v>
      </c>
      <c r="C42" s="248" t="s">
        <v>834</v>
      </c>
      <c r="D42" s="4" t="s">
        <v>251</v>
      </c>
      <c r="I42" s="498" t="s">
        <v>618</v>
      </c>
      <c r="J42" t="s">
        <v>7</v>
      </c>
      <c r="K42" t="s">
        <v>157</v>
      </c>
      <c r="S42" s="498"/>
      <c r="T42" s="4" t="s">
        <v>59</v>
      </c>
      <c r="U42" s="22">
        <v>0.9</v>
      </c>
      <c r="V42" s="22">
        <v>0.1</v>
      </c>
      <c r="AK42" s="498"/>
      <c r="AL42" s="3" t="s">
        <v>1</v>
      </c>
      <c r="AM42" s="81" t="s">
        <v>995</v>
      </c>
    </row>
    <row r="43" spans="1:39" x14ac:dyDescent="0.2">
      <c r="A43" s="498"/>
      <c r="B43" s="247" t="s">
        <v>10</v>
      </c>
      <c r="C43" s="248" t="s">
        <v>835</v>
      </c>
      <c r="D43" s="4" t="s">
        <v>252</v>
      </c>
      <c r="I43" s="498"/>
      <c r="J43" t="s">
        <v>10</v>
      </c>
      <c r="K43" s="2">
        <v>0</v>
      </c>
      <c r="S43" s="498"/>
      <c r="T43" s="4" t="s">
        <v>69</v>
      </c>
      <c r="U43" s="22">
        <v>0.8</v>
      </c>
      <c r="V43" s="22">
        <v>0.2</v>
      </c>
      <c r="AK43" s="498"/>
      <c r="AL43" s="3" t="s">
        <v>1</v>
      </c>
      <c r="AM43" s="81" t="s">
        <v>764</v>
      </c>
    </row>
    <row r="44" spans="1:39" x14ac:dyDescent="0.2">
      <c r="A44" s="498"/>
      <c r="B44" s="247" t="s">
        <v>10</v>
      </c>
      <c r="C44" s="248" t="s">
        <v>836</v>
      </c>
      <c r="D44" s="4" t="s">
        <v>67</v>
      </c>
      <c r="I44" s="498"/>
      <c r="J44" t="s">
        <v>269</v>
      </c>
      <c r="S44" s="498"/>
      <c r="T44" s="4" t="s">
        <v>76</v>
      </c>
      <c r="U44" s="22">
        <v>0.7</v>
      </c>
      <c r="V44" s="22">
        <v>0.3</v>
      </c>
      <c r="AK44" s="498"/>
      <c r="AL44" s="3" t="s">
        <v>1</v>
      </c>
      <c r="AM44" s="81" t="s">
        <v>984</v>
      </c>
    </row>
    <row r="45" spans="1:39" x14ac:dyDescent="0.2">
      <c r="A45" s="498"/>
      <c r="B45" s="247" t="s">
        <v>10</v>
      </c>
      <c r="C45" s="248" t="s">
        <v>837</v>
      </c>
      <c r="D45" s="4" t="s">
        <v>253</v>
      </c>
      <c r="I45" s="498"/>
      <c r="J45" t="s">
        <v>270</v>
      </c>
      <c r="AK45" s="498"/>
      <c r="AL45" s="3" t="s">
        <v>1</v>
      </c>
      <c r="AM45" s="81" t="s">
        <v>985</v>
      </c>
    </row>
    <row r="46" spans="1:39" x14ac:dyDescent="0.2">
      <c r="A46" s="498"/>
      <c r="B46" s="247" t="s">
        <v>10</v>
      </c>
      <c r="C46" s="248" t="s">
        <v>838</v>
      </c>
      <c r="D46" s="4" t="s">
        <v>850</v>
      </c>
      <c r="I46" s="498"/>
      <c r="AK46" s="498"/>
      <c r="AL46" s="3" t="s">
        <v>1</v>
      </c>
      <c r="AM46" s="81" t="s">
        <v>986</v>
      </c>
    </row>
    <row r="47" spans="1:39" x14ac:dyDescent="0.2">
      <c r="A47" s="498"/>
      <c r="B47" s="247" t="s">
        <v>10</v>
      </c>
      <c r="C47" s="248" t="s">
        <v>839</v>
      </c>
      <c r="D47" s="4" t="s">
        <v>254</v>
      </c>
      <c r="I47" s="101"/>
      <c r="AK47" s="498"/>
      <c r="AL47" s="3" t="s">
        <v>1</v>
      </c>
      <c r="AM47" s="81" t="s">
        <v>987</v>
      </c>
    </row>
    <row r="48" spans="1:39" x14ac:dyDescent="0.2">
      <c r="A48" s="498"/>
      <c r="B48" s="247" t="s">
        <v>10</v>
      </c>
      <c r="C48" s="248" t="s">
        <v>840</v>
      </c>
      <c r="D48" s="4" t="s">
        <v>847</v>
      </c>
      <c r="I48" s="101"/>
      <c r="AK48" s="498"/>
      <c r="AL48" s="3" t="s">
        <v>1</v>
      </c>
      <c r="AM48" s="81" t="s">
        <v>988</v>
      </c>
    </row>
    <row r="49" spans="1:39" x14ac:dyDescent="0.2">
      <c r="A49" s="498"/>
      <c r="B49" s="247" t="s">
        <v>10</v>
      </c>
      <c r="C49" s="248" t="s">
        <v>841</v>
      </c>
      <c r="D49" s="4" t="s">
        <v>848</v>
      </c>
      <c r="I49" s="497" t="s">
        <v>283</v>
      </c>
      <c r="J49" t="s">
        <v>7</v>
      </c>
      <c r="K49" s="114" t="s">
        <v>272</v>
      </c>
      <c r="L49" s="114" t="s">
        <v>160</v>
      </c>
      <c r="M49" s="114" t="s">
        <v>80</v>
      </c>
      <c r="N49" s="114" t="s">
        <v>21</v>
      </c>
      <c r="O49" s="114" t="s">
        <v>20</v>
      </c>
      <c r="P49" s="114" t="s">
        <v>22</v>
      </c>
      <c r="Q49" s="114" t="s">
        <v>162</v>
      </c>
      <c r="AK49" s="498"/>
      <c r="AL49" s="3" t="s">
        <v>1</v>
      </c>
      <c r="AM49" s="81" t="s">
        <v>989</v>
      </c>
    </row>
    <row r="50" spans="1:39" x14ac:dyDescent="0.2">
      <c r="A50" s="498"/>
      <c r="B50" s="247" t="s">
        <v>10</v>
      </c>
      <c r="C50" s="248" t="s">
        <v>842</v>
      </c>
      <c r="D50" s="4" t="s">
        <v>255</v>
      </c>
      <c r="I50" s="497"/>
      <c r="J50" t="s">
        <v>10</v>
      </c>
      <c r="K50" t="s">
        <v>1</v>
      </c>
      <c r="L50" s="4"/>
      <c r="M50" s="4">
        <v>25</v>
      </c>
      <c r="N50" s="115">
        <v>0</v>
      </c>
      <c r="O50" s="115">
        <v>0</v>
      </c>
      <c r="P50" s="115">
        <v>0.5</v>
      </c>
      <c r="Q50" s="116">
        <v>0.5</v>
      </c>
      <c r="AK50" s="498"/>
      <c r="AL50" s="3" t="s">
        <v>1</v>
      </c>
      <c r="AM50" s="81" t="s">
        <v>990</v>
      </c>
    </row>
    <row r="51" spans="1:39" x14ac:dyDescent="0.2">
      <c r="A51" s="498"/>
      <c r="B51" s="247" t="s">
        <v>10</v>
      </c>
      <c r="C51" s="248" t="s">
        <v>843</v>
      </c>
      <c r="D51" s="4" t="s">
        <v>256</v>
      </c>
      <c r="I51" s="497"/>
      <c r="J51" t="s">
        <v>10</v>
      </c>
      <c r="K51" t="s">
        <v>1</v>
      </c>
      <c r="L51" s="4">
        <v>30</v>
      </c>
      <c r="M51" s="4">
        <v>45</v>
      </c>
      <c r="N51" s="115">
        <v>0.2</v>
      </c>
      <c r="O51" s="115">
        <v>0.2</v>
      </c>
      <c r="P51" s="115">
        <v>0.3</v>
      </c>
      <c r="Q51" s="116">
        <v>0.3</v>
      </c>
      <c r="AK51" s="498"/>
      <c r="AL51" s="3" t="s">
        <v>1</v>
      </c>
      <c r="AM51" s="81" t="s">
        <v>991</v>
      </c>
    </row>
    <row r="52" spans="1:39" x14ac:dyDescent="0.2">
      <c r="A52" s="498"/>
      <c r="B52" s="247" t="s">
        <v>10</v>
      </c>
      <c r="C52" s="248" t="s">
        <v>844</v>
      </c>
      <c r="D52" s="4" t="s">
        <v>849</v>
      </c>
      <c r="I52" s="497"/>
      <c r="J52" t="s">
        <v>10</v>
      </c>
      <c r="K52" t="s">
        <v>1</v>
      </c>
      <c r="L52" s="4">
        <v>50</v>
      </c>
      <c r="M52" s="4"/>
      <c r="N52" s="115">
        <v>0.37</v>
      </c>
      <c r="O52" s="115">
        <v>0.1</v>
      </c>
      <c r="P52" s="115">
        <v>0.26</v>
      </c>
      <c r="Q52" s="116">
        <v>0.27</v>
      </c>
      <c r="AK52" s="498"/>
      <c r="AL52" s="3" t="s">
        <v>1</v>
      </c>
      <c r="AM52" s="81" t="s">
        <v>992</v>
      </c>
    </row>
    <row r="53" spans="1:39" x14ac:dyDescent="0.2">
      <c r="A53" s="101"/>
      <c r="B53" s="247"/>
      <c r="C53" s="248"/>
      <c r="I53" s="497"/>
      <c r="J53" t="s">
        <v>10</v>
      </c>
      <c r="K53" t="s">
        <v>4</v>
      </c>
      <c r="L53" s="4"/>
      <c r="M53" s="4">
        <v>25</v>
      </c>
      <c r="N53" s="115">
        <v>0</v>
      </c>
      <c r="O53" s="115">
        <v>0</v>
      </c>
      <c r="P53" s="115">
        <v>0.6</v>
      </c>
      <c r="Q53" s="116">
        <v>0.4</v>
      </c>
      <c r="AK53" s="498"/>
      <c r="AL53" s="3" t="s">
        <v>77</v>
      </c>
      <c r="AM53" s="81" t="s">
        <v>993</v>
      </c>
    </row>
    <row r="54" spans="1:39" x14ac:dyDescent="0.2">
      <c r="A54" s="101"/>
      <c r="B54" s="247"/>
      <c r="C54" s="248"/>
      <c r="I54" s="497"/>
      <c r="J54" t="s">
        <v>10</v>
      </c>
      <c r="K54" t="s">
        <v>4</v>
      </c>
      <c r="L54" s="4">
        <v>30</v>
      </c>
      <c r="M54" s="4">
        <v>45</v>
      </c>
      <c r="N54" s="115">
        <v>0.12</v>
      </c>
      <c r="O54" s="115">
        <v>0.25</v>
      </c>
      <c r="P54" s="115">
        <v>0.3</v>
      </c>
      <c r="Q54" s="116">
        <v>0.33</v>
      </c>
    </row>
    <row r="55" spans="1:39" x14ac:dyDescent="0.2">
      <c r="A55" s="498" t="s">
        <v>872</v>
      </c>
      <c r="B55" t="s">
        <v>7</v>
      </c>
      <c r="C55" s="257" t="s">
        <v>272</v>
      </c>
      <c r="D55" s="4" t="s">
        <v>88</v>
      </c>
      <c r="I55" s="497"/>
      <c r="J55" t="s">
        <v>10</v>
      </c>
      <c r="K55" t="s">
        <v>4</v>
      </c>
      <c r="L55" s="4">
        <v>50</v>
      </c>
      <c r="M55" s="4"/>
      <c r="N55" s="115">
        <v>0.25</v>
      </c>
      <c r="O55" s="115">
        <v>0.22</v>
      </c>
      <c r="P55" s="115">
        <v>0.26</v>
      </c>
      <c r="Q55" s="116">
        <v>0.27</v>
      </c>
    </row>
    <row r="56" spans="1:39" x14ac:dyDescent="0.2">
      <c r="A56" s="498"/>
      <c r="B56" t="s">
        <v>10</v>
      </c>
      <c r="C56" s="254" t="s">
        <v>1</v>
      </c>
      <c r="D56" s="256">
        <v>0.02</v>
      </c>
      <c r="I56" s="497"/>
      <c r="J56" t="s">
        <v>10</v>
      </c>
      <c r="K56" t="s">
        <v>77</v>
      </c>
      <c r="L56" s="4"/>
      <c r="M56" s="4">
        <v>25</v>
      </c>
      <c r="N56" s="115">
        <v>0</v>
      </c>
      <c r="O56" s="115">
        <v>0</v>
      </c>
      <c r="P56" s="115">
        <v>0.5</v>
      </c>
      <c r="Q56" s="116">
        <v>0.5</v>
      </c>
    </row>
    <row r="57" spans="1:39" x14ac:dyDescent="0.2">
      <c r="A57" s="498"/>
      <c r="B57" t="s">
        <v>10</v>
      </c>
      <c r="C57" s="255" t="s">
        <v>4</v>
      </c>
      <c r="D57" s="256">
        <v>1.4999999999999999E-2</v>
      </c>
      <c r="I57" s="497"/>
      <c r="J57" t="s">
        <v>10</v>
      </c>
      <c r="K57" t="s">
        <v>77</v>
      </c>
      <c r="L57" s="4">
        <v>30</v>
      </c>
      <c r="M57" s="4">
        <v>45</v>
      </c>
      <c r="N57" s="115">
        <v>0.1</v>
      </c>
      <c r="O57" s="115">
        <v>0.2</v>
      </c>
      <c r="P57" s="115">
        <v>0</v>
      </c>
      <c r="Q57" s="116">
        <v>0.7</v>
      </c>
    </row>
    <row r="58" spans="1:39" x14ac:dyDescent="0.2">
      <c r="A58" s="498"/>
      <c r="B58" t="s">
        <v>10</v>
      </c>
      <c r="C58" s="254" t="s">
        <v>77</v>
      </c>
      <c r="D58" s="256">
        <v>1.4999999999999999E-2</v>
      </c>
      <c r="I58" s="497"/>
      <c r="J58" t="s">
        <v>10</v>
      </c>
      <c r="K58" t="s">
        <v>77</v>
      </c>
      <c r="L58" s="4">
        <v>50</v>
      </c>
      <c r="M58" s="4"/>
      <c r="N58" s="115">
        <v>0.25</v>
      </c>
      <c r="O58" s="115">
        <v>0.22</v>
      </c>
      <c r="P58" s="115">
        <v>0</v>
      </c>
      <c r="Q58" s="116">
        <v>0.53</v>
      </c>
    </row>
    <row r="59" spans="1:39" x14ac:dyDescent="0.2">
      <c r="A59" s="498"/>
      <c r="B59" t="s">
        <v>10</v>
      </c>
      <c r="C59" s="255" t="s">
        <v>179</v>
      </c>
      <c r="D59" s="256">
        <v>1.4999999999999999E-2</v>
      </c>
      <c r="I59" s="497"/>
      <c r="J59" t="s">
        <v>10</v>
      </c>
      <c r="K59" t="s">
        <v>179</v>
      </c>
      <c r="L59" s="4"/>
      <c r="M59" s="4"/>
      <c r="N59" s="115">
        <v>0</v>
      </c>
      <c r="O59" s="115">
        <v>0</v>
      </c>
      <c r="P59" s="115">
        <v>0</v>
      </c>
      <c r="Q59" s="116">
        <v>1</v>
      </c>
    </row>
    <row r="60" spans="1:39" ht="16" customHeight="1" x14ac:dyDescent="0.2">
      <c r="A60" s="498"/>
      <c r="B60" t="s">
        <v>10</v>
      </c>
      <c r="C60" s="255" t="s">
        <v>74</v>
      </c>
      <c r="D60" s="256">
        <v>1.4999999999999999E-2</v>
      </c>
      <c r="I60" s="497"/>
      <c r="J60" t="s">
        <v>10</v>
      </c>
      <c r="K60" t="s">
        <v>74</v>
      </c>
      <c r="L60" s="4"/>
      <c r="M60" s="4">
        <v>20</v>
      </c>
      <c r="N60" s="115">
        <v>0</v>
      </c>
      <c r="O60" s="115">
        <v>0.1</v>
      </c>
      <c r="P60" s="115">
        <v>0.7</v>
      </c>
      <c r="Q60" s="116">
        <v>0.2</v>
      </c>
    </row>
    <row r="61" spans="1:39" x14ac:dyDescent="0.2">
      <c r="A61" s="498"/>
      <c r="B61" t="s">
        <v>10</v>
      </c>
      <c r="C61" s="255" t="s">
        <v>58</v>
      </c>
      <c r="D61" s="256">
        <v>1.4999999999999999E-2</v>
      </c>
      <c r="I61" s="497"/>
      <c r="J61" t="s">
        <v>10</v>
      </c>
      <c r="K61" t="s">
        <v>74</v>
      </c>
      <c r="L61" s="4">
        <v>25</v>
      </c>
      <c r="M61" s="4"/>
      <c r="N61" s="115">
        <v>0.4</v>
      </c>
      <c r="O61" s="115">
        <v>0.25</v>
      </c>
      <c r="P61" s="115">
        <v>0.15</v>
      </c>
      <c r="Q61" s="116">
        <v>0.2</v>
      </c>
    </row>
    <row r="62" spans="1:39" x14ac:dyDescent="0.2">
      <c r="A62" s="498"/>
      <c r="B62" t="s">
        <v>10</v>
      </c>
      <c r="C62" s="255" t="s">
        <v>60</v>
      </c>
      <c r="D62" s="256">
        <v>0.02</v>
      </c>
      <c r="I62" s="497"/>
      <c r="J62" t="s">
        <v>10</v>
      </c>
      <c r="K62" t="s">
        <v>58</v>
      </c>
      <c r="L62" s="4"/>
      <c r="M62" s="4">
        <v>20</v>
      </c>
      <c r="N62" s="115">
        <v>0</v>
      </c>
      <c r="O62" s="115">
        <v>0.1</v>
      </c>
      <c r="P62" s="115">
        <v>0.7</v>
      </c>
      <c r="Q62" s="116">
        <v>0.2</v>
      </c>
    </row>
    <row r="63" spans="1:39" x14ac:dyDescent="0.2">
      <c r="A63" s="498"/>
      <c r="B63" t="s">
        <v>10</v>
      </c>
      <c r="C63" s="255" t="s">
        <v>71</v>
      </c>
      <c r="D63" s="256">
        <v>2.5000000000000001E-2</v>
      </c>
      <c r="I63" s="497"/>
      <c r="J63" t="s">
        <v>10</v>
      </c>
      <c r="K63" t="s">
        <v>58</v>
      </c>
      <c r="L63" s="4">
        <v>25</v>
      </c>
      <c r="M63" s="4"/>
      <c r="N63" s="115">
        <v>0.4</v>
      </c>
      <c r="O63" s="115">
        <v>0.25</v>
      </c>
      <c r="P63" s="115">
        <v>0.15</v>
      </c>
      <c r="Q63" s="116">
        <v>0.2</v>
      </c>
    </row>
    <row r="64" spans="1:39" x14ac:dyDescent="0.2">
      <c r="A64" s="498"/>
      <c r="B64" t="s">
        <v>10</v>
      </c>
      <c r="C64" s="255" t="s">
        <v>59</v>
      </c>
      <c r="D64" s="256">
        <v>0.03</v>
      </c>
      <c r="I64" s="497"/>
      <c r="J64" t="s">
        <v>10</v>
      </c>
      <c r="K64" t="s">
        <v>60</v>
      </c>
      <c r="L64" s="4"/>
      <c r="M64" s="4">
        <v>20</v>
      </c>
      <c r="N64" s="115">
        <v>0</v>
      </c>
      <c r="O64" s="115">
        <v>0.1</v>
      </c>
      <c r="P64" s="115">
        <v>0.7</v>
      </c>
      <c r="Q64" s="116">
        <v>0.2</v>
      </c>
    </row>
    <row r="65" spans="1:17" x14ac:dyDescent="0.2">
      <c r="A65" s="498"/>
      <c r="B65" t="s">
        <v>10</v>
      </c>
      <c r="C65" s="255" t="s">
        <v>69</v>
      </c>
      <c r="D65" s="256">
        <v>0.02</v>
      </c>
      <c r="I65" s="497"/>
      <c r="J65" t="s">
        <v>10</v>
      </c>
      <c r="K65" t="s">
        <v>60</v>
      </c>
      <c r="L65" s="4">
        <v>25</v>
      </c>
      <c r="M65" s="4"/>
      <c r="N65" s="115">
        <v>0.35</v>
      </c>
      <c r="O65" s="115">
        <v>0.2</v>
      </c>
      <c r="P65" s="115">
        <v>0.25</v>
      </c>
      <c r="Q65" s="116">
        <v>0.2</v>
      </c>
    </row>
    <row r="66" spans="1:17" x14ac:dyDescent="0.2">
      <c r="A66" s="498"/>
      <c r="B66" t="s">
        <v>10</v>
      </c>
      <c r="C66" s="4" t="s">
        <v>76</v>
      </c>
      <c r="D66" s="256">
        <v>1.4999999999999999E-2</v>
      </c>
      <c r="I66" s="497"/>
      <c r="J66" t="s">
        <v>10</v>
      </c>
      <c r="K66" t="s">
        <v>71</v>
      </c>
      <c r="L66" s="4"/>
      <c r="M66" s="4">
        <v>20</v>
      </c>
      <c r="N66" s="115">
        <v>0</v>
      </c>
      <c r="O66" s="115">
        <v>0.1</v>
      </c>
      <c r="P66" s="115">
        <v>0.7</v>
      </c>
      <c r="Q66" s="116">
        <v>0.2</v>
      </c>
    </row>
    <row r="67" spans="1:17" ht="16" customHeight="1" x14ac:dyDescent="0.2">
      <c r="A67" s="101"/>
      <c r="D67" s="4"/>
      <c r="I67" s="497"/>
      <c r="J67" t="s">
        <v>10</v>
      </c>
      <c r="K67" t="s">
        <v>71</v>
      </c>
      <c r="L67" s="4">
        <v>25</v>
      </c>
      <c r="M67" s="4"/>
      <c r="N67" s="115">
        <v>0.45</v>
      </c>
      <c r="O67" s="115">
        <v>0.1</v>
      </c>
      <c r="P67" s="115">
        <v>0.25</v>
      </c>
      <c r="Q67" s="116">
        <v>0.2</v>
      </c>
    </row>
    <row r="68" spans="1:17" ht="17" customHeight="1" x14ac:dyDescent="0.2">
      <c r="A68" s="101"/>
      <c r="I68" s="497"/>
      <c r="J68" t="s">
        <v>10</v>
      </c>
      <c r="K68" t="s">
        <v>59</v>
      </c>
      <c r="L68" s="4"/>
      <c r="M68" s="4">
        <v>20</v>
      </c>
      <c r="N68" s="115">
        <v>0</v>
      </c>
      <c r="O68" s="115">
        <v>0.1</v>
      </c>
      <c r="P68" s="115">
        <v>0.7</v>
      </c>
      <c r="Q68" s="116">
        <v>0.2</v>
      </c>
    </row>
    <row r="69" spans="1:17" x14ac:dyDescent="0.2">
      <c r="A69" s="101"/>
      <c r="I69" s="497"/>
      <c r="J69" t="s">
        <v>10</v>
      </c>
      <c r="K69" t="s">
        <v>59</v>
      </c>
      <c r="L69" s="4">
        <v>25</v>
      </c>
      <c r="M69" s="4"/>
      <c r="N69" s="115">
        <v>0.6</v>
      </c>
      <c r="O69" s="115">
        <v>0.15</v>
      </c>
      <c r="P69" s="115">
        <v>0.05</v>
      </c>
      <c r="Q69" s="116">
        <v>0.2</v>
      </c>
    </row>
    <row r="70" spans="1:17" x14ac:dyDescent="0.2">
      <c r="A70" s="101"/>
      <c r="I70" s="497"/>
      <c r="J70" t="s">
        <v>10</v>
      </c>
      <c r="K70" t="s">
        <v>69</v>
      </c>
      <c r="L70" s="4"/>
      <c r="M70" s="4">
        <v>20</v>
      </c>
      <c r="N70" s="115">
        <v>0</v>
      </c>
      <c r="O70" s="115">
        <v>0.1</v>
      </c>
      <c r="P70" s="115">
        <v>0.7</v>
      </c>
      <c r="Q70" s="116">
        <v>0.2</v>
      </c>
    </row>
    <row r="71" spans="1:17" x14ac:dyDescent="0.2">
      <c r="A71" s="101"/>
      <c r="I71" s="497"/>
      <c r="J71" t="s">
        <v>10</v>
      </c>
      <c r="K71" t="s">
        <v>69</v>
      </c>
      <c r="L71" s="4">
        <v>25</v>
      </c>
      <c r="M71" s="4"/>
      <c r="N71" s="115">
        <v>0.55000000000000004</v>
      </c>
      <c r="O71" s="115">
        <v>0.1</v>
      </c>
      <c r="P71" s="115">
        <v>0.15</v>
      </c>
      <c r="Q71" s="116">
        <v>0.2</v>
      </c>
    </row>
    <row r="72" spans="1:17" x14ac:dyDescent="0.2">
      <c r="A72" s="101"/>
      <c r="I72" s="497"/>
      <c r="J72" t="s">
        <v>10</v>
      </c>
      <c r="K72" t="s">
        <v>76</v>
      </c>
      <c r="L72" s="4"/>
      <c r="M72" s="4">
        <v>20</v>
      </c>
      <c r="N72" s="115">
        <v>0</v>
      </c>
      <c r="O72" s="115">
        <v>0.1</v>
      </c>
      <c r="P72" s="115">
        <v>0.7</v>
      </c>
      <c r="Q72" s="116">
        <v>0.2</v>
      </c>
    </row>
    <row r="73" spans="1:17" x14ac:dyDescent="0.2">
      <c r="I73" s="497"/>
      <c r="J73" t="s">
        <v>10</v>
      </c>
      <c r="K73" t="s">
        <v>76</v>
      </c>
      <c r="L73" s="4">
        <v>25</v>
      </c>
      <c r="M73" s="55"/>
      <c r="N73" s="115">
        <v>0.35</v>
      </c>
      <c r="O73" s="115">
        <v>0.2</v>
      </c>
      <c r="P73" s="115">
        <v>0.25</v>
      </c>
      <c r="Q73" s="116">
        <v>0.2</v>
      </c>
    </row>
    <row r="75" spans="1:17" x14ac:dyDescent="0.2">
      <c r="I75" s="17" t="s">
        <v>284</v>
      </c>
    </row>
    <row r="76" spans="1:17" x14ac:dyDescent="0.2">
      <c r="I76" s="497" t="s">
        <v>282</v>
      </c>
      <c r="J76" t="s">
        <v>7</v>
      </c>
      <c r="K76" s="114" t="s">
        <v>272</v>
      </c>
      <c r="L76" s="114" t="s">
        <v>160</v>
      </c>
      <c r="M76" s="114" t="s">
        <v>80</v>
      </c>
      <c r="N76" s="114" t="s">
        <v>81</v>
      </c>
      <c r="O76" s="114" t="s">
        <v>84</v>
      </c>
      <c r="P76" s="114" t="s">
        <v>83</v>
      </c>
    </row>
    <row r="77" spans="1:17" x14ac:dyDescent="0.2">
      <c r="I77" s="497"/>
      <c r="J77" t="s">
        <v>10</v>
      </c>
      <c r="K77" t="s">
        <v>1</v>
      </c>
      <c r="L77" s="4"/>
      <c r="M77" s="4">
        <v>25</v>
      </c>
      <c r="N77" s="116">
        <f>N50*100%/SUM($N50:$P50)</f>
        <v>0</v>
      </c>
      <c r="O77" s="116">
        <f t="shared" ref="O77:P77" si="7">O50*100%/SUM($N50:$P50)</f>
        <v>0</v>
      </c>
      <c r="P77" s="116">
        <f t="shared" si="7"/>
        <v>1</v>
      </c>
      <c r="Q77" s="117"/>
    </row>
    <row r="78" spans="1:17" x14ac:dyDescent="0.2">
      <c r="I78" s="497"/>
      <c r="J78" t="s">
        <v>10</v>
      </c>
      <c r="K78" t="s">
        <v>1</v>
      </c>
      <c r="L78" s="4">
        <v>30</v>
      </c>
      <c r="M78" s="4">
        <v>45</v>
      </c>
      <c r="N78" s="116">
        <f t="shared" ref="N78:P78" si="8">N51*100%/SUM($N51:$P51)</f>
        <v>0.28571428571428575</v>
      </c>
      <c r="O78" s="116">
        <f t="shared" si="8"/>
        <v>0.28571428571428575</v>
      </c>
      <c r="P78" s="116">
        <f t="shared" si="8"/>
        <v>0.4285714285714286</v>
      </c>
      <c r="Q78" s="117"/>
    </row>
    <row r="79" spans="1:17" x14ac:dyDescent="0.2">
      <c r="I79" s="497"/>
      <c r="J79" t="s">
        <v>10</v>
      </c>
      <c r="K79" t="s">
        <v>1</v>
      </c>
      <c r="L79" s="4">
        <v>50</v>
      </c>
      <c r="M79" s="4"/>
      <c r="N79" s="116">
        <f t="shared" ref="N79:P79" si="9">N52*100%/SUM($N52:$P52)</f>
        <v>0.50684931506849318</v>
      </c>
      <c r="O79" s="116">
        <f t="shared" si="9"/>
        <v>0.13698630136986303</v>
      </c>
      <c r="P79" s="116">
        <f t="shared" si="9"/>
        <v>0.35616438356164387</v>
      </c>
      <c r="Q79" s="117"/>
    </row>
    <row r="80" spans="1:17" x14ac:dyDescent="0.2">
      <c r="I80" s="497"/>
      <c r="J80" t="s">
        <v>10</v>
      </c>
      <c r="K80" t="s">
        <v>4</v>
      </c>
      <c r="L80" s="4"/>
      <c r="M80" s="4">
        <v>25</v>
      </c>
      <c r="N80" s="116">
        <f t="shared" ref="N80:P80" si="10">N53*100%/SUM($N53:$P53)</f>
        <v>0</v>
      </c>
      <c r="O80" s="116">
        <f t="shared" si="10"/>
        <v>0</v>
      </c>
      <c r="P80" s="116">
        <f t="shared" si="10"/>
        <v>1</v>
      </c>
      <c r="Q80" s="117"/>
    </row>
    <row r="81" spans="9:17" x14ac:dyDescent="0.2">
      <c r="I81" s="497"/>
      <c r="J81" t="s">
        <v>10</v>
      </c>
      <c r="K81" t="s">
        <v>4</v>
      </c>
      <c r="L81" s="4">
        <v>30</v>
      </c>
      <c r="M81" s="4">
        <v>45</v>
      </c>
      <c r="N81" s="116">
        <f t="shared" ref="N81:P81" si="11">N54*100%/SUM($N54:$P54)</f>
        <v>0.17910447761194032</v>
      </c>
      <c r="O81" s="116">
        <f t="shared" si="11"/>
        <v>0.37313432835820898</v>
      </c>
      <c r="P81" s="116">
        <f t="shared" si="11"/>
        <v>0.44776119402985076</v>
      </c>
      <c r="Q81" s="117"/>
    </row>
    <row r="82" spans="9:17" x14ac:dyDescent="0.2">
      <c r="I82" s="497"/>
      <c r="J82" t="s">
        <v>10</v>
      </c>
      <c r="K82" t="s">
        <v>4</v>
      </c>
      <c r="L82" s="4">
        <v>50</v>
      </c>
      <c r="M82" s="4"/>
      <c r="N82" s="116">
        <f t="shared" ref="N82:P82" si="12">N55*100%/SUM($N55:$P55)</f>
        <v>0.34246575342465752</v>
      </c>
      <c r="O82" s="116">
        <f t="shared" si="12"/>
        <v>0.30136986301369861</v>
      </c>
      <c r="P82" s="116">
        <f t="shared" si="12"/>
        <v>0.35616438356164387</v>
      </c>
      <c r="Q82" s="117"/>
    </row>
    <row r="83" spans="9:17" x14ac:dyDescent="0.2">
      <c r="I83" s="497"/>
      <c r="J83" t="s">
        <v>10</v>
      </c>
      <c r="K83" t="s">
        <v>77</v>
      </c>
      <c r="L83" s="4"/>
      <c r="M83" s="4">
        <v>25</v>
      </c>
      <c r="N83" s="116">
        <f t="shared" ref="N83:P83" si="13">N56*100%/SUM($N56:$P56)</f>
        <v>0</v>
      </c>
      <c r="O83" s="116">
        <f t="shared" si="13"/>
        <v>0</v>
      </c>
      <c r="P83" s="116">
        <f t="shared" si="13"/>
        <v>1</v>
      </c>
      <c r="Q83" s="117"/>
    </row>
    <row r="84" spans="9:17" x14ac:dyDescent="0.2">
      <c r="I84" s="497"/>
      <c r="J84" t="s">
        <v>10</v>
      </c>
      <c r="K84" t="s">
        <v>77</v>
      </c>
      <c r="L84" s="4">
        <v>30</v>
      </c>
      <c r="M84" s="4">
        <v>45</v>
      </c>
      <c r="N84" s="116">
        <f t="shared" ref="N84:P84" si="14">N57*100%/SUM($N57:$P57)</f>
        <v>0.33333333333333331</v>
      </c>
      <c r="O84" s="116">
        <f t="shared" si="14"/>
        <v>0.66666666666666663</v>
      </c>
      <c r="P84" s="116">
        <f t="shared" si="14"/>
        <v>0</v>
      </c>
      <c r="Q84" s="117"/>
    </row>
    <row r="85" spans="9:17" x14ac:dyDescent="0.2">
      <c r="I85" s="497"/>
      <c r="J85" t="s">
        <v>10</v>
      </c>
      <c r="K85" t="s">
        <v>77</v>
      </c>
      <c r="L85" s="4">
        <v>50</v>
      </c>
      <c r="M85" s="4"/>
      <c r="N85" s="116">
        <f t="shared" ref="N85:P85" si="15">N58*100%/SUM($N58:$P58)</f>
        <v>0.53191489361702127</v>
      </c>
      <c r="O85" s="116">
        <f t="shared" si="15"/>
        <v>0.46808510638297873</v>
      </c>
      <c r="P85" s="116">
        <f t="shared" si="15"/>
        <v>0</v>
      </c>
      <c r="Q85" s="117"/>
    </row>
    <row r="86" spans="9:17" x14ac:dyDescent="0.2">
      <c r="I86" s="497"/>
      <c r="J86" t="s">
        <v>10</v>
      </c>
      <c r="K86" t="s">
        <v>179</v>
      </c>
      <c r="L86" s="4"/>
      <c r="M86" s="4"/>
      <c r="N86" s="116">
        <v>0</v>
      </c>
      <c r="O86" s="116">
        <v>0</v>
      </c>
      <c r="P86" s="116">
        <v>0</v>
      </c>
      <c r="Q86" s="117"/>
    </row>
    <row r="87" spans="9:17" x14ac:dyDescent="0.2">
      <c r="I87" s="497"/>
      <c r="J87" t="s">
        <v>10</v>
      </c>
      <c r="K87" t="s">
        <v>74</v>
      </c>
      <c r="L87" s="4"/>
      <c r="M87" s="4">
        <v>20</v>
      </c>
      <c r="N87" s="116">
        <f t="shared" ref="N87:P87" si="16">N60*100%/SUM($N60:$P60)</f>
        <v>0</v>
      </c>
      <c r="O87" s="116">
        <f t="shared" si="16"/>
        <v>0.12500000000000003</v>
      </c>
      <c r="P87" s="116">
        <f t="shared" si="16"/>
        <v>0.875</v>
      </c>
      <c r="Q87" s="117"/>
    </row>
    <row r="88" spans="9:17" x14ac:dyDescent="0.2">
      <c r="I88" s="497"/>
      <c r="J88" t="s">
        <v>10</v>
      </c>
      <c r="K88" t="s">
        <v>74</v>
      </c>
      <c r="L88" s="4">
        <v>25</v>
      </c>
      <c r="M88" s="4"/>
      <c r="N88" s="116">
        <f t="shared" ref="N88:P88" si="17">N61*100%/SUM($N61:$P61)</f>
        <v>0.5</v>
      </c>
      <c r="O88" s="116">
        <f t="shared" si="17"/>
        <v>0.3125</v>
      </c>
      <c r="P88" s="116">
        <f t="shared" si="17"/>
        <v>0.18749999999999997</v>
      </c>
      <c r="Q88" s="117"/>
    </row>
    <row r="89" spans="9:17" x14ac:dyDescent="0.2">
      <c r="I89" s="497"/>
      <c r="J89" t="s">
        <v>10</v>
      </c>
      <c r="K89" t="s">
        <v>58</v>
      </c>
      <c r="L89" s="4"/>
      <c r="M89" s="4">
        <v>20</v>
      </c>
      <c r="N89" s="116">
        <f t="shared" ref="N89:P89" si="18">N62*100%/SUM($N62:$P62)</f>
        <v>0</v>
      </c>
      <c r="O89" s="116">
        <f t="shared" si="18"/>
        <v>0.12500000000000003</v>
      </c>
      <c r="P89" s="116">
        <f t="shared" si="18"/>
        <v>0.875</v>
      </c>
      <c r="Q89" s="117"/>
    </row>
    <row r="90" spans="9:17" x14ac:dyDescent="0.2">
      <c r="I90" s="497"/>
      <c r="J90" t="s">
        <v>10</v>
      </c>
      <c r="K90" t="s">
        <v>58</v>
      </c>
      <c r="L90" s="4">
        <v>25</v>
      </c>
      <c r="M90" s="4"/>
      <c r="N90" s="116">
        <f t="shared" ref="N90:P90" si="19">N63*100%/SUM($N63:$P63)</f>
        <v>0.5</v>
      </c>
      <c r="O90" s="116">
        <f t="shared" si="19"/>
        <v>0.3125</v>
      </c>
      <c r="P90" s="116">
        <f t="shared" si="19"/>
        <v>0.18749999999999997</v>
      </c>
      <c r="Q90" s="117"/>
    </row>
    <row r="91" spans="9:17" x14ac:dyDescent="0.2">
      <c r="I91" s="497"/>
      <c r="J91" t="s">
        <v>10</v>
      </c>
      <c r="K91" t="s">
        <v>60</v>
      </c>
      <c r="L91" s="4"/>
      <c r="M91" s="4">
        <v>20</v>
      </c>
      <c r="N91" s="116">
        <f t="shared" ref="N91:P91" si="20">N64*100%/SUM($N64:$P64)</f>
        <v>0</v>
      </c>
      <c r="O91" s="116">
        <f t="shared" si="20"/>
        <v>0.12500000000000003</v>
      </c>
      <c r="P91" s="116">
        <f t="shared" si="20"/>
        <v>0.875</v>
      </c>
      <c r="Q91" s="117"/>
    </row>
    <row r="92" spans="9:17" x14ac:dyDescent="0.2">
      <c r="I92" s="497"/>
      <c r="J92" t="s">
        <v>10</v>
      </c>
      <c r="K92" t="s">
        <v>60</v>
      </c>
      <c r="L92" s="4">
        <v>25</v>
      </c>
      <c r="M92" s="4"/>
      <c r="N92" s="116">
        <f t="shared" ref="N92:P92" si="21">N65*100%/SUM($N65:$P65)</f>
        <v>0.43749999999999994</v>
      </c>
      <c r="O92" s="116">
        <f t="shared" si="21"/>
        <v>0.25</v>
      </c>
      <c r="P92" s="116">
        <f t="shared" si="21"/>
        <v>0.3125</v>
      </c>
      <c r="Q92" s="117"/>
    </row>
    <row r="93" spans="9:17" x14ac:dyDescent="0.2">
      <c r="I93" s="497"/>
      <c r="J93" t="s">
        <v>10</v>
      </c>
      <c r="K93" t="s">
        <v>71</v>
      </c>
      <c r="L93" s="4"/>
      <c r="M93" s="4">
        <v>20</v>
      </c>
      <c r="N93" s="116">
        <f t="shared" ref="N93:P93" si="22">N66*100%/SUM($N66:$P66)</f>
        <v>0</v>
      </c>
      <c r="O93" s="116">
        <f t="shared" si="22"/>
        <v>0.12500000000000003</v>
      </c>
      <c r="P93" s="116">
        <f t="shared" si="22"/>
        <v>0.875</v>
      </c>
      <c r="Q93" s="117"/>
    </row>
    <row r="94" spans="9:17" x14ac:dyDescent="0.2">
      <c r="I94" s="497"/>
      <c r="J94" t="s">
        <v>10</v>
      </c>
      <c r="K94" t="s">
        <v>71</v>
      </c>
      <c r="L94" s="4">
        <v>25</v>
      </c>
      <c r="M94" s="4"/>
      <c r="N94" s="116">
        <f t="shared" ref="N94:P94" si="23">N67*100%/SUM($N67:$P67)</f>
        <v>0.5625</v>
      </c>
      <c r="O94" s="116">
        <f t="shared" si="23"/>
        <v>0.125</v>
      </c>
      <c r="P94" s="116">
        <f t="shared" si="23"/>
        <v>0.3125</v>
      </c>
      <c r="Q94" s="117"/>
    </row>
    <row r="95" spans="9:17" x14ac:dyDescent="0.2">
      <c r="I95" s="497"/>
      <c r="J95" t="s">
        <v>10</v>
      </c>
      <c r="K95" t="s">
        <v>59</v>
      </c>
      <c r="L95" s="4"/>
      <c r="M95" s="4">
        <v>20</v>
      </c>
      <c r="N95" s="116">
        <f t="shared" ref="N95:P95" si="24">N68*100%/SUM($N68:$P68)</f>
        <v>0</v>
      </c>
      <c r="O95" s="116">
        <f t="shared" si="24"/>
        <v>0.12500000000000003</v>
      </c>
      <c r="P95" s="116">
        <f t="shared" si="24"/>
        <v>0.875</v>
      </c>
      <c r="Q95" s="117"/>
    </row>
    <row r="96" spans="9:17" x14ac:dyDescent="0.2">
      <c r="I96" s="497"/>
      <c r="J96" t="s">
        <v>10</v>
      </c>
      <c r="K96" t="s">
        <v>59</v>
      </c>
      <c r="L96" s="4">
        <v>25</v>
      </c>
      <c r="M96" s="4"/>
      <c r="N96" s="116">
        <f t="shared" ref="N96:P96" si="25">N69*100%/SUM($N69:$P69)</f>
        <v>0.74999999999999989</v>
      </c>
      <c r="O96" s="116">
        <f t="shared" si="25"/>
        <v>0.18749999999999997</v>
      </c>
      <c r="P96" s="116">
        <f t="shared" si="25"/>
        <v>6.25E-2</v>
      </c>
      <c r="Q96" s="117"/>
    </row>
    <row r="97" spans="9:17" x14ac:dyDescent="0.2">
      <c r="I97" s="497"/>
      <c r="J97" t="s">
        <v>10</v>
      </c>
      <c r="K97" t="s">
        <v>69</v>
      </c>
      <c r="L97" s="4"/>
      <c r="M97" s="4">
        <v>20</v>
      </c>
      <c r="N97" s="116">
        <f t="shared" ref="N97:P97" si="26">N70*100%/SUM($N70:$P70)</f>
        <v>0</v>
      </c>
      <c r="O97" s="116">
        <f t="shared" si="26"/>
        <v>0.12500000000000003</v>
      </c>
      <c r="P97" s="116">
        <f t="shared" si="26"/>
        <v>0.875</v>
      </c>
      <c r="Q97" s="117"/>
    </row>
    <row r="98" spans="9:17" x14ac:dyDescent="0.2">
      <c r="I98" s="497"/>
      <c r="J98" t="s">
        <v>10</v>
      </c>
      <c r="K98" t="s">
        <v>69</v>
      </c>
      <c r="L98" s="4">
        <v>25</v>
      </c>
      <c r="M98" s="4"/>
      <c r="N98" s="116">
        <f t="shared" ref="N98:P98" si="27">N71*100%/SUM($N71:$P71)</f>
        <v>0.6875</v>
      </c>
      <c r="O98" s="116">
        <f t="shared" si="27"/>
        <v>0.125</v>
      </c>
      <c r="P98" s="116">
        <f t="shared" si="27"/>
        <v>0.18749999999999997</v>
      </c>
      <c r="Q98" s="117"/>
    </row>
    <row r="99" spans="9:17" x14ac:dyDescent="0.2">
      <c r="I99" s="497"/>
      <c r="J99" t="s">
        <v>10</v>
      </c>
      <c r="K99" t="s">
        <v>76</v>
      </c>
      <c r="L99" s="4"/>
      <c r="M99" s="4">
        <v>20</v>
      </c>
      <c r="N99" s="116">
        <f t="shared" ref="N99:P99" si="28">N72*100%/SUM($N72:$P72)</f>
        <v>0</v>
      </c>
      <c r="O99" s="116">
        <f t="shared" si="28"/>
        <v>0.12500000000000003</v>
      </c>
      <c r="P99" s="116">
        <f t="shared" si="28"/>
        <v>0.875</v>
      </c>
      <c r="Q99" s="117"/>
    </row>
    <row r="100" spans="9:17" x14ac:dyDescent="0.2">
      <c r="I100" s="497"/>
      <c r="J100" t="s">
        <v>10</v>
      </c>
      <c r="K100" t="s">
        <v>76</v>
      </c>
      <c r="L100" s="4">
        <v>25</v>
      </c>
      <c r="M100" s="55"/>
      <c r="N100" s="116">
        <f t="shared" ref="N100:P100" si="29">N73*100%/SUM($N73:$P73)</f>
        <v>0.43749999999999994</v>
      </c>
      <c r="O100" s="116">
        <f t="shared" si="29"/>
        <v>0.25</v>
      </c>
      <c r="P100" s="116">
        <f t="shared" si="29"/>
        <v>0.3125</v>
      </c>
      <c r="Q100" s="117"/>
    </row>
  </sheetData>
  <sheetProtection algorithmName="SHA-512" hashValue="s2s99brj8PHa23p1rm7AwR2yxG/5b1RhpVgJkfO2H9FpmhDQAFvXds8Cmjh9C6uRWDq8ys59PB0hZKPwyeX2KQ==" saltValue="02AgpSe+q3y2zNyozqnshw==" spinCount="100000" sheet="1" objects="1" scenarios="1"/>
  <mergeCells count="17">
    <mergeCell ref="AO1:AO30"/>
    <mergeCell ref="I35:I39"/>
    <mergeCell ref="I42:I46"/>
    <mergeCell ref="I29:I31"/>
    <mergeCell ref="I1:I12"/>
    <mergeCell ref="AK1:AK53"/>
    <mergeCell ref="I76:I100"/>
    <mergeCell ref="I15:I26"/>
    <mergeCell ref="S25:S30"/>
    <mergeCell ref="A1:A4"/>
    <mergeCell ref="I49:I73"/>
    <mergeCell ref="A6:A36"/>
    <mergeCell ref="A39:A52"/>
    <mergeCell ref="S1:S13"/>
    <mergeCell ref="A55:A66"/>
    <mergeCell ref="S16:S20"/>
    <mergeCell ref="S33:S44"/>
  </mergeCells>
  <phoneticPr fontId="5" type="noConversion"/>
  <pageMargins left="0.7" right="0.7" top="0.75" bottom="0.75" header="0.3" footer="0.3"/>
  <pageSetup paperSize="9" orientation="portrait" r:id="rId1"/>
  <ignoredErrors>
    <ignoredError sqref="U34:V34 U35:V36 U41:V41 U38:V38 U42:V44 U39:V40" calculatedColumn="1"/>
    <ignoredError sqref="U37:V37" formulaRange="1" calculatedColumn="1"/>
  </ignoredErrors>
  <legacyDrawing r:id="rId2"/>
  <tableParts count="16">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F02C29-244D-C04A-8E9A-72B35C879FDF}">
  <sheetPr>
    <tabColor theme="5"/>
  </sheetPr>
  <dimension ref="A1:Y311"/>
  <sheetViews>
    <sheetView zoomScale="110" zoomScaleNormal="75" workbookViewId="0">
      <pane ySplit="2" topLeftCell="A3" activePane="bottomLeft" state="frozenSplit"/>
      <selection activeCell="C859" sqref="C859"/>
      <selection pane="bottomLeft" activeCell="C859" sqref="C859"/>
    </sheetView>
  </sheetViews>
  <sheetFormatPr baseColWidth="10" defaultRowHeight="16" x14ac:dyDescent="0.2"/>
  <cols>
    <col min="1" max="1" width="49.33203125" style="126" bestFit="1" customWidth="1"/>
    <col min="2" max="12" width="7.6640625" style="126" customWidth="1"/>
    <col min="13" max="25" width="7.6640625" customWidth="1"/>
  </cols>
  <sheetData>
    <row r="1" spans="1:25" x14ac:dyDescent="0.2">
      <c r="A1" s="122" t="s">
        <v>827</v>
      </c>
      <c r="B1" s="122" t="s">
        <v>1021</v>
      </c>
      <c r="C1" s="123"/>
      <c r="D1" s="123"/>
      <c r="E1" s="123"/>
      <c r="F1" s="123"/>
      <c r="G1" s="123"/>
      <c r="H1" s="123"/>
      <c r="I1" s="123"/>
      <c r="J1" s="123"/>
      <c r="K1" s="123"/>
      <c r="L1" s="123"/>
      <c r="M1" s="123"/>
      <c r="N1" s="123"/>
      <c r="O1" s="123"/>
      <c r="P1" s="123"/>
      <c r="Q1" s="2"/>
      <c r="R1" s="2"/>
      <c r="S1" s="2"/>
      <c r="T1" s="2"/>
      <c r="U1" s="2"/>
      <c r="V1" s="2"/>
      <c r="W1" s="2"/>
      <c r="X1" s="2"/>
      <c r="Y1" s="2"/>
    </row>
    <row r="2" spans="1:25" x14ac:dyDescent="0.2">
      <c r="A2" s="124" t="s">
        <v>300</v>
      </c>
      <c r="B2" s="125" t="s">
        <v>1</v>
      </c>
      <c r="C2" s="125" t="s">
        <v>59</v>
      </c>
      <c r="D2" s="125" t="s">
        <v>58</v>
      </c>
      <c r="E2" s="125" t="s">
        <v>77</v>
      </c>
      <c r="F2" s="125" t="s">
        <v>4</v>
      </c>
      <c r="G2" s="125" t="s">
        <v>68</v>
      </c>
      <c r="H2" s="125" t="s">
        <v>69</v>
      </c>
      <c r="I2" s="125" t="s">
        <v>71</v>
      </c>
      <c r="J2" s="125" t="s">
        <v>60</v>
      </c>
      <c r="K2" s="125" t="s">
        <v>76</v>
      </c>
      <c r="L2" s="125" t="s">
        <v>74</v>
      </c>
      <c r="M2" s="125" t="s">
        <v>64</v>
      </c>
      <c r="N2" s="125" t="s">
        <v>2</v>
      </c>
      <c r="O2" s="125" t="s">
        <v>3</v>
      </c>
      <c r="P2" s="125" t="s">
        <v>179</v>
      </c>
      <c r="Q2" s="125"/>
      <c r="R2" s="125"/>
      <c r="S2" s="125"/>
      <c r="T2" s="125"/>
      <c r="U2" s="125"/>
      <c r="V2" s="125"/>
      <c r="W2" s="125"/>
      <c r="X2" s="125"/>
      <c r="Y2" s="125"/>
    </row>
    <row r="3" spans="1:25" x14ac:dyDescent="0.2">
      <c r="A3" s="126" t="s">
        <v>301</v>
      </c>
      <c r="B3" s="127">
        <v>0</v>
      </c>
      <c r="C3" s="127">
        <v>0.03</v>
      </c>
      <c r="D3" s="127">
        <v>0.6</v>
      </c>
      <c r="E3" s="127">
        <v>0</v>
      </c>
      <c r="F3" s="127">
        <v>0</v>
      </c>
      <c r="G3" s="127">
        <v>0</v>
      </c>
      <c r="H3" s="127">
        <v>0</v>
      </c>
      <c r="I3" s="127">
        <v>0</v>
      </c>
      <c r="J3" s="127">
        <v>0</v>
      </c>
      <c r="K3" s="127">
        <v>0.02</v>
      </c>
      <c r="L3" s="127">
        <v>0.09</v>
      </c>
      <c r="M3" s="1">
        <v>0</v>
      </c>
      <c r="N3" s="1">
        <v>0</v>
      </c>
      <c r="O3" s="1">
        <v>0</v>
      </c>
      <c r="P3" s="1">
        <v>0</v>
      </c>
      <c r="Q3" s="1"/>
      <c r="R3" s="1"/>
      <c r="S3" s="1"/>
      <c r="T3" s="1"/>
      <c r="U3" s="1"/>
      <c r="V3" s="1"/>
      <c r="W3" s="1"/>
      <c r="X3" s="1"/>
      <c r="Y3" s="1"/>
    </row>
    <row r="4" spans="1:25" x14ac:dyDescent="0.2">
      <c r="A4" s="126" t="s">
        <v>302</v>
      </c>
      <c r="B4" s="127">
        <v>0.19</v>
      </c>
      <c r="C4" s="127">
        <v>0.43</v>
      </c>
      <c r="D4" s="127">
        <v>0.6</v>
      </c>
      <c r="E4" s="127">
        <v>0.17</v>
      </c>
      <c r="F4" s="127">
        <v>0.39</v>
      </c>
      <c r="G4" s="127">
        <v>0.22</v>
      </c>
      <c r="H4" s="127">
        <v>0.32</v>
      </c>
      <c r="I4" s="127">
        <v>0.06</v>
      </c>
      <c r="J4" s="127">
        <v>0.09</v>
      </c>
      <c r="K4" s="127">
        <v>0.3</v>
      </c>
      <c r="L4" s="127">
        <v>0.53</v>
      </c>
      <c r="M4" s="1">
        <v>0.06</v>
      </c>
      <c r="N4" s="1">
        <v>0.22</v>
      </c>
      <c r="O4" s="1">
        <v>0.06</v>
      </c>
      <c r="P4" s="1">
        <v>0.22</v>
      </c>
      <c r="Q4" s="1"/>
      <c r="R4" s="1"/>
      <c r="S4" s="1"/>
      <c r="T4" s="1"/>
      <c r="U4" s="1"/>
      <c r="V4" s="1"/>
      <c r="W4" s="1"/>
      <c r="X4" s="1"/>
      <c r="Y4" s="1"/>
    </row>
    <row r="5" spans="1:25" x14ac:dyDescent="0.2">
      <c r="A5" s="126" t="s">
        <v>303</v>
      </c>
      <c r="B5" s="127">
        <v>0.22</v>
      </c>
      <c r="C5" s="127">
        <v>0.46</v>
      </c>
      <c r="D5" s="127">
        <v>0.6</v>
      </c>
      <c r="E5" s="127">
        <v>0.15</v>
      </c>
      <c r="F5" s="127">
        <v>0.39</v>
      </c>
      <c r="G5" s="127">
        <v>0.25</v>
      </c>
      <c r="H5" s="127">
        <v>0.39</v>
      </c>
      <c r="I5" s="127">
        <v>0.03</v>
      </c>
      <c r="J5" s="127">
        <v>7.0000000000000007E-2</v>
      </c>
      <c r="K5" s="127">
        <v>0.33</v>
      </c>
      <c r="L5" s="127">
        <v>0.53</v>
      </c>
      <c r="M5" s="1">
        <v>0.03</v>
      </c>
      <c r="N5" s="1">
        <v>0.25</v>
      </c>
      <c r="O5" s="1">
        <v>0.03</v>
      </c>
      <c r="P5" s="1">
        <v>0.22</v>
      </c>
      <c r="Q5" s="1"/>
      <c r="R5" s="1"/>
      <c r="S5" s="1"/>
      <c r="T5" s="1"/>
      <c r="U5" s="1"/>
      <c r="V5" s="1"/>
      <c r="W5" s="1"/>
      <c r="X5" s="1"/>
      <c r="Y5" s="1"/>
    </row>
    <row r="6" spans="1:25" x14ac:dyDescent="0.2">
      <c r="A6" s="126" t="s">
        <v>304</v>
      </c>
      <c r="B6" s="127">
        <v>0.4</v>
      </c>
      <c r="C6" s="127">
        <v>0.63</v>
      </c>
      <c r="D6" s="127">
        <v>0.6</v>
      </c>
      <c r="E6" s="127">
        <v>0.28000000000000003</v>
      </c>
      <c r="F6" s="127">
        <v>0.56000000000000005</v>
      </c>
      <c r="G6" s="127">
        <v>0.42</v>
      </c>
      <c r="H6" s="127">
        <v>0.56000000000000005</v>
      </c>
      <c r="I6" s="127">
        <v>0.06</v>
      </c>
      <c r="J6" s="127">
        <v>0.26</v>
      </c>
      <c r="K6" s="127">
        <v>0.49</v>
      </c>
      <c r="L6" s="127">
        <v>0.66</v>
      </c>
      <c r="M6" s="1">
        <v>0.06</v>
      </c>
      <c r="N6" s="1">
        <v>0.42</v>
      </c>
      <c r="O6" s="1">
        <v>7.0000000000000007E-2</v>
      </c>
      <c r="P6" s="1">
        <v>0.35</v>
      </c>
      <c r="Q6" s="1"/>
      <c r="R6" s="1"/>
      <c r="S6" s="1"/>
      <c r="T6" s="1"/>
      <c r="U6" s="1"/>
      <c r="V6" s="1"/>
      <c r="W6" s="1"/>
      <c r="X6" s="1"/>
      <c r="Y6" s="1"/>
    </row>
    <row r="7" spans="1:25" x14ac:dyDescent="0.2">
      <c r="A7" s="126" t="s">
        <v>305</v>
      </c>
      <c r="B7" s="127">
        <v>0.18</v>
      </c>
      <c r="C7" s="127">
        <v>0.18</v>
      </c>
      <c r="D7" s="127">
        <v>0.6</v>
      </c>
      <c r="E7" s="127">
        <v>0.18</v>
      </c>
      <c r="F7" s="127">
        <v>0.18</v>
      </c>
      <c r="G7" s="127">
        <v>0.18</v>
      </c>
      <c r="H7" s="127">
        <v>0.1</v>
      </c>
      <c r="I7" s="127">
        <v>0.27</v>
      </c>
      <c r="J7" s="127">
        <v>0.02</v>
      </c>
      <c r="K7" s="127">
        <v>0.12</v>
      </c>
      <c r="L7" s="127">
        <v>0.18</v>
      </c>
      <c r="M7" s="1">
        <v>0.18</v>
      </c>
      <c r="N7" s="1">
        <v>0.18</v>
      </c>
      <c r="O7" s="1">
        <v>0.18</v>
      </c>
      <c r="P7" s="1">
        <v>0.15</v>
      </c>
      <c r="Q7" s="1"/>
      <c r="R7" s="1"/>
      <c r="S7" s="1"/>
      <c r="T7" s="1"/>
      <c r="U7" s="1"/>
      <c r="V7" s="1"/>
      <c r="W7" s="1"/>
      <c r="X7" s="1"/>
      <c r="Y7" s="1"/>
    </row>
    <row r="8" spans="1:25" x14ac:dyDescent="0.2">
      <c r="A8" s="126" t="s">
        <v>306</v>
      </c>
      <c r="B8" s="127">
        <v>0.6</v>
      </c>
      <c r="C8" s="127">
        <v>0.66</v>
      </c>
      <c r="D8" s="127">
        <v>0.6</v>
      </c>
      <c r="E8" s="127">
        <v>0.48</v>
      </c>
      <c r="F8" s="127">
        <v>0.66</v>
      </c>
      <c r="G8" s="127">
        <v>0.66</v>
      </c>
      <c r="H8" s="127">
        <v>0.66</v>
      </c>
      <c r="I8" s="127">
        <v>0.06</v>
      </c>
      <c r="J8" s="127">
        <v>0.36</v>
      </c>
      <c r="K8" s="127">
        <v>0.57999999999999996</v>
      </c>
      <c r="L8" s="127">
        <v>0.66</v>
      </c>
      <c r="M8" s="1">
        <v>0.06</v>
      </c>
      <c r="N8" s="1">
        <v>0.66</v>
      </c>
      <c r="O8" s="1">
        <v>7.0000000000000007E-2</v>
      </c>
      <c r="P8" s="1">
        <v>0.46</v>
      </c>
      <c r="Q8" s="1"/>
      <c r="R8" s="1"/>
      <c r="S8" s="1"/>
      <c r="T8" s="1"/>
      <c r="U8" s="1"/>
      <c r="V8" s="1"/>
      <c r="W8" s="1"/>
      <c r="X8" s="1"/>
      <c r="Y8" s="1"/>
    </row>
    <row r="9" spans="1:25" x14ac:dyDescent="0.2">
      <c r="A9" s="126" t="s">
        <v>307</v>
      </c>
      <c r="B9" s="127">
        <v>0.03</v>
      </c>
      <c r="C9" s="127">
        <v>0.06</v>
      </c>
      <c r="D9" s="127">
        <v>0.6</v>
      </c>
      <c r="E9" s="127">
        <v>0.03</v>
      </c>
      <c r="F9" s="127">
        <v>0.06</v>
      </c>
      <c r="G9" s="127">
        <v>0.03</v>
      </c>
      <c r="H9" s="127">
        <v>0.06</v>
      </c>
      <c r="I9" s="127">
        <v>0.03</v>
      </c>
      <c r="J9" s="127">
        <v>0.03</v>
      </c>
      <c r="K9" s="127">
        <v>0.06</v>
      </c>
      <c r="L9" s="127">
        <v>0.13</v>
      </c>
      <c r="M9" s="1">
        <v>0.03</v>
      </c>
      <c r="N9" s="1">
        <v>0.03</v>
      </c>
      <c r="O9" s="1">
        <v>0.03</v>
      </c>
      <c r="P9" s="1">
        <v>0.04</v>
      </c>
      <c r="Q9" s="1"/>
      <c r="R9" s="1"/>
      <c r="S9" s="1"/>
      <c r="T9" s="1"/>
      <c r="U9" s="1"/>
      <c r="V9" s="1"/>
      <c r="W9" s="1"/>
      <c r="X9" s="1"/>
      <c r="Y9" s="1"/>
    </row>
    <row r="10" spans="1:25" x14ac:dyDescent="0.2">
      <c r="A10" s="126" t="s">
        <v>308</v>
      </c>
      <c r="B10" s="127">
        <v>0.12</v>
      </c>
      <c r="C10" s="127">
        <v>0.28999999999999998</v>
      </c>
      <c r="D10" s="127">
        <v>0.6</v>
      </c>
      <c r="E10" s="127">
        <v>0.12</v>
      </c>
      <c r="F10" s="127">
        <v>0.25</v>
      </c>
      <c r="G10" s="127">
        <v>0.12</v>
      </c>
      <c r="H10" s="127">
        <v>0.25</v>
      </c>
      <c r="I10" s="127">
        <v>0.09</v>
      </c>
      <c r="J10" s="127">
        <v>0.09</v>
      </c>
      <c r="K10" s="127">
        <v>0.23</v>
      </c>
      <c r="L10" s="127">
        <v>0.4</v>
      </c>
      <c r="M10" s="1">
        <v>0.09</v>
      </c>
      <c r="N10" s="1">
        <v>0.12</v>
      </c>
      <c r="O10" s="1">
        <v>0.09</v>
      </c>
      <c r="P10" s="1">
        <v>0.15</v>
      </c>
      <c r="Q10" s="1"/>
      <c r="R10" s="1"/>
      <c r="S10" s="1"/>
      <c r="T10" s="1"/>
      <c r="U10" s="1"/>
      <c r="V10" s="1"/>
      <c r="W10" s="1"/>
      <c r="X10" s="1"/>
      <c r="Y10" s="1"/>
    </row>
    <row r="11" spans="1:25" x14ac:dyDescent="0.2">
      <c r="A11" s="126" t="s">
        <v>309</v>
      </c>
      <c r="B11" s="127">
        <v>0.03</v>
      </c>
      <c r="C11" s="127">
        <v>0.03</v>
      </c>
      <c r="D11" s="127">
        <v>0.6</v>
      </c>
      <c r="E11" s="127">
        <v>0.03</v>
      </c>
      <c r="F11" s="127">
        <v>0.03</v>
      </c>
      <c r="G11" s="127">
        <v>0.03</v>
      </c>
      <c r="H11" s="127">
        <v>0.03</v>
      </c>
      <c r="I11" s="127">
        <v>0.05</v>
      </c>
      <c r="J11" s="127">
        <v>0.03</v>
      </c>
      <c r="K11" s="127">
        <v>0.03</v>
      </c>
      <c r="L11" s="127">
        <v>0.03</v>
      </c>
      <c r="M11" s="1">
        <v>0.03</v>
      </c>
      <c r="N11" s="1">
        <v>0.03</v>
      </c>
      <c r="O11" s="1">
        <v>0.03</v>
      </c>
      <c r="P11" s="1">
        <v>0.03</v>
      </c>
      <c r="Q11" s="1"/>
      <c r="R11" s="1"/>
      <c r="S11" s="1"/>
      <c r="T11" s="1"/>
      <c r="U11" s="1"/>
      <c r="V11" s="1"/>
      <c r="W11" s="1"/>
      <c r="X11" s="1"/>
      <c r="Y11" s="1"/>
    </row>
    <row r="12" spans="1:25" x14ac:dyDescent="0.2">
      <c r="A12" s="126" t="s">
        <v>310</v>
      </c>
      <c r="B12" s="127">
        <v>0.49</v>
      </c>
      <c r="C12" s="127">
        <v>0.63</v>
      </c>
      <c r="D12" s="127">
        <v>0.6</v>
      </c>
      <c r="E12" s="127">
        <v>0.46</v>
      </c>
      <c r="F12" s="127">
        <v>0.6</v>
      </c>
      <c r="G12" s="127">
        <v>0.53</v>
      </c>
      <c r="H12" s="127">
        <v>0.6</v>
      </c>
      <c r="I12" s="127">
        <v>0.03</v>
      </c>
      <c r="J12" s="127">
        <v>0.36</v>
      </c>
      <c r="K12" s="127">
        <v>0.53</v>
      </c>
      <c r="L12" s="127">
        <v>0.63</v>
      </c>
      <c r="M12" s="1">
        <v>0.03</v>
      </c>
      <c r="N12" s="1">
        <v>0.53</v>
      </c>
      <c r="O12" s="1">
        <v>0.04</v>
      </c>
      <c r="P12" s="1">
        <v>0.39</v>
      </c>
      <c r="Q12" s="1"/>
      <c r="R12" s="1"/>
      <c r="S12" s="1"/>
      <c r="T12" s="1"/>
      <c r="U12" s="1"/>
      <c r="V12" s="1"/>
      <c r="W12" s="1"/>
      <c r="X12" s="1"/>
      <c r="Y12" s="1"/>
    </row>
    <row r="13" spans="1:25" x14ac:dyDescent="0.2">
      <c r="A13" s="126" t="s">
        <v>311</v>
      </c>
      <c r="B13" s="127">
        <v>0.24</v>
      </c>
      <c r="C13" s="127">
        <v>0.54</v>
      </c>
      <c r="D13" s="127">
        <v>0.6</v>
      </c>
      <c r="E13" s="127">
        <v>0.17</v>
      </c>
      <c r="F13" s="127">
        <v>0.54</v>
      </c>
      <c r="G13" s="127">
        <v>0.3</v>
      </c>
      <c r="H13" s="127">
        <v>0.47</v>
      </c>
      <c r="I13" s="127">
        <v>-0.03</v>
      </c>
      <c r="J13" s="127">
        <v>0.13</v>
      </c>
      <c r="K13" s="127">
        <v>0.37</v>
      </c>
      <c r="L13" s="127">
        <v>0.56999999999999995</v>
      </c>
      <c r="M13" s="1">
        <v>0</v>
      </c>
      <c r="N13" s="1">
        <v>0.3</v>
      </c>
      <c r="O13" s="1">
        <v>0</v>
      </c>
      <c r="P13" s="1">
        <v>0.27</v>
      </c>
      <c r="Q13" s="1"/>
      <c r="R13" s="1"/>
      <c r="S13" s="1"/>
      <c r="T13" s="1"/>
      <c r="U13" s="1"/>
      <c r="V13" s="1"/>
      <c r="W13" s="1"/>
      <c r="X13" s="1"/>
      <c r="Y13" s="1"/>
    </row>
    <row r="14" spans="1:25" x14ac:dyDescent="0.2">
      <c r="A14" s="126" t="s">
        <v>312</v>
      </c>
      <c r="B14" s="127">
        <v>0.06</v>
      </c>
      <c r="C14" s="127">
        <v>0.09</v>
      </c>
      <c r="D14" s="127">
        <v>0.6</v>
      </c>
      <c r="E14" s="127">
        <v>0.14000000000000001</v>
      </c>
      <c r="F14" s="127">
        <v>0.09</v>
      </c>
      <c r="G14" s="127">
        <v>0.06</v>
      </c>
      <c r="H14" s="127">
        <v>0.09</v>
      </c>
      <c r="I14" s="127">
        <v>0.36</v>
      </c>
      <c r="J14" s="127">
        <v>0.06</v>
      </c>
      <c r="K14" s="127">
        <v>0.1</v>
      </c>
      <c r="L14" s="127">
        <v>0.16</v>
      </c>
      <c r="M14" s="1">
        <v>0.08</v>
      </c>
      <c r="N14" s="1">
        <v>0.08</v>
      </c>
      <c r="O14" s="1">
        <v>0.17</v>
      </c>
      <c r="P14" s="1">
        <v>0.11</v>
      </c>
      <c r="Q14" s="1"/>
      <c r="R14" s="1"/>
      <c r="S14" s="1"/>
      <c r="T14" s="1"/>
      <c r="U14" s="1"/>
      <c r="V14" s="1"/>
      <c r="W14" s="1"/>
      <c r="X14" s="1"/>
      <c r="Y14" s="1"/>
    </row>
    <row r="15" spans="1:25" x14ac:dyDescent="0.2">
      <c r="A15" s="126" t="s">
        <v>313</v>
      </c>
      <c r="B15" s="127">
        <v>0.33</v>
      </c>
      <c r="C15" s="127">
        <v>0.56000000000000005</v>
      </c>
      <c r="D15" s="127">
        <v>0.6</v>
      </c>
      <c r="E15" s="127">
        <v>0.22</v>
      </c>
      <c r="F15" s="127">
        <v>0.53</v>
      </c>
      <c r="G15" s="127">
        <v>0.39</v>
      </c>
      <c r="H15" s="127">
        <v>0.53</v>
      </c>
      <c r="I15" s="127">
        <v>0.06</v>
      </c>
      <c r="J15" s="127">
        <v>0.16</v>
      </c>
      <c r="K15" s="127">
        <v>0.43</v>
      </c>
      <c r="L15" s="127">
        <v>0.63</v>
      </c>
      <c r="M15" s="1">
        <v>0.06</v>
      </c>
      <c r="N15" s="1">
        <v>0.39</v>
      </c>
      <c r="O15" s="1">
        <v>0.06</v>
      </c>
      <c r="P15" s="1">
        <v>0.33</v>
      </c>
      <c r="Q15" s="1"/>
      <c r="R15" s="1"/>
      <c r="S15" s="1"/>
      <c r="T15" s="1"/>
      <c r="U15" s="1"/>
      <c r="V15" s="1"/>
      <c r="W15" s="1"/>
      <c r="X15" s="1"/>
      <c r="Y15" s="1"/>
    </row>
    <row r="16" spans="1:25" x14ac:dyDescent="0.2">
      <c r="A16" s="126" t="s">
        <v>314</v>
      </c>
      <c r="B16" s="127">
        <v>0.41</v>
      </c>
      <c r="C16" s="127">
        <v>0.6</v>
      </c>
      <c r="D16" s="127">
        <v>0.6</v>
      </c>
      <c r="E16" s="127">
        <v>0.36</v>
      </c>
      <c r="F16" s="127">
        <v>0.56999999999999995</v>
      </c>
      <c r="G16" s="127">
        <v>0.5</v>
      </c>
      <c r="H16" s="127">
        <v>0.56999999999999995</v>
      </c>
      <c r="I16" s="127">
        <v>0</v>
      </c>
      <c r="J16" s="127">
        <v>0.28999999999999998</v>
      </c>
      <c r="K16" s="127">
        <v>0.49</v>
      </c>
      <c r="L16" s="127">
        <v>0.6</v>
      </c>
      <c r="M16" s="1">
        <v>0</v>
      </c>
      <c r="N16" s="1">
        <v>0.47</v>
      </c>
      <c r="O16" s="1">
        <v>0.01</v>
      </c>
      <c r="P16" s="1">
        <v>0.35</v>
      </c>
      <c r="Q16" s="1"/>
      <c r="R16" s="1"/>
      <c r="S16" s="1"/>
      <c r="T16" s="1"/>
      <c r="U16" s="1"/>
      <c r="V16" s="1"/>
      <c r="W16" s="1"/>
      <c r="X16" s="1"/>
      <c r="Y16" s="1"/>
    </row>
    <row r="17" spans="1:25" x14ac:dyDescent="0.2">
      <c r="A17" s="126" t="s">
        <v>315</v>
      </c>
      <c r="B17" s="127">
        <v>0.06</v>
      </c>
      <c r="C17" s="127">
        <v>0.11</v>
      </c>
      <c r="D17" s="127">
        <v>0.6</v>
      </c>
      <c r="E17" s="127">
        <v>0.06</v>
      </c>
      <c r="F17" s="127">
        <v>0.11</v>
      </c>
      <c r="G17" s="127">
        <v>0.06</v>
      </c>
      <c r="H17" s="127">
        <v>0.09</v>
      </c>
      <c r="I17" s="127">
        <v>0.06</v>
      </c>
      <c r="J17" s="127">
        <v>0.06</v>
      </c>
      <c r="K17" s="127">
        <v>0.09</v>
      </c>
      <c r="L17" s="127">
        <v>0.15</v>
      </c>
      <c r="M17" s="1">
        <v>0.06</v>
      </c>
      <c r="N17" s="1">
        <v>0.06</v>
      </c>
      <c r="O17" s="1">
        <v>0.06</v>
      </c>
      <c r="P17" s="1">
        <v>7.0000000000000007E-2</v>
      </c>
      <c r="Q17" s="1"/>
      <c r="R17" s="1"/>
      <c r="S17" s="1"/>
      <c r="T17" s="1"/>
      <c r="U17" s="1"/>
      <c r="V17" s="1"/>
      <c r="W17" s="1"/>
      <c r="X17" s="1"/>
      <c r="Y17" s="1"/>
    </row>
    <row r="18" spans="1:25" x14ac:dyDescent="0.2">
      <c r="A18" s="126" t="s">
        <v>316</v>
      </c>
      <c r="B18" s="127">
        <v>0.03</v>
      </c>
      <c r="C18" s="127">
        <v>0.15</v>
      </c>
      <c r="D18" s="127">
        <v>0.6</v>
      </c>
      <c r="E18" s="127">
        <v>0.03</v>
      </c>
      <c r="F18" s="127">
        <v>0.13</v>
      </c>
      <c r="G18" s="127">
        <v>0.03</v>
      </c>
      <c r="H18" s="127">
        <v>0.13</v>
      </c>
      <c r="I18" s="127">
        <v>0.03</v>
      </c>
      <c r="J18" s="127">
        <v>0.03</v>
      </c>
      <c r="K18" s="127">
        <v>0.11</v>
      </c>
      <c r="L18" s="127">
        <v>0.21</v>
      </c>
      <c r="M18" s="1">
        <v>0.03</v>
      </c>
      <c r="N18" s="1">
        <v>0.03</v>
      </c>
      <c r="O18" s="1">
        <v>0.03</v>
      </c>
      <c r="P18" s="1">
        <v>0.06</v>
      </c>
      <c r="Q18" s="1"/>
      <c r="R18" s="1"/>
      <c r="S18" s="1"/>
      <c r="T18" s="1"/>
      <c r="U18" s="1"/>
      <c r="V18" s="1"/>
      <c r="W18" s="1"/>
      <c r="X18" s="1"/>
      <c r="Y18" s="1"/>
    </row>
    <row r="19" spans="1:25" x14ac:dyDescent="0.2">
      <c r="A19" s="126" t="s">
        <v>317</v>
      </c>
      <c r="B19" s="127">
        <v>0.28000000000000003</v>
      </c>
      <c r="C19" s="127">
        <v>0.45</v>
      </c>
      <c r="D19" s="127">
        <v>0.6</v>
      </c>
      <c r="E19" s="127">
        <v>0.21</v>
      </c>
      <c r="F19" s="127">
        <v>0.45</v>
      </c>
      <c r="G19" s="127">
        <v>0.31</v>
      </c>
      <c r="H19" s="127">
        <v>0.45</v>
      </c>
      <c r="I19" s="127">
        <v>0.16</v>
      </c>
      <c r="J19" s="127">
        <v>0.21</v>
      </c>
      <c r="K19" s="127">
        <v>0.4</v>
      </c>
      <c r="L19" s="127">
        <v>0.56000000000000005</v>
      </c>
      <c r="M19" s="1">
        <v>0.09</v>
      </c>
      <c r="N19" s="1">
        <v>0.31</v>
      </c>
      <c r="O19" s="1">
        <v>0.09</v>
      </c>
      <c r="P19" s="1">
        <v>0.28000000000000003</v>
      </c>
      <c r="Q19" s="1"/>
      <c r="R19" s="1"/>
      <c r="S19" s="1"/>
      <c r="T19" s="1"/>
      <c r="U19" s="1"/>
      <c r="V19" s="1"/>
      <c r="W19" s="1"/>
      <c r="X19" s="1"/>
      <c r="Y19" s="1"/>
    </row>
    <row r="20" spans="1:25" x14ac:dyDescent="0.2">
      <c r="A20" s="126" t="s">
        <v>318</v>
      </c>
      <c r="B20" s="127">
        <v>0.14000000000000001</v>
      </c>
      <c r="C20" s="127">
        <v>0.34</v>
      </c>
      <c r="D20" s="127">
        <v>0.6</v>
      </c>
      <c r="E20" s="127">
        <v>0.1</v>
      </c>
      <c r="F20" s="127">
        <v>0.28999999999999998</v>
      </c>
      <c r="G20" s="127">
        <v>0.18</v>
      </c>
      <c r="H20" s="127">
        <v>0.28999999999999998</v>
      </c>
      <c r="I20" s="127">
        <v>0.09</v>
      </c>
      <c r="J20" s="127">
        <v>0.09</v>
      </c>
      <c r="K20" s="127">
        <v>0.26</v>
      </c>
      <c r="L20" s="127">
        <v>0.46</v>
      </c>
      <c r="M20" s="1">
        <v>0.09</v>
      </c>
      <c r="N20" s="1">
        <v>0.14000000000000001</v>
      </c>
      <c r="O20" s="1">
        <v>0.09</v>
      </c>
      <c r="P20" s="1">
        <v>0.17</v>
      </c>
      <c r="Q20" s="1"/>
      <c r="R20" s="1"/>
      <c r="S20" s="1"/>
      <c r="T20" s="1"/>
      <c r="U20" s="1"/>
      <c r="V20" s="1"/>
      <c r="W20" s="1"/>
      <c r="X20" s="1"/>
      <c r="Y20" s="1"/>
    </row>
    <row r="21" spans="1:25" x14ac:dyDescent="0.2">
      <c r="A21" s="126" t="s">
        <v>319</v>
      </c>
      <c r="B21" s="127">
        <v>0.01</v>
      </c>
      <c r="C21" s="127">
        <v>0.2</v>
      </c>
      <c r="D21" s="127">
        <v>0.6</v>
      </c>
      <c r="E21" s="127">
        <v>0</v>
      </c>
      <c r="F21" s="127">
        <v>0.16</v>
      </c>
      <c r="G21" s="127">
        <v>0.03</v>
      </c>
      <c r="H21" s="127">
        <v>0.12</v>
      </c>
      <c r="I21" s="127">
        <v>0</v>
      </c>
      <c r="J21" s="127">
        <v>0</v>
      </c>
      <c r="K21" s="127">
        <v>0.12</v>
      </c>
      <c r="L21" s="127">
        <v>0.33</v>
      </c>
      <c r="M21" s="1">
        <v>0</v>
      </c>
      <c r="N21" s="1">
        <v>0.03</v>
      </c>
      <c r="O21" s="1">
        <v>0</v>
      </c>
      <c r="P21" s="1">
        <v>0.05</v>
      </c>
      <c r="Q21" s="1"/>
      <c r="R21" s="1"/>
      <c r="S21" s="1"/>
      <c r="T21" s="1"/>
      <c r="U21" s="1"/>
      <c r="V21" s="1"/>
      <c r="W21" s="1"/>
      <c r="X21" s="1"/>
      <c r="Y21" s="1"/>
    </row>
    <row r="22" spans="1:25" x14ac:dyDescent="0.2">
      <c r="A22" s="126" t="s">
        <v>320</v>
      </c>
      <c r="B22" s="127">
        <v>0.18</v>
      </c>
      <c r="C22" s="127">
        <v>0.6</v>
      </c>
      <c r="D22" s="127">
        <v>0.6</v>
      </c>
      <c r="E22" s="127">
        <v>0.1</v>
      </c>
      <c r="F22" s="127">
        <v>0.56999999999999995</v>
      </c>
      <c r="G22" s="127">
        <v>0.25</v>
      </c>
      <c r="H22" s="127">
        <v>0.56999999999999995</v>
      </c>
      <c r="I22" s="127">
        <v>0</v>
      </c>
      <c r="J22" s="127">
        <v>0.03</v>
      </c>
      <c r="K22" s="127">
        <v>0.39</v>
      </c>
      <c r="L22" s="127">
        <v>0.6</v>
      </c>
      <c r="M22" s="1">
        <v>0</v>
      </c>
      <c r="N22" s="1">
        <v>0.25</v>
      </c>
      <c r="O22" s="1">
        <v>0</v>
      </c>
      <c r="P22" s="1">
        <v>0.27</v>
      </c>
      <c r="Q22" s="1"/>
      <c r="R22" s="1"/>
      <c r="S22" s="1"/>
      <c r="T22" s="1"/>
      <c r="U22" s="1"/>
      <c r="V22" s="1"/>
      <c r="W22" s="1"/>
      <c r="X22" s="1"/>
      <c r="Y22" s="1"/>
    </row>
    <row r="23" spans="1:25" x14ac:dyDescent="0.2">
      <c r="A23" s="126" t="s">
        <v>321</v>
      </c>
      <c r="B23" s="127">
        <v>0.11</v>
      </c>
      <c r="C23" s="127">
        <v>0.22</v>
      </c>
      <c r="D23" s="127">
        <v>0.6</v>
      </c>
      <c r="E23" s="127">
        <v>0.1</v>
      </c>
      <c r="F23" s="127">
        <v>0.16</v>
      </c>
      <c r="G23" s="127">
        <v>0.12</v>
      </c>
      <c r="H23" s="127">
        <v>0.16</v>
      </c>
      <c r="I23" s="127">
        <v>0.15</v>
      </c>
      <c r="J23" s="127">
        <v>0.03</v>
      </c>
      <c r="K23" s="127">
        <v>0.15</v>
      </c>
      <c r="L23" s="127">
        <v>0.22</v>
      </c>
      <c r="M23" s="1">
        <v>0.1</v>
      </c>
      <c r="N23" s="1">
        <v>0.12</v>
      </c>
      <c r="O23" s="1">
        <v>0.1</v>
      </c>
      <c r="P23" s="1">
        <v>0.13</v>
      </c>
      <c r="Q23" s="1"/>
      <c r="R23" s="1"/>
      <c r="S23" s="1"/>
      <c r="T23" s="1"/>
      <c r="U23" s="1"/>
      <c r="V23" s="1"/>
      <c r="W23" s="1"/>
      <c r="X23" s="1"/>
      <c r="Y23" s="1"/>
    </row>
    <row r="24" spans="1:25" x14ac:dyDescent="0.2">
      <c r="A24" s="126" t="s">
        <v>322</v>
      </c>
      <c r="B24" s="127">
        <v>0.09</v>
      </c>
      <c r="C24" s="127">
        <v>0.47</v>
      </c>
      <c r="D24" s="127">
        <v>0.6</v>
      </c>
      <c r="E24" s="127">
        <v>0</v>
      </c>
      <c r="F24" s="127">
        <v>0.4</v>
      </c>
      <c r="G24" s="127">
        <v>0.17</v>
      </c>
      <c r="H24" s="127">
        <v>0.33</v>
      </c>
      <c r="I24" s="127">
        <v>-0.03</v>
      </c>
      <c r="J24" s="127">
        <v>-0.03</v>
      </c>
      <c r="K24" s="127">
        <v>0.24</v>
      </c>
      <c r="L24" s="127">
        <v>0.47</v>
      </c>
      <c r="M24" s="1">
        <v>0</v>
      </c>
      <c r="N24" s="1">
        <v>0.17</v>
      </c>
      <c r="O24" s="1">
        <v>0</v>
      </c>
      <c r="P24" s="1">
        <v>0.16</v>
      </c>
      <c r="Q24" s="1"/>
      <c r="R24" s="1"/>
      <c r="S24" s="1"/>
      <c r="T24" s="1"/>
      <c r="U24" s="1"/>
      <c r="V24" s="1"/>
      <c r="W24" s="1"/>
      <c r="X24" s="1"/>
      <c r="Y24" s="1"/>
    </row>
    <row r="25" spans="1:25" x14ac:dyDescent="0.2">
      <c r="A25" s="126" t="s">
        <v>323</v>
      </c>
      <c r="B25" s="127">
        <v>0.03</v>
      </c>
      <c r="C25" s="127">
        <v>0.1</v>
      </c>
      <c r="D25" s="127">
        <v>0.6</v>
      </c>
      <c r="E25" s="127">
        <v>0.03</v>
      </c>
      <c r="F25" s="127">
        <v>0.06</v>
      </c>
      <c r="G25" s="127">
        <v>0.03</v>
      </c>
      <c r="H25" s="127">
        <v>0.06</v>
      </c>
      <c r="I25" s="127">
        <v>0.03</v>
      </c>
      <c r="J25" s="127">
        <v>0.03</v>
      </c>
      <c r="K25" s="127">
        <v>0.09</v>
      </c>
      <c r="L25" s="127">
        <v>0.22</v>
      </c>
      <c r="M25" s="1">
        <v>0.03</v>
      </c>
      <c r="N25" s="1">
        <v>0.03</v>
      </c>
      <c r="O25" s="1">
        <v>0.03</v>
      </c>
      <c r="P25" s="1">
        <v>0.04</v>
      </c>
      <c r="Q25" s="1"/>
      <c r="R25" s="1"/>
      <c r="S25" s="1"/>
      <c r="T25" s="1"/>
      <c r="U25" s="1"/>
      <c r="V25" s="1"/>
      <c r="W25" s="1"/>
      <c r="X25" s="1"/>
      <c r="Y25" s="1"/>
    </row>
    <row r="26" spans="1:25" x14ac:dyDescent="0.2">
      <c r="A26" s="126" t="s">
        <v>324</v>
      </c>
      <c r="B26" s="127">
        <v>0.37</v>
      </c>
      <c r="C26" s="127">
        <v>0.53</v>
      </c>
      <c r="D26" s="127">
        <v>0.6</v>
      </c>
      <c r="E26" s="127">
        <v>0.28999999999999998</v>
      </c>
      <c r="F26" s="127">
        <v>0.53</v>
      </c>
      <c r="G26" s="127">
        <v>0.39</v>
      </c>
      <c r="H26" s="127">
        <v>0.53</v>
      </c>
      <c r="I26" s="127">
        <v>0.03</v>
      </c>
      <c r="J26" s="127">
        <v>0.23</v>
      </c>
      <c r="K26" s="127">
        <v>0.46</v>
      </c>
      <c r="L26" s="127">
        <v>0.6</v>
      </c>
      <c r="M26" s="1">
        <v>0.03</v>
      </c>
      <c r="N26" s="1">
        <v>0.39</v>
      </c>
      <c r="O26" s="1">
        <v>0.03</v>
      </c>
      <c r="P26" s="1">
        <v>0.31</v>
      </c>
      <c r="Q26" s="1"/>
      <c r="R26" s="1"/>
      <c r="S26" s="1"/>
      <c r="T26" s="1"/>
      <c r="U26" s="1"/>
      <c r="V26" s="1"/>
      <c r="W26" s="1"/>
      <c r="X26" s="1"/>
      <c r="Y26" s="1"/>
    </row>
    <row r="27" spans="1:25" x14ac:dyDescent="0.2">
      <c r="A27" s="126" t="s">
        <v>325</v>
      </c>
      <c r="B27" s="127">
        <v>7.0000000000000007E-2</v>
      </c>
      <c r="C27" s="127">
        <v>0.22</v>
      </c>
      <c r="D27" s="127">
        <v>0.6</v>
      </c>
      <c r="E27" s="127">
        <v>0.06</v>
      </c>
      <c r="F27" s="127">
        <v>0.18</v>
      </c>
      <c r="G27" s="127">
        <v>0.09</v>
      </c>
      <c r="H27" s="127">
        <v>0.16</v>
      </c>
      <c r="I27" s="127">
        <v>0.06</v>
      </c>
      <c r="J27" s="127">
        <v>0.06</v>
      </c>
      <c r="K27" s="127">
        <v>0.14000000000000001</v>
      </c>
      <c r="L27" s="127">
        <v>0.26</v>
      </c>
      <c r="M27" s="1">
        <v>0.06</v>
      </c>
      <c r="N27" s="1">
        <v>0.09</v>
      </c>
      <c r="O27" s="1">
        <v>0.06</v>
      </c>
      <c r="P27" s="1">
        <v>0.11</v>
      </c>
      <c r="Q27" s="1"/>
      <c r="R27" s="1"/>
      <c r="S27" s="1"/>
      <c r="T27" s="1"/>
      <c r="U27" s="1"/>
      <c r="V27" s="1"/>
      <c r="W27" s="1"/>
      <c r="X27" s="1"/>
      <c r="Y27" s="1"/>
    </row>
    <row r="28" spans="1:25" x14ac:dyDescent="0.2">
      <c r="A28" s="126" t="s">
        <v>326</v>
      </c>
      <c r="B28" s="127">
        <v>0.16</v>
      </c>
      <c r="C28" s="127">
        <v>0.36</v>
      </c>
      <c r="D28" s="127">
        <v>0.6</v>
      </c>
      <c r="E28" s="127">
        <v>0.13</v>
      </c>
      <c r="F28" s="127">
        <v>0.28999999999999998</v>
      </c>
      <c r="G28" s="127">
        <v>0.19</v>
      </c>
      <c r="H28" s="127">
        <v>0.28999999999999998</v>
      </c>
      <c r="I28" s="127">
        <v>0.03</v>
      </c>
      <c r="J28" s="127">
        <v>0.06</v>
      </c>
      <c r="K28" s="127">
        <v>0.25</v>
      </c>
      <c r="L28" s="127">
        <v>0.43</v>
      </c>
      <c r="M28" s="1">
        <v>0.03</v>
      </c>
      <c r="N28" s="1">
        <v>0.19</v>
      </c>
      <c r="O28" s="1">
        <v>0.03</v>
      </c>
      <c r="P28" s="1">
        <v>0.17</v>
      </c>
      <c r="Q28" s="1"/>
      <c r="R28" s="1"/>
      <c r="S28" s="1"/>
      <c r="T28" s="1"/>
      <c r="U28" s="1"/>
      <c r="V28" s="1"/>
      <c r="W28" s="1"/>
      <c r="X28" s="1"/>
      <c r="Y28" s="1"/>
    </row>
    <row r="29" spans="1:25" x14ac:dyDescent="0.2">
      <c r="A29" s="126" t="s">
        <v>327</v>
      </c>
      <c r="B29" s="127">
        <v>0.1</v>
      </c>
      <c r="C29" s="127">
        <v>0.32</v>
      </c>
      <c r="D29" s="127">
        <v>0.6</v>
      </c>
      <c r="E29" s="127">
        <v>0.09</v>
      </c>
      <c r="F29" s="127">
        <v>0.31</v>
      </c>
      <c r="G29" s="127">
        <v>0.11</v>
      </c>
      <c r="H29" s="127">
        <v>0.31</v>
      </c>
      <c r="I29" s="127">
        <v>0.06</v>
      </c>
      <c r="J29" s="127">
        <v>0.06</v>
      </c>
      <c r="K29" s="127">
        <v>0.26</v>
      </c>
      <c r="L29" s="127">
        <v>0.46</v>
      </c>
      <c r="M29" s="1">
        <v>0.06</v>
      </c>
      <c r="N29" s="1">
        <v>0.11</v>
      </c>
      <c r="O29" s="1">
        <v>0.06</v>
      </c>
      <c r="P29" s="1">
        <v>0.16</v>
      </c>
      <c r="Q29" s="1"/>
      <c r="R29" s="1"/>
      <c r="S29" s="1"/>
      <c r="T29" s="1"/>
      <c r="U29" s="1"/>
      <c r="V29" s="1"/>
      <c r="W29" s="1"/>
      <c r="X29" s="1"/>
      <c r="Y29" s="1"/>
    </row>
    <row r="30" spans="1:25" x14ac:dyDescent="0.2">
      <c r="A30" s="126" t="s">
        <v>328</v>
      </c>
      <c r="B30" s="127">
        <v>0.1</v>
      </c>
      <c r="C30" s="127">
        <v>0.36</v>
      </c>
      <c r="D30" s="127">
        <v>0.6</v>
      </c>
      <c r="E30" s="127">
        <v>0.06</v>
      </c>
      <c r="F30" s="127">
        <v>0.28999999999999998</v>
      </c>
      <c r="G30" s="127">
        <v>0.13</v>
      </c>
      <c r="H30" s="127">
        <v>0.28000000000000003</v>
      </c>
      <c r="I30" s="127">
        <v>0.03</v>
      </c>
      <c r="J30" s="127">
        <v>0.03</v>
      </c>
      <c r="K30" s="127">
        <v>0.25</v>
      </c>
      <c r="L30" s="127">
        <v>0.5</v>
      </c>
      <c r="M30" s="1">
        <v>0.03</v>
      </c>
      <c r="N30" s="1">
        <v>0.13</v>
      </c>
      <c r="O30" s="1">
        <v>0.03</v>
      </c>
      <c r="P30" s="1">
        <v>0.15</v>
      </c>
      <c r="Q30" s="1"/>
      <c r="R30" s="1"/>
      <c r="S30" s="1"/>
      <c r="T30" s="1"/>
      <c r="U30" s="1"/>
      <c r="V30" s="1"/>
      <c r="W30" s="1"/>
      <c r="X30" s="1"/>
      <c r="Y30" s="1"/>
    </row>
    <row r="31" spans="1:25" x14ac:dyDescent="0.2">
      <c r="A31" s="126" t="s">
        <v>329</v>
      </c>
      <c r="B31" s="127">
        <v>-0.03</v>
      </c>
      <c r="C31" s="127">
        <v>0.04</v>
      </c>
      <c r="D31" s="127">
        <v>0.6</v>
      </c>
      <c r="E31" s="127">
        <v>-0.03</v>
      </c>
      <c r="F31" s="127">
        <v>0.04</v>
      </c>
      <c r="G31" s="127">
        <v>0</v>
      </c>
      <c r="H31" s="127">
        <v>0.04</v>
      </c>
      <c r="I31" s="127">
        <v>-0.03</v>
      </c>
      <c r="J31" s="127">
        <v>-0.03</v>
      </c>
      <c r="K31" s="127">
        <v>0.04</v>
      </c>
      <c r="L31" s="127">
        <v>0.17</v>
      </c>
      <c r="M31" s="1">
        <v>0</v>
      </c>
      <c r="N31" s="1">
        <v>0</v>
      </c>
      <c r="O31" s="1">
        <v>0</v>
      </c>
      <c r="P31" s="1">
        <v>-0.01</v>
      </c>
      <c r="Q31" s="1"/>
      <c r="R31" s="1"/>
      <c r="S31" s="1"/>
      <c r="T31" s="1"/>
      <c r="U31" s="1"/>
      <c r="V31" s="1"/>
      <c r="W31" s="1"/>
      <c r="X31" s="1"/>
      <c r="Y31" s="1"/>
    </row>
    <row r="32" spans="1:25" x14ac:dyDescent="0.2">
      <c r="A32" s="126" t="s">
        <v>330</v>
      </c>
      <c r="B32" s="127">
        <v>0.01</v>
      </c>
      <c r="C32" s="127">
        <v>0.17</v>
      </c>
      <c r="D32" s="127">
        <v>0.6</v>
      </c>
      <c r="E32" s="127">
        <v>-0.03</v>
      </c>
      <c r="F32" s="127">
        <v>0.17</v>
      </c>
      <c r="G32" s="127">
        <v>0.01</v>
      </c>
      <c r="H32" s="127">
        <v>0.13</v>
      </c>
      <c r="I32" s="127">
        <v>-0.03</v>
      </c>
      <c r="J32" s="127">
        <v>-0.03</v>
      </c>
      <c r="K32" s="127">
        <v>0.11</v>
      </c>
      <c r="L32" s="127">
        <v>0.28999999999999998</v>
      </c>
      <c r="M32" s="1">
        <v>0</v>
      </c>
      <c r="N32" s="1">
        <v>0.04</v>
      </c>
      <c r="O32" s="1">
        <v>0</v>
      </c>
      <c r="P32" s="1">
        <v>0.05</v>
      </c>
      <c r="Q32" s="1"/>
      <c r="R32" s="1"/>
      <c r="S32" s="1"/>
      <c r="T32" s="1"/>
      <c r="U32" s="1"/>
      <c r="V32" s="1"/>
      <c r="W32" s="1"/>
      <c r="X32" s="1"/>
      <c r="Y32" s="1"/>
    </row>
    <row r="33" spans="1:25" x14ac:dyDescent="0.2">
      <c r="A33" s="126" t="s">
        <v>331</v>
      </c>
      <c r="B33" s="127">
        <v>0.11</v>
      </c>
      <c r="C33" s="127">
        <v>0.36</v>
      </c>
      <c r="D33" s="127">
        <v>0.6</v>
      </c>
      <c r="E33" s="127">
        <v>0.03</v>
      </c>
      <c r="F33" s="127">
        <v>0.33</v>
      </c>
      <c r="G33" s="127">
        <v>0.16</v>
      </c>
      <c r="H33" s="127">
        <v>0.33</v>
      </c>
      <c r="I33" s="127">
        <v>0</v>
      </c>
      <c r="J33" s="127">
        <v>0.03</v>
      </c>
      <c r="K33" s="127">
        <v>0.25</v>
      </c>
      <c r="L33" s="127">
        <v>0.47</v>
      </c>
      <c r="M33" s="1">
        <v>0</v>
      </c>
      <c r="N33" s="1">
        <v>0.16</v>
      </c>
      <c r="O33" s="1">
        <v>0</v>
      </c>
      <c r="P33" s="1">
        <v>0.16</v>
      </c>
      <c r="Q33" s="1"/>
      <c r="R33" s="1"/>
      <c r="S33" s="1"/>
      <c r="T33" s="1"/>
      <c r="U33" s="1"/>
      <c r="V33" s="1"/>
      <c r="W33" s="1"/>
      <c r="X33" s="1"/>
      <c r="Y33" s="1"/>
    </row>
    <row r="34" spans="1:25" x14ac:dyDescent="0.2">
      <c r="A34" s="126" t="s">
        <v>332</v>
      </c>
      <c r="B34" s="127">
        <v>0.1</v>
      </c>
      <c r="C34" s="127">
        <v>0.28000000000000003</v>
      </c>
      <c r="D34" s="127">
        <v>0.6</v>
      </c>
      <c r="E34" s="127">
        <v>0.09</v>
      </c>
      <c r="F34" s="127">
        <v>0.23</v>
      </c>
      <c r="G34" s="127">
        <v>0.1</v>
      </c>
      <c r="H34" s="127">
        <v>0.23</v>
      </c>
      <c r="I34" s="127">
        <v>0.09</v>
      </c>
      <c r="J34" s="127">
        <v>0.09</v>
      </c>
      <c r="K34" s="127">
        <v>0.2</v>
      </c>
      <c r="L34" s="127">
        <v>0.34</v>
      </c>
      <c r="M34" s="1">
        <v>0.09</v>
      </c>
      <c r="N34" s="1">
        <v>0.12</v>
      </c>
      <c r="O34" s="1">
        <v>0.09</v>
      </c>
      <c r="P34" s="1">
        <v>0.13</v>
      </c>
      <c r="Q34" s="1"/>
      <c r="R34" s="1"/>
      <c r="S34" s="1"/>
      <c r="T34" s="1"/>
      <c r="U34" s="1"/>
      <c r="V34" s="1"/>
      <c r="W34" s="1"/>
      <c r="X34" s="1"/>
      <c r="Y34" s="1"/>
    </row>
    <row r="35" spans="1:25" x14ac:dyDescent="0.2">
      <c r="A35" s="126" t="s">
        <v>333</v>
      </c>
      <c r="B35" s="127">
        <v>0.08</v>
      </c>
      <c r="C35" s="127">
        <v>0.24</v>
      </c>
      <c r="D35" s="127">
        <v>0.6</v>
      </c>
      <c r="E35" s="127">
        <v>0.08</v>
      </c>
      <c r="F35" s="127">
        <v>0.2</v>
      </c>
      <c r="G35" s="127">
        <v>0.08</v>
      </c>
      <c r="H35" s="127">
        <v>0.2</v>
      </c>
      <c r="I35" s="127">
        <v>0.06</v>
      </c>
      <c r="J35" s="127">
        <v>0.06</v>
      </c>
      <c r="K35" s="127">
        <v>0.17</v>
      </c>
      <c r="L35" s="127">
        <v>0.3</v>
      </c>
      <c r="M35" s="1">
        <v>0.06</v>
      </c>
      <c r="N35" s="1">
        <v>0.08</v>
      </c>
      <c r="O35" s="1">
        <v>0.06</v>
      </c>
      <c r="P35" s="1">
        <v>0.12</v>
      </c>
      <c r="Q35" s="1"/>
      <c r="R35" s="1"/>
      <c r="S35" s="1"/>
      <c r="T35" s="1"/>
      <c r="U35" s="1"/>
      <c r="V35" s="1"/>
      <c r="W35" s="1"/>
      <c r="X35" s="1"/>
      <c r="Y35" s="1"/>
    </row>
    <row r="36" spans="1:25" x14ac:dyDescent="0.2">
      <c r="A36" s="126" t="s">
        <v>334</v>
      </c>
      <c r="B36" s="127">
        <v>0.63</v>
      </c>
      <c r="C36" s="127">
        <v>0.69</v>
      </c>
      <c r="D36" s="127">
        <v>0.6</v>
      </c>
      <c r="E36" s="127">
        <v>0.59</v>
      </c>
      <c r="F36" s="127">
        <v>0.69</v>
      </c>
      <c r="G36" s="127">
        <v>0.66</v>
      </c>
      <c r="H36" s="127">
        <v>0.69</v>
      </c>
      <c r="I36" s="127">
        <v>0.09</v>
      </c>
      <c r="J36" s="127">
        <v>0.55000000000000004</v>
      </c>
      <c r="K36" s="127">
        <v>0.65</v>
      </c>
      <c r="L36" s="127">
        <v>0.69</v>
      </c>
      <c r="M36" s="1">
        <v>0.12</v>
      </c>
      <c r="N36" s="1">
        <v>0.66</v>
      </c>
      <c r="O36" s="1">
        <v>0.23</v>
      </c>
      <c r="P36" s="1">
        <v>0.53</v>
      </c>
      <c r="Q36" s="1"/>
      <c r="R36" s="1"/>
      <c r="S36" s="1"/>
      <c r="T36" s="1"/>
      <c r="U36" s="1"/>
      <c r="V36" s="1"/>
      <c r="W36" s="1"/>
      <c r="X36" s="1"/>
      <c r="Y36" s="1"/>
    </row>
    <row r="37" spans="1:25" x14ac:dyDescent="0.2">
      <c r="A37" s="126" t="s">
        <v>335</v>
      </c>
      <c r="B37" s="127">
        <v>0.06</v>
      </c>
      <c r="C37" s="127">
        <v>0.09</v>
      </c>
      <c r="D37" s="127">
        <v>0.6</v>
      </c>
      <c r="E37" s="127">
        <v>0.06</v>
      </c>
      <c r="F37" s="127">
        <v>0.09</v>
      </c>
      <c r="G37" s="127">
        <v>0.06</v>
      </c>
      <c r="H37" s="127">
        <v>0.09</v>
      </c>
      <c r="I37" s="127">
        <v>0.06</v>
      </c>
      <c r="J37" s="127">
        <v>0.06</v>
      </c>
      <c r="K37" s="127">
        <v>0.08</v>
      </c>
      <c r="L37" s="127">
        <v>0.11</v>
      </c>
      <c r="M37" s="1">
        <v>0.06</v>
      </c>
      <c r="N37" s="1">
        <v>0.06</v>
      </c>
      <c r="O37" s="1">
        <v>0.06</v>
      </c>
      <c r="P37" s="1">
        <v>0.06</v>
      </c>
      <c r="Q37" s="1"/>
      <c r="R37" s="1"/>
      <c r="S37" s="1"/>
      <c r="T37" s="1"/>
      <c r="U37" s="1"/>
      <c r="V37" s="1"/>
      <c r="W37" s="1"/>
      <c r="X37" s="1"/>
      <c r="Y37" s="1"/>
    </row>
    <row r="38" spans="1:25" x14ac:dyDescent="0.2">
      <c r="A38" s="126" t="s">
        <v>336</v>
      </c>
      <c r="B38" s="127">
        <v>0.2</v>
      </c>
      <c r="C38" s="127">
        <v>0.39</v>
      </c>
      <c r="D38" s="127">
        <v>0.6</v>
      </c>
      <c r="E38" s="127">
        <v>0.16</v>
      </c>
      <c r="F38" s="127">
        <v>0.39</v>
      </c>
      <c r="G38" s="127">
        <v>0.26</v>
      </c>
      <c r="H38" s="127">
        <v>0.39</v>
      </c>
      <c r="I38" s="127">
        <v>0.06</v>
      </c>
      <c r="J38" s="127">
        <v>0.09</v>
      </c>
      <c r="K38" s="127">
        <v>0.3</v>
      </c>
      <c r="L38" s="127">
        <v>0.46</v>
      </c>
      <c r="M38" s="1">
        <v>0.06</v>
      </c>
      <c r="N38" s="1">
        <v>0.22</v>
      </c>
      <c r="O38" s="1">
        <v>0.06</v>
      </c>
      <c r="P38" s="1">
        <v>0.22</v>
      </c>
      <c r="Q38" s="1"/>
      <c r="R38" s="1"/>
      <c r="S38" s="1"/>
      <c r="T38" s="1"/>
      <c r="U38" s="1"/>
      <c r="V38" s="1"/>
      <c r="W38" s="1"/>
      <c r="X38" s="1"/>
      <c r="Y38" s="1"/>
    </row>
    <row r="39" spans="1:25" x14ac:dyDescent="0.2">
      <c r="A39" s="126" t="s">
        <v>337</v>
      </c>
      <c r="B39" s="127">
        <v>0.61</v>
      </c>
      <c r="C39" s="127">
        <v>0.66</v>
      </c>
      <c r="D39" s="127">
        <v>0.6</v>
      </c>
      <c r="E39" s="127">
        <v>0.52</v>
      </c>
      <c r="F39" s="127">
        <v>0.66</v>
      </c>
      <c r="G39" s="127">
        <v>0.66</v>
      </c>
      <c r="H39" s="127">
        <v>0.66</v>
      </c>
      <c r="I39" s="127">
        <v>0.06</v>
      </c>
      <c r="J39" s="127">
        <v>0.49</v>
      </c>
      <c r="K39" s="127">
        <v>0.62</v>
      </c>
      <c r="L39" s="127">
        <v>0.66</v>
      </c>
      <c r="M39" s="1">
        <v>0.06</v>
      </c>
      <c r="N39" s="1">
        <v>0.66</v>
      </c>
      <c r="O39" s="1">
        <v>0.1</v>
      </c>
      <c r="P39" s="1">
        <v>0.47</v>
      </c>
      <c r="Q39" s="1"/>
      <c r="R39" s="1"/>
      <c r="S39" s="1"/>
      <c r="T39" s="1"/>
      <c r="U39" s="1"/>
      <c r="V39" s="1"/>
      <c r="W39" s="1"/>
      <c r="X39" s="1"/>
      <c r="Y39" s="1"/>
    </row>
    <row r="40" spans="1:25" x14ac:dyDescent="0.2">
      <c r="A40" s="126" t="s">
        <v>338</v>
      </c>
      <c r="B40" s="127">
        <v>-0.02</v>
      </c>
      <c r="C40" s="127">
        <v>0.33</v>
      </c>
      <c r="D40" s="127">
        <v>0.6</v>
      </c>
      <c r="E40" s="127">
        <v>-0.03</v>
      </c>
      <c r="F40" s="127">
        <v>0.3</v>
      </c>
      <c r="G40" s="127">
        <v>0</v>
      </c>
      <c r="H40" s="127">
        <v>0.3</v>
      </c>
      <c r="I40" s="127">
        <v>-0.03</v>
      </c>
      <c r="J40" s="127">
        <v>-0.03</v>
      </c>
      <c r="K40" s="127">
        <v>0.22</v>
      </c>
      <c r="L40" s="127">
        <v>0.54</v>
      </c>
      <c r="M40" s="1">
        <v>0</v>
      </c>
      <c r="N40" s="1">
        <v>0</v>
      </c>
      <c r="O40" s="1">
        <v>0</v>
      </c>
      <c r="P40" s="1">
        <v>0.09</v>
      </c>
      <c r="Q40" s="1"/>
      <c r="R40" s="1"/>
      <c r="S40" s="1"/>
      <c r="T40" s="1"/>
      <c r="U40" s="1"/>
      <c r="V40" s="1"/>
      <c r="W40" s="1"/>
      <c r="X40" s="1"/>
      <c r="Y40" s="1"/>
    </row>
    <row r="41" spans="1:25" x14ac:dyDescent="0.2">
      <c r="A41" s="126" t="s">
        <v>339</v>
      </c>
      <c r="B41" s="127">
        <v>0.03</v>
      </c>
      <c r="C41" s="127">
        <v>0.12</v>
      </c>
      <c r="D41" s="127">
        <v>0.6</v>
      </c>
      <c r="E41" s="127">
        <v>0.03</v>
      </c>
      <c r="F41" s="127">
        <v>0.08</v>
      </c>
      <c r="G41" s="127">
        <v>0.03</v>
      </c>
      <c r="H41" s="127">
        <v>0.06</v>
      </c>
      <c r="I41" s="127">
        <v>0.03</v>
      </c>
      <c r="J41" s="127">
        <v>0.03</v>
      </c>
      <c r="K41" s="127">
        <v>0.09</v>
      </c>
      <c r="L41" s="127">
        <v>0.26</v>
      </c>
      <c r="M41" s="1">
        <v>0.03</v>
      </c>
      <c r="N41" s="1">
        <v>0.03</v>
      </c>
      <c r="O41" s="1">
        <v>0.03</v>
      </c>
      <c r="P41" s="1">
        <v>0.05</v>
      </c>
      <c r="Q41" s="1"/>
      <c r="R41" s="1"/>
      <c r="S41" s="1"/>
      <c r="T41" s="1"/>
      <c r="U41" s="1"/>
      <c r="V41" s="1"/>
      <c r="W41" s="1"/>
      <c r="X41" s="1"/>
      <c r="Y41" s="1"/>
    </row>
    <row r="42" spans="1:25" x14ac:dyDescent="0.2">
      <c r="A42" s="126" t="s">
        <v>340</v>
      </c>
      <c r="B42" s="127">
        <v>0.27</v>
      </c>
      <c r="C42" s="127">
        <v>0.47</v>
      </c>
      <c r="D42" s="127">
        <v>0.6</v>
      </c>
      <c r="E42" s="127">
        <v>0.2</v>
      </c>
      <c r="F42" s="127">
        <v>0.47</v>
      </c>
      <c r="G42" s="127">
        <v>0.33</v>
      </c>
      <c r="H42" s="127">
        <v>0.47</v>
      </c>
      <c r="I42" s="127">
        <v>0</v>
      </c>
      <c r="J42" s="127">
        <v>0.11</v>
      </c>
      <c r="K42" s="127">
        <v>0.35</v>
      </c>
      <c r="L42" s="127">
        <v>0.5</v>
      </c>
      <c r="M42" s="1">
        <v>0</v>
      </c>
      <c r="N42" s="1">
        <v>0.33</v>
      </c>
      <c r="O42" s="1">
        <v>0</v>
      </c>
      <c r="P42" s="1">
        <v>0.27</v>
      </c>
      <c r="Q42" s="1"/>
      <c r="R42" s="1"/>
      <c r="S42" s="1"/>
      <c r="T42" s="1"/>
      <c r="U42" s="1"/>
      <c r="V42" s="1"/>
      <c r="W42" s="1"/>
      <c r="X42" s="1"/>
      <c r="Y42" s="1"/>
    </row>
    <row r="43" spans="1:25" x14ac:dyDescent="0.2">
      <c r="A43" s="126" t="s">
        <v>341</v>
      </c>
      <c r="B43" s="127">
        <v>0.26</v>
      </c>
      <c r="C43" s="127">
        <v>0.56999999999999995</v>
      </c>
      <c r="D43" s="127">
        <v>0.6</v>
      </c>
      <c r="E43" s="127">
        <v>0.13</v>
      </c>
      <c r="F43" s="127">
        <v>0.56999999999999995</v>
      </c>
      <c r="G43" s="127">
        <v>0.34</v>
      </c>
      <c r="H43" s="127">
        <v>0.56999999999999995</v>
      </c>
      <c r="I43" s="127">
        <v>-0.03</v>
      </c>
      <c r="J43" s="127">
        <v>0.08</v>
      </c>
      <c r="K43" s="127">
        <v>0.41</v>
      </c>
      <c r="L43" s="127">
        <v>0.56999999999999995</v>
      </c>
      <c r="M43" s="1">
        <v>0</v>
      </c>
      <c r="N43" s="1">
        <v>0.34</v>
      </c>
      <c r="O43" s="1">
        <v>0</v>
      </c>
      <c r="P43" s="1">
        <v>0.28999999999999998</v>
      </c>
      <c r="Q43" s="1"/>
      <c r="R43" s="1"/>
      <c r="S43" s="1"/>
      <c r="T43" s="1"/>
      <c r="U43" s="1"/>
      <c r="V43" s="1"/>
      <c r="W43" s="1"/>
      <c r="X43" s="1"/>
      <c r="Y43" s="1"/>
    </row>
    <row r="44" spans="1:25" x14ac:dyDescent="0.2">
      <c r="A44" s="126" t="s">
        <v>342</v>
      </c>
      <c r="B44" s="127">
        <v>0.11</v>
      </c>
      <c r="C44" s="127">
        <v>0.14000000000000001</v>
      </c>
      <c r="D44" s="127">
        <v>0.6</v>
      </c>
      <c r="E44" s="127">
        <v>0.18</v>
      </c>
      <c r="F44" s="127">
        <v>0.03</v>
      </c>
      <c r="G44" s="127">
        <v>0.05</v>
      </c>
      <c r="H44" s="127">
        <v>0.03</v>
      </c>
      <c r="I44" s="127">
        <v>0.33</v>
      </c>
      <c r="J44" s="127">
        <v>0.03</v>
      </c>
      <c r="K44" s="127">
        <v>0.11</v>
      </c>
      <c r="L44" s="127">
        <v>0.06</v>
      </c>
      <c r="M44" s="1">
        <v>0.18</v>
      </c>
      <c r="N44" s="1">
        <v>0.14000000000000001</v>
      </c>
      <c r="O44" s="1">
        <v>0.18</v>
      </c>
      <c r="P44" s="1">
        <v>0.12</v>
      </c>
      <c r="Q44" s="1"/>
      <c r="R44" s="1"/>
      <c r="S44" s="1"/>
      <c r="T44" s="1"/>
      <c r="U44" s="1"/>
      <c r="V44" s="1"/>
      <c r="W44" s="1"/>
      <c r="X44" s="1"/>
      <c r="Y44" s="1"/>
    </row>
    <row r="45" spans="1:25" x14ac:dyDescent="0.2">
      <c r="A45" s="126" t="s">
        <v>343</v>
      </c>
      <c r="B45" s="127">
        <v>0.28999999999999998</v>
      </c>
      <c r="C45" s="127">
        <v>0.63</v>
      </c>
      <c r="D45" s="127">
        <v>0.6</v>
      </c>
      <c r="E45" s="127">
        <v>0.15</v>
      </c>
      <c r="F45" s="127">
        <v>0.6</v>
      </c>
      <c r="G45" s="127">
        <v>0.36</v>
      </c>
      <c r="H45" s="127">
        <v>0.6</v>
      </c>
      <c r="I45" s="127">
        <v>0.03</v>
      </c>
      <c r="J45" s="127">
        <v>0.1</v>
      </c>
      <c r="K45" s="127">
        <v>0.46</v>
      </c>
      <c r="L45" s="127">
        <v>0.63</v>
      </c>
      <c r="M45" s="1">
        <v>0.03</v>
      </c>
      <c r="N45" s="1">
        <v>0.36</v>
      </c>
      <c r="O45" s="1">
        <v>0.03</v>
      </c>
      <c r="P45" s="1">
        <v>0.33</v>
      </c>
      <c r="Q45" s="1"/>
      <c r="R45" s="1"/>
      <c r="S45" s="1"/>
      <c r="T45" s="1"/>
      <c r="U45" s="1"/>
      <c r="V45" s="1"/>
      <c r="W45" s="1"/>
      <c r="X45" s="1"/>
      <c r="Y45" s="1"/>
    </row>
    <row r="46" spans="1:25" x14ac:dyDescent="0.2">
      <c r="A46" s="126" t="s">
        <v>344</v>
      </c>
      <c r="B46" s="127">
        <v>0.28000000000000003</v>
      </c>
      <c r="C46" s="127">
        <v>0.6</v>
      </c>
      <c r="D46" s="127">
        <v>0.6</v>
      </c>
      <c r="E46" s="127">
        <v>0.25</v>
      </c>
      <c r="F46" s="127">
        <v>0.56999999999999995</v>
      </c>
      <c r="G46" s="127">
        <v>0.31</v>
      </c>
      <c r="H46" s="127">
        <v>0.56999999999999995</v>
      </c>
      <c r="I46" s="127">
        <v>0</v>
      </c>
      <c r="J46" s="127">
        <v>0.15</v>
      </c>
      <c r="K46" s="127">
        <v>0.42</v>
      </c>
      <c r="L46" s="127">
        <v>0.6</v>
      </c>
      <c r="M46" s="1">
        <v>0</v>
      </c>
      <c r="N46" s="1">
        <v>0.31</v>
      </c>
      <c r="O46" s="1">
        <v>0</v>
      </c>
      <c r="P46" s="1">
        <v>0.28999999999999998</v>
      </c>
      <c r="Q46" s="1"/>
      <c r="R46" s="1"/>
      <c r="S46" s="1"/>
      <c r="T46" s="1"/>
      <c r="U46" s="1"/>
      <c r="V46" s="1"/>
      <c r="W46" s="1"/>
      <c r="X46" s="1"/>
      <c r="Y46" s="1"/>
    </row>
    <row r="47" spans="1:25" x14ac:dyDescent="0.2">
      <c r="A47" s="126" t="s">
        <v>345</v>
      </c>
      <c r="B47" s="127">
        <v>0.27</v>
      </c>
      <c r="C47" s="127">
        <v>0.52</v>
      </c>
      <c r="D47" s="127">
        <v>0.6</v>
      </c>
      <c r="E47" s="127">
        <v>0.16</v>
      </c>
      <c r="F47" s="127">
        <v>0.48</v>
      </c>
      <c r="G47" s="127">
        <v>0.32</v>
      </c>
      <c r="H47" s="127">
        <v>0.48</v>
      </c>
      <c r="I47" s="127">
        <v>0.03</v>
      </c>
      <c r="J47" s="127">
        <v>0.11</v>
      </c>
      <c r="K47" s="127">
        <v>0.38</v>
      </c>
      <c r="L47" s="127">
        <v>0.56999999999999995</v>
      </c>
      <c r="M47" s="1">
        <v>0.03</v>
      </c>
      <c r="N47" s="1">
        <v>0.32</v>
      </c>
      <c r="O47" s="1">
        <v>0.03</v>
      </c>
      <c r="P47" s="1">
        <v>0.28000000000000003</v>
      </c>
      <c r="Q47" s="1"/>
      <c r="R47" s="1"/>
      <c r="S47" s="1"/>
      <c r="T47" s="1"/>
      <c r="U47" s="1"/>
      <c r="V47" s="1"/>
      <c r="W47" s="1"/>
      <c r="X47" s="1"/>
      <c r="Y47" s="1"/>
    </row>
    <row r="48" spans="1:25" x14ac:dyDescent="0.2">
      <c r="A48" s="126" t="s">
        <v>346</v>
      </c>
      <c r="B48" s="127">
        <v>0.21</v>
      </c>
      <c r="C48" s="127">
        <v>0.3</v>
      </c>
      <c r="D48" s="127">
        <v>0.6</v>
      </c>
      <c r="E48" s="127">
        <v>0.3</v>
      </c>
      <c r="F48" s="127">
        <v>0.21</v>
      </c>
      <c r="G48" s="127">
        <v>0.21</v>
      </c>
      <c r="H48" s="127">
        <v>0.12</v>
      </c>
      <c r="I48" s="127">
        <v>0.37</v>
      </c>
      <c r="J48" s="127">
        <v>0.03</v>
      </c>
      <c r="K48" s="127">
        <v>0.17</v>
      </c>
      <c r="L48" s="127">
        <v>0.14000000000000001</v>
      </c>
      <c r="M48" s="1">
        <v>0.3</v>
      </c>
      <c r="N48" s="1">
        <v>0.23</v>
      </c>
      <c r="O48" s="1">
        <v>0.3</v>
      </c>
      <c r="P48" s="1">
        <v>0.22</v>
      </c>
      <c r="Q48" s="1"/>
      <c r="R48" s="1"/>
      <c r="S48" s="1"/>
      <c r="T48" s="1"/>
      <c r="U48" s="1"/>
      <c r="V48" s="1"/>
      <c r="W48" s="1"/>
      <c r="X48" s="1"/>
      <c r="Y48" s="1"/>
    </row>
    <row r="49" spans="1:25" x14ac:dyDescent="0.2">
      <c r="A49" s="126" t="s">
        <v>347</v>
      </c>
      <c r="B49" s="127">
        <v>0.22</v>
      </c>
      <c r="C49" s="127">
        <v>0.56999999999999995</v>
      </c>
      <c r="D49" s="127">
        <v>0.6</v>
      </c>
      <c r="E49" s="127">
        <v>0.09</v>
      </c>
      <c r="F49" s="127">
        <v>0.54</v>
      </c>
      <c r="G49" s="127">
        <v>0.3</v>
      </c>
      <c r="H49" s="127">
        <v>0.54</v>
      </c>
      <c r="I49" s="127">
        <v>-0.03</v>
      </c>
      <c r="J49" s="127">
        <v>0</v>
      </c>
      <c r="K49" s="127">
        <v>0.38</v>
      </c>
      <c r="L49" s="127">
        <v>0.56999999999999995</v>
      </c>
      <c r="M49" s="1">
        <v>0</v>
      </c>
      <c r="N49" s="1">
        <v>0.3</v>
      </c>
      <c r="O49" s="1">
        <v>0</v>
      </c>
      <c r="P49" s="1">
        <v>0.27</v>
      </c>
      <c r="Q49" s="1"/>
      <c r="R49" s="1"/>
      <c r="S49" s="1"/>
      <c r="T49" s="1"/>
      <c r="U49" s="1"/>
      <c r="V49" s="1"/>
      <c r="W49" s="1"/>
      <c r="X49" s="1"/>
      <c r="Y49" s="1"/>
    </row>
    <row r="50" spans="1:25" x14ac:dyDescent="0.2">
      <c r="A50" s="126" t="s">
        <v>348</v>
      </c>
      <c r="B50" s="127">
        <v>-0.03</v>
      </c>
      <c r="C50" s="127">
        <v>0</v>
      </c>
      <c r="D50" s="127">
        <v>0.6</v>
      </c>
      <c r="E50" s="127">
        <v>-0.03</v>
      </c>
      <c r="F50" s="127">
        <v>0</v>
      </c>
      <c r="G50" s="127">
        <v>0</v>
      </c>
      <c r="H50" s="127">
        <v>-0.03</v>
      </c>
      <c r="I50" s="127">
        <v>-0.03</v>
      </c>
      <c r="J50" s="127">
        <v>-0.03</v>
      </c>
      <c r="K50" s="127">
        <v>-0.01</v>
      </c>
      <c r="L50" s="127">
        <v>0.05</v>
      </c>
      <c r="M50" s="1">
        <v>0</v>
      </c>
      <c r="N50" s="1">
        <v>0</v>
      </c>
      <c r="O50" s="1">
        <v>0</v>
      </c>
      <c r="P50" s="1">
        <v>-0.02</v>
      </c>
      <c r="Q50" s="1"/>
      <c r="R50" s="1"/>
      <c r="S50" s="1"/>
      <c r="T50" s="1"/>
      <c r="U50" s="1"/>
      <c r="V50" s="1"/>
      <c r="W50" s="1"/>
      <c r="X50" s="1"/>
      <c r="Y50" s="1"/>
    </row>
    <row r="51" spans="1:25" x14ac:dyDescent="0.2">
      <c r="A51" s="126" t="s">
        <v>349</v>
      </c>
      <c r="B51" s="127">
        <v>0.15</v>
      </c>
      <c r="C51" s="127">
        <v>0.42</v>
      </c>
      <c r="D51" s="127">
        <v>0.6</v>
      </c>
      <c r="E51" s="127">
        <v>0.08</v>
      </c>
      <c r="F51" s="127">
        <v>0.36</v>
      </c>
      <c r="G51" s="127">
        <v>0.19</v>
      </c>
      <c r="H51" s="127">
        <v>0.36</v>
      </c>
      <c r="I51" s="127">
        <v>-0.03</v>
      </c>
      <c r="J51" s="127">
        <v>0.01</v>
      </c>
      <c r="K51" s="127">
        <v>0.28999999999999998</v>
      </c>
      <c r="L51" s="127">
        <v>0.55000000000000004</v>
      </c>
      <c r="M51" s="1">
        <v>0</v>
      </c>
      <c r="N51" s="1">
        <v>0.19</v>
      </c>
      <c r="O51" s="1">
        <v>0</v>
      </c>
      <c r="P51" s="1">
        <v>0.18</v>
      </c>
      <c r="Q51" s="1"/>
      <c r="R51" s="1"/>
      <c r="S51" s="1"/>
      <c r="T51" s="1"/>
      <c r="U51" s="1"/>
      <c r="V51" s="1"/>
      <c r="W51" s="1"/>
      <c r="X51" s="1"/>
      <c r="Y51" s="1"/>
    </row>
    <row r="52" spans="1:25" x14ac:dyDescent="0.2">
      <c r="A52" s="126" t="s">
        <v>350</v>
      </c>
      <c r="B52" s="127">
        <v>0.19</v>
      </c>
      <c r="C52" s="127">
        <v>0.53</v>
      </c>
      <c r="D52" s="127">
        <v>0.6</v>
      </c>
      <c r="E52" s="127">
        <v>0.11</v>
      </c>
      <c r="F52" s="127">
        <v>0.46</v>
      </c>
      <c r="G52" s="127">
        <v>0.26</v>
      </c>
      <c r="H52" s="127">
        <v>0.43</v>
      </c>
      <c r="I52" s="127">
        <v>0.06</v>
      </c>
      <c r="J52" s="127">
        <v>0.09</v>
      </c>
      <c r="K52" s="127">
        <v>0.36</v>
      </c>
      <c r="L52" s="127">
        <v>0.63</v>
      </c>
      <c r="M52" s="1">
        <v>0.06</v>
      </c>
      <c r="N52" s="1">
        <v>0.26</v>
      </c>
      <c r="O52" s="1">
        <v>0.06</v>
      </c>
      <c r="P52" s="1">
        <v>0.25</v>
      </c>
      <c r="Q52" s="1"/>
      <c r="R52" s="1"/>
      <c r="S52" s="1"/>
      <c r="T52" s="1"/>
      <c r="U52" s="1"/>
      <c r="V52" s="1"/>
      <c r="W52" s="1"/>
      <c r="X52" s="1"/>
      <c r="Y52" s="1"/>
    </row>
    <row r="53" spans="1:25" x14ac:dyDescent="0.2">
      <c r="A53" s="126" t="s">
        <v>351</v>
      </c>
      <c r="B53" s="127">
        <v>0.16</v>
      </c>
      <c r="C53" s="127">
        <v>0.39</v>
      </c>
      <c r="D53" s="127">
        <v>0.6</v>
      </c>
      <c r="E53" s="127">
        <v>0.1</v>
      </c>
      <c r="F53" s="127">
        <v>0.36</v>
      </c>
      <c r="G53" s="127">
        <v>0.22</v>
      </c>
      <c r="H53" s="127">
        <v>0.36</v>
      </c>
      <c r="I53" s="127">
        <v>0.03</v>
      </c>
      <c r="J53" s="127">
        <v>0.04</v>
      </c>
      <c r="K53" s="127">
        <v>0.28000000000000003</v>
      </c>
      <c r="L53" s="127">
        <v>0.5</v>
      </c>
      <c r="M53" s="1">
        <v>0.03</v>
      </c>
      <c r="N53" s="1">
        <v>0.23</v>
      </c>
      <c r="O53" s="1">
        <v>0.03</v>
      </c>
      <c r="P53" s="1">
        <v>0.21</v>
      </c>
      <c r="Q53" s="1"/>
      <c r="R53" s="1"/>
      <c r="S53" s="1"/>
      <c r="T53" s="1"/>
      <c r="U53" s="1"/>
      <c r="V53" s="1"/>
      <c r="W53" s="1"/>
      <c r="X53" s="1"/>
      <c r="Y53" s="1"/>
    </row>
    <row r="54" spans="1:25" x14ac:dyDescent="0.2">
      <c r="A54" s="126" t="s">
        <v>352</v>
      </c>
      <c r="B54" s="127">
        <v>0.04</v>
      </c>
      <c r="C54" s="127">
        <v>0.1</v>
      </c>
      <c r="D54" s="127">
        <v>0.6</v>
      </c>
      <c r="E54" s="127">
        <v>0.03</v>
      </c>
      <c r="F54" s="127">
        <v>0.1</v>
      </c>
      <c r="G54" s="127">
        <v>0.04</v>
      </c>
      <c r="H54" s="127">
        <v>0.1</v>
      </c>
      <c r="I54" s="127">
        <v>0.05</v>
      </c>
      <c r="J54" s="127">
        <v>0.03</v>
      </c>
      <c r="K54" s="127">
        <v>0.09</v>
      </c>
      <c r="L54" s="127">
        <v>0.19</v>
      </c>
      <c r="M54" s="1">
        <v>0.03</v>
      </c>
      <c r="N54" s="1">
        <v>0.04</v>
      </c>
      <c r="O54" s="1">
        <v>0.03</v>
      </c>
      <c r="P54" s="1">
        <v>0.05</v>
      </c>
      <c r="Q54" s="1"/>
      <c r="R54" s="1"/>
      <c r="S54" s="1"/>
      <c r="T54" s="1"/>
      <c r="U54" s="1"/>
      <c r="V54" s="1"/>
      <c r="W54" s="1"/>
      <c r="X54" s="1"/>
      <c r="Y54" s="1"/>
    </row>
    <row r="55" spans="1:25" x14ac:dyDescent="0.2">
      <c r="A55" s="126" t="s">
        <v>353</v>
      </c>
      <c r="B55" s="127">
        <v>0</v>
      </c>
      <c r="C55" s="127">
        <v>0.17</v>
      </c>
      <c r="D55" s="127">
        <v>0.6</v>
      </c>
      <c r="E55" s="127">
        <v>-0.03</v>
      </c>
      <c r="F55" s="127">
        <v>0.09</v>
      </c>
      <c r="G55" s="127">
        <v>0.05</v>
      </c>
      <c r="H55" s="127">
        <v>0.09</v>
      </c>
      <c r="I55" s="127">
        <v>-0.03</v>
      </c>
      <c r="J55" s="127">
        <v>-0.03</v>
      </c>
      <c r="K55" s="127">
        <v>0.09</v>
      </c>
      <c r="L55" s="127">
        <v>0.23</v>
      </c>
      <c r="M55" s="1">
        <v>0</v>
      </c>
      <c r="N55" s="1">
        <v>0</v>
      </c>
      <c r="O55" s="1">
        <v>0</v>
      </c>
      <c r="P55" s="1">
        <v>0.02</v>
      </c>
      <c r="Q55" s="1"/>
      <c r="R55" s="1"/>
      <c r="S55" s="1"/>
      <c r="T55" s="1"/>
      <c r="U55" s="1"/>
      <c r="V55" s="1"/>
      <c r="W55" s="1"/>
      <c r="X55" s="1"/>
      <c r="Y55" s="1"/>
    </row>
    <row r="56" spans="1:25" x14ac:dyDescent="0.2">
      <c r="A56" s="126" t="s">
        <v>354</v>
      </c>
      <c r="B56" s="127">
        <v>0.15</v>
      </c>
      <c r="C56" s="127">
        <v>0.21</v>
      </c>
      <c r="D56" s="127">
        <v>0.6</v>
      </c>
      <c r="E56" s="127">
        <v>0.21</v>
      </c>
      <c r="F56" s="127">
        <v>0.1</v>
      </c>
      <c r="G56" s="127">
        <v>0.11</v>
      </c>
      <c r="H56" s="127">
        <v>0</v>
      </c>
      <c r="I56" s="127">
        <v>0.41</v>
      </c>
      <c r="J56" s="127">
        <v>0</v>
      </c>
      <c r="K56" s="127">
        <v>0.11</v>
      </c>
      <c r="L56" s="127">
        <v>0.1</v>
      </c>
      <c r="M56" s="1">
        <v>0.27</v>
      </c>
      <c r="N56" s="1">
        <v>0.18</v>
      </c>
      <c r="O56" s="1">
        <v>0.27</v>
      </c>
      <c r="P56" s="1">
        <v>0.15</v>
      </c>
      <c r="Q56" s="1"/>
      <c r="R56" s="1"/>
      <c r="S56" s="1"/>
      <c r="T56" s="1"/>
      <c r="U56" s="1"/>
      <c r="V56" s="1"/>
      <c r="W56" s="1"/>
      <c r="X56" s="1"/>
      <c r="Y56" s="1"/>
    </row>
    <row r="57" spans="1:25" x14ac:dyDescent="0.2">
      <c r="A57" s="126" t="s">
        <v>355</v>
      </c>
      <c r="B57" s="127">
        <v>-0.03</v>
      </c>
      <c r="C57" s="127">
        <v>-0.03</v>
      </c>
      <c r="D57" s="127">
        <v>0.6</v>
      </c>
      <c r="E57" s="127">
        <v>-0.03</v>
      </c>
      <c r="F57" s="127">
        <v>-0.03</v>
      </c>
      <c r="G57" s="127">
        <v>0</v>
      </c>
      <c r="H57" s="127">
        <v>-0.03</v>
      </c>
      <c r="I57" s="127">
        <v>-0.03</v>
      </c>
      <c r="J57" s="127">
        <v>-0.03</v>
      </c>
      <c r="K57" s="127">
        <v>-0.02</v>
      </c>
      <c r="L57" s="127">
        <v>0</v>
      </c>
      <c r="M57" s="1">
        <v>0</v>
      </c>
      <c r="N57" s="1">
        <v>0</v>
      </c>
      <c r="O57" s="1">
        <v>0</v>
      </c>
      <c r="P57" s="1">
        <v>-0.03</v>
      </c>
      <c r="Q57" s="1"/>
      <c r="R57" s="1"/>
      <c r="S57" s="1"/>
      <c r="T57" s="1"/>
      <c r="U57" s="1"/>
      <c r="V57" s="1"/>
      <c r="W57" s="1"/>
      <c r="X57" s="1"/>
      <c r="Y57" s="1"/>
    </row>
    <row r="58" spans="1:25" x14ac:dyDescent="0.2">
      <c r="A58" s="126" t="s">
        <v>356</v>
      </c>
      <c r="B58" s="127">
        <v>0.35</v>
      </c>
      <c r="C58" s="127">
        <v>0.6</v>
      </c>
      <c r="D58" s="127">
        <v>0.6</v>
      </c>
      <c r="E58" s="127">
        <v>0.16</v>
      </c>
      <c r="F58" s="127">
        <v>0.6</v>
      </c>
      <c r="G58" s="127">
        <v>0.47</v>
      </c>
      <c r="H58" s="127">
        <v>0.56999999999999995</v>
      </c>
      <c r="I58" s="127">
        <v>0</v>
      </c>
      <c r="J58" s="127">
        <v>0.05</v>
      </c>
      <c r="K58" s="127">
        <v>0.42</v>
      </c>
      <c r="L58" s="127">
        <v>0.6</v>
      </c>
      <c r="M58" s="1">
        <v>0</v>
      </c>
      <c r="N58" s="1">
        <v>0.44</v>
      </c>
      <c r="O58" s="1">
        <v>0</v>
      </c>
      <c r="P58" s="1">
        <v>0.34</v>
      </c>
      <c r="Q58" s="1"/>
      <c r="R58" s="1"/>
      <c r="S58" s="1"/>
      <c r="T58" s="1"/>
      <c r="U58" s="1"/>
      <c r="V58" s="1"/>
      <c r="W58" s="1"/>
      <c r="X58" s="1"/>
      <c r="Y58" s="1"/>
    </row>
    <row r="59" spans="1:25" x14ac:dyDescent="0.2">
      <c r="A59" s="126" t="s">
        <v>357</v>
      </c>
      <c r="B59" s="127">
        <v>0.21</v>
      </c>
      <c r="C59" s="127">
        <v>0.6</v>
      </c>
      <c r="D59" s="127">
        <v>0.6</v>
      </c>
      <c r="E59" s="127">
        <v>0.08</v>
      </c>
      <c r="F59" s="127">
        <v>0.53</v>
      </c>
      <c r="G59" s="127">
        <v>0.28000000000000003</v>
      </c>
      <c r="H59" s="127">
        <v>0.5</v>
      </c>
      <c r="I59" s="127">
        <v>0.03</v>
      </c>
      <c r="J59" s="127">
        <v>0.06</v>
      </c>
      <c r="K59" s="127">
        <v>0.38</v>
      </c>
      <c r="L59" s="127">
        <v>0.63</v>
      </c>
      <c r="M59" s="1">
        <v>0.03</v>
      </c>
      <c r="N59" s="1">
        <v>0.28000000000000003</v>
      </c>
      <c r="O59" s="1">
        <v>0.03</v>
      </c>
      <c r="P59" s="1">
        <v>0.28000000000000003</v>
      </c>
      <c r="Q59" s="1"/>
      <c r="R59" s="1"/>
      <c r="S59" s="1"/>
      <c r="T59" s="1"/>
      <c r="U59" s="1"/>
      <c r="V59" s="1"/>
      <c r="W59" s="1"/>
      <c r="X59" s="1"/>
      <c r="Y59" s="1"/>
    </row>
    <row r="60" spans="1:25" x14ac:dyDescent="0.2">
      <c r="A60" s="126" t="s">
        <v>358</v>
      </c>
      <c r="B60" s="127">
        <v>0.03</v>
      </c>
      <c r="C60" s="127">
        <v>0.08</v>
      </c>
      <c r="D60" s="127">
        <v>0.6</v>
      </c>
      <c r="E60" s="127">
        <v>0.03</v>
      </c>
      <c r="F60" s="127">
        <v>0.08</v>
      </c>
      <c r="G60" s="127">
        <v>0.03</v>
      </c>
      <c r="H60" s="127">
        <v>0.06</v>
      </c>
      <c r="I60" s="127">
        <v>0.03</v>
      </c>
      <c r="J60" s="127">
        <v>0.03</v>
      </c>
      <c r="K60" s="127">
        <v>7.0000000000000007E-2</v>
      </c>
      <c r="L60" s="127">
        <v>0.17</v>
      </c>
      <c r="M60" s="1">
        <v>0.03</v>
      </c>
      <c r="N60" s="1">
        <v>0.03</v>
      </c>
      <c r="O60" s="1">
        <v>0.03</v>
      </c>
      <c r="P60" s="1">
        <v>0.03</v>
      </c>
      <c r="Q60" s="1"/>
      <c r="R60" s="1"/>
      <c r="S60" s="1"/>
      <c r="T60" s="1"/>
      <c r="U60" s="1"/>
      <c r="V60" s="1"/>
      <c r="W60" s="1"/>
      <c r="X60" s="1"/>
      <c r="Y60" s="1"/>
    </row>
    <row r="61" spans="1:25" x14ac:dyDescent="0.2">
      <c r="A61" s="126" t="s">
        <v>359</v>
      </c>
      <c r="B61" s="127">
        <v>-0.03</v>
      </c>
      <c r="C61" s="127">
        <v>0</v>
      </c>
      <c r="D61" s="127">
        <v>0.6</v>
      </c>
      <c r="E61" s="127">
        <v>-0.03</v>
      </c>
      <c r="F61" s="127">
        <v>-0.03</v>
      </c>
      <c r="G61" s="127">
        <v>0</v>
      </c>
      <c r="H61" s="127">
        <v>-0.03</v>
      </c>
      <c r="I61" s="127">
        <v>-0.03</v>
      </c>
      <c r="J61" s="127">
        <v>-0.03</v>
      </c>
      <c r="K61" s="127">
        <v>-0.01</v>
      </c>
      <c r="L61" s="127">
        <v>7.0000000000000007E-2</v>
      </c>
      <c r="M61" s="1">
        <v>0</v>
      </c>
      <c r="N61" s="1">
        <v>0</v>
      </c>
      <c r="O61" s="1">
        <v>0</v>
      </c>
      <c r="P61" s="1">
        <v>-0.03</v>
      </c>
      <c r="Q61" s="1"/>
      <c r="R61" s="1"/>
      <c r="S61" s="1"/>
      <c r="T61" s="1"/>
      <c r="U61" s="1"/>
      <c r="V61" s="1"/>
      <c r="W61" s="1"/>
      <c r="X61" s="1"/>
      <c r="Y61" s="1"/>
    </row>
    <row r="62" spans="1:25" x14ac:dyDescent="0.2">
      <c r="A62" s="126" t="s">
        <v>360</v>
      </c>
      <c r="B62" s="127">
        <v>-0.03</v>
      </c>
      <c r="C62" s="127">
        <v>-0.03</v>
      </c>
      <c r="D62" s="127">
        <v>0.6</v>
      </c>
      <c r="E62" s="127">
        <v>-0.03</v>
      </c>
      <c r="F62" s="127">
        <v>-0.03</v>
      </c>
      <c r="G62" s="127">
        <v>0</v>
      </c>
      <c r="H62" s="127">
        <v>-0.03</v>
      </c>
      <c r="I62" s="127">
        <v>-0.03</v>
      </c>
      <c r="J62" s="127">
        <v>-0.03</v>
      </c>
      <c r="K62" s="127">
        <v>-0.02</v>
      </c>
      <c r="L62" s="127">
        <v>0</v>
      </c>
      <c r="M62" s="1">
        <v>0</v>
      </c>
      <c r="N62" s="1">
        <v>0</v>
      </c>
      <c r="O62" s="1">
        <v>0</v>
      </c>
      <c r="P62" s="1">
        <v>-0.03</v>
      </c>
      <c r="Q62" s="1"/>
      <c r="R62" s="1"/>
      <c r="S62" s="1"/>
      <c r="T62" s="1"/>
      <c r="U62" s="1"/>
      <c r="V62" s="1"/>
      <c r="W62" s="1"/>
      <c r="X62" s="1"/>
      <c r="Y62" s="1"/>
    </row>
    <row r="63" spans="1:25" x14ac:dyDescent="0.2">
      <c r="A63" s="126" t="s">
        <v>361</v>
      </c>
      <c r="B63" s="127">
        <v>-0.03</v>
      </c>
      <c r="C63" s="127">
        <v>-0.03</v>
      </c>
      <c r="D63" s="127">
        <v>0.6</v>
      </c>
      <c r="E63" s="127">
        <v>-0.03</v>
      </c>
      <c r="F63" s="127">
        <v>-0.03</v>
      </c>
      <c r="G63" s="127">
        <v>0</v>
      </c>
      <c r="H63" s="127">
        <v>-0.03</v>
      </c>
      <c r="I63" s="127">
        <v>-0.03</v>
      </c>
      <c r="J63" s="127">
        <v>-0.03</v>
      </c>
      <c r="K63" s="127">
        <v>-0.03</v>
      </c>
      <c r="L63" s="127">
        <v>-0.03</v>
      </c>
      <c r="M63" s="1">
        <v>0</v>
      </c>
      <c r="N63" s="1">
        <v>0</v>
      </c>
      <c r="O63" s="1">
        <v>0</v>
      </c>
      <c r="P63" s="1">
        <v>-0.03</v>
      </c>
      <c r="Q63" s="1"/>
      <c r="R63" s="1"/>
      <c r="S63" s="1"/>
      <c r="T63" s="1"/>
      <c r="U63" s="1"/>
      <c r="V63" s="1"/>
      <c r="W63" s="1"/>
      <c r="X63" s="1"/>
      <c r="Y63" s="1"/>
    </row>
    <row r="64" spans="1:25" x14ac:dyDescent="0.2">
      <c r="A64" s="126" t="s">
        <v>362</v>
      </c>
      <c r="B64" s="127">
        <v>-0.03</v>
      </c>
      <c r="C64" s="127">
        <v>0.13</v>
      </c>
      <c r="D64" s="127">
        <v>0.6</v>
      </c>
      <c r="E64" s="127">
        <v>-0.03</v>
      </c>
      <c r="F64" s="127">
        <v>0.09</v>
      </c>
      <c r="G64" s="127">
        <v>0</v>
      </c>
      <c r="H64" s="127">
        <v>0.06</v>
      </c>
      <c r="I64" s="127">
        <v>-0.03</v>
      </c>
      <c r="J64" s="127">
        <v>-0.03</v>
      </c>
      <c r="K64" s="127">
        <v>0.06</v>
      </c>
      <c r="L64" s="127">
        <v>0.25</v>
      </c>
      <c r="M64" s="1">
        <v>0</v>
      </c>
      <c r="N64" s="1">
        <v>0</v>
      </c>
      <c r="O64" s="1">
        <v>0</v>
      </c>
      <c r="P64" s="1">
        <v>0.01</v>
      </c>
      <c r="Q64" s="1"/>
      <c r="R64" s="1"/>
      <c r="S64" s="1"/>
      <c r="T64" s="1"/>
      <c r="U64" s="1"/>
      <c r="V64" s="1"/>
      <c r="W64" s="1"/>
      <c r="X64" s="1"/>
      <c r="Y64" s="1"/>
    </row>
    <row r="65" spans="1:25" x14ac:dyDescent="0.2">
      <c r="A65" s="126" t="s">
        <v>363</v>
      </c>
      <c r="B65" s="127">
        <v>0.46</v>
      </c>
      <c r="C65" s="127">
        <v>0.56000000000000005</v>
      </c>
      <c r="D65" s="127">
        <v>0.6</v>
      </c>
      <c r="E65" s="127">
        <v>0.48</v>
      </c>
      <c r="F65" s="127">
        <v>0.41</v>
      </c>
      <c r="G65" s="127">
        <v>0.46</v>
      </c>
      <c r="H65" s="127">
        <v>0.15</v>
      </c>
      <c r="I65" s="127">
        <v>0.6</v>
      </c>
      <c r="J65" s="127">
        <v>0.15</v>
      </c>
      <c r="K65" s="127">
        <v>0.31</v>
      </c>
      <c r="L65" s="127">
        <v>0.31</v>
      </c>
      <c r="M65" s="1">
        <v>0.56000000000000005</v>
      </c>
      <c r="N65" s="1">
        <v>0.46</v>
      </c>
      <c r="O65" s="1">
        <v>0.56000000000000005</v>
      </c>
      <c r="P65" s="1">
        <v>0.41</v>
      </c>
      <c r="Q65" s="1"/>
      <c r="R65" s="1"/>
      <c r="S65" s="1"/>
      <c r="T65" s="1"/>
      <c r="U65" s="1"/>
      <c r="V65" s="1"/>
      <c r="W65" s="1"/>
      <c r="X65" s="1"/>
      <c r="Y65" s="1"/>
    </row>
    <row r="66" spans="1:25" x14ac:dyDescent="0.2">
      <c r="A66" s="126" t="s">
        <v>364</v>
      </c>
      <c r="B66" s="127">
        <v>0.16</v>
      </c>
      <c r="C66" s="127">
        <v>0.4</v>
      </c>
      <c r="D66" s="127">
        <v>0.6</v>
      </c>
      <c r="E66" s="127">
        <v>0.08</v>
      </c>
      <c r="F66" s="127">
        <v>0.4</v>
      </c>
      <c r="G66" s="127">
        <v>0.23</v>
      </c>
      <c r="H66" s="127">
        <v>0.34</v>
      </c>
      <c r="I66" s="127">
        <v>0.03</v>
      </c>
      <c r="J66" s="127">
        <v>0.06</v>
      </c>
      <c r="K66" s="127">
        <v>0.31</v>
      </c>
      <c r="L66" s="127">
        <v>0.6</v>
      </c>
      <c r="M66" s="1">
        <v>0.03</v>
      </c>
      <c r="N66" s="1">
        <v>0.23</v>
      </c>
      <c r="O66" s="1">
        <v>0.03</v>
      </c>
      <c r="P66" s="1">
        <v>0.2</v>
      </c>
      <c r="Q66" s="1"/>
      <c r="R66" s="1"/>
      <c r="S66" s="1"/>
      <c r="T66" s="1"/>
      <c r="U66" s="1"/>
      <c r="V66" s="1"/>
      <c r="W66" s="1"/>
      <c r="X66" s="1"/>
      <c r="Y66" s="1"/>
    </row>
    <row r="67" spans="1:25" x14ac:dyDescent="0.2">
      <c r="A67" s="126" t="s">
        <v>365</v>
      </c>
      <c r="B67" s="127">
        <v>0.16</v>
      </c>
      <c r="C67" s="127">
        <v>0.4</v>
      </c>
      <c r="D67" s="127">
        <v>0.6</v>
      </c>
      <c r="E67" s="127">
        <v>0.12</v>
      </c>
      <c r="F67" s="127">
        <v>0.33</v>
      </c>
      <c r="G67" s="127">
        <v>0.2</v>
      </c>
      <c r="H67" s="127">
        <v>0.33</v>
      </c>
      <c r="I67" s="127">
        <v>0</v>
      </c>
      <c r="J67" s="127">
        <v>7.0000000000000007E-2</v>
      </c>
      <c r="K67" s="127">
        <v>0.28000000000000003</v>
      </c>
      <c r="L67" s="127">
        <v>0.47</v>
      </c>
      <c r="M67" s="1">
        <v>0</v>
      </c>
      <c r="N67" s="1">
        <v>0.2</v>
      </c>
      <c r="O67" s="1">
        <v>0</v>
      </c>
      <c r="P67" s="1">
        <v>0.18</v>
      </c>
      <c r="Q67" s="1"/>
      <c r="R67" s="1"/>
      <c r="S67" s="1"/>
      <c r="T67" s="1"/>
      <c r="U67" s="1"/>
      <c r="V67" s="1"/>
      <c r="W67" s="1"/>
      <c r="X67" s="1"/>
      <c r="Y67" s="1"/>
    </row>
    <row r="68" spans="1:25" x14ac:dyDescent="0.2">
      <c r="A68" s="126" t="s">
        <v>366</v>
      </c>
      <c r="B68" s="127">
        <v>0.06</v>
      </c>
      <c r="C68" s="127">
        <v>0.09</v>
      </c>
      <c r="D68" s="127">
        <v>0.6</v>
      </c>
      <c r="E68" s="127">
        <v>0.06</v>
      </c>
      <c r="F68" s="127">
        <v>0.06</v>
      </c>
      <c r="G68" s="127">
        <v>0.06</v>
      </c>
      <c r="H68" s="127">
        <v>0.06</v>
      </c>
      <c r="I68" s="127">
        <v>0.14000000000000001</v>
      </c>
      <c r="J68" s="127">
        <v>0.06</v>
      </c>
      <c r="K68" s="127">
        <v>0.09</v>
      </c>
      <c r="L68" s="127">
        <v>0.09</v>
      </c>
      <c r="M68" s="1">
        <v>0.06</v>
      </c>
      <c r="N68" s="1">
        <v>0.06</v>
      </c>
      <c r="O68" s="1">
        <v>0.08</v>
      </c>
      <c r="P68" s="1">
        <v>7.0000000000000007E-2</v>
      </c>
      <c r="Q68" s="1"/>
      <c r="R68" s="1"/>
      <c r="S68" s="1"/>
      <c r="T68" s="1"/>
      <c r="U68" s="1"/>
      <c r="V68" s="1"/>
      <c r="W68" s="1"/>
      <c r="X68" s="1"/>
      <c r="Y68" s="1"/>
    </row>
    <row r="69" spans="1:25" x14ac:dyDescent="0.2">
      <c r="A69" s="126" t="s">
        <v>367</v>
      </c>
      <c r="B69" s="127">
        <v>0.06</v>
      </c>
      <c r="C69" s="127">
        <v>0.11</v>
      </c>
      <c r="D69" s="127">
        <v>0.6</v>
      </c>
      <c r="E69" s="127">
        <v>0.06</v>
      </c>
      <c r="F69" s="127">
        <v>0.09</v>
      </c>
      <c r="G69" s="127">
        <v>0.06</v>
      </c>
      <c r="H69" s="127">
        <v>0.09</v>
      </c>
      <c r="I69" s="127">
        <v>0.06</v>
      </c>
      <c r="J69" s="127">
        <v>0.06</v>
      </c>
      <c r="K69" s="127">
        <v>0.1</v>
      </c>
      <c r="L69" s="127">
        <v>0.18</v>
      </c>
      <c r="M69" s="1">
        <v>0.06</v>
      </c>
      <c r="N69" s="1">
        <v>0.06</v>
      </c>
      <c r="O69" s="1">
        <v>0.06</v>
      </c>
      <c r="P69" s="1">
        <v>7.0000000000000007E-2</v>
      </c>
      <c r="Q69" s="1"/>
      <c r="R69" s="1"/>
      <c r="S69" s="1"/>
      <c r="T69" s="1"/>
      <c r="U69" s="1"/>
      <c r="V69" s="1"/>
      <c r="W69" s="1"/>
      <c r="X69" s="1"/>
      <c r="Y69" s="1"/>
    </row>
    <row r="70" spans="1:25" x14ac:dyDescent="0.2">
      <c r="A70" s="126" t="s">
        <v>368</v>
      </c>
      <c r="B70" s="127">
        <v>0.24</v>
      </c>
      <c r="C70" s="127">
        <v>0.54</v>
      </c>
      <c r="D70" s="127">
        <v>0.6</v>
      </c>
      <c r="E70" s="127">
        <v>0.17</v>
      </c>
      <c r="F70" s="127">
        <v>0.47</v>
      </c>
      <c r="G70" s="127">
        <v>0.33</v>
      </c>
      <c r="H70" s="127">
        <v>0.47</v>
      </c>
      <c r="I70" s="127">
        <v>-0.03</v>
      </c>
      <c r="J70" s="127">
        <v>0.09</v>
      </c>
      <c r="K70" s="127">
        <v>0.37</v>
      </c>
      <c r="L70" s="127">
        <v>0.56999999999999995</v>
      </c>
      <c r="M70" s="1">
        <v>0</v>
      </c>
      <c r="N70" s="1">
        <v>0.3</v>
      </c>
      <c r="O70" s="1">
        <v>0</v>
      </c>
      <c r="P70" s="1">
        <v>0.25</v>
      </c>
      <c r="Q70" s="1"/>
      <c r="R70" s="1"/>
      <c r="S70" s="1"/>
      <c r="T70" s="1"/>
      <c r="U70" s="1"/>
      <c r="V70" s="1"/>
      <c r="W70" s="1"/>
      <c r="X70" s="1"/>
      <c r="Y70" s="1"/>
    </row>
    <row r="71" spans="1:25" x14ac:dyDescent="0.2">
      <c r="A71" s="126" t="s">
        <v>369</v>
      </c>
      <c r="B71" s="127">
        <v>0.32</v>
      </c>
      <c r="C71" s="127">
        <v>0.6</v>
      </c>
      <c r="D71" s="127">
        <v>0.6</v>
      </c>
      <c r="E71" s="127">
        <v>0.25</v>
      </c>
      <c r="F71" s="127">
        <v>0.53</v>
      </c>
      <c r="G71" s="127">
        <v>0.46</v>
      </c>
      <c r="H71" s="127">
        <v>0.53</v>
      </c>
      <c r="I71" s="127">
        <v>0.03</v>
      </c>
      <c r="J71" s="127">
        <v>0.14000000000000001</v>
      </c>
      <c r="K71" s="127">
        <v>0.44</v>
      </c>
      <c r="L71" s="127">
        <v>0.63</v>
      </c>
      <c r="M71" s="1">
        <v>0.03</v>
      </c>
      <c r="N71" s="1">
        <v>0.39</v>
      </c>
      <c r="O71" s="1">
        <v>0.03</v>
      </c>
      <c r="P71" s="1">
        <v>0.31</v>
      </c>
      <c r="Q71" s="1"/>
      <c r="R71" s="1"/>
      <c r="S71" s="1"/>
      <c r="T71" s="1"/>
      <c r="U71" s="1"/>
      <c r="V71" s="1"/>
      <c r="W71" s="1"/>
      <c r="X71" s="1"/>
      <c r="Y71" s="1"/>
    </row>
    <row r="72" spans="1:25" x14ac:dyDescent="0.2">
      <c r="A72" s="126" t="s">
        <v>370</v>
      </c>
      <c r="B72" s="127">
        <v>7.0000000000000007E-2</v>
      </c>
      <c r="C72" s="127">
        <v>0.21</v>
      </c>
      <c r="D72" s="127">
        <v>0.6</v>
      </c>
      <c r="E72" s="127">
        <v>0.06</v>
      </c>
      <c r="F72" s="127">
        <v>0.2</v>
      </c>
      <c r="G72" s="127">
        <v>7.0000000000000007E-2</v>
      </c>
      <c r="H72" s="127">
        <v>0.15</v>
      </c>
      <c r="I72" s="127">
        <v>0.06</v>
      </c>
      <c r="J72" s="127">
        <v>0.06</v>
      </c>
      <c r="K72" s="127">
        <v>0.16</v>
      </c>
      <c r="L72" s="127">
        <v>0.35</v>
      </c>
      <c r="M72" s="1">
        <v>0.06</v>
      </c>
      <c r="N72" s="1">
        <v>7.0000000000000007E-2</v>
      </c>
      <c r="O72" s="1">
        <v>0.06</v>
      </c>
      <c r="P72" s="1">
        <v>0.09</v>
      </c>
      <c r="Q72" s="1"/>
      <c r="R72" s="1"/>
      <c r="S72" s="1"/>
      <c r="T72" s="1"/>
      <c r="U72" s="1"/>
      <c r="V72" s="1"/>
      <c r="W72" s="1"/>
      <c r="X72" s="1"/>
      <c r="Y72" s="1"/>
    </row>
    <row r="73" spans="1:25" x14ac:dyDescent="0.2">
      <c r="A73" s="126" t="s">
        <v>371</v>
      </c>
      <c r="B73" s="127">
        <v>0.04</v>
      </c>
      <c r="C73" s="127">
        <v>0.26</v>
      </c>
      <c r="D73" s="127">
        <v>0.6</v>
      </c>
      <c r="E73" s="127">
        <v>0.02</v>
      </c>
      <c r="F73" s="127">
        <v>0.19</v>
      </c>
      <c r="G73" s="127">
        <v>0.06</v>
      </c>
      <c r="H73" s="127">
        <v>0.19</v>
      </c>
      <c r="I73" s="127">
        <v>0</v>
      </c>
      <c r="J73" s="127">
        <v>0</v>
      </c>
      <c r="K73" s="127">
        <v>0.16</v>
      </c>
      <c r="L73" s="127">
        <v>0.34</v>
      </c>
      <c r="M73" s="1">
        <v>0</v>
      </c>
      <c r="N73" s="1">
        <v>0.05</v>
      </c>
      <c r="O73" s="1">
        <v>0</v>
      </c>
      <c r="P73" s="1">
        <v>0.08</v>
      </c>
      <c r="Q73" s="1"/>
      <c r="R73" s="1"/>
      <c r="S73" s="1"/>
      <c r="T73" s="1"/>
      <c r="U73" s="1"/>
      <c r="V73" s="1"/>
      <c r="W73" s="1"/>
      <c r="X73" s="1"/>
      <c r="Y73" s="1"/>
    </row>
    <row r="74" spans="1:25" x14ac:dyDescent="0.2">
      <c r="A74" s="126" t="s">
        <v>372</v>
      </c>
      <c r="B74" s="127">
        <v>7.0000000000000007E-2</v>
      </c>
      <c r="C74" s="127">
        <v>0.13</v>
      </c>
      <c r="D74" s="127">
        <v>0.6</v>
      </c>
      <c r="E74" s="127">
        <v>0.14000000000000001</v>
      </c>
      <c r="F74" s="127">
        <v>0.06</v>
      </c>
      <c r="G74" s="127">
        <v>0.03</v>
      </c>
      <c r="H74" s="127">
        <v>0.06</v>
      </c>
      <c r="I74" s="127">
        <v>0.24</v>
      </c>
      <c r="J74" s="127">
        <v>0.03</v>
      </c>
      <c r="K74" s="127">
        <v>0.08</v>
      </c>
      <c r="L74" s="127">
        <v>0.11</v>
      </c>
      <c r="M74" s="1">
        <v>0.1</v>
      </c>
      <c r="N74" s="1">
        <v>0.13</v>
      </c>
      <c r="O74" s="1">
        <v>0.18</v>
      </c>
      <c r="P74" s="1">
        <v>0.12</v>
      </c>
      <c r="Q74" s="1"/>
      <c r="R74" s="1"/>
      <c r="S74" s="1"/>
      <c r="T74" s="1"/>
      <c r="U74" s="1"/>
      <c r="V74" s="1"/>
      <c r="W74" s="1"/>
      <c r="X74" s="1"/>
      <c r="Y74" s="1"/>
    </row>
    <row r="75" spans="1:25" x14ac:dyDescent="0.2">
      <c r="A75" s="126" t="s">
        <v>373</v>
      </c>
      <c r="B75" s="127">
        <v>0</v>
      </c>
      <c r="C75" s="127">
        <v>0.02</v>
      </c>
      <c r="D75" s="127">
        <v>0.6</v>
      </c>
      <c r="E75" s="127">
        <v>0</v>
      </c>
      <c r="F75" s="127">
        <v>0.01</v>
      </c>
      <c r="G75" s="127">
        <v>0</v>
      </c>
      <c r="H75" s="127">
        <v>0</v>
      </c>
      <c r="I75" s="127">
        <v>0</v>
      </c>
      <c r="J75" s="127">
        <v>0</v>
      </c>
      <c r="K75" s="127">
        <v>0.05</v>
      </c>
      <c r="L75" s="127">
        <v>0.19</v>
      </c>
      <c r="M75" s="1">
        <v>0</v>
      </c>
      <c r="N75" s="1">
        <v>0</v>
      </c>
      <c r="O75" s="1">
        <v>0</v>
      </c>
      <c r="P75" s="1">
        <v>0</v>
      </c>
      <c r="Q75" s="1"/>
      <c r="R75" s="1"/>
      <c r="S75" s="1"/>
      <c r="T75" s="1"/>
      <c r="U75" s="1"/>
      <c r="V75" s="1"/>
      <c r="W75" s="1"/>
      <c r="X75" s="1"/>
      <c r="Y75" s="1"/>
    </row>
    <row r="76" spans="1:25" x14ac:dyDescent="0.2">
      <c r="A76" s="126" t="s">
        <v>374</v>
      </c>
      <c r="B76" s="127">
        <v>0.35</v>
      </c>
      <c r="C76" s="127">
        <v>0.35</v>
      </c>
      <c r="D76" s="127">
        <v>0.6</v>
      </c>
      <c r="E76" s="127">
        <v>0.45</v>
      </c>
      <c r="F76" s="127">
        <v>0.15</v>
      </c>
      <c r="G76" s="127">
        <v>0.18</v>
      </c>
      <c r="H76" s="127">
        <v>0.05</v>
      </c>
      <c r="I76" s="127">
        <v>0.56999999999999995</v>
      </c>
      <c r="J76" s="127">
        <v>-0.03</v>
      </c>
      <c r="K76" s="127">
        <v>0.17</v>
      </c>
      <c r="L76" s="127">
        <v>0.15</v>
      </c>
      <c r="M76" s="1">
        <v>0.45</v>
      </c>
      <c r="N76" s="1">
        <v>0.38</v>
      </c>
      <c r="O76" s="1">
        <v>0.53</v>
      </c>
      <c r="P76" s="1">
        <v>0.33</v>
      </c>
      <c r="Q76" s="1"/>
      <c r="R76" s="1"/>
      <c r="S76" s="1"/>
      <c r="T76" s="1"/>
      <c r="U76" s="1"/>
      <c r="V76" s="1"/>
      <c r="W76" s="1"/>
      <c r="X76" s="1"/>
      <c r="Y76" s="1"/>
    </row>
    <row r="77" spans="1:25" x14ac:dyDescent="0.2">
      <c r="A77" s="126" t="s">
        <v>375</v>
      </c>
      <c r="B77" s="127">
        <v>-0.03</v>
      </c>
      <c r="C77" s="127">
        <v>-0.01</v>
      </c>
      <c r="D77" s="127">
        <v>0.6</v>
      </c>
      <c r="E77" s="127">
        <v>-0.03</v>
      </c>
      <c r="F77" s="127">
        <v>-0.02</v>
      </c>
      <c r="G77" s="127">
        <v>0</v>
      </c>
      <c r="H77" s="127">
        <v>-0.02</v>
      </c>
      <c r="I77" s="127">
        <v>-0.03</v>
      </c>
      <c r="J77" s="127">
        <v>-0.03</v>
      </c>
      <c r="K77" s="127">
        <v>0.01</v>
      </c>
      <c r="L77" s="127">
        <v>0.13</v>
      </c>
      <c r="M77" s="1">
        <v>0</v>
      </c>
      <c r="N77" s="1">
        <v>0</v>
      </c>
      <c r="O77" s="1">
        <v>0</v>
      </c>
      <c r="P77" s="1">
        <v>-0.03</v>
      </c>
      <c r="Q77" s="1"/>
      <c r="R77" s="1"/>
      <c r="S77" s="1"/>
      <c r="T77" s="1"/>
      <c r="U77" s="1"/>
      <c r="V77" s="1"/>
      <c r="W77" s="1"/>
      <c r="X77" s="1"/>
      <c r="Y77" s="1"/>
    </row>
    <row r="78" spans="1:25" x14ac:dyDescent="0.2">
      <c r="A78" s="126" t="s">
        <v>376</v>
      </c>
      <c r="B78" s="127">
        <v>0.32</v>
      </c>
      <c r="C78" s="127">
        <v>0.56000000000000005</v>
      </c>
      <c r="D78" s="127">
        <v>0.6</v>
      </c>
      <c r="E78" s="127">
        <v>0.21</v>
      </c>
      <c r="F78" s="127">
        <v>0.53</v>
      </c>
      <c r="G78" s="127">
        <v>0.38</v>
      </c>
      <c r="H78" s="127">
        <v>0.53</v>
      </c>
      <c r="I78" s="127">
        <v>0.06</v>
      </c>
      <c r="J78" s="127">
        <v>0.17</v>
      </c>
      <c r="K78" s="127">
        <v>0.43</v>
      </c>
      <c r="L78" s="127">
        <v>0.63</v>
      </c>
      <c r="M78" s="1">
        <v>0.06</v>
      </c>
      <c r="N78" s="1">
        <v>0.38</v>
      </c>
      <c r="O78" s="1">
        <v>0.06</v>
      </c>
      <c r="P78" s="1">
        <v>0.32</v>
      </c>
      <c r="Q78" s="1"/>
      <c r="R78" s="1"/>
      <c r="S78" s="1"/>
      <c r="T78" s="1"/>
      <c r="U78" s="1"/>
      <c r="V78" s="1"/>
      <c r="W78" s="1"/>
      <c r="X78" s="1"/>
      <c r="Y78" s="1"/>
    </row>
    <row r="79" spans="1:25" x14ac:dyDescent="0.2">
      <c r="A79" s="126" t="s">
        <v>377</v>
      </c>
      <c r="B79" s="127">
        <v>0.03</v>
      </c>
      <c r="C79" s="127">
        <v>0.08</v>
      </c>
      <c r="D79" s="127">
        <v>0.6</v>
      </c>
      <c r="E79" s="127">
        <v>0.03</v>
      </c>
      <c r="F79" s="127">
        <v>0.06</v>
      </c>
      <c r="G79" s="127">
        <v>0.03</v>
      </c>
      <c r="H79" s="127">
        <v>0.06</v>
      </c>
      <c r="I79" s="127">
        <v>0.03</v>
      </c>
      <c r="J79" s="127">
        <v>0.03</v>
      </c>
      <c r="K79" s="127">
        <v>7.0000000000000007E-2</v>
      </c>
      <c r="L79" s="127">
        <v>0.15</v>
      </c>
      <c r="M79" s="1">
        <v>0.03</v>
      </c>
      <c r="N79" s="1">
        <v>0.03</v>
      </c>
      <c r="O79" s="1">
        <v>0.03</v>
      </c>
      <c r="P79" s="1">
        <v>0.04</v>
      </c>
      <c r="Q79" s="1"/>
      <c r="R79" s="1"/>
      <c r="S79" s="1"/>
      <c r="T79" s="1"/>
      <c r="U79" s="1"/>
      <c r="V79" s="1"/>
      <c r="W79" s="1"/>
      <c r="X79" s="1"/>
      <c r="Y79" s="1"/>
    </row>
    <row r="80" spans="1:25" x14ac:dyDescent="0.2">
      <c r="A80" s="126" t="s">
        <v>378</v>
      </c>
      <c r="B80" s="127">
        <v>0.35</v>
      </c>
      <c r="C80" s="127">
        <v>0.43</v>
      </c>
      <c r="D80" s="127">
        <v>0.6</v>
      </c>
      <c r="E80" s="127">
        <v>0.43</v>
      </c>
      <c r="F80" s="127">
        <v>0.28000000000000003</v>
      </c>
      <c r="G80" s="127">
        <v>0.28000000000000003</v>
      </c>
      <c r="H80" s="127">
        <v>0.08</v>
      </c>
      <c r="I80" s="127">
        <v>0.45</v>
      </c>
      <c r="J80" s="127">
        <v>7.0000000000000007E-2</v>
      </c>
      <c r="K80" s="127">
        <v>0.24</v>
      </c>
      <c r="L80" s="127">
        <v>0.28000000000000003</v>
      </c>
      <c r="M80" s="1">
        <v>0.38</v>
      </c>
      <c r="N80" s="1">
        <v>0.43</v>
      </c>
      <c r="O80" s="1">
        <v>0.43</v>
      </c>
      <c r="P80" s="1">
        <v>0.33</v>
      </c>
      <c r="Q80" s="1"/>
      <c r="R80" s="1"/>
      <c r="S80" s="1"/>
      <c r="T80" s="1"/>
      <c r="U80" s="1"/>
      <c r="V80" s="1"/>
      <c r="W80" s="1"/>
      <c r="X80" s="1"/>
      <c r="Y80" s="1"/>
    </row>
    <row r="81" spans="1:25" x14ac:dyDescent="0.2">
      <c r="A81" s="126" t="s">
        <v>379</v>
      </c>
      <c r="B81" s="127">
        <v>0.15</v>
      </c>
      <c r="C81" s="127">
        <v>0.21</v>
      </c>
      <c r="D81" s="127">
        <v>0.6</v>
      </c>
      <c r="E81" s="127">
        <v>0.27</v>
      </c>
      <c r="F81" s="127">
        <v>0.1</v>
      </c>
      <c r="G81" s="127">
        <v>0.11</v>
      </c>
      <c r="H81" s="127">
        <v>0</v>
      </c>
      <c r="I81" s="127">
        <v>0.41</v>
      </c>
      <c r="J81" s="127">
        <v>0</v>
      </c>
      <c r="K81" s="127">
        <v>0.13</v>
      </c>
      <c r="L81" s="127">
        <v>0.1</v>
      </c>
      <c r="M81" s="1">
        <v>0.27</v>
      </c>
      <c r="N81" s="1">
        <v>0.21</v>
      </c>
      <c r="O81" s="1">
        <v>0.27</v>
      </c>
      <c r="P81" s="1">
        <v>0.17</v>
      </c>
      <c r="Q81" s="1"/>
      <c r="R81" s="1"/>
      <c r="S81" s="1"/>
      <c r="T81" s="1"/>
      <c r="U81" s="1"/>
      <c r="V81" s="1"/>
      <c r="W81" s="1"/>
      <c r="X81" s="1"/>
      <c r="Y81" s="1"/>
    </row>
    <row r="82" spans="1:25" x14ac:dyDescent="0.2">
      <c r="A82" s="126" t="s">
        <v>380</v>
      </c>
      <c r="B82" s="127">
        <v>0.43</v>
      </c>
      <c r="C82" s="127">
        <v>0.66</v>
      </c>
      <c r="D82" s="127">
        <v>0.6</v>
      </c>
      <c r="E82" s="127">
        <v>0.37</v>
      </c>
      <c r="F82" s="127">
        <v>0.63</v>
      </c>
      <c r="G82" s="127">
        <v>0.49</v>
      </c>
      <c r="H82" s="127">
        <v>0.63</v>
      </c>
      <c r="I82" s="127">
        <v>0.06</v>
      </c>
      <c r="J82" s="127">
        <v>0.28000000000000003</v>
      </c>
      <c r="K82" s="127">
        <v>0.52</v>
      </c>
      <c r="L82" s="127">
        <v>0.66</v>
      </c>
      <c r="M82" s="1">
        <v>0.06</v>
      </c>
      <c r="N82" s="1">
        <v>0.49</v>
      </c>
      <c r="O82" s="1">
        <v>7.0000000000000007E-2</v>
      </c>
      <c r="P82" s="1">
        <v>0.4</v>
      </c>
      <c r="Q82" s="1"/>
      <c r="R82" s="1"/>
      <c r="S82" s="1"/>
      <c r="T82" s="1"/>
      <c r="U82" s="1"/>
      <c r="V82" s="1"/>
      <c r="W82" s="1"/>
      <c r="X82" s="1"/>
      <c r="Y82" s="1"/>
    </row>
    <row r="83" spans="1:25" x14ac:dyDescent="0.2">
      <c r="A83" s="126" t="s">
        <v>381</v>
      </c>
      <c r="B83" s="127">
        <v>0.34</v>
      </c>
      <c r="C83" s="127">
        <v>0.66</v>
      </c>
      <c r="D83" s="127">
        <v>0.6</v>
      </c>
      <c r="E83" s="127">
        <v>0.25</v>
      </c>
      <c r="F83" s="127">
        <v>0.66</v>
      </c>
      <c r="G83" s="127">
        <v>0.43</v>
      </c>
      <c r="H83" s="127">
        <v>0.63</v>
      </c>
      <c r="I83" s="127">
        <v>0.06</v>
      </c>
      <c r="J83" s="127">
        <v>0.13</v>
      </c>
      <c r="K83" s="127">
        <v>0.48</v>
      </c>
      <c r="L83" s="127">
        <v>0.66</v>
      </c>
      <c r="M83" s="1">
        <v>0.06</v>
      </c>
      <c r="N83" s="1">
        <v>0.42</v>
      </c>
      <c r="O83" s="1">
        <v>0.06</v>
      </c>
      <c r="P83" s="1">
        <v>0.38</v>
      </c>
      <c r="Q83" s="1"/>
      <c r="R83" s="1"/>
      <c r="S83" s="1"/>
      <c r="T83" s="1"/>
      <c r="U83" s="1"/>
      <c r="V83" s="1"/>
      <c r="W83" s="1"/>
      <c r="X83" s="1"/>
      <c r="Y83" s="1"/>
    </row>
    <row r="84" spans="1:25" x14ac:dyDescent="0.2">
      <c r="A84" s="126" t="s">
        <v>382</v>
      </c>
      <c r="B84" s="127">
        <v>0.26</v>
      </c>
      <c r="C84" s="127">
        <v>0.61</v>
      </c>
      <c r="D84" s="127">
        <v>0.6</v>
      </c>
      <c r="E84" s="127">
        <v>0.16</v>
      </c>
      <c r="F84" s="127">
        <v>0.56000000000000005</v>
      </c>
      <c r="G84" s="127">
        <v>0.28999999999999998</v>
      </c>
      <c r="H84" s="127">
        <v>0.53</v>
      </c>
      <c r="I84" s="127">
        <v>0.09</v>
      </c>
      <c r="J84" s="127">
        <v>0.12</v>
      </c>
      <c r="K84" s="127">
        <v>0.42</v>
      </c>
      <c r="L84" s="127">
        <v>0.64</v>
      </c>
      <c r="M84" s="1">
        <v>0.09</v>
      </c>
      <c r="N84" s="1">
        <v>0.3</v>
      </c>
      <c r="O84" s="1">
        <v>0.09</v>
      </c>
      <c r="P84" s="1">
        <v>0.31</v>
      </c>
      <c r="Q84" s="1"/>
      <c r="R84" s="1"/>
      <c r="S84" s="1"/>
      <c r="T84" s="1"/>
      <c r="U84" s="1"/>
      <c r="V84" s="1"/>
      <c r="W84" s="1"/>
      <c r="X84" s="1"/>
      <c r="Y84" s="1"/>
    </row>
    <row r="85" spans="1:25" x14ac:dyDescent="0.2">
      <c r="A85" s="126" t="s">
        <v>383</v>
      </c>
      <c r="B85" s="127">
        <v>0.25</v>
      </c>
      <c r="C85" s="127">
        <v>0.6</v>
      </c>
      <c r="D85" s="127">
        <v>0.6</v>
      </c>
      <c r="E85" s="127">
        <v>0.13</v>
      </c>
      <c r="F85" s="127">
        <v>0.56999999999999995</v>
      </c>
      <c r="G85" s="127">
        <v>0.33</v>
      </c>
      <c r="H85" s="127">
        <v>0.56999999999999995</v>
      </c>
      <c r="I85" s="127">
        <v>0</v>
      </c>
      <c r="J85" s="127">
        <v>0.05</v>
      </c>
      <c r="K85" s="127">
        <v>0.4</v>
      </c>
      <c r="L85" s="127">
        <v>0.6</v>
      </c>
      <c r="M85" s="1">
        <v>0</v>
      </c>
      <c r="N85" s="1">
        <v>0.33</v>
      </c>
      <c r="O85" s="1">
        <v>0</v>
      </c>
      <c r="P85" s="1">
        <v>0.3</v>
      </c>
      <c r="Q85" s="1"/>
      <c r="R85" s="1"/>
      <c r="S85" s="1"/>
      <c r="T85" s="1"/>
      <c r="U85" s="1"/>
      <c r="V85" s="1"/>
      <c r="W85" s="1"/>
      <c r="X85" s="1"/>
      <c r="Y85" s="1"/>
    </row>
    <row r="86" spans="1:25" x14ac:dyDescent="0.2">
      <c r="A86" s="126" t="s">
        <v>384</v>
      </c>
      <c r="B86" s="127">
        <v>0.21</v>
      </c>
      <c r="C86" s="127">
        <v>0.42</v>
      </c>
      <c r="D86" s="127">
        <v>0.6</v>
      </c>
      <c r="E86" s="127">
        <v>0.13</v>
      </c>
      <c r="F86" s="127">
        <v>0.39</v>
      </c>
      <c r="G86" s="127">
        <v>0.26</v>
      </c>
      <c r="H86" s="127">
        <v>0.39</v>
      </c>
      <c r="I86" s="127">
        <v>0.09</v>
      </c>
      <c r="J86" s="127">
        <v>0.11</v>
      </c>
      <c r="K86" s="127">
        <v>0.32</v>
      </c>
      <c r="L86" s="127">
        <v>0.51</v>
      </c>
      <c r="M86" s="1">
        <v>0.09</v>
      </c>
      <c r="N86" s="1">
        <v>0.25</v>
      </c>
      <c r="O86" s="1">
        <v>0.09</v>
      </c>
      <c r="P86" s="1">
        <v>0.24</v>
      </c>
      <c r="Q86" s="1"/>
      <c r="R86" s="1"/>
      <c r="S86" s="1"/>
      <c r="T86" s="1"/>
      <c r="U86" s="1"/>
      <c r="V86" s="1"/>
      <c r="W86" s="1"/>
      <c r="X86" s="1"/>
      <c r="Y86" s="1"/>
    </row>
    <row r="87" spans="1:25" x14ac:dyDescent="0.2">
      <c r="A87" s="126" t="s">
        <v>385</v>
      </c>
      <c r="B87" s="127">
        <v>0.41</v>
      </c>
      <c r="C87" s="127">
        <v>0.6</v>
      </c>
      <c r="D87" s="127">
        <v>0.6</v>
      </c>
      <c r="E87" s="127">
        <v>0.33</v>
      </c>
      <c r="F87" s="127">
        <v>0.6</v>
      </c>
      <c r="G87" s="127">
        <v>0.5</v>
      </c>
      <c r="H87" s="127">
        <v>0.6</v>
      </c>
      <c r="I87" s="127">
        <v>0</v>
      </c>
      <c r="J87" s="127">
        <v>0.19</v>
      </c>
      <c r="K87" s="127">
        <v>0.47</v>
      </c>
      <c r="L87" s="127">
        <v>0.6</v>
      </c>
      <c r="M87" s="1">
        <v>0</v>
      </c>
      <c r="N87" s="1">
        <v>0.5</v>
      </c>
      <c r="O87" s="1">
        <v>0</v>
      </c>
      <c r="P87" s="1">
        <v>0.37</v>
      </c>
      <c r="Q87" s="1"/>
      <c r="R87" s="1"/>
      <c r="S87" s="1"/>
      <c r="T87" s="1"/>
      <c r="U87" s="1"/>
      <c r="V87" s="1"/>
      <c r="W87" s="1"/>
      <c r="X87" s="1"/>
      <c r="Y87" s="1"/>
    </row>
    <row r="88" spans="1:25" x14ac:dyDescent="0.2">
      <c r="A88" s="126" t="s">
        <v>386</v>
      </c>
      <c r="B88" s="127">
        <v>0.32</v>
      </c>
      <c r="C88" s="127">
        <v>0.6</v>
      </c>
      <c r="D88" s="127">
        <v>0.6</v>
      </c>
      <c r="E88" s="127">
        <v>0.19</v>
      </c>
      <c r="F88" s="127">
        <v>0.6</v>
      </c>
      <c r="G88" s="127">
        <v>0.44</v>
      </c>
      <c r="H88" s="127">
        <v>0.6</v>
      </c>
      <c r="I88" s="127">
        <v>0</v>
      </c>
      <c r="J88" s="127">
        <v>7.0000000000000007E-2</v>
      </c>
      <c r="K88" s="127">
        <v>0.45</v>
      </c>
      <c r="L88" s="127">
        <v>0.6</v>
      </c>
      <c r="M88" s="1">
        <v>0</v>
      </c>
      <c r="N88" s="1">
        <v>0.37</v>
      </c>
      <c r="O88" s="1">
        <v>0</v>
      </c>
      <c r="P88" s="1">
        <v>0.32</v>
      </c>
      <c r="Q88" s="1"/>
      <c r="R88" s="1"/>
      <c r="S88" s="1"/>
      <c r="T88" s="1"/>
      <c r="U88" s="1"/>
      <c r="V88" s="1"/>
      <c r="W88" s="1"/>
      <c r="X88" s="1"/>
      <c r="Y88" s="1"/>
    </row>
    <row r="89" spans="1:25" x14ac:dyDescent="0.2">
      <c r="A89" s="126" t="s">
        <v>387</v>
      </c>
      <c r="B89" s="127">
        <v>0.27</v>
      </c>
      <c r="C89" s="127">
        <v>0.34</v>
      </c>
      <c r="D89" s="127">
        <v>0.6</v>
      </c>
      <c r="E89" s="127">
        <v>0.34</v>
      </c>
      <c r="F89" s="127">
        <v>0.21</v>
      </c>
      <c r="G89" s="127">
        <v>0.21</v>
      </c>
      <c r="H89" s="127">
        <v>0.13</v>
      </c>
      <c r="I89" s="127">
        <v>0.47</v>
      </c>
      <c r="J89" s="127">
        <v>0.1</v>
      </c>
      <c r="K89" s="127">
        <v>0.22</v>
      </c>
      <c r="L89" s="127">
        <v>0.21</v>
      </c>
      <c r="M89" s="1">
        <v>0.34</v>
      </c>
      <c r="N89" s="1">
        <v>0.34</v>
      </c>
      <c r="O89" s="1">
        <v>0.34</v>
      </c>
      <c r="P89" s="1">
        <v>0.28000000000000003</v>
      </c>
      <c r="Q89" s="1"/>
      <c r="R89" s="1"/>
      <c r="S89" s="1"/>
      <c r="T89" s="1"/>
      <c r="U89" s="1"/>
      <c r="V89" s="1"/>
      <c r="W89" s="1"/>
      <c r="X89" s="1"/>
      <c r="Y89" s="1"/>
    </row>
    <row r="90" spans="1:25" x14ac:dyDescent="0.2">
      <c r="A90" s="126" t="s">
        <v>388</v>
      </c>
      <c r="B90" s="127">
        <v>0.1</v>
      </c>
      <c r="C90" s="127">
        <v>0.28999999999999998</v>
      </c>
      <c r="D90" s="127">
        <v>0.6</v>
      </c>
      <c r="E90" s="127">
        <v>0.06</v>
      </c>
      <c r="F90" s="127">
        <v>0.28000000000000003</v>
      </c>
      <c r="G90" s="127">
        <v>0.17</v>
      </c>
      <c r="H90" s="127">
        <v>0.28000000000000003</v>
      </c>
      <c r="I90" s="127">
        <v>0.03</v>
      </c>
      <c r="J90" s="127">
        <v>0.06</v>
      </c>
      <c r="K90" s="127">
        <v>0.24</v>
      </c>
      <c r="L90" s="127">
        <v>0.43</v>
      </c>
      <c r="M90" s="1">
        <v>0.03</v>
      </c>
      <c r="N90" s="1">
        <v>0.13</v>
      </c>
      <c r="O90" s="1">
        <v>0.03</v>
      </c>
      <c r="P90" s="1">
        <v>0.15</v>
      </c>
      <c r="Q90" s="1"/>
      <c r="R90" s="1"/>
      <c r="S90" s="1"/>
      <c r="T90" s="1"/>
      <c r="U90" s="1"/>
      <c r="V90" s="1"/>
      <c r="W90" s="1"/>
      <c r="X90" s="1"/>
      <c r="Y90" s="1"/>
    </row>
    <row r="91" spans="1:25" x14ac:dyDescent="0.2">
      <c r="A91" s="126" t="s">
        <v>389</v>
      </c>
      <c r="B91" s="127">
        <v>7.0000000000000007E-2</v>
      </c>
      <c r="C91" s="127">
        <v>0.1</v>
      </c>
      <c r="D91" s="127">
        <v>0.6</v>
      </c>
      <c r="E91" s="127">
        <v>0.11</v>
      </c>
      <c r="F91" s="127">
        <v>0</v>
      </c>
      <c r="G91" s="127">
        <v>0.02</v>
      </c>
      <c r="H91" s="127">
        <v>0</v>
      </c>
      <c r="I91" s="127">
        <v>0.27</v>
      </c>
      <c r="J91" s="127">
        <v>0</v>
      </c>
      <c r="K91" s="127">
        <v>0.06</v>
      </c>
      <c r="L91" s="127">
        <v>0.03</v>
      </c>
      <c r="M91" s="1">
        <v>0.11</v>
      </c>
      <c r="N91" s="1">
        <v>0.1</v>
      </c>
      <c r="O91" s="1">
        <v>0.15</v>
      </c>
      <c r="P91" s="1">
        <v>0.08</v>
      </c>
      <c r="Q91" s="1"/>
      <c r="R91" s="1"/>
      <c r="S91" s="1"/>
      <c r="T91" s="1"/>
      <c r="U91" s="1"/>
      <c r="V91" s="1"/>
      <c r="W91" s="1"/>
      <c r="X91" s="1"/>
      <c r="Y91" s="1"/>
    </row>
    <row r="92" spans="1:25" x14ac:dyDescent="0.2">
      <c r="A92" s="126" t="s">
        <v>390</v>
      </c>
      <c r="B92" s="127">
        <v>0.04</v>
      </c>
      <c r="C92" s="127">
        <v>0.28000000000000003</v>
      </c>
      <c r="D92" s="127">
        <v>0.6</v>
      </c>
      <c r="E92" s="127">
        <v>0.03</v>
      </c>
      <c r="F92" s="127">
        <v>0.23</v>
      </c>
      <c r="G92" s="127">
        <v>0.06</v>
      </c>
      <c r="H92" s="127">
        <v>0.19</v>
      </c>
      <c r="I92" s="127">
        <v>0.03</v>
      </c>
      <c r="J92" s="127">
        <v>0.03</v>
      </c>
      <c r="K92" s="127">
        <v>0.19</v>
      </c>
      <c r="L92" s="127">
        <v>0.4</v>
      </c>
      <c r="M92" s="1">
        <v>0.03</v>
      </c>
      <c r="N92" s="1">
        <v>0.06</v>
      </c>
      <c r="O92" s="1">
        <v>0.03</v>
      </c>
      <c r="P92" s="1">
        <v>0.09</v>
      </c>
      <c r="Q92" s="1"/>
      <c r="R92" s="1"/>
      <c r="S92" s="1"/>
      <c r="T92" s="1"/>
      <c r="U92" s="1"/>
      <c r="V92" s="1"/>
      <c r="W92" s="1"/>
      <c r="X92" s="1"/>
      <c r="Y92" s="1"/>
    </row>
    <row r="93" spans="1:25" x14ac:dyDescent="0.2">
      <c r="A93" s="126" t="s">
        <v>391</v>
      </c>
      <c r="B93" s="127">
        <v>7.0000000000000007E-2</v>
      </c>
      <c r="C93" s="127">
        <v>0.15</v>
      </c>
      <c r="D93" s="127">
        <v>0.6</v>
      </c>
      <c r="E93" s="127">
        <v>0.08</v>
      </c>
      <c r="F93" s="127">
        <v>0.09</v>
      </c>
      <c r="G93" s="127">
        <v>7.0000000000000007E-2</v>
      </c>
      <c r="H93" s="127">
        <v>7.0000000000000007E-2</v>
      </c>
      <c r="I93" s="127">
        <v>0.15</v>
      </c>
      <c r="J93" s="127">
        <v>-0.03</v>
      </c>
      <c r="K93" s="127">
        <v>0.06</v>
      </c>
      <c r="L93" s="127">
        <v>0.15</v>
      </c>
      <c r="M93" s="1">
        <v>0.08</v>
      </c>
      <c r="N93" s="1">
        <v>0.08</v>
      </c>
      <c r="O93" s="1">
        <v>0.12</v>
      </c>
      <c r="P93" s="1">
        <v>0.09</v>
      </c>
      <c r="Q93" s="1"/>
      <c r="R93" s="1"/>
      <c r="S93" s="1"/>
      <c r="T93" s="1"/>
      <c r="U93" s="1"/>
      <c r="V93" s="1"/>
      <c r="W93" s="1"/>
      <c r="X93" s="1"/>
      <c r="Y93" s="1"/>
    </row>
    <row r="94" spans="1:25" x14ac:dyDescent="0.2">
      <c r="A94" s="126" t="s">
        <v>392</v>
      </c>
      <c r="B94" s="127">
        <v>0.18</v>
      </c>
      <c r="C94" s="127">
        <v>0.43</v>
      </c>
      <c r="D94" s="127">
        <v>0.6</v>
      </c>
      <c r="E94" s="127">
        <v>0.13</v>
      </c>
      <c r="F94" s="127">
        <v>0.36</v>
      </c>
      <c r="G94" s="127">
        <v>0.23</v>
      </c>
      <c r="H94" s="127">
        <v>0.36</v>
      </c>
      <c r="I94" s="127">
        <v>0.03</v>
      </c>
      <c r="J94" s="127">
        <v>0.09</v>
      </c>
      <c r="K94" s="127">
        <v>0.31</v>
      </c>
      <c r="L94" s="127">
        <v>0.5</v>
      </c>
      <c r="M94" s="1">
        <v>0.03</v>
      </c>
      <c r="N94" s="1">
        <v>0.23</v>
      </c>
      <c r="O94" s="1">
        <v>0.03</v>
      </c>
      <c r="P94" s="1">
        <v>0.21</v>
      </c>
      <c r="Q94" s="1"/>
      <c r="R94" s="1"/>
      <c r="S94" s="1"/>
      <c r="T94" s="1"/>
      <c r="U94" s="1"/>
      <c r="V94" s="1"/>
      <c r="W94" s="1"/>
      <c r="X94" s="1"/>
      <c r="Y94" s="1"/>
    </row>
    <row r="95" spans="1:25" x14ac:dyDescent="0.2">
      <c r="A95" s="126" t="s">
        <v>393</v>
      </c>
      <c r="B95" s="127">
        <v>-0.03</v>
      </c>
      <c r="C95" s="127">
        <v>0</v>
      </c>
      <c r="D95" s="127">
        <v>0.6</v>
      </c>
      <c r="E95" s="127">
        <v>-0.03</v>
      </c>
      <c r="F95" s="127">
        <v>0</v>
      </c>
      <c r="G95" s="127">
        <v>0</v>
      </c>
      <c r="H95" s="127">
        <v>0</v>
      </c>
      <c r="I95" s="127">
        <v>-0.03</v>
      </c>
      <c r="J95" s="127">
        <v>-0.03</v>
      </c>
      <c r="K95" s="127">
        <v>0</v>
      </c>
      <c r="L95" s="127">
        <v>7.0000000000000007E-2</v>
      </c>
      <c r="M95" s="1">
        <v>0</v>
      </c>
      <c r="N95" s="1">
        <v>0</v>
      </c>
      <c r="O95" s="1">
        <v>0</v>
      </c>
      <c r="P95" s="1">
        <v>-0.02</v>
      </c>
      <c r="Q95" s="1"/>
      <c r="R95" s="1"/>
      <c r="S95" s="1"/>
      <c r="T95" s="1"/>
      <c r="U95" s="1"/>
      <c r="V95" s="1"/>
      <c r="W95" s="1"/>
      <c r="X95" s="1"/>
      <c r="Y95" s="1"/>
    </row>
    <row r="96" spans="1:25" x14ac:dyDescent="0.2">
      <c r="A96" s="126" t="s">
        <v>394</v>
      </c>
      <c r="B96" s="127">
        <v>-0.03</v>
      </c>
      <c r="C96" s="127">
        <v>0</v>
      </c>
      <c r="D96" s="127">
        <v>0.6</v>
      </c>
      <c r="E96" s="127">
        <v>-0.03</v>
      </c>
      <c r="F96" s="127">
        <v>0</v>
      </c>
      <c r="G96" s="127">
        <v>0</v>
      </c>
      <c r="H96" s="127">
        <v>0</v>
      </c>
      <c r="I96" s="127">
        <v>-0.03</v>
      </c>
      <c r="J96" s="127">
        <v>-0.03</v>
      </c>
      <c r="K96" s="127">
        <v>-0.01</v>
      </c>
      <c r="L96" s="127">
        <v>0.02</v>
      </c>
      <c r="M96" s="1">
        <v>0</v>
      </c>
      <c r="N96" s="1">
        <v>0</v>
      </c>
      <c r="O96" s="1">
        <v>0</v>
      </c>
      <c r="P96" s="1">
        <v>-0.02</v>
      </c>
      <c r="Q96" s="1"/>
      <c r="R96" s="1"/>
      <c r="S96" s="1"/>
      <c r="T96" s="1"/>
      <c r="U96" s="1"/>
      <c r="V96" s="1"/>
      <c r="W96" s="1"/>
      <c r="X96" s="1"/>
      <c r="Y96" s="1"/>
    </row>
    <row r="97" spans="1:25" x14ac:dyDescent="0.2">
      <c r="A97" s="126" t="s">
        <v>395</v>
      </c>
      <c r="B97" s="127">
        <v>0.36</v>
      </c>
      <c r="C97" s="127">
        <v>0.66</v>
      </c>
      <c r="D97" s="127">
        <v>0.6</v>
      </c>
      <c r="E97" s="127">
        <v>0.28999999999999998</v>
      </c>
      <c r="F97" s="127">
        <v>0.59</v>
      </c>
      <c r="G97" s="127">
        <v>0.45</v>
      </c>
      <c r="H97" s="127">
        <v>0.59</v>
      </c>
      <c r="I97" s="127">
        <v>0.09</v>
      </c>
      <c r="J97" s="127">
        <v>0.2</v>
      </c>
      <c r="K97" s="127">
        <v>0.5</v>
      </c>
      <c r="L97" s="127">
        <v>0.69</v>
      </c>
      <c r="M97" s="1">
        <v>0.09</v>
      </c>
      <c r="N97" s="1">
        <v>0.42</v>
      </c>
      <c r="O97" s="1">
        <v>0.09</v>
      </c>
      <c r="P97" s="1">
        <v>0.37</v>
      </c>
      <c r="Q97" s="1"/>
      <c r="R97" s="1"/>
      <c r="S97" s="1"/>
      <c r="T97" s="1"/>
      <c r="U97" s="1"/>
      <c r="V97" s="1"/>
      <c r="W97" s="1"/>
      <c r="X97" s="1"/>
      <c r="Y97" s="1"/>
    </row>
    <row r="98" spans="1:25" x14ac:dyDescent="0.2">
      <c r="A98" s="126" t="s">
        <v>396</v>
      </c>
      <c r="B98" s="127">
        <v>0.22</v>
      </c>
      <c r="C98" s="127">
        <v>0.53</v>
      </c>
      <c r="D98" s="127">
        <v>0.6</v>
      </c>
      <c r="E98" s="127">
        <v>0.18</v>
      </c>
      <c r="F98" s="127">
        <v>0.46</v>
      </c>
      <c r="G98" s="127">
        <v>0.26</v>
      </c>
      <c r="H98" s="127">
        <v>0.43</v>
      </c>
      <c r="I98" s="127">
        <v>0.06</v>
      </c>
      <c r="J98" s="127">
        <v>0.1</v>
      </c>
      <c r="K98" s="127">
        <v>0.35</v>
      </c>
      <c r="L98" s="127">
        <v>0.56000000000000005</v>
      </c>
      <c r="M98" s="1">
        <v>0.06</v>
      </c>
      <c r="N98" s="1">
        <v>0.26</v>
      </c>
      <c r="O98" s="1">
        <v>0.06</v>
      </c>
      <c r="P98" s="1">
        <v>0.25</v>
      </c>
      <c r="Q98" s="1"/>
      <c r="R98" s="1"/>
      <c r="S98" s="1"/>
      <c r="T98" s="1"/>
      <c r="U98" s="1"/>
      <c r="V98" s="1"/>
      <c r="W98" s="1"/>
      <c r="X98" s="1"/>
      <c r="Y98" s="1"/>
    </row>
    <row r="99" spans="1:25" x14ac:dyDescent="0.2">
      <c r="A99" s="126" t="s">
        <v>397</v>
      </c>
      <c r="B99" s="127">
        <v>0.14000000000000001</v>
      </c>
      <c r="C99" s="127">
        <v>0.33</v>
      </c>
      <c r="D99" s="127">
        <v>0.6</v>
      </c>
      <c r="E99" s="127">
        <v>0.1</v>
      </c>
      <c r="F99" s="127">
        <v>0.32</v>
      </c>
      <c r="G99" s="127">
        <v>0.18</v>
      </c>
      <c r="H99" s="127">
        <v>0.32</v>
      </c>
      <c r="I99" s="127">
        <v>0.09</v>
      </c>
      <c r="J99" s="127">
        <v>0.09</v>
      </c>
      <c r="K99" s="127">
        <v>0.27</v>
      </c>
      <c r="L99" s="127">
        <v>0.48</v>
      </c>
      <c r="M99" s="1">
        <v>0.09</v>
      </c>
      <c r="N99" s="1">
        <v>0.18</v>
      </c>
      <c r="O99" s="1">
        <v>0.09</v>
      </c>
      <c r="P99" s="1">
        <v>0.18</v>
      </c>
      <c r="Q99" s="1"/>
      <c r="R99" s="1"/>
      <c r="S99" s="1"/>
      <c r="T99" s="1"/>
      <c r="U99" s="1"/>
      <c r="V99" s="1"/>
      <c r="W99" s="1"/>
      <c r="X99" s="1"/>
      <c r="Y99" s="1"/>
    </row>
    <row r="100" spans="1:25" x14ac:dyDescent="0.2">
      <c r="A100" s="126" t="s">
        <v>398</v>
      </c>
      <c r="B100" s="127">
        <v>0.12</v>
      </c>
      <c r="C100" s="127">
        <v>0.21</v>
      </c>
      <c r="D100" s="127">
        <v>0.6</v>
      </c>
      <c r="E100" s="127">
        <v>0.1</v>
      </c>
      <c r="F100" s="127">
        <v>0.19</v>
      </c>
      <c r="G100" s="127">
        <v>0.14000000000000001</v>
      </c>
      <c r="H100" s="127">
        <v>0.18</v>
      </c>
      <c r="I100" s="127">
        <v>0.09</v>
      </c>
      <c r="J100" s="127">
        <v>0.09</v>
      </c>
      <c r="K100" s="127">
        <v>0.18</v>
      </c>
      <c r="L100" s="127">
        <v>0.28999999999999998</v>
      </c>
      <c r="M100" s="1">
        <v>0.09</v>
      </c>
      <c r="N100" s="1">
        <v>0.14000000000000001</v>
      </c>
      <c r="O100" s="1">
        <v>0.09</v>
      </c>
      <c r="P100" s="1">
        <v>0.13</v>
      </c>
      <c r="Q100" s="1"/>
      <c r="R100" s="1"/>
      <c r="S100" s="1"/>
      <c r="T100" s="1"/>
      <c r="U100" s="1"/>
      <c r="V100" s="1"/>
      <c r="W100" s="1"/>
      <c r="X100" s="1"/>
      <c r="Y100" s="1"/>
    </row>
    <row r="101" spans="1:25" x14ac:dyDescent="0.2">
      <c r="A101" s="126" t="s">
        <v>399</v>
      </c>
      <c r="B101" s="127">
        <v>0.09</v>
      </c>
      <c r="C101" s="127">
        <v>0.09</v>
      </c>
      <c r="D101" s="127">
        <v>0.6</v>
      </c>
      <c r="E101" s="127">
        <v>0.09</v>
      </c>
      <c r="F101" s="127">
        <v>0.09</v>
      </c>
      <c r="G101" s="127">
        <v>0.09</v>
      </c>
      <c r="H101" s="127">
        <v>0.09</v>
      </c>
      <c r="I101" s="127">
        <v>0.09</v>
      </c>
      <c r="J101" s="127">
        <v>0.09</v>
      </c>
      <c r="K101" s="127">
        <v>0.1</v>
      </c>
      <c r="L101" s="127">
        <v>0.12</v>
      </c>
      <c r="M101" s="1">
        <v>0.09</v>
      </c>
      <c r="N101" s="1">
        <v>0.09</v>
      </c>
      <c r="O101" s="1">
        <v>0.09</v>
      </c>
      <c r="P101" s="1">
        <v>0.09</v>
      </c>
      <c r="Q101" s="1"/>
      <c r="R101" s="1"/>
      <c r="S101" s="1"/>
      <c r="T101" s="1"/>
      <c r="U101" s="1"/>
      <c r="V101" s="1"/>
      <c r="W101" s="1"/>
      <c r="X101" s="1"/>
      <c r="Y101" s="1"/>
    </row>
    <row r="102" spans="1:25" x14ac:dyDescent="0.2">
      <c r="A102" s="126" t="s">
        <v>400</v>
      </c>
      <c r="B102" s="127">
        <v>0.64</v>
      </c>
      <c r="C102" s="127">
        <v>0.69</v>
      </c>
      <c r="D102" s="127">
        <v>0.6</v>
      </c>
      <c r="E102" s="127">
        <v>0.59</v>
      </c>
      <c r="F102" s="127">
        <v>0.69</v>
      </c>
      <c r="G102" s="127">
        <v>0.69</v>
      </c>
      <c r="H102" s="127">
        <v>0.69</v>
      </c>
      <c r="I102" s="127">
        <v>0.09</v>
      </c>
      <c r="J102" s="127">
        <v>0.52</v>
      </c>
      <c r="K102" s="127">
        <v>0.65</v>
      </c>
      <c r="L102" s="127">
        <v>0.69</v>
      </c>
      <c r="M102" s="1">
        <v>0.09</v>
      </c>
      <c r="N102" s="1">
        <v>0.69</v>
      </c>
      <c r="O102" s="1">
        <v>0.1</v>
      </c>
      <c r="P102" s="1">
        <v>0.49</v>
      </c>
      <c r="Q102" s="1"/>
      <c r="R102" s="1"/>
      <c r="S102" s="1"/>
      <c r="T102" s="1"/>
      <c r="U102" s="1"/>
      <c r="V102" s="1"/>
      <c r="W102" s="1"/>
      <c r="X102" s="1"/>
      <c r="Y102" s="1"/>
    </row>
    <row r="103" spans="1:25" x14ac:dyDescent="0.2">
      <c r="A103" s="126" t="s">
        <v>401</v>
      </c>
      <c r="B103" s="127">
        <v>0.28000000000000003</v>
      </c>
      <c r="C103" s="127">
        <v>0.33</v>
      </c>
      <c r="D103" s="127">
        <v>0.6</v>
      </c>
      <c r="E103" s="127">
        <v>0.28000000000000003</v>
      </c>
      <c r="F103" s="127">
        <v>0.28000000000000003</v>
      </c>
      <c r="G103" s="127">
        <v>0.28000000000000003</v>
      </c>
      <c r="H103" s="127">
        <v>0.19</v>
      </c>
      <c r="I103" s="127">
        <v>0.15</v>
      </c>
      <c r="J103" s="127">
        <v>0.13</v>
      </c>
      <c r="K103" s="127">
        <v>0.26</v>
      </c>
      <c r="L103" s="127">
        <v>0.28000000000000003</v>
      </c>
      <c r="M103" s="1">
        <v>0.15</v>
      </c>
      <c r="N103" s="1">
        <v>0.28000000000000003</v>
      </c>
      <c r="O103" s="1">
        <v>0.15</v>
      </c>
      <c r="P103" s="1">
        <v>0.23</v>
      </c>
      <c r="Q103" s="1"/>
      <c r="R103" s="1"/>
      <c r="S103" s="1"/>
      <c r="T103" s="1"/>
      <c r="U103" s="1"/>
      <c r="V103" s="1"/>
      <c r="W103" s="1"/>
      <c r="X103" s="1"/>
      <c r="Y103" s="1"/>
    </row>
    <row r="104" spans="1:25" x14ac:dyDescent="0.2">
      <c r="A104" s="126" t="s">
        <v>402</v>
      </c>
      <c r="B104" s="127">
        <v>0.57999999999999996</v>
      </c>
      <c r="C104" s="127">
        <v>0.63</v>
      </c>
      <c r="D104" s="127">
        <v>0.6</v>
      </c>
      <c r="E104" s="127">
        <v>0.53</v>
      </c>
      <c r="F104" s="127">
        <v>0.63</v>
      </c>
      <c r="G104" s="127">
        <v>0.63</v>
      </c>
      <c r="H104" s="127">
        <v>0.63</v>
      </c>
      <c r="I104" s="127">
        <v>0.03</v>
      </c>
      <c r="J104" s="127">
        <v>0.49</v>
      </c>
      <c r="K104" s="127">
        <v>0.59</v>
      </c>
      <c r="L104" s="127">
        <v>0.63</v>
      </c>
      <c r="M104" s="1">
        <v>0.06</v>
      </c>
      <c r="N104" s="1">
        <v>0.63</v>
      </c>
      <c r="O104" s="1">
        <v>0.17</v>
      </c>
      <c r="P104" s="1">
        <v>0.48</v>
      </c>
      <c r="Q104" s="1"/>
      <c r="R104" s="1"/>
      <c r="S104" s="1"/>
      <c r="T104" s="1"/>
      <c r="U104" s="1"/>
      <c r="V104" s="1"/>
      <c r="W104" s="1"/>
      <c r="X104" s="1"/>
      <c r="Y104" s="1"/>
    </row>
    <row r="105" spans="1:25" x14ac:dyDescent="0.2">
      <c r="A105" s="126" t="s">
        <v>403</v>
      </c>
      <c r="B105" s="127">
        <v>0.35</v>
      </c>
      <c r="C105" s="127">
        <v>0.63</v>
      </c>
      <c r="D105" s="127">
        <v>0.6</v>
      </c>
      <c r="E105" s="127">
        <v>0.28000000000000003</v>
      </c>
      <c r="F105" s="127">
        <v>0.63</v>
      </c>
      <c r="G105" s="127">
        <v>0.42</v>
      </c>
      <c r="H105" s="127">
        <v>0.56000000000000005</v>
      </c>
      <c r="I105" s="127">
        <v>0.06</v>
      </c>
      <c r="J105" s="127">
        <v>0.22</v>
      </c>
      <c r="K105" s="127">
        <v>0.48</v>
      </c>
      <c r="L105" s="127">
        <v>0.66</v>
      </c>
      <c r="M105" s="1">
        <v>0.06</v>
      </c>
      <c r="N105" s="1">
        <v>0.42</v>
      </c>
      <c r="O105" s="1">
        <v>0.06</v>
      </c>
      <c r="P105" s="1">
        <v>0.34</v>
      </c>
      <c r="Q105" s="1"/>
      <c r="R105" s="1"/>
      <c r="S105" s="1"/>
      <c r="T105" s="1"/>
      <c r="U105" s="1"/>
      <c r="V105" s="1"/>
      <c r="W105" s="1"/>
      <c r="X105" s="1"/>
      <c r="Y105" s="1"/>
    </row>
    <row r="106" spans="1:25" x14ac:dyDescent="0.2">
      <c r="A106" s="126" t="s">
        <v>404</v>
      </c>
      <c r="B106" s="127">
        <v>0.6</v>
      </c>
      <c r="C106" s="127">
        <v>0.66</v>
      </c>
      <c r="D106" s="127">
        <v>0.6</v>
      </c>
      <c r="E106" s="127">
        <v>0.56000000000000005</v>
      </c>
      <c r="F106" s="127">
        <v>0.66</v>
      </c>
      <c r="G106" s="127">
        <v>0.63</v>
      </c>
      <c r="H106" s="127">
        <v>0.66</v>
      </c>
      <c r="I106" s="127">
        <v>0.06</v>
      </c>
      <c r="J106" s="127">
        <v>0.49</v>
      </c>
      <c r="K106" s="127">
        <v>0.62</v>
      </c>
      <c r="L106" s="127">
        <v>0.66</v>
      </c>
      <c r="M106" s="1">
        <v>0.13</v>
      </c>
      <c r="N106" s="1">
        <v>0.63</v>
      </c>
      <c r="O106" s="1">
        <v>0.2</v>
      </c>
      <c r="P106" s="1">
        <v>0.5</v>
      </c>
      <c r="Q106" s="1"/>
      <c r="R106" s="1"/>
      <c r="S106" s="1"/>
      <c r="T106" s="1"/>
      <c r="U106" s="1"/>
      <c r="V106" s="1"/>
      <c r="W106" s="1"/>
      <c r="X106" s="1"/>
      <c r="Y106" s="1"/>
    </row>
    <row r="107" spans="1:25" x14ac:dyDescent="0.2">
      <c r="A107" s="126" t="s">
        <v>405</v>
      </c>
      <c r="B107" s="127">
        <v>0.34</v>
      </c>
      <c r="C107" s="127">
        <v>0.63</v>
      </c>
      <c r="D107" s="127">
        <v>0.6</v>
      </c>
      <c r="E107" s="127">
        <v>0.28999999999999998</v>
      </c>
      <c r="F107" s="127">
        <v>0.56000000000000005</v>
      </c>
      <c r="G107" s="127">
        <v>0.42</v>
      </c>
      <c r="H107" s="127">
        <v>0.56000000000000005</v>
      </c>
      <c r="I107" s="127">
        <v>0.06</v>
      </c>
      <c r="J107" s="127">
        <v>0.23</v>
      </c>
      <c r="K107" s="127">
        <v>0.47</v>
      </c>
      <c r="L107" s="127">
        <v>0.66</v>
      </c>
      <c r="M107" s="1">
        <v>0.06</v>
      </c>
      <c r="N107" s="1">
        <v>0.4</v>
      </c>
      <c r="O107" s="1">
        <v>0.06</v>
      </c>
      <c r="P107" s="1">
        <v>0.34</v>
      </c>
      <c r="Q107" s="1"/>
      <c r="R107" s="1"/>
      <c r="S107" s="1"/>
      <c r="T107" s="1"/>
      <c r="U107" s="1"/>
      <c r="V107" s="1"/>
      <c r="W107" s="1"/>
      <c r="X107" s="1"/>
      <c r="Y107" s="1"/>
    </row>
    <row r="108" spans="1:25" x14ac:dyDescent="0.2">
      <c r="A108" s="126" t="s">
        <v>406</v>
      </c>
      <c r="B108" s="127">
        <v>-0.03</v>
      </c>
      <c r="C108" s="127">
        <v>7.0000000000000007E-2</v>
      </c>
      <c r="D108" s="127">
        <v>0.6</v>
      </c>
      <c r="E108" s="127">
        <v>-0.03</v>
      </c>
      <c r="F108" s="127">
        <v>0</v>
      </c>
      <c r="G108" s="127">
        <v>0</v>
      </c>
      <c r="H108" s="127">
        <v>0</v>
      </c>
      <c r="I108" s="127">
        <v>-0.03</v>
      </c>
      <c r="J108" s="127">
        <v>-0.03</v>
      </c>
      <c r="K108" s="127">
        <v>0.01</v>
      </c>
      <c r="L108" s="127">
        <v>0.09</v>
      </c>
      <c r="M108" s="1">
        <v>0</v>
      </c>
      <c r="N108" s="1">
        <v>0</v>
      </c>
      <c r="O108" s="1">
        <v>0</v>
      </c>
      <c r="P108" s="1">
        <v>-0.02</v>
      </c>
      <c r="Q108" s="1"/>
      <c r="R108" s="1"/>
      <c r="S108" s="1"/>
      <c r="T108" s="1"/>
      <c r="U108" s="1"/>
      <c r="V108" s="1"/>
      <c r="W108" s="1"/>
      <c r="X108" s="1"/>
      <c r="Y108" s="1"/>
    </row>
    <row r="109" spans="1:25" x14ac:dyDescent="0.2">
      <c r="A109" s="126" t="s">
        <v>407</v>
      </c>
      <c r="B109" s="127">
        <v>0.68</v>
      </c>
      <c r="C109" s="127">
        <v>0.69</v>
      </c>
      <c r="D109" s="127">
        <v>0.6</v>
      </c>
      <c r="E109" s="127">
        <v>0.59</v>
      </c>
      <c r="F109" s="127">
        <v>0.69</v>
      </c>
      <c r="G109" s="127">
        <v>0.69</v>
      </c>
      <c r="H109" s="127">
        <v>0.69</v>
      </c>
      <c r="I109" s="127">
        <v>0.09</v>
      </c>
      <c r="J109" s="127">
        <v>0.59</v>
      </c>
      <c r="K109" s="127">
        <v>0.66</v>
      </c>
      <c r="L109" s="127">
        <v>0.69</v>
      </c>
      <c r="M109" s="1">
        <v>0.09</v>
      </c>
      <c r="N109" s="1">
        <v>0.69</v>
      </c>
      <c r="O109" s="1">
        <v>0.16</v>
      </c>
      <c r="P109" s="1">
        <v>0.51</v>
      </c>
      <c r="Q109" s="1"/>
      <c r="R109" s="1"/>
      <c r="S109" s="1"/>
      <c r="T109" s="1"/>
      <c r="U109" s="1"/>
      <c r="V109" s="1"/>
      <c r="W109" s="1"/>
      <c r="X109" s="1"/>
      <c r="Y109" s="1"/>
    </row>
    <row r="110" spans="1:25" x14ac:dyDescent="0.2">
      <c r="A110" s="126" t="s">
        <v>408</v>
      </c>
      <c r="B110" s="127">
        <v>0.54</v>
      </c>
      <c r="C110" s="127">
        <v>0.66</v>
      </c>
      <c r="D110" s="127">
        <v>0.6</v>
      </c>
      <c r="E110" s="127">
        <v>0.42</v>
      </c>
      <c r="F110" s="127">
        <v>0.66</v>
      </c>
      <c r="G110" s="127">
        <v>0.56000000000000005</v>
      </c>
      <c r="H110" s="127">
        <v>0.66</v>
      </c>
      <c r="I110" s="127">
        <v>0.06</v>
      </c>
      <c r="J110" s="127">
        <v>0.39</v>
      </c>
      <c r="K110" s="127">
        <v>0.59</v>
      </c>
      <c r="L110" s="127">
        <v>0.66</v>
      </c>
      <c r="M110" s="1">
        <v>0.06</v>
      </c>
      <c r="N110" s="1">
        <v>0.56000000000000005</v>
      </c>
      <c r="O110" s="1">
        <v>0.06</v>
      </c>
      <c r="P110" s="1">
        <v>0.43</v>
      </c>
      <c r="Q110" s="1"/>
      <c r="R110" s="1"/>
      <c r="S110" s="1"/>
      <c r="T110" s="1"/>
      <c r="U110" s="1"/>
      <c r="V110" s="1"/>
      <c r="W110" s="1"/>
      <c r="X110" s="1"/>
      <c r="Y110" s="1"/>
    </row>
    <row r="111" spans="1:25" x14ac:dyDescent="0.2">
      <c r="A111" s="126" t="s">
        <v>409</v>
      </c>
      <c r="B111" s="127">
        <v>-0.03</v>
      </c>
      <c r="C111" s="127">
        <v>0.2</v>
      </c>
      <c r="D111" s="127">
        <v>0.6</v>
      </c>
      <c r="E111" s="127">
        <v>-0.03</v>
      </c>
      <c r="F111" s="127">
        <v>0.11</v>
      </c>
      <c r="G111" s="127">
        <v>0</v>
      </c>
      <c r="H111" s="127">
        <v>0.11</v>
      </c>
      <c r="I111" s="127">
        <v>-0.03</v>
      </c>
      <c r="J111" s="127">
        <v>-0.03</v>
      </c>
      <c r="K111" s="127">
        <v>0.11</v>
      </c>
      <c r="L111" s="127">
        <v>0.34</v>
      </c>
      <c r="M111" s="1">
        <v>0</v>
      </c>
      <c r="N111" s="1">
        <v>0</v>
      </c>
      <c r="O111" s="1">
        <v>0</v>
      </c>
      <c r="P111" s="1">
        <v>0.02</v>
      </c>
      <c r="Q111" s="1"/>
      <c r="R111" s="1"/>
      <c r="S111" s="1"/>
      <c r="T111" s="1"/>
      <c r="U111" s="1"/>
      <c r="V111" s="1"/>
      <c r="W111" s="1"/>
      <c r="X111" s="1"/>
      <c r="Y111" s="1"/>
    </row>
    <row r="112" spans="1:25" x14ac:dyDescent="0.2">
      <c r="A112" s="126" t="s">
        <v>410</v>
      </c>
      <c r="B112" s="127">
        <v>-0.02</v>
      </c>
      <c r="C112" s="127">
        <v>0.13</v>
      </c>
      <c r="D112" s="127">
        <v>0.6</v>
      </c>
      <c r="E112" s="127">
        <v>-0.03</v>
      </c>
      <c r="F112" s="127">
        <v>0.09</v>
      </c>
      <c r="G112" s="127">
        <v>0</v>
      </c>
      <c r="H112" s="127">
        <v>7.0000000000000007E-2</v>
      </c>
      <c r="I112" s="127">
        <v>-0.03</v>
      </c>
      <c r="J112" s="127">
        <v>-0.03</v>
      </c>
      <c r="K112" s="127">
        <v>0.09</v>
      </c>
      <c r="L112" s="127">
        <v>0.33</v>
      </c>
      <c r="M112" s="1">
        <v>0</v>
      </c>
      <c r="N112" s="1">
        <v>0</v>
      </c>
      <c r="O112" s="1">
        <v>0</v>
      </c>
      <c r="P112" s="1">
        <v>0.01</v>
      </c>
      <c r="Q112" s="1"/>
      <c r="R112" s="1"/>
      <c r="S112" s="1"/>
      <c r="T112" s="1"/>
      <c r="U112" s="1"/>
      <c r="V112" s="1"/>
      <c r="W112" s="1"/>
      <c r="X112" s="1"/>
      <c r="Y112" s="1"/>
    </row>
    <row r="113" spans="1:25" x14ac:dyDescent="0.2">
      <c r="A113" s="126" t="s">
        <v>411</v>
      </c>
      <c r="B113" s="127">
        <v>0.25</v>
      </c>
      <c r="C113" s="127">
        <v>0.46</v>
      </c>
      <c r="D113" s="127">
        <v>0.6</v>
      </c>
      <c r="E113" s="127">
        <v>0.16</v>
      </c>
      <c r="F113" s="127">
        <v>0.42</v>
      </c>
      <c r="G113" s="127">
        <v>0.28000000000000003</v>
      </c>
      <c r="H113" s="127">
        <v>0.42</v>
      </c>
      <c r="I113" s="127">
        <v>0.06</v>
      </c>
      <c r="J113" s="127">
        <v>0.11</v>
      </c>
      <c r="K113" s="127">
        <v>0.35</v>
      </c>
      <c r="L113" s="127">
        <v>0.56000000000000005</v>
      </c>
      <c r="M113" s="1">
        <v>0.06</v>
      </c>
      <c r="N113" s="1">
        <v>0.28000000000000003</v>
      </c>
      <c r="O113" s="1">
        <v>0.06</v>
      </c>
      <c r="P113" s="1">
        <v>0.25</v>
      </c>
      <c r="Q113" s="1"/>
      <c r="R113" s="1"/>
      <c r="S113" s="1"/>
      <c r="T113" s="1"/>
      <c r="U113" s="1"/>
      <c r="V113" s="1"/>
      <c r="W113" s="1"/>
      <c r="X113" s="1"/>
      <c r="Y113" s="1"/>
    </row>
    <row r="114" spans="1:25" x14ac:dyDescent="0.2">
      <c r="A114" s="126" t="s">
        <v>412</v>
      </c>
      <c r="B114" s="127">
        <v>7.0000000000000007E-2</v>
      </c>
      <c r="C114" s="127">
        <v>0.36</v>
      </c>
      <c r="D114" s="127">
        <v>0.6</v>
      </c>
      <c r="E114" s="127">
        <v>0.03</v>
      </c>
      <c r="F114" s="127">
        <v>0.28999999999999998</v>
      </c>
      <c r="G114" s="127">
        <v>0.12</v>
      </c>
      <c r="H114" s="127">
        <v>0.28999999999999998</v>
      </c>
      <c r="I114" s="127">
        <v>0</v>
      </c>
      <c r="J114" s="127">
        <v>0</v>
      </c>
      <c r="K114" s="127">
        <v>0.23</v>
      </c>
      <c r="L114" s="127">
        <v>0.5</v>
      </c>
      <c r="M114" s="1">
        <v>0</v>
      </c>
      <c r="N114" s="1">
        <v>0.1</v>
      </c>
      <c r="O114" s="1">
        <v>0</v>
      </c>
      <c r="P114" s="1">
        <v>0.13</v>
      </c>
      <c r="Q114" s="1"/>
      <c r="R114" s="1"/>
      <c r="S114" s="1"/>
      <c r="T114" s="1"/>
      <c r="U114" s="1"/>
      <c r="V114" s="1"/>
      <c r="W114" s="1"/>
      <c r="X114" s="1"/>
      <c r="Y114" s="1"/>
    </row>
    <row r="115" spans="1:25" x14ac:dyDescent="0.2">
      <c r="A115" s="126" t="s">
        <v>413</v>
      </c>
      <c r="B115" s="127">
        <v>0.16</v>
      </c>
      <c r="C115" s="127">
        <v>0.46</v>
      </c>
      <c r="D115" s="127">
        <v>0.6</v>
      </c>
      <c r="E115" s="127">
        <v>0.1</v>
      </c>
      <c r="F115" s="127">
        <v>0.43</v>
      </c>
      <c r="G115" s="127">
        <v>0.2</v>
      </c>
      <c r="H115" s="127">
        <v>0.43</v>
      </c>
      <c r="I115" s="127">
        <v>0</v>
      </c>
      <c r="J115" s="127">
        <v>0.04</v>
      </c>
      <c r="K115" s="127">
        <v>0.31</v>
      </c>
      <c r="L115" s="127">
        <v>0.5</v>
      </c>
      <c r="M115" s="1">
        <v>0</v>
      </c>
      <c r="N115" s="1">
        <v>0.2</v>
      </c>
      <c r="O115" s="1">
        <v>0</v>
      </c>
      <c r="P115" s="1">
        <v>0.21</v>
      </c>
      <c r="Q115" s="1"/>
      <c r="R115" s="1"/>
      <c r="S115" s="1"/>
      <c r="T115" s="1"/>
      <c r="U115" s="1"/>
      <c r="V115" s="1"/>
      <c r="W115" s="1"/>
      <c r="X115" s="1"/>
      <c r="Y115" s="1"/>
    </row>
    <row r="116" spans="1:25" x14ac:dyDescent="0.2">
      <c r="A116" s="126" t="s">
        <v>414</v>
      </c>
      <c r="B116" s="127">
        <v>0.03</v>
      </c>
      <c r="C116" s="127">
        <v>0.13</v>
      </c>
      <c r="D116" s="127">
        <v>0.6</v>
      </c>
      <c r="E116" s="127">
        <v>0.03</v>
      </c>
      <c r="F116" s="127">
        <v>0.12</v>
      </c>
      <c r="G116" s="127">
        <v>0.04</v>
      </c>
      <c r="H116" s="127">
        <v>0.11</v>
      </c>
      <c r="I116" s="127">
        <v>0.03</v>
      </c>
      <c r="J116" s="127">
        <v>0.03</v>
      </c>
      <c r="K116" s="127">
        <v>0.1</v>
      </c>
      <c r="L116" s="127">
        <v>0.22</v>
      </c>
      <c r="M116" s="1">
        <v>0.03</v>
      </c>
      <c r="N116" s="1">
        <v>0.04</v>
      </c>
      <c r="O116" s="1">
        <v>0.03</v>
      </c>
      <c r="P116" s="1">
        <v>0.06</v>
      </c>
      <c r="Q116" s="1"/>
      <c r="R116" s="1"/>
      <c r="S116" s="1"/>
      <c r="T116" s="1"/>
      <c r="U116" s="1"/>
      <c r="V116" s="1"/>
      <c r="W116" s="1"/>
      <c r="X116" s="1"/>
      <c r="Y116" s="1"/>
    </row>
    <row r="117" spans="1:25" x14ac:dyDescent="0.2">
      <c r="A117" s="126" t="s">
        <v>415</v>
      </c>
      <c r="B117" s="127">
        <v>0.19</v>
      </c>
      <c r="C117" s="127">
        <v>0.35</v>
      </c>
      <c r="D117" s="127">
        <v>0.6</v>
      </c>
      <c r="E117" s="127">
        <v>0.12</v>
      </c>
      <c r="F117" s="127">
        <v>0.35</v>
      </c>
      <c r="G117" s="127">
        <v>0.19</v>
      </c>
      <c r="H117" s="127">
        <v>0.35</v>
      </c>
      <c r="I117" s="127">
        <v>0.09</v>
      </c>
      <c r="J117" s="127">
        <v>0.1</v>
      </c>
      <c r="K117" s="127">
        <v>0.3</v>
      </c>
      <c r="L117" s="127">
        <v>0.49</v>
      </c>
      <c r="M117" s="1">
        <v>0.09</v>
      </c>
      <c r="N117" s="1">
        <v>0.23</v>
      </c>
      <c r="O117" s="1">
        <v>0.09</v>
      </c>
      <c r="P117" s="1">
        <v>0.22</v>
      </c>
      <c r="Q117" s="1"/>
      <c r="R117" s="1"/>
      <c r="S117" s="1"/>
      <c r="T117" s="1"/>
      <c r="U117" s="1"/>
      <c r="V117" s="1"/>
      <c r="W117" s="1"/>
      <c r="X117" s="1"/>
      <c r="Y117" s="1"/>
    </row>
    <row r="118" spans="1:25" x14ac:dyDescent="0.2">
      <c r="A118" s="126" t="s">
        <v>416</v>
      </c>
      <c r="B118" s="127">
        <v>0.55000000000000004</v>
      </c>
      <c r="C118" s="127">
        <v>0.69</v>
      </c>
      <c r="D118" s="127">
        <v>0.6</v>
      </c>
      <c r="E118" s="127">
        <v>0.45</v>
      </c>
      <c r="F118" s="127">
        <v>0.69</v>
      </c>
      <c r="G118" s="127">
        <v>0.66</v>
      </c>
      <c r="H118" s="127">
        <v>0.69</v>
      </c>
      <c r="I118" s="127">
        <v>0.09</v>
      </c>
      <c r="J118" s="127">
        <v>0.28999999999999998</v>
      </c>
      <c r="K118" s="127">
        <v>0.57999999999999996</v>
      </c>
      <c r="L118" s="127">
        <v>0.69</v>
      </c>
      <c r="M118" s="1">
        <v>0.09</v>
      </c>
      <c r="N118" s="1">
        <v>0.59</v>
      </c>
      <c r="O118" s="1">
        <v>0.09</v>
      </c>
      <c r="P118" s="1">
        <v>0.46</v>
      </c>
      <c r="Q118" s="1"/>
      <c r="R118" s="1"/>
      <c r="S118" s="1"/>
      <c r="T118" s="1"/>
      <c r="U118" s="1"/>
      <c r="V118" s="1"/>
      <c r="W118" s="1"/>
      <c r="X118" s="1"/>
      <c r="Y118" s="1"/>
    </row>
    <row r="119" spans="1:25" x14ac:dyDescent="0.2">
      <c r="A119" s="126" t="s">
        <v>417</v>
      </c>
      <c r="B119" s="127">
        <v>0.06</v>
      </c>
      <c r="C119" s="127">
        <v>0.16</v>
      </c>
      <c r="D119" s="127">
        <v>0.6</v>
      </c>
      <c r="E119" s="127">
        <v>0.06</v>
      </c>
      <c r="F119" s="127">
        <v>0.12</v>
      </c>
      <c r="G119" s="127">
        <v>0.06</v>
      </c>
      <c r="H119" s="127">
        <v>0.12</v>
      </c>
      <c r="I119" s="127">
        <v>0.06</v>
      </c>
      <c r="J119" s="127">
        <v>0.06</v>
      </c>
      <c r="K119" s="127">
        <v>0.12</v>
      </c>
      <c r="L119" s="127">
        <v>0.24</v>
      </c>
      <c r="M119" s="1">
        <v>0.06</v>
      </c>
      <c r="N119" s="1">
        <v>0.06</v>
      </c>
      <c r="O119" s="1">
        <v>0.06</v>
      </c>
      <c r="P119" s="1">
        <v>0.08</v>
      </c>
      <c r="Q119" s="1"/>
      <c r="R119" s="1"/>
      <c r="S119" s="1"/>
      <c r="T119" s="1"/>
      <c r="U119" s="1"/>
      <c r="V119" s="1"/>
      <c r="W119" s="1"/>
      <c r="X119" s="1"/>
      <c r="Y119" s="1"/>
    </row>
    <row r="120" spans="1:25" x14ac:dyDescent="0.2">
      <c r="A120" s="126" t="s">
        <v>418</v>
      </c>
      <c r="B120" s="127">
        <v>0.03</v>
      </c>
      <c r="C120" s="127">
        <v>0.03</v>
      </c>
      <c r="D120" s="127">
        <v>0.6</v>
      </c>
      <c r="E120" s="127">
        <v>0.03</v>
      </c>
      <c r="F120" s="127">
        <v>0.03</v>
      </c>
      <c r="G120" s="127">
        <v>0.03</v>
      </c>
      <c r="H120" s="127">
        <v>0.03</v>
      </c>
      <c r="I120" s="127">
        <v>0.15</v>
      </c>
      <c r="J120" s="127">
        <v>0.03</v>
      </c>
      <c r="K120" s="127">
        <v>0.04</v>
      </c>
      <c r="L120" s="127">
        <v>0.03</v>
      </c>
      <c r="M120" s="1">
        <v>0.03</v>
      </c>
      <c r="N120" s="1">
        <v>0.03</v>
      </c>
      <c r="O120" s="1">
        <v>0.05</v>
      </c>
      <c r="P120" s="1">
        <v>0.04</v>
      </c>
      <c r="Q120" s="1"/>
      <c r="R120" s="1"/>
      <c r="S120" s="1"/>
      <c r="T120" s="1"/>
      <c r="U120" s="1"/>
      <c r="V120" s="1"/>
      <c r="W120" s="1"/>
      <c r="X120" s="1"/>
      <c r="Y120" s="1"/>
    </row>
    <row r="121" spans="1:25" x14ac:dyDescent="0.2">
      <c r="A121" s="126" t="s">
        <v>419</v>
      </c>
      <c r="B121" s="127">
        <v>0.03</v>
      </c>
      <c r="C121" s="127">
        <v>0.16</v>
      </c>
      <c r="D121" s="127">
        <v>0.6</v>
      </c>
      <c r="E121" s="127">
        <v>0</v>
      </c>
      <c r="F121" s="127">
        <v>0.12</v>
      </c>
      <c r="G121" s="127">
        <v>0.03</v>
      </c>
      <c r="H121" s="127">
        <v>0.12</v>
      </c>
      <c r="I121" s="127">
        <v>0.08</v>
      </c>
      <c r="J121" s="127">
        <v>0</v>
      </c>
      <c r="K121" s="127">
        <v>0.12</v>
      </c>
      <c r="L121" s="127">
        <v>0.25</v>
      </c>
      <c r="M121" s="1">
        <v>0</v>
      </c>
      <c r="N121" s="1">
        <v>0.03</v>
      </c>
      <c r="O121" s="1">
        <v>0.02</v>
      </c>
      <c r="P121" s="1">
        <v>0.06</v>
      </c>
      <c r="Q121" s="1"/>
      <c r="R121" s="1"/>
      <c r="S121" s="1"/>
      <c r="T121" s="1"/>
      <c r="U121" s="1"/>
      <c r="V121" s="1"/>
      <c r="W121" s="1"/>
      <c r="X121" s="1"/>
      <c r="Y121" s="1"/>
    </row>
    <row r="122" spans="1:25" x14ac:dyDescent="0.2">
      <c r="A122" s="126" t="s">
        <v>420</v>
      </c>
      <c r="B122" s="127">
        <v>0.27</v>
      </c>
      <c r="C122" s="127">
        <v>0.3</v>
      </c>
      <c r="D122" s="127">
        <v>0.6</v>
      </c>
      <c r="E122" s="127">
        <v>0.37</v>
      </c>
      <c r="F122" s="127">
        <v>0.14000000000000001</v>
      </c>
      <c r="G122" s="127">
        <v>0.18</v>
      </c>
      <c r="H122" s="127">
        <v>0.06</v>
      </c>
      <c r="I122" s="127">
        <v>0.59</v>
      </c>
      <c r="J122" s="127">
        <v>0.03</v>
      </c>
      <c r="K122" s="127">
        <v>0.2</v>
      </c>
      <c r="L122" s="127">
        <v>0.13</v>
      </c>
      <c r="M122" s="1">
        <v>0.44</v>
      </c>
      <c r="N122" s="1">
        <v>0.3</v>
      </c>
      <c r="O122" s="1">
        <v>0.44</v>
      </c>
      <c r="P122" s="1">
        <v>0.27</v>
      </c>
      <c r="Q122" s="1"/>
      <c r="R122" s="1"/>
      <c r="S122" s="1"/>
      <c r="T122" s="1"/>
      <c r="U122" s="1"/>
      <c r="V122" s="1"/>
      <c r="W122" s="1"/>
      <c r="X122" s="1"/>
      <c r="Y122" s="1"/>
    </row>
    <row r="123" spans="1:25" x14ac:dyDescent="0.2">
      <c r="A123" s="126" t="s">
        <v>421</v>
      </c>
      <c r="B123" s="127">
        <v>0.25</v>
      </c>
      <c r="C123" s="127">
        <v>0.42</v>
      </c>
      <c r="D123" s="127">
        <v>0.6</v>
      </c>
      <c r="E123" s="127">
        <v>0.18</v>
      </c>
      <c r="F123" s="127">
        <v>0.42</v>
      </c>
      <c r="G123" s="127">
        <v>0.28000000000000003</v>
      </c>
      <c r="H123" s="127">
        <v>0.42</v>
      </c>
      <c r="I123" s="127">
        <v>0.13</v>
      </c>
      <c r="J123" s="127">
        <v>0.17</v>
      </c>
      <c r="K123" s="127">
        <v>0.36</v>
      </c>
      <c r="L123" s="127">
        <v>0.53</v>
      </c>
      <c r="M123" s="1">
        <v>0.06</v>
      </c>
      <c r="N123" s="1">
        <v>0.28000000000000003</v>
      </c>
      <c r="O123" s="1">
        <v>0.06</v>
      </c>
      <c r="P123" s="1">
        <v>0.25</v>
      </c>
      <c r="Q123" s="1"/>
      <c r="R123" s="1"/>
      <c r="S123" s="1"/>
      <c r="T123" s="1"/>
      <c r="U123" s="1"/>
      <c r="V123" s="1"/>
      <c r="W123" s="1"/>
      <c r="X123" s="1"/>
      <c r="Y123" s="1"/>
    </row>
    <row r="124" spans="1:25" x14ac:dyDescent="0.2">
      <c r="A124" s="126" t="s">
        <v>422</v>
      </c>
      <c r="B124" s="127">
        <v>0.03</v>
      </c>
      <c r="C124" s="127">
        <v>0.12</v>
      </c>
      <c r="D124" s="127">
        <v>0.6</v>
      </c>
      <c r="E124" s="127">
        <v>0.03</v>
      </c>
      <c r="F124" s="127">
        <v>0.08</v>
      </c>
      <c r="G124" s="127">
        <v>0.03</v>
      </c>
      <c r="H124" s="127">
        <v>0.08</v>
      </c>
      <c r="I124" s="127">
        <v>0.03</v>
      </c>
      <c r="J124" s="127">
        <v>0.03</v>
      </c>
      <c r="K124" s="127">
        <v>0.1</v>
      </c>
      <c r="L124" s="127">
        <v>0.26</v>
      </c>
      <c r="M124" s="1">
        <v>0.03</v>
      </c>
      <c r="N124" s="1">
        <v>0.03</v>
      </c>
      <c r="O124" s="1">
        <v>0.03</v>
      </c>
      <c r="P124" s="1">
        <v>0.05</v>
      </c>
      <c r="Q124" s="1"/>
      <c r="R124" s="1"/>
      <c r="S124" s="1"/>
      <c r="T124" s="1"/>
      <c r="U124" s="1"/>
      <c r="V124" s="1"/>
      <c r="W124" s="1"/>
      <c r="X124" s="1"/>
      <c r="Y124" s="1"/>
    </row>
    <row r="125" spans="1:25" x14ac:dyDescent="0.2">
      <c r="A125" s="126" t="s">
        <v>423</v>
      </c>
      <c r="B125" s="127">
        <v>0.28000000000000003</v>
      </c>
      <c r="C125" s="127">
        <v>0.6</v>
      </c>
      <c r="D125" s="127">
        <v>0.6</v>
      </c>
      <c r="E125" s="127">
        <v>0.15</v>
      </c>
      <c r="F125" s="127">
        <v>0.6</v>
      </c>
      <c r="G125" s="127">
        <v>0.36</v>
      </c>
      <c r="H125" s="127">
        <v>0.59</v>
      </c>
      <c r="I125" s="127">
        <v>0</v>
      </c>
      <c r="J125" s="127">
        <v>0.09</v>
      </c>
      <c r="K125" s="127">
        <v>0.44</v>
      </c>
      <c r="L125" s="127">
        <v>0.6</v>
      </c>
      <c r="M125" s="1">
        <v>0</v>
      </c>
      <c r="N125" s="1">
        <v>0.36</v>
      </c>
      <c r="O125" s="1">
        <v>0</v>
      </c>
      <c r="P125" s="1">
        <v>0.32</v>
      </c>
      <c r="Q125" s="1"/>
      <c r="R125" s="1"/>
      <c r="S125" s="1"/>
      <c r="T125" s="1"/>
      <c r="U125" s="1"/>
      <c r="V125" s="1"/>
      <c r="W125" s="1"/>
      <c r="X125" s="1"/>
      <c r="Y125" s="1"/>
    </row>
    <row r="126" spans="1:25" x14ac:dyDescent="0.2">
      <c r="A126" s="126" t="s">
        <v>424</v>
      </c>
      <c r="B126" s="127">
        <v>0.01</v>
      </c>
      <c r="C126" s="127">
        <v>0.32</v>
      </c>
      <c r="D126" s="127">
        <v>0.6</v>
      </c>
      <c r="E126" s="127">
        <v>0</v>
      </c>
      <c r="F126" s="127">
        <v>0.28999999999999998</v>
      </c>
      <c r="G126" s="127">
        <v>0.02</v>
      </c>
      <c r="H126" s="127">
        <v>0.23</v>
      </c>
      <c r="I126" s="127">
        <v>0</v>
      </c>
      <c r="J126" s="127">
        <v>0</v>
      </c>
      <c r="K126" s="127">
        <v>0.19</v>
      </c>
      <c r="L126" s="127">
        <v>0.46</v>
      </c>
      <c r="M126" s="1">
        <v>0</v>
      </c>
      <c r="N126" s="1">
        <v>0.02</v>
      </c>
      <c r="O126" s="1">
        <v>0</v>
      </c>
      <c r="P126" s="1">
        <v>0.08</v>
      </c>
      <c r="Q126" s="1"/>
      <c r="R126" s="1"/>
      <c r="S126" s="1"/>
      <c r="T126" s="1"/>
      <c r="U126" s="1"/>
      <c r="V126" s="1"/>
      <c r="W126" s="1"/>
      <c r="X126" s="1"/>
      <c r="Y126" s="1"/>
    </row>
    <row r="127" spans="1:25" x14ac:dyDescent="0.2">
      <c r="A127" s="126" t="s">
        <v>425</v>
      </c>
      <c r="B127" s="127">
        <v>0.03</v>
      </c>
      <c r="C127" s="127">
        <v>0.14000000000000001</v>
      </c>
      <c r="D127" s="127">
        <v>0.6</v>
      </c>
      <c r="E127" s="127">
        <v>0.03</v>
      </c>
      <c r="F127" s="127">
        <v>0.1</v>
      </c>
      <c r="G127" s="127">
        <v>0.03</v>
      </c>
      <c r="H127" s="127">
        <v>0.08</v>
      </c>
      <c r="I127" s="127">
        <v>0.03</v>
      </c>
      <c r="J127" s="127">
        <v>0.03</v>
      </c>
      <c r="K127" s="127">
        <v>0.11</v>
      </c>
      <c r="L127" s="127">
        <v>0.32</v>
      </c>
      <c r="M127" s="1">
        <v>0.03</v>
      </c>
      <c r="N127" s="1">
        <v>0.03</v>
      </c>
      <c r="O127" s="1">
        <v>0.03</v>
      </c>
      <c r="P127" s="1">
        <v>0.04</v>
      </c>
      <c r="Q127" s="1"/>
      <c r="R127" s="1"/>
      <c r="S127" s="1"/>
      <c r="T127" s="1"/>
      <c r="U127" s="1"/>
      <c r="V127" s="1"/>
      <c r="W127" s="1"/>
      <c r="X127" s="1"/>
      <c r="Y127" s="1"/>
    </row>
    <row r="128" spans="1:25" x14ac:dyDescent="0.2">
      <c r="A128" s="126" t="s">
        <v>426</v>
      </c>
      <c r="B128" s="127">
        <v>0.36</v>
      </c>
      <c r="C128" s="127">
        <v>0.49</v>
      </c>
      <c r="D128" s="127">
        <v>0.6</v>
      </c>
      <c r="E128" s="127">
        <v>0.49</v>
      </c>
      <c r="F128" s="127">
        <v>0.34</v>
      </c>
      <c r="G128" s="127">
        <v>0.34</v>
      </c>
      <c r="H128" s="127">
        <v>0.18</v>
      </c>
      <c r="I128" s="127">
        <v>0.49</v>
      </c>
      <c r="J128" s="127">
        <v>0.13</v>
      </c>
      <c r="K128" s="127">
        <v>0.3</v>
      </c>
      <c r="L128" s="127">
        <v>0.3</v>
      </c>
      <c r="M128" s="1">
        <v>0.37</v>
      </c>
      <c r="N128" s="1">
        <v>0.49</v>
      </c>
      <c r="O128" s="1">
        <v>0.34</v>
      </c>
      <c r="P128" s="1">
        <v>0.35</v>
      </c>
      <c r="Q128" s="1"/>
      <c r="R128" s="1"/>
      <c r="S128" s="1"/>
      <c r="T128" s="1"/>
      <c r="U128" s="1"/>
      <c r="V128" s="1"/>
      <c r="W128" s="1"/>
      <c r="X128" s="1"/>
      <c r="Y128" s="1"/>
    </row>
    <row r="129" spans="1:25" x14ac:dyDescent="0.2">
      <c r="A129" s="126" t="s">
        <v>427</v>
      </c>
      <c r="B129" s="127">
        <v>0.06</v>
      </c>
      <c r="C129" s="127">
        <v>0.16</v>
      </c>
      <c r="D129" s="127">
        <v>0.6</v>
      </c>
      <c r="E129" s="127">
        <v>0.06</v>
      </c>
      <c r="F129" s="127">
        <v>0.09</v>
      </c>
      <c r="G129" s="127">
        <v>0.06</v>
      </c>
      <c r="H129" s="127">
        <v>0.09</v>
      </c>
      <c r="I129" s="127">
        <v>0.06</v>
      </c>
      <c r="J129" s="127">
        <v>0.06</v>
      </c>
      <c r="K129" s="127">
        <v>0.1</v>
      </c>
      <c r="L129" s="127">
        <v>0.18</v>
      </c>
      <c r="M129" s="1">
        <v>0.06</v>
      </c>
      <c r="N129" s="1">
        <v>0.06</v>
      </c>
      <c r="O129" s="1">
        <v>0.06</v>
      </c>
      <c r="P129" s="1">
        <v>7.0000000000000007E-2</v>
      </c>
      <c r="Q129" s="1"/>
      <c r="R129" s="1"/>
      <c r="S129" s="1"/>
      <c r="T129" s="1"/>
      <c r="U129" s="1"/>
      <c r="V129" s="1"/>
      <c r="W129" s="1"/>
      <c r="X129" s="1"/>
      <c r="Y129" s="1"/>
    </row>
    <row r="130" spans="1:25" x14ac:dyDescent="0.2">
      <c r="A130" s="126" t="s">
        <v>428</v>
      </c>
      <c r="B130" s="127">
        <v>0.49</v>
      </c>
      <c r="C130" s="127">
        <v>0.66</v>
      </c>
      <c r="D130" s="127">
        <v>0.6</v>
      </c>
      <c r="E130" s="127">
        <v>0.39</v>
      </c>
      <c r="F130" s="127">
        <v>0.66</v>
      </c>
      <c r="G130" s="127">
        <v>0.56000000000000005</v>
      </c>
      <c r="H130" s="127">
        <v>0.66</v>
      </c>
      <c r="I130" s="127">
        <v>0.06</v>
      </c>
      <c r="J130" s="127">
        <v>0.2</v>
      </c>
      <c r="K130" s="127">
        <v>0.54</v>
      </c>
      <c r="L130" s="127">
        <v>0.66</v>
      </c>
      <c r="M130" s="1">
        <v>0.06</v>
      </c>
      <c r="N130" s="1">
        <v>0.56000000000000005</v>
      </c>
      <c r="O130" s="1">
        <v>0.06</v>
      </c>
      <c r="P130" s="1">
        <v>0.43</v>
      </c>
      <c r="Q130" s="1"/>
      <c r="R130" s="1"/>
      <c r="S130" s="1"/>
      <c r="T130" s="1"/>
      <c r="U130" s="1"/>
      <c r="V130" s="1"/>
      <c r="W130" s="1"/>
      <c r="X130" s="1"/>
      <c r="Y130" s="1"/>
    </row>
    <row r="131" spans="1:25" x14ac:dyDescent="0.2">
      <c r="A131" s="126" t="s">
        <v>429</v>
      </c>
      <c r="B131" s="127">
        <v>0.56999999999999995</v>
      </c>
      <c r="C131" s="127">
        <v>0.63</v>
      </c>
      <c r="D131" s="127">
        <v>0.6</v>
      </c>
      <c r="E131" s="127">
        <v>0.53</v>
      </c>
      <c r="F131" s="127">
        <v>0.63</v>
      </c>
      <c r="G131" s="127">
        <v>0.6</v>
      </c>
      <c r="H131" s="127">
        <v>0.63</v>
      </c>
      <c r="I131" s="127">
        <v>0.03</v>
      </c>
      <c r="J131" s="127">
        <v>0.46</v>
      </c>
      <c r="K131" s="127">
        <v>0.59</v>
      </c>
      <c r="L131" s="127">
        <v>0.63</v>
      </c>
      <c r="M131" s="1">
        <v>0.03</v>
      </c>
      <c r="N131" s="1">
        <v>0.6</v>
      </c>
      <c r="O131" s="1">
        <v>7.0000000000000007E-2</v>
      </c>
      <c r="P131" s="1">
        <v>0.43</v>
      </c>
      <c r="Q131" s="1"/>
      <c r="R131" s="1"/>
      <c r="S131" s="1"/>
      <c r="T131" s="1"/>
      <c r="U131" s="1"/>
      <c r="V131" s="1"/>
      <c r="W131" s="1"/>
      <c r="X131" s="1"/>
      <c r="Y131" s="1"/>
    </row>
    <row r="132" spans="1:25" x14ac:dyDescent="0.2">
      <c r="A132" s="126" t="s">
        <v>430</v>
      </c>
      <c r="B132" s="127">
        <v>-0.03</v>
      </c>
      <c r="C132" s="127">
        <v>-0.03</v>
      </c>
      <c r="D132" s="127">
        <v>0.6</v>
      </c>
      <c r="E132" s="127">
        <v>-0.03</v>
      </c>
      <c r="F132" s="127">
        <v>-0.03</v>
      </c>
      <c r="G132" s="127">
        <v>0</v>
      </c>
      <c r="H132" s="127">
        <v>-0.03</v>
      </c>
      <c r="I132" s="127">
        <v>-0.03</v>
      </c>
      <c r="J132" s="127">
        <v>-0.03</v>
      </c>
      <c r="K132" s="127">
        <v>-0.02</v>
      </c>
      <c r="L132" s="127">
        <v>0.02</v>
      </c>
      <c r="M132" s="1">
        <v>0</v>
      </c>
      <c r="N132" s="1">
        <v>0</v>
      </c>
      <c r="O132" s="1">
        <v>0</v>
      </c>
      <c r="P132" s="1">
        <v>-0.03</v>
      </c>
      <c r="Q132" s="1"/>
      <c r="R132" s="1"/>
      <c r="S132" s="1"/>
      <c r="T132" s="1"/>
      <c r="U132" s="1"/>
      <c r="V132" s="1"/>
      <c r="W132" s="1"/>
      <c r="X132" s="1"/>
      <c r="Y132" s="1"/>
    </row>
    <row r="133" spans="1:25" x14ac:dyDescent="0.2">
      <c r="A133" s="126" t="s">
        <v>431</v>
      </c>
      <c r="B133" s="127">
        <v>-0.03</v>
      </c>
      <c r="C133" s="127">
        <v>-0.03</v>
      </c>
      <c r="D133" s="127">
        <v>0.6</v>
      </c>
      <c r="E133" s="127">
        <v>-0.03</v>
      </c>
      <c r="F133" s="127">
        <v>-0.03</v>
      </c>
      <c r="G133" s="127">
        <v>0</v>
      </c>
      <c r="H133" s="127">
        <v>-0.03</v>
      </c>
      <c r="I133" s="127">
        <v>-0.03</v>
      </c>
      <c r="J133" s="127">
        <v>-0.03</v>
      </c>
      <c r="K133" s="127">
        <v>-0.02</v>
      </c>
      <c r="L133" s="127">
        <v>0</v>
      </c>
      <c r="M133" s="1">
        <v>0</v>
      </c>
      <c r="N133" s="1">
        <v>0</v>
      </c>
      <c r="O133" s="1">
        <v>0</v>
      </c>
      <c r="P133" s="1">
        <v>-0.03</v>
      </c>
      <c r="Q133" s="1"/>
      <c r="R133" s="1"/>
      <c r="S133" s="1"/>
      <c r="T133" s="1"/>
      <c r="U133" s="1"/>
      <c r="V133" s="1"/>
      <c r="W133" s="1"/>
      <c r="X133" s="1"/>
      <c r="Y133" s="1"/>
    </row>
    <row r="134" spans="1:25" x14ac:dyDescent="0.2">
      <c r="A134" s="126" t="s">
        <v>432</v>
      </c>
      <c r="B134" s="127">
        <v>0.06</v>
      </c>
      <c r="C134" s="127">
        <v>0.15</v>
      </c>
      <c r="D134" s="127">
        <v>0.6</v>
      </c>
      <c r="E134" s="127">
        <v>0.06</v>
      </c>
      <c r="F134" s="127">
        <v>0.09</v>
      </c>
      <c r="G134" s="127">
        <v>0.06</v>
      </c>
      <c r="H134" s="127">
        <v>0.09</v>
      </c>
      <c r="I134" s="127">
        <v>0.12</v>
      </c>
      <c r="J134" s="127">
        <v>0</v>
      </c>
      <c r="K134" s="127">
        <v>0.11</v>
      </c>
      <c r="L134" s="127">
        <v>0.19</v>
      </c>
      <c r="M134" s="1">
        <v>0.06</v>
      </c>
      <c r="N134" s="1">
        <v>0.09</v>
      </c>
      <c r="O134" s="1">
        <v>0.06</v>
      </c>
      <c r="P134" s="1">
        <v>0.08</v>
      </c>
      <c r="Q134" s="1"/>
      <c r="R134" s="1"/>
      <c r="S134" s="1"/>
      <c r="T134" s="1"/>
      <c r="U134" s="1"/>
      <c r="V134" s="1"/>
      <c r="W134" s="1"/>
      <c r="X134" s="1"/>
      <c r="Y134" s="1"/>
    </row>
    <row r="135" spans="1:25" x14ac:dyDescent="0.2">
      <c r="A135" s="126" t="s">
        <v>433</v>
      </c>
      <c r="B135" s="127">
        <v>0.28999999999999998</v>
      </c>
      <c r="C135" s="127">
        <v>0.45</v>
      </c>
      <c r="D135" s="127">
        <v>0.6</v>
      </c>
      <c r="E135" s="127">
        <v>0.27</v>
      </c>
      <c r="F135" s="127">
        <v>0.38</v>
      </c>
      <c r="G135" s="127">
        <v>0.31</v>
      </c>
      <c r="H135" s="127">
        <v>0.38</v>
      </c>
      <c r="I135" s="127">
        <v>0.24</v>
      </c>
      <c r="J135" s="127">
        <v>0.2</v>
      </c>
      <c r="K135" s="127">
        <v>0.38</v>
      </c>
      <c r="L135" s="127">
        <v>0.45</v>
      </c>
      <c r="M135" s="1">
        <v>0.16</v>
      </c>
      <c r="N135" s="1">
        <v>0.31</v>
      </c>
      <c r="O135" s="1">
        <v>0.19</v>
      </c>
      <c r="P135" s="1">
        <v>0.28999999999999998</v>
      </c>
      <c r="Q135" s="1"/>
      <c r="R135" s="1"/>
      <c r="S135" s="1"/>
      <c r="T135" s="1"/>
      <c r="U135" s="1"/>
      <c r="V135" s="1"/>
      <c r="W135" s="1"/>
      <c r="X135" s="1"/>
      <c r="Y135" s="1"/>
    </row>
    <row r="136" spans="1:25" x14ac:dyDescent="0.2">
      <c r="A136" s="126" t="s">
        <v>434</v>
      </c>
      <c r="B136" s="127">
        <v>0.36</v>
      </c>
      <c r="C136" s="127">
        <v>0.63</v>
      </c>
      <c r="D136" s="127">
        <v>0.6</v>
      </c>
      <c r="E136" s="127">
        <v>0.25</v>
      </c>
      <c r="F136" s="127">
        <v>0.6</v>
      </c>
      <c r="G136" s="127">
        <v>0.43</v>
      </c>
      <c r="H136" s="127">
        <v>0.53</v>
      </c>
      <c r="I136" s="127">
        <v>0.03</v>
      </c>
      <c r="J136" s="127">
        <v>0.19</v>
      </c>
      <c r="K136" s="127">
        <v>0.46</v>
      </c>
      <c r="L136" s="127">
        <v>0.63</v>
      </c>
      <c r="M136" s="1">
        <v>0.03</v>
      </c>
      <c r="N136" s="1">
        <v>0.43</v>
      </c>
      <c r="O136" s="1">
        <v>0.04</v>
      </c>
      <c r="P136" s="1">
        <v>0.36</v>
      </c>
      <c r="Q136" s="1"/>
      <c r="R136" s="1"/>
      <c r="S136" s="1"/>
      <c r="T136" s="1"/>
      <c r="U136" s="1"/>
      <c r="V136" s="1"/>
      <c r="W136" s="1"/>
      <c r="X136" s="1"/>
      <c r="Y136" s="1"/>
    </row>
    <row r="137" spans="1:25" x14ac:dyDescent="0.2">
      <c r="A137" s="126" t="s">
        <v>435</v>
      </c>
      <c r="B137" s="127">
        <v>0.52</v>
      </c>
      <c r="C137" s="127">
        <v>0.6</v>
      </c>
      <c r="D137" s="127">
        <v>0.6</v>
      </c>
      <c r="E137" s="127">
        <v>0.43</v>
      </c>
      <c r="F137" s="127">
        <v>0.6</v>
      </c>
      <c r="G137" s="127">
        <v>0.56999999999999995</v>
      </c>
      <c r="H137" s="127">
        <v>0.6</v>
      </c>
      <c r="I137" s="127">
        <v>0</v>
      </c>
      <c r="J137" s="127">
        <v>0.33</v>
      </c>
      <c r="K137" s="127">
        <v>0.53</v>
      </c>
      <c r="L137" s="127">
        <v>0.6</v>
      </c>
      <c r="M137" s="1">
        <v>0.03</v>
      </c>
      <c r="N137" s="1">
        <v>0.56999999999999995</v>
      </c>
      <c r="O137" s="1">
        <v>0.04</v>
      </c>
      <c r="P137" s="1">
        <v>0.4</v>
      </c>
      <c r="Q137" s="1"/>
      <c r="R137" s="1"/>
      <c r="S137" s="1"/>
      <c r="T137" s="1"/>
      <c r="U137" s="1"/>
      <c r="V137" s="1"/>
      <c r="W137" s="1"/>
      <c r="X137" s="1"/>
      <c r="Y137" s="1"/>
    </row>
    <row r="138" spans="1:25" x14ac:dyDescent="0.2">
      <c r="A138" s="126" t="s">
        <v>436</v>
      </c>
      <c r="B138" s="127">
        <v>0.43</v>
      </c>
      <c r="C138" s="127">
        <v>0.56999999999999995</v>
      </c>
      <c r="D138" s="127">
        <v>0.6</v>
      </c>
      <c r="E138" s="127">
        <v>0.33</v>
      </c>
      <c r="F138" s="127">
        <v>0.56999999999999995</v>
      </c>
      <c r="G138" s="127">
        <v>0.47</v>
      </c>
      <c r="H138" s="127">
        <v>0.56999999999999995</v>
      </c>
      <c r="I138" s="127">
        <v>-0.03</v>
      </c>
      <c r="J138" s="127">
        <v>0.3</v>
      </c>
      <c r="K138" s="127">
        <v>0.48</v>
      </c>
      <c r="L138" s="127">
        <v>0.56999999999999995</v>
      </c>
      <c r="M138" s="1">
        <v>0</v>
      </c>
      <c r="N138" s="1">
        <v>0.47</v>
      </c>
      <c r="O138" s="1">
        <v>0.01</v>
      </c>
      <c r="P138" s="1">
        <v>0.35</v>
      </c>
      <c r="Q138" s="1"/>
      <c r="R138" s="1"/>
      <c r="S138" s="1"/>
      <c r="T138" s="1"/>
      <c r="U138" s="1"/>
      <c r="V138" s="1"/>
      <c r="W138" s="1"/>
      <c r="X138" s="1"/>
      <c r="Y138" s="1"/>
    </row>
    <row r="139" spans="1:25" x14ac:dyDescent="0.2">
      <c r="A139" s="126" t="s">
        <v>437</v>
      </c>
      <c r="B139" s="127">
        <v>0.23</v>
      </c>
      <c r="C139" s="127">
        <v>0.5</v>
      </c>
      <c r="D139" s="127">
        <v>0.6</v>
      </c>
      <c r="E139" s="127">
        <v>0.17</v>
      </c>
      <c r="F139" s="127">
        <v>0.5</v>
      </c>
      <c r="G139" s="127">
        <v>0.28000000000000003</v>
      </c>
      <c r="H139" s="127">
        <v>0.43</v>
      </c>
      <c r="I139" s="127">
        <v>0.03</v>
      </c>
      <c r="J139" s="127">
        <v>0.08</v>
      </c>
      <c r="K139" s="127">
        <v>0.35</v>
      </c>
      <c r="L139" s="127">
        <v>0.6</v>
      </c>
      <c r="M139" s="1">
        <v>0.03</v>
      </c>
      <c r="N139" s="1">
        <v>0.28000000000000003</v>
      </c>
      <c r="O139" s="1">
        <v>0.03</v>
      </c>
      <c r="P139" s="1">
        <v>0.27</v>
      </c>
      <c r="Q139" s="1"/>
      <c r="R139" s="1"/>
      <c r="S139" s="1"/>
      <c r="T139" s="1"/>
      <c r="U139" s="1"/>
      <c r="V139" s="1"/>
      <c r="W139" s="1"/>
      <c r="X139" s="1"/>
      <c r="Y139" s="1"/>
    </row>
    <row r="140" spans="1:25" x14ac:dyDescent="0.2">
      <c r="A140" s="126" t="s">
        <v>438</v>
      </c>
      <c r="B140" s="127">
        <v>0.27</v>
      </c>
      <c r="C140" s="127">
        <v>0.56999999999999995</v>
      </c>
      <c r="D140" s="127">
        <v>0.6</v>
      </c>
      <c r="E140" s="127">
        <v>0.19</v>
      </c>
      <c r="F140" s="127">
        <v>0.54</v>
      </c>
      <c r="G140" s="127">
        <v>0.34</v>
      </c>
      <c r="H140" s="127">
        <v>0.54</v>
      </c>
      <c r="I140" s="127">
        <v>-0.03</v>
      </c>
      <c r="J140" s="127">
        <v>0.08</v>
      </c>
      <c r="K140" s="127">
        <v>0.39</v>
      </c>
      <c r="L140" s="127">
        <v>0.56999999999999995</v>
      </c>
      <c r="M140" s="1">
        <v>0</v>
      </c>
      <c r="N140" s="1">
        <v>0.34</v>
      </c>
      <c r="O140" s="1">
        <v>0</v>
      </c>
      <c r="P140" s="1">
        <v>0.28000000000000003</v>
      </c>
      <c r="Q140" s="1"/>
      <c r="R140" s="1"/>
      <c r="S140" s="1"/>
      <c r="T140" s="1"/>
      <c r="U140" s="1"/>
      <c r="V140" s="1"/>
      <c r="W140" s="1"/>
      <c r="X140" s="1"/>
      <c r="Y140" s="1"/>
    </row>
    <row r="141" spans="1:25" x14ac:dyDescent="0.2">
      <c r="A141" s="126" t="s">
        <v>439</v>
      </c>
      <c r="B141" s="127">
        <v>0.31</v>
      </c>
      <c r="C141" s="127">
        <v>0.6</v>
      </c>
      <c r="D141" s="127">
        <v>0.6</v>
      </c>
      <c r="E141" s="127">
        <v>0.2</v>
      </c>
      <c r="F141" s="127">
        <v>0.56999999999999995</v>
      </c>
      <c r="G141" s="127">
        <v>0.4</v>
      </c>
      <c r="H141" s="127">
        <v>0.56999999999999995</v>
      </c>
      <c r="I141" s="127">
        <v>0</v>
      </c>
      <c r="J141" s="127">
        <v>0.11</v>
      </c>
      <c r="K141" s="127">
        <v>0.42</v>
      </c>
      <c r="L141" s="127">
        <v>0.6</v>
      </c>
      <c r="M141" s="1">
        <v>0</v>
      </c>
      <c r="N141" s="1">
        <v>0.37</v>
      </c>
      <c r="O141" s="1">
        <v>0</v>
      </c>
      <c r="P141" s="1">
        <v>0.31</v>
      </c>
      <c r="Q141" s="1"/>
      <c r="R141" s="1"/>
      <c r="S141" s="1"/>
      <c r="T141" s="1"/>
      <c r="U141" s="1"/>
      <c r="V141" s="1"/>
      <c r="W141" s="1"/>
      <c r="X141" s="1"/>
      <c r="Y141" s="1"/>
    </row>
    <row r="142" spans="1:25" x14ac:dyDescent="0.2">
      <c r="A142" s="126" t="s">
        <v>440</v>
      </c>
      <c r="B142" s="127">
        <v>0.28999999999999998</v>
      </c>
      <c r="C142" s="127">
        <v>0.63</v>
      </c>
      <c r="D142" s="127">
        <v>0.6</v>
      </c>
      <c r="E142" s="127">
        <v>0.17</v>
      </c>
      <c r="F142" s="127">
        <v>0.6</v>
      </c>
      <c r="G142" s="127">
        <v>0.4</v>
      </c>
      <c r="H142" s="127">
        <v>0.6</v>
      </c>
      <c r="I142" s="127">
        <v>0.03</v>
      </c>
      <c r="J142" s="127">
        <v>0.08</v>
      </c>
      <c r="K142" s="127">
        <v>0.45</v>
      </c>
      <c r="L142" s="127">
        <v>0.63</v>
      </c>
      <c r="M142" s="1">
        <v>0.03</v>
      </c>
      <c r="N142" s="1">
        <v>0.4</v>
      </c>
      <c r="O142" s="1">
        <v>0.03</v>
      </c>
      <c r="P142" s="1">
        <v>0.34</v>
      </c>
      <c r="Q142" s="1"/>
      <c r="R142" s="1"/>
      <c r="S142" s="1"/>
      <c r="T142" s="1"/>
      <c r="U142" s="1"/>
      <c r="V142" s="1"/>
      <c r="W142" s="1"/>
      <c r="X142" s="1"/>
      <c r="Y142" s="1"/>
    </row>
    <row r="143" spans="1:25" x14ac:dyDescent="0.2">
      <c r="A143" s="126" t="s">
        <v>441</v>
      </c>
      <c r="B143" s="127">
        <v>7.0000000000000007E-2</v>
      </c>
      <c r="C143" s="127">
        <v>0.23</v>
      </c>
      <c r="D143" s="127">
        <v>0.6</v>
      </c>
      <c r="E143" s="127">
        <v>0</v>
      </c>
      <c r="F143" s="127">
        <v>0.23</v>
      </c>
      <c r="G143" s="127">
        <v>0.09</v>
      </c>
      <c r="H143" s="127">
        <v>0.22</v>
      </c>
      <c r="I143" s="127">
        <v>-0.03</v>
      </c>
      <c r="J143" s="127">
        <v>0</v>
      </c>
      <c r="K143" s="127">
        <v>0.17</v>
      </c>
      <c r="L143" s="127">
        <v>0.37</v>
      </c>
      <c r="M143" s="1">
        <v>0</v>
      </c>
      <c r="N143" s="1">
        <v>0.09</v>
      </c>
      <c r="O143" s="1">
        <v>0</v>
      </c>
      <c r="P143" s="1">
        <v>0.09</v>
      </c>
      <c r="Q143" s="1"/>
      <c r="R143" s="1"/>
      <c r="S143" s="1"/>
      <c r="T143" s="1"/>
      <c r="U143" s="1"/>
      <c r="V143" s="1"/>
      <c r="W143" s="1"/>
      <c r="X143" s="1"/>
      <c r="Y143" s="1"/>
    </row>
    <row r="144" spans="1:25" x14ac:dyDescent="0.2">
      <c r="A144" s="126" t="s">
        <v>442</v>
      </c>
      <c r="B144" s="127">
        <v>0.15</v>
      </c>
      <c r="C144" s="127">
        <v>0.56999999999999995</v>
      </c>
      <c r="D144" s="127">
        <v>0.6</v>
      </c>
      <c r="E144" s="127">
        <v>0.03</v>
      </c>
      <c r="F144" s="127">
        <v>0.56999999999999995</v>
      </c>
      <c r="G144" s="127">
        <v>0.24</v>
      </c>
      <c r="H144" s="127">
        <v>0.5</v>
      </c>
      <c r="I144" s="127">
        <v>0</v>
      </c>
      <c r="J144" s="127">
        <v>0.01</v>
      </c>
      <c r="K144" s="127">
        <v>0.36</v>
      </c>
      <c r="L144" s="127">
        <v>0.6</v>
      </c>
      <c r="M144" s="1">
        <v>0</v>
      </c>
      <c r="N144" s="1">
        <v>0.2</v>
      </c>
      <c r="O144" s="1">
        <v>0</v>
      </c>
      <c r="P144" s="1">
        <v>0.23</v>
      </c>
      <c r="Q144" s="1"/>
      <c r="R144" s="1"/>
      <c r="S144" s="1"/>
      <c r="T144" s="1"/>
      <c r="U144" s="1"/>
      <c r="V144" s="1"/>
      <c r="W144" s="1"/>
      <c r="X144" s="1"/>
      <c r="Y144" s="1"/>
    </row>
    <row r="145" spans="1:25" x14ac:dyDescent="0.2">
      <c r="A145" s="126" t="s">
        <v>443</v>
      </c>
      <c r="B145" s="127">
        <v>0.06</v>
      </c>
      <c r="C145" s="127">
        <v>0.11</v>
      </c>
      <c r="D145" s="127">
        <v>0.6</v>
      </c>
      <c r="E145" s="127">
        <v>0.06</v>
      </c>
      <c r="F145" s="127">
        <v>0.09</v>
      </c>
      <c r="G145" s="127">
        <v>0.06</v>
      </c>
      <c r="H145" s="127">
        <v>0.09</v>
      </c>
      <c r="I145" s="127">
        <v>0.06</v>
      </c>
      <c r="J145" s="127">
        <v>0.06</v>
      </c>
      <c r="K145" s="127">
        <v>0.1</v>
      </c>
      <c r="L145" s="127">
        <v>0.2</v>
      </c>
      <c r="M145" s="1">
        <v>0.06</v>
      </c>
      <c r="N145" s="1">
        <v>0.06</v>
      </c>
      <c r="O145" s="1">
        <v>0.06</v>
      </c>
      <c r="P145" s="1">
        <v>7.0000000000000007E-2</v>
      </c>
      <c r="Q145" s="1"/>
      <c r="R145" s="1"/>
      <c r="S145" s="1"/>
      <c r="T145" s="1"/>
      <c r="U145" s="1"/>
      <c r="V145" s="1"/>
      <c r="W145" s="1"/>
      <c r="X145" s="1"/>
      <c r="Y145" s="1"/>
    </row>
    <row r="146" spans="1:25" x14ac:dyDescent="0.2">
      <c r="A146" s="126" t="s">
        <v>444</v>
      </c>
      <c r="B146" s="127">
        <v>0.09</v>
      </c>
      <c r="C146" s="127">
        <v>0.2</v>
      </c>
      <c r="D146" s="127">
        <v>0.6</v>
      </c>
      <c r="E146" s="127">
        <v>0.09</v>
      </c>
      <c r="F146" s="127">
        <v>0.2</v>
      </c>
      <c r="G146" s="127">
        <v>0.1</v>
      </c>
      <c r="H146" s="127">
        <v>0.14000000000000001</v>
      </c>
      <c r="I146" s="127">
        <v>0.09</v>
      </c>
      <c r="J146" s="127">
        <v>0.09</v>
      </c>
      <c r="K146" s="127">
        <v>0.19</v>
      </c>
      <c r="L146" s="127">
        <v>0.36</v>
      </c>
      <c r="M146" s="1">
        <v>0.09</v>
      </c>
      <c r="N146" s="1">
        <v>0.1</v>
      </c>
      <c r="O146" s="1">
        <v>0.09</v>
      </c>
      <c r="P146" s="1">
        <v>0.11</v>
      </c>
      <c r="Q146" s="1"/>
      <c r="R146" s="1"/>
      <c r="S146" s="1"/>
      <c r="T146" s="1"/>
      <c r="U146" s="1"/>
      <c r="V146" s="1"/>
      <c r="W146" s="1"/>
      <c r="X146" s="1"/>
      <c r="Y146" s="1"/>
    </row>
    <row r="147" spans="1:25" x14ac:dyDescent="0.2">
      <c r="A147" s="126" t="s">
        <v>445</v>
      </c>
      <c r="B147" s="127">
        <v>0.17</v>
      </c>
      <c r="C147" s="127">
        <v>0.28000000000000003</v>
      </c>
      <c r="D147" s="127">
        <v>0.6</v>
      </c>
      <c r="E147" s="127">
        <v>0.16</v>
      </c>
      <c r="F147" s="127">
        <v>0.26</v>
      </c>
      <c r="G147" s="127">
        <v>0.18</v>
      </c>
      <c r="H147" s="127">
        <v>0.26</v>
      </c>
      <c r="I147" s="127">
        <v>0.33</v>
      </c>
      <c r="J147" s="127">
        <v>0.09</v>
      </c>
      <c r="K147" s="127">
        <v>0.25</v>
      </c>
      <c r="L147" s="127">
        <v>0.28000000000000003</v>
      </c>
      <c r="M147" s="1">
        <v>0.16</v>
      </c>
      <c r="N147" s="1">
        <v>0.24</v>
      </c>
      <c r="O147" s="1">
        <v>0.17</v>
      </c>
      <c r="P147" s="1">
        <v>0.23</v>
      </c>
      <c r="Q147" s="1"/>
      <c r="R147" s="1"/>
      <c r="S147" s="1"/>
      <c r="T147" s="1"/>
      <c r="U147" s="1"/>
      <c r="V147" s="1"/>
      <c r="W147" s="1"/>
      <c r="X147" s="1"/>
      <c r="Y147" s="1"/>
    </row>
    <row r="148" spans="1:25" x14ac:dyDescent="0.2">
      <c r="A148" s="126" t="s">
        <v>446</v>
      </c>
      <c r="B148" s="127">
        <v>0.05</v>
      </c>
      <c r="C148" s="127">
        <v>0.05</v>
      </c>
      <c r="D148" s="127">
        <v>0.6</v>
      </c>
      <c r="E148" s="127">
        <v>0.18</v>
      </c>
      <c r="F148" s="127">
        <v>0.03</v>
      </c>
      <c r="G148" s="127">
        <v>0.03</v>
      </c>
      <c r="H148" s="127">
        <v>0.03</v>
      </c>
      <c r="I148" s="127">
        <v>0.43</v>
      </c>
      <c r="J148" s="127">
        <v>0.03</v>
      </c>
      <c r="K148" s="127">
        <v>0.1</v>
      </c>
      <c r="L148" s="127">
        <v>0.03</v>
      </c>
      <c r="M148" s="1">
        <v>0.11</v>
      </c>
      <c r="N148" s="1">
        <v>0.11</v>
      </c>
      <c r="O148" s="1">
        <v>0.21</v>
      </c>
      <c r="P148" s="1">
        <v>0.12</v>
      </c>
      <c r="Q148" s="1"/>
      <c r="R148" s="1"/>
      <c r="S148" s="1"/>
      <c r="T148" s="1"/>
      <c r="U148" s="1"/>
      <c r="V148" s="1"/>
      <c r="W148" s="1"/>
      <c r="X148" s="1"/>
      <c r="Y148" s="1"/>
    </row>
    <row r="149" spans="1:25" x14ac:dyDescent="0.2">
      <c r="A149" s="126" t="s">
        <v>447</v>
      </c>
      <c r="B149" s="127">
        <v>0.18</v>
      </c>
      <c r="C149" s="127">
        <v>0.31</v>
      </c>
      <c r="D149" s="127">
        <v>0.6</v>
      </c>
      <c r="E149" s="127">
        <v>0.18</v>
      </c>
      <c r="F149" s="127">
        <v>0.18</v>
      </c>
      <c r="G149" s="127">
        <v>0.18</v>
      </c>
      <c r="H149" s="127">
        <v>0.12</v>
      </c>
      <c r="I149" s="127">
        <v>0.27</v>
      </c>
      <c r="J149" s="127">
        <v>0</v>
      </c>
      <c r="K149" s="127">
        <v>0.15</v>
      </c>
      <c r="L149" s="127">
        <v>0.18</v>
      </c>
      <c r="M149" s="1">
        <v>0.18</v>
      </c>
      <c r="N149" s="1">
        <v>0.18</v>
      </c>
      <c r="O149" s="1">
        <v>0.21</v>
      </c>
      <c r="P149" s="1">
        <v>0.17</v>
      </c>
      <c r="Q149" s="1"/>
      <c r="R149" s="1"/>
      <c r="S149" s="1"/>
      <c r="T149" s="1"/>
      <c r="U149" s="1"/>
      <c r="V149" s="1"/>
      <c r="W149" s="1"/>
      <c r="X149" s="1"/>
      <c r="Y149" s="1"/>
    </row>
    <row r="150" spans="1:25" x14ac:dyDescent="0.2">
      <c r="A150" s="126" t="s">
        <v>448</v>
      </c>
      <c r="B150" s="127">
        <v>0.35</v>
      </c>
      <c r="C150" s="127">
        <v>0.37</v>
      </c>
      <c r="D150" s="127">
        <v>0.6</v>
      </c>
      <c r="E150" s="127">
        <v>0.4</v>
      </c>
      <c r="F150" s="127">
        <v>0.24</v>
      </c>
      <c r="G150" s="127">
        <v>0.27</v>
      </c>
      <c r="H150" s="127">
        <v>0.09</v>
      </c>
      <c r="I150" s="127">
        <v>0.62</v>
      </c>
      <c r="J150" s="127">
        <v>0.06</v>
      </c>
      <c r="K150" s="127">
        <v>0.24</v>
      </c>
      <c r="L150" s="127">
        <v>0.18</v>
      </c>
      <c r="M150" s="1">
        <v>0.47</v>
      </c>
      <c r="N150" s="1">
        <v>0.37</v>
      </c>
      <c r="O150" s="1">
        <v>0.47</v>
      </c>
      <c r="P150" s="1">
        <v>0.33</v>
      </c>
      <c r="Q150" s="1"/>
      <c r="R150" s="1"/>
      <c r="S150" s="1"/>
      <c r="T150" s="1"/>
      <c r="U150" s="1"/>
      <c r="V150" s="1"/>
      <c r="W150" s="1"/>
      <c r="X150" s="1"/>
      <c r="Y150" s="1"/>
    </row>
    <row r="151" spans="1:25" x14ac:dyDescent="0.2">
      <c r="A151" s="126" t="s">
        <v>449</v>
      </c>
      <c r="B151" s="127">
        <v>0.28000000000000003</v>
      </c>
      <c r="C151" s="127">
        <v>0.31</v>
      </c>
      <c r="D151" s="127">
        <v>0.6</v>
      </c>
      <c r="E151" s="127">
        <v>0.37</v>
      </c>
      <c r="F151" s="127">
        <v>0.23</v>
      </c>
      <c r="G151" s="127">
        <v>0.25</v>
      </c>
      <c r="H151" s="127">
        <v>0.11</v>
      </c>
      <c r="I151" s="127">
        <v>0.39</v>
      </c>
      <c r="J151" s="127">
        <v>0.1</v>
      </c>
      <c r="K151" s="127">
        <v>0.19</v>
      </c>
      <c r="L151" s="127">
        <v>0.18</v>
      </c>
      <c r="M151" s="1">
        <v>0.28000000000000003</v>
      </c>
      <c r="N151" s="1">
        <v>0.33</v>
      </c>
      <c r="O151" s="1">
        <v>0.37</v>
      </c>
      <c r="P151" s="1">
        <v>0.28999999999999998</v>
      </c>
      <c r="Q151" s="1"/>
      <c r="R151" s="1"/>
      <c r="S151" s="1"/>
      <c r="T151" s="1"/>
      <c r="U151" s="1"/>
      <c r="V151" s="1"/>
      <c r="W151" s="1"/>
      <c r="X151" s="1"/>
      <c r="Y151" s="1"/>
    </row>
    <row r="152" spans="1:25" x14ac:dyDescent="0.2">
      <c r="A152" s="126" t="s">
        <v>450</v>
      </c>
      <c r="B152" s="127">
        <v>7.0000000000000007E-2</v>
      </c>
      <c r="C152" s="127">
        <v>0.18</v>
      </c>
      <c r="D152" s="127">
        <v>0.6</v>
      </c>
      <c r="E152" s="127">
        <v>0.06</v>
      </c>
      <c r="F152" s="127">
        <v>0.16</v>
      </c>
      <c r="G152" s="127">
        <v>0.09</v>
      </c>
      <c r="H152" s="127">
        <v>0.16</v>
      </c>
      <c r="I152" s="127">
        <v>0.06</v>
      </c>
      <c r="J152" s="127">
        <v>0.06</v>
      </c>
      <c r="K152" s="127">
        <v>0.13</v>
      </c>
      <c r="L152" s="127">
        <v>0.22</v>
      </c>
      <c r="M152" s="1">
        <v>0.06</v>
      </c>
      <c r="N152" s="1">
        <v>0.09</v>
      </c>
      <c r="O152" s="1">
        <v>0.06</v>
      </c>
      <c r="P152" s="1">
        <v>0.1</v>
      </c>
      <c r="Q152" s="1"/>
      <c r="R152" s="1"/>
      <c r="S152" s="1"/>
      <c r="T152" s="1"/>
      <c r="U152" s="1"/>
      <c r="V152" s="1"/>
      <c r="W152" s="1"/>
      <c r="X152" s="1"/>
      <c r="Y152" s="1"/>
    </row>
    <row r="153" spans="1:25" x14ac:dyDescent="0.2">
      <c r="A153" s="126" t="s">
        <v>451</v>
      </c>
      <c r="B153" s="127">
        <v>0.03</v>
      </c>
      <c r="C153" s="127">
        <v>0.06</v>
      </c>
      <c r="D153" s="127">
        <v>0.6</v>
      </c>
      <c r="E153" s="127">
        <v>0.03</v>
      </c>
      <c r="F153" s="127">
        <v>0.03</v>
      </c>
      <c r="G153" s="127">
        <v>0.03</v>
      </c>
      <c r="H153" s="127">
        <v>0.03</v>
      </c>
      <c r="I153" s="127">
        <v>0.05</v>
      </c>
      <c r="J153" s="127">
        <v>0.03</v>
      </c>
      <c r="K153" s="127">
        <v>0.04</v>
      </c>
      <c r="L153" s="127">
        <v>0.06</v>
      </c>
      <c r="M153" s="1">
        <v>0.03</v>
      </c>
      <c r="N153" s="1">
        <v>0.03</v>
      </c>
      <c r="O153" s="1">
        <v>0.03</v>
      </c>
      <c r="P153" s="1">
        <v>0.03</v>
      </c>
      <c r="Q153" s="1"/>
      <c r="R153" s="1"/>
      <c r="S153" s="1"/>
      <c r="T153" s="1"/>
      <c r="U153" s="1"/>
      <c r="V153" s="1"/>
      <c r="W153" s="1"/>
      <c r="X153" s="1"/>
      <c r="Y153" s="1"/>
    </row>
    <row r="154" spans="1:25" x14ac:dyDescent="0.2">
      <c r="A154" s="126" t="s">
        <v>452</v>
      </c>
      <c r="B154" s="127">
        <v>0.33</v>
      </c>
      <c r="C154" s="127">
        <v>0.41</v>
      </c>
      <c r="D154" s="127">
        <v>0.6</v>
      </c>
      <c r="E154" s="127">
        <v>0.46</v>
      </c>
      <c r="F154" s="127">
        <v>0.31</v>
      </c>
      <c r="G154" s="127">
        <v>0.31</v>
      </c>
      <c r="H154" s="127">
        <v>0.1</v>
      </c>
      <c r="I154" s="127">
        <v>0.46</v>
      </c>
      <c r="J154" s="127">
        <v>7.0000000000000007E-2</v>
      </c>
      <c r="K154" s="127">
        <v>0.2</v>
      </c>
      <c r="L154" s="127">
        <v>0.18</v>
      </c>
      <c r="M154" s="1">
        <v>0.41</v>
      </c>
      <c r="N154" s="1">
        <v>0.46</v>
      </c>
      <c r="O154" s="1">
        <v>0.46</v>
      </c>
      <c r="P154" s="1">
        <v>0.36</v>
      </c>
      <c r="Q154" s="1"/>
      <c r="R154" s="1"/>
      <c r="S154" s="1"/>
      <c r="T154" s="1"/>
      <c r="U154" s="1"/>
      <c r="V154" s="1"/>
      <c r="W154" s="1"/>
      <c r="X154" s="1"/>
      <c r="Y154" s="1"/>
    </row>
    <row r="155" spans="1:25" x14ac:dyDescent="0.2">
      <c r="A155" s="126" t="s">
        <v>453</v>
      </c>
      <c r="B155" s="127">
        <v>0.06</v>
      </c>
      <c r="C155" s="127">
        <v>0.33</v>
      </c>
      <c r="D155" s="127">
        <v>0.6</v>
      </c>
      <c r="E155" s="127">
        <v>0.03</v>
      </c>
      <c r="F155" s="127">
        <v>0.22</v>
      </c>
      <c r="G155" s="127">
        <v>0.12</v>
      </c>
      <c r="H155" s="127">
        <v>0.22</v>
      </c>
      <c r="I155" s="127">
        <v>0</v>
      </c>
      <c r="J155" s="127">
        <v>0</v>
      </c>
      <c r="K155" s="127">
        <v>0.17</v>
      </c>
      <c r="L155" s="127">
        <v>0.36</v>
      </c>
      <c r="M155" s="1">
        <v>0</v>
      </c>
      <c r="N155" s="1">
        <v>0.1</v>
      </c>
      <c r="O155" s="1">
        <v>0</v>
      </c>
      <c r="P155" s="1">
        <v>0.11</v>
      </c>
      <c r="Q155" s="1"/>
      <c r="R155" s="1"/>
      <c r="S155" s="1"/>
      <c r="T155" s="1"/>
      <c r="U155" s="1"/>
      <c r="V155" s="1"/>
      <c r="W155" s="1"/>
      <c r="X155" s="1"/>
      <c r="Y155" s="1"/>
    </row>
    <row r="156" spans="1:25" x14ac:dyDescent="0.2">
      <c r="A156" s="126" t="s">
        <v>454</v>
      </c>
      <c r="B156" s="127">
        <v>0.02</v>
      </c>
      <c r="C156" s="127">
        <v>0.12</v>
      </c>
      <c r="D156" s="127">
        <v>0.6</v>
      </c>
      <c r="E156" s="127">
        <v>7.0000000000000007E-2</v>
      </c>
      <c r="F156" s="127">
        <v>0.1</v>
      </c>
      <c r="G156" s="127">
        <v>0.03</v>
      </c>
      <c r="H156" s="127">
        <v>0.1</v>
      </c>
      <c r="I156" s="127">
        <v>0.15</v>
      </c>
      <c r="J156" s="127">
        <v>0</v>
      </c>
      <c r="K156" s="127">
        <v>0.1</v>
      </c>
      <c r="L156" s="127">
        <v>0.2</v>
      </c>
      <c r="M156" s="1">
        <v>7.0000000000000007E-2</v>
      </c>
      <c r="N156" s="1">
        <v>0.1</v>
      </c>
      <c r="O156" s="1">
        <v>0.1</v>
      </c>
      <c r="P156" s="1">
        <v>0.1</v>
      </c>
      <c r="Q156" s="1"/>
      <c r="R156" s="1"/>
      <c r="S156" s="1"/>
      <c r="T156" s="1"/>
      <c r="U156" s="1"/>
      <c r="V156" s="1"/>
      <c r="W156" s="1"/>
      <c r="X156" s="1"/>
      <c r="Y156" s="1"/>
    </row>
    <row r="157" spans="1:25" x14ac:dyDescent="0.2">
      <c r="A157" s="126" t="s">
        <v>455</v>
      </c>
      <c r="B157" s="127">
        <v>0.09</v>
      </c>
      <c r="C157" s="127">
        <v>0.12</v>
      </c>
      <c r="D157" s="127">
        <v>0.6</v>
      </c>
      <c r="E157" s="127">
        <v>0.09</v>
      </c>
      <c r="F157" s="127">
        <v>0.12</v>
      </c>
      <c r="G157" s="127">
        <v>0.09</v>
      </c>
      <c r="H157" s="127">
        <v>0.12</v>
      </c>
      <c r="I157" s="127">
        <v>0.16</v>
      </c>
      <c r="J157" s="127">
        <v>0.09</v>
      </c>
      <c r="K157" s="127">
        <v>0.12</v>
      </c>
      <c r="L157" s="127">
        <v>0.2</v>
      </c>
      <c r="M157" s="1">
        <v>0.09</v>
      </c>
      <c r="N157" s="1">
        <v>0.09</v>
      </c>
      <c r="O157" s="1">
        <v>0.09</v>
      </c>
      <c r="P157" s="1">
        <v>0.1</v>
      </c>
      <c r="Q157" s="1"/>
      <c r="R157" s="1"/>
      <c r="S157" s="1"/>
      <c r="T157" s="1"/>
      <c r="U157" s="1"/>
      <c r="V157" s="1"/>
      <c r="W157" s="1"/>
      <c r="X157" s="1"/>
      <c r="Y157" s="1"/>
    </row>
    <row r="158" spans="1:25" x14ac:dyDescent="0.2">
      <c r="A158" s="126" t="s">
        <v>456</v>
      </c>
      <c r="B158" s="127">
        <v>0.2</v>
      </c>
      <c r="C158" s="127">
        <v>0.56999999999999995</v>
      </c>
      <c r="D158" s="127">
        <v>0.6</v>
      </c>
      <c r="E158" s="127">
        <v>0.09</v>
      </c>
      <c r="F158" s="127">
        <v>0.56999999999999995</v>
      </c>
      <c r="G158" s="127">
        <v>0.3</v>
      </c>
      <c r="H158" s="127">
        <v>0.54</v>
      </c>
      <c r="I158" s="127">
        <v>-0.03</v>
      </c>
      <c r="J158" s="127">
        <v>0.01</v>
      </c>
      <c r="K158" s="127">
        <v>0.39</v>
      </c>
      <c r="L158" s="127">
        <v>0.56999999999999995</v>
      </c>
      <c r="M158" s="1">
        <v>0</v>
      </c>
      <c r="N158" s="1">
        <v>0.3</v>
      </c>
      <c r="O158" s="1">
        <v>0</v>
      </c>
      <c r="P158" s="1">
        <v>0.27</v>
      </c>
      <c r="Q158" s="1"/>
      <c r="R158" s="1"/>
      <c r="S158" s="1"/>
      <c r="T158" s="1"/>
      <c r="U158" s="1"/>
      <c r="V158" s="1"/>
      <c r="W158" s="1"/>
      <c r="X158" s="1"/>
      <c r="Y158" s="1"/>
    </row>
    <row r="159" spans="1:25" x14ac:dyDescent="0.2">
      <c r="A159" s="126" t="s">
        <v>457</v>
      </c>
      <c r="B159" s="127">
        <v>0.12</v>
      </c>
      <c r="C159" s="127">
        <v>0.4</v>
      </c>
      <c r="D159" s="127">
        <v>0.6</v>
      </c>
      <c r="E159" s="127">
        <v>7.0000000000000007E-2</v>
      </c>
      <c r="F159" s="127">
        <v>0.33</v>
      </c>
      <c r="G159" s="127">
        <v>0.17</v>
      </c>
      <c r="H159" s="127">
        <v>0.33</v>
      </c>
      <c r="I159" s="127">
        <v>-0.03</v>
      </c>
      <c r="J159" s="127">
        <v>-0.02</v>
      </c>
      <c r="K159" s="127">
        <v>0.24</v>
      </c>
      <c r="L159" s="127">
        <v>0.47</v>
      </c>
      <c r="M159" s="1">
        <v>0</v>
      </c>
      <c r="N159" s="1">
        <v>0.17</v>
      </c>
      <c r="O159" s="1">
        <v>0</v>
      </c>
      <c r="P159" s="1">
        <v>0.16</v>
      </c>
      <c r="Q159" s="1"/>
      <c r="R159" s="1"/>
      <c r="S159" s="1"/>
      <c r="T159" s="1"/>
      <c r="U159" s="1"/>
      <c r="V159" s="1"/>
      <c r="W159" s="1"/>
      <c r="X159" s="1"/>
      <c r="Y159" s="1"/>
    </row>
    <row r="160" spans="1:25" x14ac:dyDescent="0.2">
      <c r="A160" s="126" t="s">
        <v>458</v>
      </c>
      <c r="B160" s="127">
        <v>0.62</v>
      </c>
      <c r="C160" s="127">
        <v>0.63</v>
      </c>
      <c r="D160" s="127">
        <v>0.6</v>
      </c>
      <c r="E160" s="127">
        <v>0.53</v>
      </c>
      <c r="F160" s="127">
        <v>0.63</v>
      </c>
      <c r="G160" s="127">
        <v>0.63</v>
      </c>
      <c r="H160" s="127">
        <v>0.63</v>
      </c>
      <c r="I160" s="127">
        <v>0.03</v>
      </c>
      <c r="J160" s="127">
        <v>0.5</v>
      </c>
      <c r="K160" s="127">
        <v>0.6</v>
      </c>
      <c r="L160" s="127">
        <v>0.63</v>
      </c>
      <c r="M160" s="1">
        <v>0.03</v>
      </c>
      <c r="N160" s="1">
        <v>0.63</v>
      </c>
      <c r="O160" s="1">
        <v>0.06</v>
      </c>
      <c r="P160" s="1">
        <v>0.44</v>
      </c>
      <c r="Q160" s="1"/>
      <c r="R160" s="1"/>
      <c r="S160" s="1"/>
      <c r="T160" s="1"/>
      <c r="U160" s="1"/>
      <c r="V160" s="1"/>
      <c r="W160" s="1"/>
      <c r="X160" s="1"/>
      <c r="Y160" s="1"/>
    </row>
    <row r="161" spans="1:25" x14ac:dyDescent="0.2">
      <c r="A161" s="126" t="s">
        <v>459</v>
      </c>
      <c r="B161" s="127">
        <v>0.14000000000000001</v>
      </c>
      <c r="C161" s="127">
        <v>0.44</v>
      </c>
      <c r="D161" s="127">
        <v>0.6</v>
      </c>
      <c r="E161" s="127">
        <v>7.0000000000000007E-2</v>
      </c>
      <c r="F161" s="127">
        <v>0.44</v>
      </c>
      <c r="G161" s="127">
        <v>0.22</v>
      </c>
      <c r="H161" s="127">
        <v>0.34</v>
      </c>
      <c r="I161" s="127">
        <v>-0.03</v>
      </c>
      <c r="J161" s="127">
        <v>0</v>
      </c>
      <c r="K161" s="127">
        <v>0.27</v>
      </c>
      <c r="L161" s="127">
        <v>0.54</v>
      </c>
      <c r="M161" s="1">
        <v>0</v>
      </c>
      <c r="N161" s="1">
        <v>0.22</v>
      </c>
      <c r="O161" s="1">
        <v>0</v>
      </c>
      <c r="P161" s="1">
        <v>0.18</v>
      </c>
      <c r="Q161" s="1"/>
      <c r="R161" s="1"/>
      <c r="S161" s="1"/>
      <c r="T161" s="1"/>
      <c r="U161" s="1"/>
      <c r="V161" s="1"/>
      <c r="W161" s="1"/>
      <c r="X161" s="1"/>
      <c r="Y161" s="1"/>
    </row>
    <row r="162" spans="1:25" x14ac:dyDescent="0.2">
      <c r="A162" s="126" t="s">
        <v>460</v>
      </c>
      <c r="B162" s="127">
        <v>0.03</v>
      </c>
      <c r="C162" s="127">
        <v>0.06</v>
      </c>
      <c r="D162" s="127">
        <v>0.6</v>
      </c>
      <c r="E162" s="127">
        <v>0.03</v>
      </c>
      <c r="F162" s="127">
        <v>0.06</v>
      </c>
      <c r="G162" s="127">
        <v>0.03</v>
      </c>
      <c r="H162" s="127">
        <v>0.03</v>
      </c>
      <c r="I162" s="127">
        <v>0.03</v>
      </c>
      <c r="J162" s="127">
        <v>0.03</v>
      </c>
      <c r="K162" s="127">
        <v>0.04</v>
      </c>
      <c r="L162" s="127">
        <v>0.08</v>
      </c>
      <c r="M162" s="1">
        <v>0.03</v>
      </c>
      <c r="N162" s="1">
        <v>0.03</v>
      </c>
      <c r="O162" s="1">
        <v>0.03</v>
      </c>
      <c r="P162" s="1">
        <v>0.03</v>
      </c>
      <c r="Q162" s="1"/>
      <c r="R162" s="1"/>
      <c r="S162" s="1"/>
      <c r="T162" s="1"/>
      <c r="U162" s="1"/>
      <c r="V162" s="1"/>
      <c r="W162" s="1"/>
      <c r="X162" s="1"/>
      <c r="Y162" s="1"/>
    </row>
    <row r="163" spans="1:25" x14ac:dyDescent="0.2">
      <c r="A163" s="126" t="s">
        <v>461</v>
      </c>
      <c r="B163" s="127">
        <v>0.04</v>
      </c>
      <c r="C163" s="127">
        <v>0.17</v>
      </c>
      <c r="D163" s="127">
        <v>0.6</v>
      </c>
      <c r="E163" s="127">
        <v>0</v>
      </c>
      <c r="F163" s="127">
        <v>0.13</v>
      </c>
      <c r="G163" s="127">
        <v>0.08</v>
      </c>
      <c r="H163" s="127">
        <v>0.09</v>
      </c>
      <c r="I163" s="127">
        <v>0.05</v>
      </c>
      <c r="J163" s="127">
        <v>0</v>
      </c>
      <c r="K163" s="127">
        <v>0.09</v>
      </c>
      <c r="L163" s="127">
        <v>0.19</v>
      </c>
      <c r="M163" s="1">
        <v>0</v>
      </c>
      <c r="N163" s="1">
        <v>0.09</v>
      </c>
      <c r="O163" s="1">
        <v>0</v>
      </c>
      <c r="P163" s="1">
        <v>0.05</v>
      </c>
      <c r="Q163" s="1"/>
      <c r="R163" s="1"/>
      <c r="S163" s="1"/>
      <c r="T163" s="1"/>
      <c r="U163" s="1"/>
      <c r="V163" s="1"/>
      <c r="W163" s="1"/>
      <c r="X163" s="1"/>
      <c r="Y163" s="1"/>
    </row>
    <row r="164" spans="1:25" x14ac:dyDescent="0.2">
      <c r="A164" s="126" t="s">
        <v>462</v>
      </c>
      <c r="B164" s="127">
        <v>0.47</v>
      </c>
      <c r="C164" s="127">
        <v>0.69</v>
      </c>
      <c r="D164" s="127">
        <v>0.6</v>
      </c>
      <c r="E164" s="127">
        <v>0.38</v>
      </c>
      <c r="F164" s="127">
        <v>0.66</v>
      </c>
      <c r="G164" s="127">
        <v>0.56000000000000005</v>
      </c>
      <c r="H164" s="127">
        <v>0.66</v>
      </c>
      <c r="I164" s="127">
        <v>0.09</v>
      </c>
      <c r="J164" s="127">
        <v>0.31</v>
      </c>
      <c r="K164" s="127">
        <v>0.56000000000000005</v>
      </c>
      <c r="L164" s="127">
        <v>0.69</v>
      </c>
      <c r="M164" s="1">
        <v>0.09</v>
      </c>
      <c r="N164" s="1">
        <v>0.52</v>
      </c>
      <c r="O164" s="1">
        <v>0.1</v>
      </c>
      <c r="P164" s="1">
        <v>0.43</v>
      </c>
      <c r="Q164" s="1"/>
      <c r="R164" s="1"/>
      <c r="S164" s="1"/>
      <c r="T164" s="1"/>
      <c r="U164" s="1"/>
      <c r="V164" s="1"/>
      <c r="W164" s="1"/>
      <c r="X164" s="1"/>
      <c r="Y164" s="1"/>
    </row>
    <row r="165" spans="1:25" x14ac:dyDescent="0.2">
      <c r="A165" s="126" t="s">
        <v>463</v>
      </c>
      <c r="B165" s="127">
        <v>0</v>
      </c>
      <c r="C165" s="127">
        <v>0</v>
      </c>
      <c r="D165" s="127">
        <v>0.6</v>
      </c>
      <c r="E165" s="127">
        <v>0.08</v>
      </c>
      <c r="F165" s="127">
        <v>0</v>
      </c>
      <c r="G165" s="127">
        <v>0</v>
      </c>
      <c r="H165" s="127">
        <v>0</v>
      </c>
      <c r="I165" s="127">
        <v>0.3</v>
      </c>
      <c r="J165" s="127">
        <v>0</v>
      </c>
      <c r="K165" s="127">
        <v>0.05</v>
      </c>
      <c r="L165" s="127">
        <v>0.03</v>
      </c>
      <c r="M165" s="1">
        <v>0.02</v>
      </c>
      <c r="N165" s="1">
        <v>0.02</v>
      </c>
      <c r="O165" s="1">
        <v>0.11</v>
      </c>
      <c r="P165" s="1">
        <v>0.04</v>
      </c>
      <c r="Q165" s="1"/>
      <c r="R165" s="1"/>
      <c r="S165" s="1"/>
      <c r="T165" s="1"/>
      <c r="U165" s="1"/>
      <c r="V165" s="1"/>
      <c r="W165" s="1"/>
      <c r="X165" s="1"/>
      <c r="Y165" s="1"/>
    </row>
    <row r="166" spans="1:25" x14ac:dyDescent="0.2">
      <c r="A166" s="126" t="s">
        <v>464</v>
      </c>
      <c r="B166" s="127">
        <v>0.13</v>
      </c>
      <c r="C166" s="127">
        <v>0.54</v>
      </c>
      <c r="D166" s="127">
        <v>0.6</v>
      </c>
      <c r="E166" s="127">
        <v>0.05</v>
      </c>
      <c r="F166" s="127">
        <v>0.54</v>
      </c>
      <c r="G166" s="127">
        <v>0.17</v>
      </c>
      <c r="H166" s="127">
        <v>0.44</v>
      </c>
      <c r="I166" s="127">
        <v>-0.03</v>
      </c>
      <c r="J166" s="127">
        <v>0</v>
      </c>
      <c r="K166" s="127">
        <v>0.31</v>
      </c>
      <c r="L166" s="127">
        <v>0.56999999999999995</v>
      </c>
      <c r="M166" s="1">
        <v>0</v>
      </c>
      <c r="N166" s="1">
        <v>0.17</v>
      </c>
      <c r="O166" s="1">
        <v>0</v>
      </c>
      <c r="P166" s="1">
        <v>0.19</v>
      </c>
      <c r="Q166" s="1"/>
      <c r="R166" s="1"/>
      <c r="S166" s="1"/>
      <c r="T166" s="1"/>
      <c r="U166" s="1"/>
      <c r="V166" s="1"/>
      <c r="W166" s="1"/>
      <c r="X166" s="1"/>
      <c r="Y166" s="1"/>
    </row>
    <row r="167" spans="1:25" x14ac:dyDescent="0.2">
      <c r="A167" s="126" t="s">
        <v>465</v>
      </c>
      <c r="B167" s="127">
        <v>0.14000000000000001</v>
      </c>
      <c r="C167" s="127">
        <v>0.56999999999999995</v>
      </c>
      <c r="D167" s="127">
        <v>0.6</v>
      </c>
      <c r="E167" s="127">
        <v>0.03</v>
      </c>
      <c r="F167" s="127">
        <v>0.5</v>
      </c>
      <c r="G167" s="127">
        <v>0.23</v>
      </c>
      <c r="H167" s="127">
        <v>0.47</v>
      </c>
      <c r="I167" s="127">
        <v>0</v>
      </c>
      <c r="J167" s="127">
        <v>0.01</v>
      </c>
      <c r="K167" s="127">
        <v>0.33</v>
      </c>
      <c r="L167" s="127">
        <v>0.6</v>
      </c>
      <c r="M167" s="1">
        <v>0</v>
      </c>
      <c r="N167" s="1">
        <v>0.2</v>
      </c>
      <c r="O167" s="1">
        <v>0</v>
      </c>
      <c r="P167" s="1">
        <v>0.22</v>
      </c>
      <c r="Q167" s="1"/>
      <c r="R167" s="1"/>
      <c r="S167" s="1"/>
      <c r="T167" s="1"/>
      <c r="U167" s="1"/>
      <c r="V167" s="1"/>
      <c r="W167" s="1"/>
      <c r="X167" s="1"/>
      <c r="Y167" s="1"/>
    </row>
    <row r="168" spans="1:25" x14ac:dyDescent="0.2">
      <c r="A168" s="126" t="s">
        <v>466</v>
      </c>
      <c r="B168" s="127">
        <v>0.32</v>
      </c>
      <c r="C168" s="127">
        <v>0.52</v>
      </c>
      <c r="D168" s="127">
        <v>0.6</v>
      </c>
      <c r="E168" s="127">
        <v>0.2</v>
      </c>
      <c r="F168" s="127">
        <v>0.52</v>
      </c>
      <c r="G168" s="127">
        <v>0.36</v>
      </c>
      <c r="H168" s="127">
        <v>0.51</v>
      </c>
      <c r="I168" s="127">
        <v>0</v>
      </c>
      <c r="J168" s="127">
        <v>0.06</v>
      </c>
      <c r="K168" s="127">
        <v>0.38</v>
      </c>
      <c r="L168" s="127">
        <v>0.55000000000000004</v>
      </c>
      <c r="M168" s="1">
        <v>0</v>
      </c>
      <c r="N168" s="1">
        <v>0.35</v>
      </c>
      <c r="O168" s="1">
        <v>0</v>
      </c>
      <c r="P168" s="1">
        <v>0.28000000000000003</v>
      </c>
      <c r="Q168" s="1"/>
      <c r="R168" s="1"/>
      <c r="S168" s="1"/>
      <c r="T168" s="1"/>
      <c r="U168" s="1"/>
      <c r="V168" s="1"/>
      <c r="W168" s="1"/>
      <c r="X168" s="1"/>
      <c r="Y168" s="1"/>
    </row>
    <row r="169" spans="1:25" x14ac:dyDescent="0.2">
      <c r="A169" s="126" t="s">
        <v>467</v>
      </c>
      <c r="B169" s="127">
        <v>7.0000000000000007E-2</v>
      </c>
      <c r="C169" s="127">
        <v>0.2</v>
      </c>
      <c r="D169" s="127">
        <v>0.6</v>
      </c>
      <c r="E169" s="127">
        <v>0.06</v>
      </c>
      <c r="F169" s="127">
        <v>0.2</v>
      </c>
      <c r="G169" s="127">
        <v>7.0000000000000007E-2</v>
      </c>
      <c r="H169" s="127">
        <v>0.2</v>
      </c>
      <c r="I169" s="127">
        <v>0.06</v>
      </c>
      <c r="J169" s="127">
        <v>0.06</v>
      </c>
      <c r="K169" s="127">
        <v>0.16</v>
      </c>
      <c r="L169" s="127">
        <v>0.31</v>
      </c>
      <c r="M169" s="1">
        <v>0.06</v>
      </c>
      <c r="N169" s="1">
        <v>0.09</v>
      </c>
      <c r="O169" s="1">
        <v>0.06</v>
      </c>
      <c r="P169" s="1">
        <v>0.1</v>
      </c>
      <c r="Q169" s="1"/>
      <c r="R169" s="1"/>
      <c r="S169" s="1"/>
      <c r="T169" s="1"/>
      <c r="U169" s="1"/>
      <c r="V169" s="1"/>
      <c r="W169" s="1"/>
      <c r="X169" s="1"/>
      <c r="Y169" s="1"/>
    </row>
    <row r="170" spans="1:25" x14ac:dyDescent="0.2">
      <c r="A170" s="126" t="s">
        <v>468</v>
      </c>
      <c r="B170" s="127">
        <v>0.03</v>
      </c>
      <c r="C170" s="127">
        <v>0.03</v>
      </c>
      <c r="D170" s="127">
        <v>0.6</v>
      </c>
      <c r="E170" s="127">
        <v>0.03</v>
      </c>
      <c r="F170" s="127">
        <v>0.03</v>
      </c>
      <c r="G170" s="127">
        <v>0.03</v>
      </c>
      <c r="H170" s="127">
        <v>0.03</v>
      </c>
      <c r="I170" s="127">
        <v>0.03</v>
      </c>
      <c r="J170" s="127">
        <v>0.03</v>
      </c>
      <c r="K170" s="127">
        <v>0.04</v>
      </c>
      <c r="L170" s="127">
        <v>0.08</v>
      </c>
      <c r="M170" s="1">
        <v>0.03</v>
      </c>
      <c r="N170" s="1">
        <v>0.03</v>
      </c>
      <c r="O170" s="1">
        <v>0.03</v>
      </c>
      <c r="P170" s="1">
        <v>0.03</v>
      </c>
      <c r="Q170" s="1"/>
      <c r="R170" s="1"/>
      <c r="S170" s="1"/>
      <c r="T170" s="1"/>
      <c r="U170" s="1"/>
      <c r="V170" s="1"/>
      <c r="W170" s="1"/>
      <c r="X170" s="1"/>
      <c r="Y170" s="1"/>
    </row>
    <row r="171" spans="1:25" x14ac:dyDescent="0.2">
      <c r="A171" s="126" t="s">
        <v>469</v>
      </c>
      <c r="B171" s="127">
        <v>0.11</v>
      </c>
      <c r="C171" s="127">
        <v>0.23</v>
      </c>
      <c r="D171" s="127">
        <v>0.6</v>
      </c>
      <c r="E171" s="127">
        <v>0.13</v>
      </c>
      <c r="F171" s="127">
        <v>0.23</v>
      </c>
      <c r="G171" s="127">
        <v>0.13</v>
      </c>
      <c r="H171" s="127">
        <v>0.19</v>
      </c>
      <c r="I171" s="127">
        <v>0.21</v>
      </c>
      <c r="J171" s="127">
        <v>0.03</v>
      </c>
      <c r="K171" s="127">
        <v>0.17</v>
      </c>
      <c r="L171" s="127">
        <v>0.28999999999999998</v>
      </c>
      <c r="M171" s="1">
        <v>0.05</v>
      </c>
      <c r="N171" s="1">
        <v>0.15</v>
      </c>
      <c r="O171" s="1">
        <v>0.11</v>
      </c>
      <c r="P171" s="1">
        <v>0.15</v>
      </c>
      <c r="Q171" s="1"/>
      <c r="R171" s="1"/>
      <c r="S171" s="1"/>
      <c r="T171" s="1"/>
      <c r="U171" s="1"/>
      <c r="V171" s="1"/>
      <c r="W171" s="1"/>
      <c r="X171" s="1"/>
      <c r="Y171" s="1"/>
    </row>
    <row r="172" spans="1:25" x14ac:dyDescent="0.2">
      <c r="A172" s="126" t="s">
        <v>470</v>
      </c>
      <c r="B172" s="127">
        <v>0.01</v>
      </c>
      <c r="C172" s="127">
        <v>0.12</v>
      </c>
      <c r="D172" s="127">
        <v>0.6</v>
      </c>
      <c r="E172" s="127">
        <v>0</v>
      </c>
      <c r="F172" s="127">
        <v>0.09</v>
      </c>
      <c r="G172" s="127">
        <v>0.01</v>
      </c>
      <c r="H172" s="127">
        <v>0.09</v>
      </c>
      <c r="I172" s="127">
        <v>0</v>
      </c>
      <c r="J172" s="127">
        <v>0</v>
      </c>
      <c r="K172" s="127">
        <v>0.09</v>
      </c>
      <c r="L172" s="127">
        <v>0.24</v>
      </c>
      <c r="M172" s="1">
        <v>0</v>
      </c>
      <c r="N172" s="1">
        <v>0</v>
      </c>
      <c r="O172" s="1">
        <v>0</v>
      </c>
      <c r="P172" s="1">
        <v>0.03</v>
      </c>
      <c r="Q172" s="1"/>
      <c r="R172" s="1"/>
      <c r="S172" s="1"/>
      <c r="T172" s="1"/>
      <c r="U172" s="1"/>
      <c r="V172" s="1"/>
      <c r="W172" s="1"/>
      <c r="X172" s="1"/>
      <c r="Y172" s="1"/>
    </row>
    <row r="173" spans="1:25" x14ac:dyDescent="0.2">
      <c r="A173" s="126" t="s">
        <v>471</v>
      </c>
      <c r="B173" s="127">
        <v>0.26</v>
      </c>
      <c r="C173" s="127">
        <v>0.56999999999999995</v>
      </c>
      <c r="D173" s="127">
        <v>0.6</v>
      </c>
      <c r="E173" s="127">
        <v>0.19</v>
      </c>
      <c r="F173" s="127">
        <v>0.56999999999999995</v>
      </c>
      <c r="G173" s="127">
        <v>0.4</v>
      </c>
      <c r="H173" s="127">
        <v>0.56999999999999995</v>
      </c>
      <c r="I173" s="127">
        <v>-0.03</v>
      </c>
      <c r="J173" s="127">
        <v>0.09</v>
      </c>
      <c r="K173" s="127">
        <v>0.42</v>
      </c>
      <c r="L173" s="127">
        <v>0.56999999999999995</v>
      </c>
      <c r="M173" s="1">
        <v>0</v>
      </c>
      <c r="N173" s="1">
        <v>0.33</v>
      </c>
      <c r="O173" s="1">
        <v>0</v>
      </c>
      <c r="P173" s="1">
        <v>0.28999999999999998</v>
      </c>
      <c r="Q173" s="1"/>
      <c r="R173" s="1"/>
      <c r="S173" s="1"/>
      <c r="T173" s="1"/>
      <c r="U173" s="1"/>
      <c r="V173" s="1"/>
      <c r="W173" s="1"/>
      <c r="X173" s="1"/>
      <c r="Y173" s="1"/>
    </row>
    <row r="174" spans="1:25" x14ac:dyDescent="0.2">
      <c r="A174" s="126" t="s">
        <v>472</v>
      </c>
      <c r="B174" s="127">
        <v>0.48</v>
      </c>
      <c r="C174" s="127">
        <v>0.66</v>
      </c>
      <c r="D174" s="127">
        <v>0.6</v>
      </c>
      <c r="E174" s="127">
        <v>0.41</v>
      </c>
      <c r="F174" s="127">
        <v>0.66</v>
      </c>
      <c r="G174" s="127">
        <v>0.56000000000000005</v>
      </c>
      <c r="H174" s="127">
        <v>0.66</v>
      </c>
      <c r="I174" s="127">
        <v>0.06</v>
      </c>
      <c r="J174" s="127">
        <v>0.25</v>
      </c>
      <c r="K174" s="127">
        <v>0.55000000000000004</v>
      </c>
      <c r="L174" s="127">
        <v>0.66</v>
      </c>
      <c r="M174" s="1">
        <v>0.06</v>
      </c>
      <c r="N174" s="1">
        <v>0.56000000000000005</v>
      </c>
      <c r="O174" s="1">
        <v>0.06</v>
      </c>
      <c r="P174" s="1">
        <v>0.43</v>
      </c>
      <c r="Q174" s="1"/>
      <c r="R174" s="1"/>
      <c r="S174" s="1"/>
      <c r="T174" s="1"/>
      <c r="U174" s="1"/>
      <c r="V174" s="1"/>
      <c r="W174" s="1"/>
      <c r="X174" s="1"/>
      <c r="Y174" s="1"/>
    </row>
    <row r="175" spans="1:25" x14ac:dyDescent="0.2">
      <c r="A175" s="126" t="s">
        <v>473</v>
      </c>
      <c r="B175" s="127">
        <v>0.43</v>
      </c>
      <c r="C175" s="127">
        <v>0.43</v>
      </c>
      <c r="D175" s="127">
        <v>0.6</v>
      </c>
      <c r="E175" s="127">
        <v>0.43</v>
      </c>
      <c r="F175" s="127">
        <v>0.31</v>
      </c>
      <c r="G175" s="127">
        <v>0.38</v>
      </c>
      <c r="H175" s="127">
        <v>0.15</v>
      </c>
      <c r="I175" s="127">
        <v>0.53</v>
      </c>
      <c r="J175" s="127">
        <v>0.15</v>
      </c>
      <c r="K175" s="127">
        <v>0.28999999999999998</v>
      </c>
      <c r="L175" s="127">
        <v>0.28000000000000003</v>
      </c>
      <c r="M175" s="1">
        <v>0.43</v>
      </c>
      <c r="N175" s="1">
        <v>0.43</v>
      </c>
      <c r="O175" s="1">
        <v>0.43</v>
      </c>
      <c r="P175" s="1">
        <v>0.34</v>
      </c>
      <c r="Q175" s="1"/>
      <c r="R175" s="1"/>
      <c r="S175" s="1"/>
      <c r="T175" s="1"/>
      <c r="U175" s="1"/>
      <c r="V175" s="1"/>
      <c r="W175" s="1"/>
      <c r="X175" s="1"/>
      <c r="Y175" s="1"/>
    </row>
    <row r="176" spans="1:25" x14ac:dyDescent="0.2">
      <c r="A176" s="126" t="s">
        <v>474</v>
      </c>
      <c r="B176" s="127">
        <v>0</v>
      </c>
      <c r="C176" s="127">
        <v>0.03</v>
      </c>
      <c r="D176" s="127">
        <v>0.6</v>
      </c>
      <c r="E176" s="127">
        <v>7.0000000000000007E-2</v>
      </c>
      <c r="F176" s="127">
        <v>0.03</v>
      </c>
      <c r="G176" s="127">
        <v>0</v>
      </c>
      <c r="H176" s="127">
        <v>0.03</v>
      </c>
      <c r="I176" s="127">
        <v>0.18</v>
      </c>
      <c r="J176" s="127">
        <v>0</v>
      </c>
      <c r="K176" s="127">
        <v>0.06</v>
      </c>
      <c r="L176" s="127">
        <v>0.11</v>
      </c>
      <c r="M176" s="1">
        <v>7.0000000000000007E-2</v>
      </c>
      <c r="N176" s="1">
        <v>0.02</v>
      </c>
      <c r="O176" s="1">
        <v>0.08</v>
      </c>
      <c r="P176" s="1">
        <v>0.05</v>
      </c>
      <c r="Q176" s="1"/>
      <c r="R176" s="1"/>
      <c r="S176" s="1"/>
      <c r="T176" s="1"/>
      <c r="U176" s="1"/>
      <c r="V176" s="1"/>
      <c r="W176" s="1"/>
      <c r="X176" s="1"/>
      <c r="Y176" s="1"/>
    </row>
    <row r="177" spans="1:25" x14ac:dyDescent="0.2">
      <c r="A177" s="126" t="s">
        <v>475</v>
      </c>
      <c r="B177" s="127">
        <v>0.05</v>
      </c>
      <c r="C177" s="127">
        <v>0.15</v>
      </c>
      <c r="D177" s="127">
        <v>0.6</v>
      </c>
      <c r="E177" s="127">
        <v>0.03</v>
      </c>
      <c r="F177" s="127">
        <v>0.15</v>
      </c>
      <c r="G177" s="127">
        <v>0.06</v>
      </c>
      <c r="H177" s="127">
        <v>0.15</v>
      </c>
      <c r="I177" s="127">
        <v>0.11</v>
      </c>
      <c r="J177" s="127">
        <v>0.03</v>
      </c>
      <c r="K177" s="127">
        <v>0.11</v>
      </c>
      <c r="L177" s="127">
        <v>0.15</v>
      </c>
      <c r="M177" s="1">
        <v>0.03</v>
      </c>
      <c r="N177" s="1">
        <v>0.06</v>
      </c>
      <c r="O177" s="1">
        <v>0.05</v>
      </c>
      <c r="P177" s="1">
        <v>0.09</v>
      </c>
      <c r="Q177" s="1"/>
      <c r="R177" s="1"/>
      <c r="S177" s="1"/>
      <c r="T177" s="1"/>
      <c r="U177" s="1"/>
      <c r="V177" s="1"/>
      <c r="W177" s="1"/>
      <c r="X177" s="1"/>
      <c r="Y177" s="1"/>
    </row>
    <row r="178" spans="1:25" x14ac:dyDescent="0.2">
      <c r="A178" s="126" t="s">
        <v>476</v>
      </c>
      <c r="B178" s="127">
        <v>0.18</v>
      </c>
      <c r="C178" s="127">
        <v>0.43</v>
      </c>
      <c r="D178" s="127">
        <v>0.6</v>
      </c>
      <c r="E178" s="127">
        <v>0.11</v>
      </c>
      <c r="F178" s="127">
        <v>0.43</v>
      </c>
      <c r="G178" s="127">
        <v>0.25</v>
      </c>
      <c r="H178" s="127">
        <v>0.43</v>
      </c>
      <c r="I178" s="127">
        <v>0.06</v>
      </c>
      <c r="J178" s="127">
        <v>0.09</v>
      </c>
      <c r="K178" s="127">
        <v>0.34</v>
      </c>
      <c r="L178" s="127">
        <v>0.56000000000000005</v>
      </c>
      <c r="M178" s="1">
        <v>0.06</v>
      </c>
      <c r="N178" s="1">
        <v>0.2</v>
      </c>
      <c r="O178" s="1">
        <v>0.06</v>
      </c>
      <c r="P178" s="1">
        <v>0.23</v>
      </c>
      <c r="Q178" s="1"/>
      <c r="R178" s="1"/>
      <c r="S178" s="1"/>
      <c r="T178" s="1"/>
      <c r="U178" s="1"/>
      <c r="V178" s="1"/>
      <c r="W178" s="1"/>
      <c r="X178" s="1"/>
      <c r="Y178" s="1"/>
    </row>
    <row r="179" spans="1:25" x14ac:dyDescent="0.2">
      <c r="A179" s="126" t="s">
        <v>477</v>
      </c>
      <c r="B179" s="127">
        <v>0.26</v>
      </c>
      <c r="C179" s="127">
        <v>0.42</v>
      </c>
      <c r="D179" s="127">
        <v>0.6</v>
      </c>
      <c r="E179" s="127">
        <v>0.21</v>
      </c>
      <c r="F179" s="127">
        <v>0.38</v>
      </c>
      <c r="G179" s="127">
        <v>0.31</v>
      </c>
      <c r="H179" s="127">
        <v>0.38</v>
      </c>
      <c r="I179" s="127">
        <v>0.24</v>
      </c>
      <c r="J179" s="127">
        <v>0.17</v>
      </c>
      <c r="K179" s="127">
        <v>0.35</v>
      </c>
      <c r="L179" s="127">
        <v>0.45</v>
      </c>
      <c r="M179" s="1">
        <v>0.11</v>
      </c>
      <c r="N179" s="1">
        <v>0.31</v>
      </c>
      <c r="O179" s="1">
        <v>0.16</v>
      </c>
      <c r="P179" s="1">
        <v>0.28000000000000003</v>
      </c>
      <c r="Q179" s="1"/>
      <c r="R179" s="1"/>
      <c r="S179" s="1"/>
      <c r="T179" s="1"/>
      <c r="U179" s="1"/>
      <c r="V179" s="1"/>
      <c r="W179" s="1"/>
      <c r="X179" s="1"/>
      <c r="Y179" s="1"/>
    </row>
    <row r="180" spans="1:25" x14ac:dyDescent="0.2">
      <c r="A180" s="126" t="s">
        <v>478</v>
      </c>
      <c r="B180" s="127">
        <v>0.3</v>
      </c>
      <c r="C180" s="127">
        <v>0.53</v>
      </c>
      <c r="D180" s="127">
        <v>0.6</v>
      </c>
      <c r="E180" s="127">
        <v>0.23</v>
      </c>
      <c r="F180" s="127">
        <v>0.53</v>
      </c>
      <c r="G180" s="127">
        <v>0.36</v>
      </c>
      <c r="H180" s="127">
        <v>0.5</v>
      </c>
      <c r="I180" s="127">
        <v>0.03</v>
      </c>
      <c r="J180" s="127">
        <v>0.15</v>
      </c>
      <c r="K180" s="127">
        <v>0.4</v>
      </c>
      <c r="L180" s="127">
        <v>0.6</v>
      </c>
      <c r="M180" s="1">
        <v>0.03</v>
      </c>
      <c r="N180" s="1">
        <v>0.36</v>
      </c>
      <c r="O180" s="1">
        <v>0.03</v>
      </c>
      <c r="P180" s="1">
        <v>0.3</v>
      </c>
      <c r="Q180" s="1"/>
      <c r="R180" s="1"/>
      <c r="S180" s="1"/>
      <c r="T180" s="1"/>
      <c r="U180" s="1"/>
      <c r="V180" s="1"/>
      <c r="W180" s="1"/>
      <c r="X180" s="1"/>
      <c r="Y180" s="1"/>
    </row>
    <row r="181" spans="1:25" x14ac:dyDescent="0.2">
      <c r="A181" s="126" t="s">
        <v>479</v>
      </c>
      <c r="B181" s="127">
        <v>0.34</v>
      </c>
      <c r="C181" s="127">
        <v>0.6</v>
      </c>
      <c r="D181" s="127">
        <v>0.6</v>
      </c>
      <c r="E181" s="127">
        <v>0.2</v>
      </c>
      <c r="F181" s="127">
        <v>0.56999999999999995</v>
      </c>
      <c r="G181" s="127">
        <v>0.43</v>
      </c>
      <c r="H181" s="127">
        <v>0.56999999999999995</v>
      </c>
      <c r="I181" s="127">
        <v>0</v>
      </c>
      <c r="J181" s="127">
        <v>7.0000000000000007E-2</v>
      </c>
      <c r="K181" s="127">
        <v>0.43</v>
      </c>
      <c r="L181" s="127">
        <v>0.6</v>
      </c>
      <c r="M181" s="1">
        <v>0</v>
      </c>
      <c r="N181" s="1">
        <v>0.43</v>
      </c>
      <c r="O181" s="1">
        <v>0</v>
      </c>
      <c r="P181" s="1">
        <v>0.33</v>
      </c>
      <c r="Q181" s="1"/>
      <c r="R181" s="1"/>
      <c r="S181" s="1"/>
      <c r="T181" s="1"/>
      <c r="U181" s="1"/>
      <c r="V181" s="1"/>
      <c r="W181" s="1"/>
      <c r="X181" s="1"/>
      <c r="Y181" s="1"/>
    </row>
    <row r="182" spans="1:25" x14ac:dyDescent="0.2">
      <c r="A182" s="126" t="s">
        <v>480</v>
      </c>
      <c r="B182" s="127">
        <v>0.23</v>
      </c>
      <c r="C182" s="127">
        <v>0.5</v>
      </c>
      <c r="D182" s="127">
        <v>0.6</v>
      </c>
      <c r="E182" s="127">
        <v>0.16</v>
      </c>
      <c r="F182" s="127">
        <v>0.47</v>
      </c>
      <c r="G182" s="127">
        <v>0.26</v>
      </c>
      <c r="H182" s="127">
        <v>0.47</v>
      </c>
      <c r="I182" s="127">
        <v>0</v>
      </c>
      <c r="J182" s="127">
        <v>0.12</v>
      </c>
      <c r="K182" s="127">
        <v>0.37</v>
      </c>
      <c r="L182" s="127">
        <v>0.56999999999999995</v>
      </c>
      <c r="M182" s="1">
        <v>0</v>
      </c>
      <c r="N182" s="1">
        <v>0.26</v>
      </c>
      <c r="O182" s="1">
        <v>0</v>
      </c>
      <c r="P182" s="1">
        <v>0.24</v>
      </c>
      <c r="Q182" s="1"/>
      <c r="R182" s="1"/>
      <c r="S182" s="1"/>
      <c r="T182" s="1"/>
      <c r="U182" s="1"/>
      <c r="V182" s="1"/>
      <c r="W182" s="1"/>
      <c r="X182" s="1"/>
      <c r="Y182" s="1"/>
    </row>
    <row r="183" spans="1:25" x14ac:dyDescent="0.2">
      <c r="A183" s="126" t="s">
        <v>481</v>
      </c>
      <c r="B183" s="127">
        <v>0.08</v>
      </c>
      <c r="C183" s="127">
        <v>0.19</v>
      </c>
      <c r="D183" s="127">
        <v>0.6</v>
      </c>
      <c r="E183" s="127">
        <v>0.06</v>
      </c>
      <c r="F183" s="127">
        <v>0.15</v>
      </c>
      <c r="G183" s="127">
        <v>0.11</v>
      </c>
      <c r="H183" s="127">
        <v>0.15</v>
      </c>
      <c r="I183" s="127">
        <v>0.11</v>
      </c>
      <c r="J183" s="127">
        <v>0.06</v>
      </c>
      <c r="K183" s="127">
        <v>0.15</v>
      </c>
      <c r="L183" s="127">
        <v>0.25</v>
      </c>
      <c r="M183" s="1">
        <v>0.03</v>
      </c>
      <c r="N183" s="1">
        <v>0.11</v>
      </c>
      <c r="O183" s="1">
        <v>0.05</v>
      </c>
      <c r="P183" s="1">
        <v>0.1</v>
      </c>
      <c r="Q183" s="1"/>
      <c r="R183" s="1"/>
      <c r="S183" s="1"/>
      <c r="T183" s="1"/>
      <c r="U183" s="1"/>
      <c r="V183" s="1"/>
      <c r="W183" s="1"/>
      <c r="X183" s="1"/>
      <c r="Y183" s="1"/>
    </row>
    <row r="184" spans="1:25" x14ac:dyDescent="0.2">
      <c r="A184" s="126" t="s">
        <v>482</v>
      </c>
      <c r="B184" s="127">
        <v>0.1</v>
      </c>
      <c r="C184" s="127">
        <v>0.19</v>
      </c>
      <c r="D184" s="127">
        <v>0.6</v>
      </c>
      <c r="E184" s="127">
        <v>0.06</v>
      </c>
      <c r="F184" s="127">
        <v>0.19</v>
      </c>
      <c r="G184" s="127">
        <v>0.13</v>
      </c>
      <c r="H184" s="127">
        <v>0.19</v>
      </c>
      <c r="I184" s="127">
        <v>0.03</v>
      </c>
      <c r="J184" s="127">
        <v>0.03</v>
      </c>
      <c r="K184" s="127">
        <v>0.16</v>
      </c>
      <c r="L184" s="127">
        <v>0.28999999999999998</v>
      </c>
      <c r="M184" s="1">
        <v>0.03</v>
      </c>
      <c r="N184" s="1">
        <v>0.13</v>
      </c>
      <c r="O184" s="1">
        <v>0.03</v>
      </c>
      <c r="P184" s="1">
        <v>0.12</v>
      </c>
      <c r="Q184" s="1"/>
      <c r="R184" s="1"/>
      <c r="S184" s="1"/>
      <c r="T184" s="1"/>
      <c r="U184" s="1"/>
      <c r="V184" s="1"/>
      <c r="W184" s="1"/>
      <c r="X184" s="1"/>
      <c r="Y184" s="1"/>
    </row>
    <row r="185" spans="1:25" x14ac:dyDescent="0.2">
      <c r="A185" s="126" t="s">
        <v>483</v>
      </c>
      <c r="B185" s="127">
        <v>0.06</v>
      </c>
      <c r="C185" s="127">
        <v>0.19</v>
      </c>
      <c r="D185" s="127">
        <v>0.6</v>
      </c>
      <c r="E185" s="127">
        <v>0.1</v>
      </c>
      <c r="F185" s="127">
        <v>0.15</v>
      </c>
      <c r="G185" s="127">
        <v>0.06</v>
      </c>
      <c r="H185" s="127">
        <v>0.13</v>
      </c>
      <c r="I185" s="127">
        <v>0.13</v>
      </c>
      <c r="J185" s="127">
        <v>0.03</v>
      </c>
      <c r="K185" s="127">
        <v>0.14000000000000001</v>
      </c>
      <c r="L185" s="127">
        <v>0.23</v>
      </c>
      <c r="M185" s="1">
        <v>0.05</v>
      </c>
      <c r="N185" s="1">
        <v>0.08</v>
      </c>
      <c r="O185" s="1">
        <v>0.1</v>
      </c>
      <c r="P185" s="1">
        <v>0.1</v>
      </c>
      <c r="Q185" s="1"/>
      <c r="R185" s="1"/>
      <c r="S185" s="1"/>
      <c r="T185" s="1"/>
      <c r="U185" s="1"/>
      <c r="V185" s="1"/>
      <c r="W185" s="1"/>
      <c r="X185" s="1"/>
      <c r="Y185" s="1"/>
    </row>
    <row r="186" spans="1:25" x14ac:dyDescent="0.2">
      <c r="A186" s="126" t="s">
        <v>484</v>
      </c>
      <c r="B186" s="127">
        <v>0.11</v>
      </c>
      <c r="C186" s="127">
        <v>0.28999999999999998</v>
      </c>
      <c r="D186" s="127">
        <v>0.6</v>
      </c>
      <c r="E186" s="127">
        <v>0.06</v>
      </c>
      <c r="F186" s="127">
        <v>0.28000000000000003</v>
      </c>
      <c r="G186" s="127">
        <v>0.15</v>
      </c>
      <c r="H186" s="127">
        <v>0.28000000000000003</v>
      </c>
      <c r="I186" s="127">
        <v>0.03</v>
      </c>
      <c r="J186" s="127">
        <v>0.06</v>
      </c>
      <c r="K186" s="127">
        <v>0.23</v>
      </c>
      <c r="L186" s="127">
        <v>0.4</v>
      </c>
      <c r="M186" s="1">
        <v>0.03</v>
      </c>
      <c r="N186" s="1">
        <v>0.15</v>
      </c>
      <c r="O186" s="1">
        <v>0.03</v>
      </c>
      <c r="P186" s="1">
        <v>0.15</v>
      </c>
      <c r="Q186" s="1"/>
      <c r="R186" s="1"/>
      <c r="S186" s="1"/>
      <c r="T186" s="1"/>
      <c r="U186" s="1"/>
      <c r="V186" s="1"/>
      <c r="W186" s="1"/>
      <c r="X186" s="1"/>
      <c r="Y186" s="1"/>
    </row>
    <row r="187" spans="1:25" x14ac:dyDescent="0.2">
      <c r="A187" s="126" t="s">
        <v>485</v>
      </c>
      <c r="B187" s="127">
        <v>0.1</v>
      </c>
      <c r="C187" s="127">
        <v>0.3</v>
      </c>
      <c r="D187" s="127">
        <v>0.6</v>
      </c>
      <c r="E187" s="127">
        <v>0.09</v>
      </c>
      <c r="F187" s="127">
        <v>0.26</v>
      </c>
      <c r="G187" s="127">
        <v>0.11</v>
      </c>
      <c r="H187" s="127">
        <v>0.22</v>
      </c>
      <c r="I187" s="127">
        <v>0.06</v>
      </c>
      <c r="J187" s="127">
        <v>0.06</v>
      </c>
      <c r="K187" s="127">
        <v>0.21</v>
      </c>
      <c r="L187" s="127">
        <v>0.39</v>
      </c>
      <c r="M187" s="1">
        <v>0.06</v>
      </c>
      <c r="N187" s="1">
        <v>0.11</v>
      </c>
      <c r="O187" s="1">
        <v>0.06</v>
      </c>
      <c r="P187" s="1">
        <v>0.13</v>
      </c>
      <c r="Q187" s="1"/>
      <c r="R187" s="1"/>
      <c r="S187" s="1"/>
      <c r="T187" s="1"/>
      <c r="U187" s="1"/>
      <c r="V187" s="1"/>
      <c r="W187" s="1"/>
      <c r="X187" s="1"/>
      <c r="Y187" s="1"/>
    </row>
    <row r="188" spans="1:25" x14ac:dyDescent="0.2">
      <c r="A188" s="126" t="s">
        <v>486</v>
      </c>
      <c r="B188" s="127">
        <v>0.09</v>
      </c>
      <c r="C188" s="127">
        <v>0.22</v>
      </c>
      <c r="D188" s="127">
        <v>0.6</v>
      </c>
      <c r="E188" s="127">
        <v>0.09</v>
      </c>
      <c r="F188" s="127">
        <v>0.22</v>
      </c>
      <c r="G188" s="127">
        <v>0.09</v>
      </c>
      <c r="H188" s="127">
        <v>0.18</v>
      </c>
      <c r="I188" s="127">
        <v>0.06</v>
      </c>
      <c r="J188" s="127">
        <v>0.06</v>
      </c>
      <c r="K188" s="127">
        <v>0.16</v>
      </c>
      <c r="L188" s="127">
        <v>0.28000000000000003</v>
      </c>
      <c r="M188" s="1">
        <v>0.06</v>
      </c>
      <c r="N188" s="1">
        <v>0.09</v>
      </c>
      <c r="O188" s="1">
        <v>0.06</v>
      </c>
      <c r="P188" s="1">
        <v>0.11</v>
      </c>
      <c r="Q188" s="1"/>
      <c r="R188" s="1"/>
      <c r="S188" s="1"/>
      <c r="T188" s="1"/>
      <c r="U188" s="1"/>
      <c r="V188" s="1"/>
      <c r="W188" s="1"/>
      <c r="X188" s="1"/>
      <c r="Y188" s="1"/>
    </row>
    <row r="189" spans="1:25" x14ac:dyDescent="0.2">
      <c r="A189" s="126" t="s">
        <v>487</v>
      </c>
      <c r="B189" s="127">
        <v>0</v>
      </c>
      <c r="C189" s="127">
        <v>0.16</v>
      </c>
      <c r="D189" s="127">
        <v>0.6</v>
      </c>
      <c r="E189" s="127">
        <v>0</v>
      </c>
      <c r="F189" s="127">
        <v>0.12</v>
      </c>
      <c r="G189" s="127">
        <v>0</v>
      </c>
      <c r="H189" s="127">
        <v>0.1</v>
      </c>
      <c r="I189" s="127">
        <v>0</v>
      </c>
      <c r="J189" s="127">
        <v>0</v>
      </c>
      <c r="K189" s="127">
        <v>0.08</v>
      </c>
      <c r="L189" s="127">
        <v>0.22</v>
      </c>
      <c r="M189" s="1">
        <v>0</v>
      </c>
      <c r="N189" s="1">
        <v>0</v>
      </c>
      <c r="O189" s="1">
        <v>0</v>
      </c>
      <c r="P189" s="1">
        <v>0.04</v>
      </c>
      <c r="Q189" s="1"/>
      <c r="R189" s="1"/>
      <c r="S189" s="1"/>
      <c r="T189" s="1"/>
      <c r="U189" s="1"/>
      <c r="V189" s="1"/>
      <c r="W189" s="1"/>
      <c r="X189" s="1"/>
      <c r="Y189" s="1"/>
    </row>
    <row r="190" spans="1:25" x14ac:dyDescent="0.2">
      <c r="A190" s="126" t="s">
        <v>488</v>
      </c>
      <c r="B190" s="127">
        <v>0</v>
      </c>
      <c r="C190" s="127">
        <v>0</v>
      </c>
      <c r="D190" s="127">
        <v>0.6</v>
      </c>
      <c r="E190" s="127">
        <v>0</v>
      </c>
      <c r="F190" s="127">
        <v>0</v>
      </c>
      <c r="G190" s="127">
        <v>0</v>
      </c>
      <c r="H190" s="127">
        <v>0</v>
      </c>
      <c r="I190" s="127">
        <v>0</v>
      </c>
      <c r="J190" s="127">
        <v>0</v>
      </c>
      <c r="K190" s="127">
        <v>0</v>
      </c>
      <c r="L190" s="127">
        <v>0</v>
      </c>
      <c r="M190" s="1">
        <v>0</v>
      </c>
      <c r="N190" s="1">
        <v>0</v>
      </c>
      <c r="O190" s="1">
        <v>0</v>
      </c>
      <c r="P190" s="1">
        <v>0</v>
      </c>
      <c r="Q190" s="1"/>
      <c r="R190" s="1"/>
      <c r="S190" s="1"/>
      <c r="T190" s="1"/>
      <c r="U190" s="1"/>
      <c r="V190" s="1"/>
      <c r="W190" s="1"/>
      <c r="X190" s="1"/>
      <c r="Y190" s="1"/>
    </row>
    <row r="191" spans="1:25" x14ac:dyDescent="0.2">
      <c r="A191" s="126" t="s">
        <v>489</v>
      </c>
      <c r="B191" s="127">
        <v>0.31</v>
      </c>
      <c r="C191" s="127">
        <v>0.56000000000000005</v>
      </c>
      <c r="D191" s="127">
        <v>0.6</v>
      </c>
      <c r="E191" s="127">
        <v>0.27</v>
      </c>
      <c r="F191" s="127">
        <v>0.56000000000000005</v>
      </c>
      <c r="G191" s="127">
        <v>0.35</v>
      </c>
      <c r="H191" s="127">
        <v>0.45</v>
      </c>
      <c r="I191" s="127">
        <v>0.11</v>
      </c>
      <c r="J191" s="127">
        <v>0.25</v>
      </c>
      <c r="K191" s="127">
        <v>0.43</v>
      </c>
      <c r="L191" s="127">
        <v>0.59</v>
      </c>
      <c r="M191" s="1">
        <v>0.09</v>
      </c>
      <c r="N191" s="1">
        <v>0.31</v>
      </c>
      <c r="O191" s="1">
        <v>0.09</v>
      </c>
      <c r="P191" s="1">
        <v>0.28000000000000003</v>
      </c>
      <c r="Q191" s="1"/>
      <c r="R191" s="1"/>
      <c r="S191" s="1"/>
      <c r="T191" s="1"/>
      <c r="U191" s="1"/>
      <c r="V191" s="1"/>
      <c r="W191" s="1"/>
      <c r="X191" s="1"/>
      <c r="Y191" s="1"/>
    </row>
    <row r="192" spans="1:25" x14ac:dyDescent="0.2">
      <c r="A192" s="126" t="s">
        <v>490</v>
      </c>
      <c r="B192" s="127">
        <v>0.38</v>
      </c>
      <c r="C192" s="127">
        <v>0.46</v>
      </c>
      <c r="D192" s="127">
        <v>0.6</v>
      </c>
      <c r="E192" s="127">
        <v>0.46</v>
      </c>
      <c r="F192" s="127">
        <v>0.31</v>
      </c>
      <c r="G192" s="127">
        <v>0.31</v>
      </c>
      <c r="H192" s="127">
        <v>0.15</v>
      </c>
      <c r="I192" s="127">
        <v>0.48</v>
      </c>
      <c r="J192" s="127">
        <v>0.11</v>
      </c>
      <c r="K192" s="127">
        <v>0.26</v>
      </c>
      <c r="L192" s="127">
        <v>0.21</v>
      </c>
      <c r="M192" s="1">
        <v>0.41</v>
      </c>
      <c r="N192" s="1">
        <v>0.46</v>
      </c>
      <c r="O192" s="1">
        <v>0.46</v>
      </c>
      <c r="P192" s="1">
        <v>0.36</v>
      </c>
      <c r="Q192" s="1"/>
      <c r="R192" s="1"/>
      <c r="S192" s="1"/>
      <c r="T192" s="1"/>
      <c r="U192" s="1"/>
      <c r="V192" s="1"/>
      <c r="W192" s="1"/>
      <c r="X192" s="1"/>
      <c r="Y192" s="1"/>
    </row>
    <row r="193" spans="1:25" x14ac:dyDescent="0.2">
      <c r="A193" s="126" t="s">
        <v>491</v>
      </c>
      <c r="B193" s="127">
        <v>0.21</v>
      </c>
      <c r="C193" s="127">
        <v>0.6</v>
      </c>
      <c r="D193" s="127">
        <v>0.6</v>
      </c>
      <c r="E193" s="127">
        <v>0.09</v>
      </c>
      <c r="F193" s="127">
        <v>0.6</v>
      </c>
      <c r="G193" s="127">
        <v>0.27</v>
      </c>
      <c r="H193" s="127">
        <v>0.56999999999999995</v>
      </c>
      <c r="I193" s="127">
        <v>0</v>
      </c>
      <c r="J193" s="127">
        <v>0.01</v>
      </c>
      <c r="K193" s="127">
        <v>0.38</v>
      </c>
      <c r="L193" s="127">
        <v>0.6</v>
      </c>
      <c r="M193" s="1">
        <v>0</v>
      </c>
      <c r="N193" s="1">
        <v>0.28999999999999998</v>
      </c>
      <c r="O193" s="1">
        <v>0</v>
      </c>
      <c r="P193" s="1">
        <v>0.28999999999999998</v>
      </c>
      <c r="Q193" s="1"/>
      <c r="R193" s="1"/>
      <c r="S193" s="1"/>
      <c r="T193" s="1"/>
      <c r="U193" s="1"/>
      <c r="V193" s="1"/>
      <c r="W193" s="1"/>
      <c r="X193" s="1"/>
      <c r="Y193" s="1"/>
    </row>
    <row r="194" spans="1:25" x14ac:dyDescent="0.2">
      <c r="A194" s="126" t="s">
        <v>492</v>
      </c>
      <c r="B194" s="127">
        <v>0</v>
      </c>
      <c r="C194" s="127">
        <v>0.12</v>
      </c>
      <c r="D194" s="127">
        <v>0.6</v>
      </c>
      <c r="E194" s="127">
        <v>0</v>
      </c>
      <c r="F194" s="127">
        <v>0.1</v>
      </c>
      <c r="G194" s="127">
        <v>0.03</v>
      </c>
      <c r="H194" s="127">
        <v>0.08</v>
      </c>
      <c r="I194" s="127">
        <v>0</v>
      </c>
      <c r="J194" s="127">
        <v>0</v>
      </c>
      <c r="K194" s="127">
        <v>0.06</v>
      </c>
      <c r="L194" s="127">
        <v>0.12</v>
      </c>
      <c r="M194" s="1">
        <v>0</v>
      </c>
      <c r="N194" s="1">
        <v>0</v>
      </c>
      <c r="O194" s="1">
        <v>0</v>
      </c>
      <c r="P194" s="1">
        <v>0.03</v>
      </c>
      <c r="Q194" s="1"/>
      <c r="R194" s="1"/>
      <c r="S194" s="1"/>
      <c r="T194" s="1"/>
      <c r="U194" s="1"/>
      <c r="V194" s="1"/>
      <c r="W194" s="1"/>
      <c r="X194" s="1"/>
      <c r="Y194" s="1"/>
    </row>
    <row r="195" spans="1:25" x14ac:dyDescent="0.2">
      <c r="A195" s="126" t="s">
        <v>493</v>
      </c>
      <c r="B195" s="127">
        <v>0.16</v>
      </c>
      <c r="C195" s="127">
        <v>0.43</v>
      </c>
      <c r="D195" s="127">
        <v>0.6</v>
      </c>
      <c r="E195" s="127">
        <v>0.11</v>
      </c>
      <c r="F195" s="127">
        <v>0.43</v>
      </c>
      <c r="G195" s="127">
        <v>0.17</v>
      </c>
      <c r="H195" s="127">
        <v>0.37</v>
      </c>
      <c r="I195" s="127">
        <v>0.06</v>
      </c>
      <c r="J195" s="127">
        <v>7.0000000000000007E-2</v>
      </c>
      <c r="K195" s="127">
        <v>0.3</v>
      </c>
      <c r="L195" s="127">
        <v>0.53</v>
      </c>
      <c r="M195" s="1">
        <v>0.06</v>
      </c>
      <c r="N195" s="1">
        <v>0.2</v>
      </c>
      <c r="O195" s="1">
        <v>0.06</v>
      </c>
      <c r="P195" s="1">
        <v>0.21</v>
      </c>
      <c r="Q195" s="1"/>
      <c r="R195" s="1"/>
      <c r="S195" s="1"/>
      <c r="T195" s="1"/>
      <c r="U195" s="1"/>
      <c r="V195" s="1"/>
      <c r="W195" s="1"/>
      <c r="X195" s="1"/>
      <c r="Y195" s="1"/>
    </row>
    <row r="196" spans="1:25" x14ac:dyDescent="0.2">
      <c r="A196" s="126" t="s">
        <v>494</v>
      </c>
      <c r="B196" s="127">
        <v>0</v>
      </c>
      <c r="C196" s="127">
        <v>0.11</v>
      </c>
      <c r="D196" s="127">
        <v>0.6</v>
      </c>
      <c r="E196" s="127">
        <v>0</v>
      </c>
      <c r="F196" s="127">
        <v>0.11</v>
      </c>
      <c r="G196" s="127">
        <v>0.01</v>
      </c>
      <c r="H196" s="127">
        <v>7.0000000000000007E-2</v>
      </c>
      <c r="I196" s="127">
        <v>0</v>
      </c>
      <c r="J196" s="127">
        <v>0</v>
      </c>
      <c r="K196" s="127">
        <v>0.1</v>
      </c>
      <c r="L196" s="127">
        <v>0.31</v>
      </c>
      <c r="M196" s="1">
        <v>0</v>
      </c>
      <c r="N196" s="1">
        <v>0.01</v>
      </c>
      <c r="O196" s="1">
        <v>0</v>
      </c>
      <c r="P196" s="1">
        <v>0.02</v>
      </c>
      <c r="Q196" s="1"/>
      <c r="R196" s="1"/>
      <c r="S196" s="1"/>
      <c r="T196" s="1"/>
      <c r="U196" s="1"/>
      <c r="V196" s="1"/>
      <c r="W196" s="1"/>
      <c r="X196" s="1"/>
      <c r="Y196" s="1"/>
    </row>
    <row r="197" spans="1:25" x14ac:dyDescent="0.2">
      <c r="A197" s="126" t="s">
        <v>495</v>
      </c>
      <c r="B197" s="127">
        <v>0.06</v>
      </c>
      <c r="C197" s="127">
        <v>0.06</v>
      </c>
      <c r="D197" s="127">
        <v>0.6</v>
      </c>
      <c r="E197" s="127">
        <v>0.06</v>
      </c>
      <c r="F197" s="127">
        <v>0.06</v>
      </c>
      <c r="G197" s="127">
        <v>0.06</v>
      </c>
      <c r="H197" s="127">
        <v>0.06</v>
      </c>
      <c r="I197" s="127">
        <v>0.06</v>
      </c>
      <c r="J197" s="127">
        <v>0.06</v>
      </c>
      <c r="K197" s="127">
        <v>7.0000000000000007E-2</v>
      </c>
      <c r="L197" s="127">
        <v>0.09</v>
      </c>
      <c r="M197" s="1">
        <v>0.06</v>
      </c>
      <c r="N197" s="1">
        <v>0.06</v>
      </c>
      <c r="O197" s="1">
        <v>0.06</v>
      </c>
      <c r="P197" s="1">
        <v>0.06</v>
      </c>
      <c r="Q197" s="1"/>
      <c r="R197" s="1"/>
      <c r="S197" s="1"/>
      <c r="T197" s="1"/>
      <c r="U197" s="1"/>
      <c r="V197" s="1"/>
      <c r="W197" s="1"/>
      <c r="X197" s="1"/>
      <c r="Y197" s="1"/>
    </row>
    <row r="198" spans="1:25" x14ac:dyDescent="0.2">
      <c r="A198" s="126" t="s">
        <v>496</v>
      </c>
      <c r="B198" s="127">
        <v>0.05</v>
      </c>
      <c r="C198" s="127">
        <v>0.28000000000000003</v>
      </c>
      <c r="D198" s="127">
        <v>0.6</v>
      </c>
      <c r="E198" s="127">
        <v>0.03</v>
      </c>
      <c r="F198" s="127">
        <v>0.19</v>
      </c>
      <c r="G198" s="127">
        <v>0.08</v>
      </c>
      <c r="H198" s="127">
        <v>0.19</v>
      </c>
      <c r="I198" s="127">
        <v>0.03</v>
      </c>
      <c r="J198" s="127">
        <v>0.03</v>
      </c>
      <c r="K198" s="127">
        <v>0.18</v>
      </c>
      <c r="L198" s="127">
        <v>0.4</v>
      </c>
      <c r="M198" s="1">
        <v>0.03</v>
      </c>
      <c r="N198" s="1">
        <v>0.06</v>
      </c>
      <c r="O198" s="1">
        <v>0.03</v>
      </c>
      <c r="P198" s="1">
        <v>0.09</v>
      </c>
      <c r="Q198" s="1"/>
      <c r="R198" s="1"/>
      <c r="S198" s="1"/>
      <c r="T198" s="1"/>
      <c r="U198" s="1"/>
      <c r="V198" s="1"/>
      <c r="W198" s="1"/>
      <c r="X198" s="1"/>
      <c r="Y198" s="1"/>
    </row>
    <row r="199" spans="1:25" x14ac:dyDescent="0.2">
      <c r="A199" s="126" t="s">
        <v>497</v>
      </c>
      <c r="B199" s="127">
        <v>0.03</v>
      </c>
      <c r="C199" s="127">
        <v>0.03</v>
      </c>
      <c r="D199" s="127">
        <v>0.6</v>
      </c>
      <c r="E199" s="127">
        <v>0.03</v>
      </c>
      <c r="F199" s="127">
        <v>0.03</v>
      </c>
      <c r="G199" s="127">
        <v>0.03</v>
      </c>
      <c r="H199" s="127">
        <v>0.03</v>
      </c>
      <c r="I199" s="127">
        <v>0.03</v>
      </c>
      <c r="J199" s="127">
        <v>0.03</v>
      </c>
      <c r="K199" s="127">
        <v>0.04</v>
      </c>
      <c r="L199" s="127">
        <v>0.06</v>
      </c>
      <c r="M199" s="1">
        <v>0.03</v>
      </c>
      <c r="N199" s="1">
        <v>0.03</v>
      </c>
      <c r="O199" s="1">
        <v>0.03</v>
      </c>
      <c r="P199" s="1">
        <v>0.03</v>
      </c>
      <c r="Q199" s="1"/>
      <c r="R199" s="1"/>
      <c r="S199" s="1"/>
      <c r="T199" s="1"/>
      <c r="U199" s="1"/>
      <c r="V199" s="1"/>
      <c r="W199" s="1"/>
      <c r="X199" s="1"/>
      <c r="Y199" s="1"/>
    </row>
    <row r="200" spans="1:25" x14ac:dyDescent="0.2">
      <c r="A200" s="126" t="s">
        <v>498</v>
      </c>
      <c r="B200" s="127">
        <v>0.15</v>
      </c>
      <c r="C200" s="127">
        <v>0.28999999999999998</v>
      </c>
      <c r="D200" s="127">
        <v>0.6</v>
      </c>
      <c r="E200" s="127">
        <v>0.12</v>
      </c>
      <c r="F200" s="127">
        <v>0.22</v>
      </c>
      <c r="G200" s="127">
        <v>0.16</v>
      </c>
      <c r="H200" s="127">
        <v>0.22</v>
      </c>
      <c r="I200" s="127">
        <v>0.15</v>
      </c>
      <c r="J200" s="127">
        <v>0.03</v>
      </c>
      <c r="K200" s="127">
        <v>0.21</v>
      </c>
      <c r="L200" s="127">
        <v>0.36</v>
      </c>
      <c r="M200" s="1">
        <v>0.1</v>
      </c>
      <c r="N200" s="1">
        <v>0.18</v>
      </c>
      <c r="O200" s="1">
        <v>0.1</v>
      </c>
      <c r="P200" s="1">
        <v>0.17</v>
      </c>
      <c r="Q200" s="1"/>
      <c r="R200" s="1"/>
      <c r="S200" s="1"/>
      <c r="T200" s="1"/>
      <c r="U200" s="1"/>
      <c r="V200" s="1"/>
      <c r="W200" s="1"/>
      <c r="X200" s="1"/>
      <c r="Y200" s="1"/>
    </row>
    <row r="201" spans="1:25" x14ac:dyDescent="0.2">
      <c r="A201" s="126" t="s">
        <v>499</v>
      </c>
      <c r="B201" s="127">
        <v>0.13</v>
      </c>
      <c r="C201" s="127">
        <v>0.4</v>
      </c>
      <c r="D201" s="127">
        <v>0.6</v>
      </c>
      <c r="E201" s="127">
        <v>0.06</v>
      </c>
      <c r="F201" s="127">
        <v>0.28999999999999998</v>
      </c>
      <c r="G201" s="127">
        <v>0.14000000000000001</v>
      </c>
      <c r="H201" s="127">
        <v>0.28999999999999998</v>
      </c>
      <c r="I201" s="127">
        <v>0.03</v>
      </c>
      <c r="J201" s="127">
        <v>0.04</v>
      </c>
      <c r="K201" s="127">
        <v>0.26</v>
      </c>
      <c r="L201" s="127">
        <v>0.5</v>
      </c>
      <c r="M201" s="1">
        <v>0.03</v>
      </c>
      <c r="N201" s="1">
        <v>0.17</v>
      </c>
      <c r="O201" s="1">
        <v>0.03</v>
      </c>
      <c r="P201" s="1">
        <v>0.16</v>
      </c>
      <c r="Q201" s="1"/>
      <c r="R201" s="1"/>
      <c r="S201" s="1"/>
      <c r="T201" s="1"/>
      <c r="U201" s="1"/>
      <c r="V201" s="1"/>
      <c r="W201" s="1"/>
      <c r="X201" s="1"/>
      <c r="Y201" s="1"/>
    </row>
    <row r="202" spans="1:25" x14ac:dyDescent="0.2">
      <c r="A202" s="126" t="s">
        <v>500</v>
      </c>
      <c r="B202" s="127">
        <v>0.51</v>
      </c>
      <c r="C202" s="127">
        <v>0.63</v>
      </c>
      <c r="D202" s="127">
        <v>0.6</v>
      </c>
      <c r="E202" s="127">
        <v>0.36</v>
      </c>
      <c r="F202" s="127">
        <v>0.63</v>
      </c>
      <c r="G202" s="127">
        <v>0.6</v>
      </c>
      <c r="H202" s="127">
        <v>0.63</v>
      </c>
      <c r="I202" s="127">
        <v>0.03</v>
      </c>
      <c r="J202" s="127">
        <v>0.28999999999999998</v>
      </c>
      <c r="K202" s="127">
        <v>0.54</v>
      </c>
      <c r="L202" s="127">
        <v>0.63</v>
      </c>
      <c r="M202" s="1">
        <v>0.03</v>
      </c>
      <c r="N202" s="1">
        <v>0.53</v>
      </c>
      <c r="O202" s="1">
        <v>0.04</v>
      </c>
      <c r="P202" s="1">
        <v>0.4</v>
      </c>
      <c r="Q202" s="1"/>
      <c r="R202" s="1"/>
      <c r="S202" s="1"/>
      <c r="T202" s="1"/>
      <c r="U202" s="1"/>
      <c r="V202" s="1"/>
      <c r="W202" s="1"/>
      <c r="X202" s="1"/>
      <c r="Y202" s="1"/>
    </row>
    <row r="203" spans="1:25" x14ac:dyDescent="0.2">
      <c r="A203" s="126" t="s">
        <v>501</v>
      </c>
      <c r="B203" s="127">
        <v>0.26</v>
      </c>
      <c r="C203" s="127">
        <v>0.53</v>
      </c>
      <c r="D203" s="127">
        <v>0.6</v>
      </c>
      <c r="E203" s="127">
        <v>0.17</v>
      </c>
      <c r="F203" s="127">
        <v>0.53</v>
      </c>
      <c r="G203" s="127">
        <v>0.28999999999999998</v>
      </c>
      <c r="H203" s="127">
        <v>0.5</v>
      </c>
      <c r="I203" s="127">
        <v>0.03</v>
      </c>
      <c r="J203" s="127">
        <v>0.08</v>
      </c>
      <c r="K203" s="127">
        <v>0.4</v>
      </c>
      <c r="L203" s="127">
        <v>0.63</v>
      </c>
      <c r="M203" s="1">
        <v>0.03</v>
      </c>
      <c r="N203" s="1">
        <v>0.28999999999999998</v>
      </c>
      <c r="O203" s="1">
        <v>0.03</v>
      </c>
      <c r="P203" s="1">
        <v>0.27</v>
      </c>
      <c r="Q203" s="1"/>
      <c r="R203" s="1"/>
      <c r="S203" s="1"/>
      <c r="T203" s="1"/>
      <c r="U203" s="1"/>
      <c r="V203" s="1"/>
      <c r="W203" s="1"/>
      <c r="X203" s="1"/>
      <c r="Y203" s="1"/>
    </row>
    <row r="204" spans="1:25" x14ac:dyDescent="0.2">
      <c r="A204" s="126" t="s">
        <v>502</v>
      </c>
      <c r="B204" s="127">
        <v>0.33</v>
      </c>
      <c r="C204" s="127">
        <v>0.41</v>
      </c>
      <c r="D204" s="127">
        <v>0.6</v>
      </c>
      <c r="E204" s="127">
        <v>0.41</v>
      </c>
      <c r="F204" s="127">
        <v>0.21</v>
      </c>
      <c r="G204" s="127">
        <v>0.27</v>
      </c>
      <c r="H204" s="127">
        <v>0.1</v>
      </c>
      <c r="I204" s="127">
        <v>0.56000000000000005</v>
      </c>
      <c r="J204" s="127">
        <v>0.1</v>
      </c>
      <c r="K204" s="127">
        <v>0.21</v>
      </c>
      <c r="L204" s="127">
        <v>0.15</v>
      </c>
      <c r="M204" s="1">
        <v>0.41</v>
      </c>
      <c r="N204" s="1">
        <v>0.41</v>
      </c>
      <c r="O204" s="1">
        <v>0.41</v>
      </c>
      <c r="P204" s="1">
        <v>0.31</v>
      </c>
      <c r="Q204" s="1"/>
      <c r="R204" s="1"/>
      <c r="S204" s="1"/>
      <c r="T204" s="1"/>
      <c r="U204" s="1"/>
      <c r="V204" s="1"/>
      <c r="W204" s="1"/>
      <c r="X204" s="1"/>
      <c r="Y204" s="1"/>
    </row>
    <row r="205" spans="1:25" x14ac:dyDescent="0.2">
      <c r="A205" s="126" t="s">
        <v>503</v>
      </c>
      <c r="B205" s="127">
        <v>0.14000000000000001</v>
      </c>
      <c r="C205" s="127">
        <v>0.4</v>
      </c>
      <c r="D205" s="127">
        <v>0.6</v>
      </c>
      <c r="E205" s="127">
        <v>0.08</v>
      </c>
      <c r="F205" s="127">
        <v>0.36</v>
      </c>
      <c r="G205" s="127">
        <v>0.18</v>
      </c>
      <c r="H205" s="127">
        <v>0.28999999999999998</v>
      </c>
      <c r="I205" s="127">
        <v>0.03</v>
      </c>
      <c r="J205" s="127">
        <v>0.06</v>
      </c>
      <c r="K205" s="127">
        <v>0.26</v>
      </c>
      <c r="L205" s="127">
        <v>0.5</v>
      </c>
      <c r="M205" s="1">
        <v>0.03</v>
      </c>
      <c r="N205" s="1">
        <v>0.19</v>
      </c>
      <c r="O205" s="1">
        <v>0.03</v>
      </c>
      <c r="P205" s="1">
        <v>0.17</v>
      </c>
      <c r="Q205" s="1"/>
      <c r="R205" s="1"/>
      <c r="S205" s="1"/>
      <c r="T205" s="1"/>
      <c r="U205" s="1"/>
      <c r="V205" s="1"/>
      <c r="W205" s="1"/>
      <c r="X205" s="1"/>
      <c r="Y205" s="1"/>
    </row>
    <row r="206" spans="1:25" x14ac:dyDescent="0.2">
      <c r="A206" s="126" t="s">
        <v>504</v>
      </c>
      <c r="B206" s="127">
        <v>0.13</v>
      </c>
      <c r="C206" s="127">
        <v>0.35</v>
      </c>
      <c r="D206" s="127">
        <v>0.6</v>
      </c>
      <c r="E206" s="127">
        <v>0.12</v>
      </c>
      <c r="F206" s="127">
        <v>0.34</v>
      </c>
      <c r="G206" s="127">
        <v>0.19</v>
      </c>
      <c r="H206" s="127">
        <v>0.34</v>
      </c>
      <c r="I206" s="127">
        <v>0.09</v>
      </c>
      <c r="J206" s="127">
        <v>0.09</v>
      </c>
      <c r="K206" s="127">
        <v>0.27</v>
      </c>
      <c r="L206" s="127">
        <v>0.42</v>
      </c>
      <c r="M206" s="1">
        <v>0.09</v>
      </c>
      <c r="N206" s="1">
        <v>0.14000000000000001</v>
      </c>
      <c r="O206" s="1">
        <v>0.09</v>
      </c>
      <c r="P206" s="1">
        <v>0.19</v>
      </c>
      <c r="Q206" s="1"/>
      <c r="R206" s="1"/>
      <c r="S206" s="1"/>
      <c r="T206" s="1"/>
      <c r="U206" s="1"/>
      <c r="V206" s="1"/>
      <c r="W206" s="1"/>
      <c r="X206" s="1"/>
      <c r="Y206" s="1"/>
    </row>
    <row r="207" spans="1:25" x14ac:dyDescent="0.2">
      <c r="A207" s="126" t="s">
        <v>505</v>
      </c>
      <c r="B207" s="127">
        <v>0.06</v>
      </c>
      <c r="C207" s="127">
        <v>0.06</v>
      </c>
      <c r="D207" s="127">
        <v>0.6</v>
      </c>
      <c r="E207" s="127">
        <v>0.06</v>
      </c>
      <c r="F207" s="127">
        <v>0.06</v>
      </c>
      <c r="G207" s="127">
        <v>0.06</v>
      </c>
      <c r="H207" s="127">
        <v>0.06</v>
      </c>
      <c r="I207" s="127">
        <v>0.08</v>
      </c>
      <c r="J207" s="127">
        <v>0.06</v>
      </c>
      <c r="K207" s="127">
        <v>0.06</v>
      </c>
      <c r="L207" s="127">
        <v>0.06</v>
      </c>
      <c r="M207" s="1">
        <v>0.06</v>
      </c>
      <c r="N207" s="1">
        <v>0.06</v>
      </c>
      <c r="O207" s="1">
        <v>0.06</v>
      </c>
      <c r="P207" s="1">
        <v>0.06</v>
      </c>
      <c r="Q207" s="1"/>
      <c r="R207" s="1"/>
      <c r="S207" s="1"/>
      <c r="T207" s="1"/>
      <c r="U207" s="1"/>
      <c r="V207" s="1"/>
      <c r="W207" s="1"/>
      <c r="X207" s="1"/>
      <c r="Y207" s="1"/>
    </row>
    <row r="208" spans="1:25" x14ac:dyDescent="0.2">
      <c r="A208" s="126" t="s">
        <v>506</v>
      </c>
      <c r="B208" s="127">
        <v>0.08</v>
      </c>
      <c r="C208" s="127">
        <v>0.4</v>
      </c>
      <c r="D208" s="127">
        <v>0.6</v>
      </c>
      <c r="E208" s="127">
        <v>0.03</v>
      </c>
      <c r="F208" s="127">
        <v>0.33</v>
      </c>
      <c r="G208" s="127">
        <v>0.15</v>
      </c>
      <c r="H208" s="127">
        <v>0.33</v>
      </c>
      <c r="I208" s="127">
        <v>0</v>
      </c>
      <c r="J208" s="127">
        <v>0.01</v>
      </c>
      <c r="K208" s="127">
        <v>0.25</v>
      </c>
      <c r="L208" s="127">
        <v>0.5</v>
      </c>
      <c r="M208" s="1">
        <v>0</v>
      </c>
      <c r="N208" s="1">
        <v>0.12</v>
      </c>
      <c r="O208" s="1">
        <v>0</v>
      </c>
      <c r="P208" s="1">
        <v>0.15</v>
      </c>
      <c r="Q208" s="1"/>
      <c r="R208" s="1"/>
      <c r="S208" s="1"/>
      <c r="T208" s="1"/>
      <c r="U208" s="1"/>
      <c r="V208" s="1"/>
      <c r="W208" s="1"/>
      <c r="X208" s="1"/>
      <c r="Y208" s="1"/>
    </row>
    <row r="209" spans="1:25" x14ac:dyDescent="0.2">
      <c r="A209" s="126" t="s">
        <v>507</v>
      </c>
      <c r="B209" s="127">
        <v>0.19</v>
      </c>
      <c r="C209" s="127">
        <v>0.56999999999999995</v>
      </c>
      <c r="D209" s="127">
        <v>0.6</v>
      </c>
      <c r="E209" s="127">
        <v>0.1</v>
      </c>
      <c r="F209" s="127">
        <v>0.5</v>
      </c>
      <c r="G209" s="127">
        <v>0.25</v>
      </c>
      <c r="H209" s="127">
        <v>0.47</v>
      </c>
      <c r="I209" s="127">
        <v>0</v>
      </c>
      <c r="J209" s="127">
        <v>0.03</v>
      </c>
      <c r="K209" s="127">
        <v>0.35</v>
      </c>
      <c r="L209" s="127">
        <v>0.6</v>
      </c>
      <c r="M209" s="1">
        <v>0</v>
      </c>
      <c r="N209" s="1">
        <v>0.25</v>
      </c>
      <c r="O209" s="1">
        <v>0</v>
      </c>
      <c r="P209" s="1">
        <v>0.24</v>
      </c>
      <c r="Q209" s="1"/>
      <c r="R209" s="1"/>
      <c r="S209" s="1"/>
      <c r="T209" s="1"/>
      <c r="U209" s="1"/>
      <c r="V209" s="1"/>
      <c r="W209" s="1"/>
      <c r="X209" s="1"/>
      <c r="Y209" s="1"/>
    </row>
    <row r="210" spans="1:25" x14ac:dyDescent="0.2">
      <c r="A210" s="126" t="s">
        <v>508</v>
      </c>
      <c r="B210" s="127">
        <v>0.19</v>
      </c>
      <c r="C210" s="127">
        <v>0.5</v>
      </c>
      <c r="D210" s="127">
        <v>0.6</v>
      </c>
      <c r="E210" s="127">
        <v>0.11</v>
      </c>
      <c r="F210" s="127">
        <v>0.5</v>
      </c>
      <c r="G210" s="127">
        <v>0.23</v>
      </c>
      <c r="H210" s="127">
        <v>0.43</v>
      </c>
      <c r="I210" s="127">
        <v>0.03</v>
      </c>
      <c r="J210" s="127">
        <v>0.06</v>
      </c>
      <c r="K210" s="127">
        <v>0.33</v>
      </c>
      <c r="L210" s="127">
        <v>0.6</v>
      </c>
      <c r="M210" s="1">
        <v>0.03</v>
      </c>
      <c r="N210" s="1">
        <v>0.23</v>
      </c>
      <c r="O210" s="1">
        <v>0.03</v>
      </c>
      <c r="P210" s="1">
        <v>0.23</v>
      </c>
      <c r="Q210" s="1"/>
      <c r="R210" s="1"/>
      <c r="S210" s="1"/>
      <c r="T210" s="1"/>
      <c r="U210" s="1"/>
      <c r="V210" s="1"/>
      <c r="W210" s="1"/>
      <c r="X210" s="1"/>
      <c r="Y210" s="1"/>
    </row>
    <row r="211" spans="1:25" x14ac:dyDescent="0.2">
      <c r="A211" s="126" t="s">
        <v>509</v>
      </c>
      <c r="B211" s="127">
        <v>0.27</v>
      </c>
      <c r="C211" s="127">
        <v>0.52</v>
      </c>
      <c r="D211" s="127">
        <v>0.6</v>
      </c>
      <c r="E211" s="127">
        <v>0.22</v>
      </c>
      <c r="F211" s="127">
        <v>0.52</v>
      </c>
      <c r="G211" s="127">
        <v>0.34</v>
      </c>
      <c r="H211" s="127">
        <v>0.48</v>
      </c>
      <c r="I211" s="127">
        <v>0.06</v>
      </c>
      <c r="J211" s="127">
        <v>0.16</v>
      </c>
      <c r="K211" s="127">
        <v>0.41</v>
      </c>
      <c r="L211" s="127">
        <v>0.63</v>
      </c>
      <c r="M211" s="1">
        <v>0.06</v>
      </c>
      <c r="N211" s="1">
        <v>0.28000000000000003</v>
      </c>
      <c r="O211" s="1">
        <v>0.06</v>
      </c>
      <c r="P211" s="1">
        <v>0.28999999999999998</v>
      </c>
      <c r="Q211" s="1"/>
      <c r="R211" s="1"/>
      <c r="S211" s="1"/>
      <c r="T211" s="1"/>
      <c r="U211" s="1"/>
      <c r="V211" s="1"/>
      <c r="W211" s="1"/>
      <c r="X211" s="1"/>
      <c r="Y211" s="1"/>
    </row>
    <row r="212" spans="1:25" x14ac:dyDescent="0.2">
      <c r="A212" s="126" t="s">
        <v>510</v>
      </c>
      <c r="B212" s="127">
        <v>0.03</v>
      </c>
      <c r="C212" s="127">
        <v>0.06</v>
      </c>
      <c r="D212" s="127">
        <v>0.6</v>
      </c>
      <c r="E212" s="127">
        <v>0.03</v>
      </c>
      <c r="F212" s="127">
        <v>0.06</v>
      </c>
      <c r="G212" s="127">
        <v>0.03</v>
      </c>
      <c r="H212" s="127">
        <v>0.06</v>
      </c>
      <c r="I212" s="127">
        <v>0.03</v>
      </c>
      <c r="J212" s="127">
        <v>0.03</v>
      </c>
      <c r="K212" s="127">
        <v>0.05</v>
      </c>
      <c r="L212" s="127">
        <v>0.08</v>
      </c>
      <c r="M212" s="1">
        <v>0.03</v>
      </c>
      <c r="N212" s="1">
        <v>0.03</v>
      </c>
      <c r="O212" s="1">
        <v>0.03</v>
      </c>
      <c r="P212" s="1">
        <v>0.04</v>
      </c>
      <c r="Q212" s="1"/>
      <c r="R212" s="1"/>
      <c r="S212" s="1"/>
      <c r="T212" s="1"/>
      <c r="U212" s="1"/>
      <c r="V212" s="1"/>
      <c r="W212" s="1"/>
      <c r="X212" s="1"/>
      <c r="Y212" s="1"/>
    </row>
    <row r="213" spans="1:25" x14ac:dyDescent="0.2">
      <c r="A213" s="126" t="s">
        <v>511</v>
      </c>
      <c r="B213" s="127">
        <v>0.06</v>
      </c>
      <c r="C213" s="127">
        <v>0.09</v>
      </c>
      <c r="D213" s="127">
        <v>0.6</v>
      </c>
      <c r="E213" s="127">
        <v>0.06</v>
      </c>
      <c r="F213" s="127">
        <v>0.09</v>
      </c>
      <c r="G213" s="127">
        <v>0.06</v>
      </c>
      <c r="H213" s="127">
        <v>0.09</v>
      </c>
      <c r="I213" s="127">
        <v>0.06</v>
      </c>
      <c r="J213" s="127">
        <v>0.06</v>
      </c>
      <c r="K213" s="127">
        <v>0.08</v>
      </c>
      <c r="L213" s="127">
        <v>0.11</v>
      </c>
      <c r="M213" s="1">
        <v>0.06</v>
      </c>
      <c r="N213" s="1">
        <v>0.06</v>
      </c>
      <c r="O213" s="1">
        <v>0.06</v>
      </c>
      <c r="P213" s="1">
        <v>7.0000000000000007E-2</v>
      </c>
      <c r="Q213" s="1"/>
      <c r="R213" s="1"/>
      <c r="S213" s="1"/>
      <c r="T213" s="1"/>
      <c r="U213" s="1"/>
      <c r="V213" s="1"/>
      <c r="W213" s="1"/>
      <c r="X213" s="1"/>
      <c r="Y213" s="1"/>
    </row>
    <row r="214" spans="1:25" x14ac:dyDescent="0.2">
      <c r="A214" s="126" t="s">
        <v>512</v>
      </c>
      <c r="B214" s="127">
        <v>0.13</v>
      </c>
      <c r="C214" s="127">
        <v>0.44</v>
      </c>
      <c r="D214" s="127">
        <v>0.6</v>
      </c>
      <c r="E214" s="127">
        <v>7.0000000000000007E-2</v>
      </c>
      <c r="F214" s="127">
        <v>0.44</v>
      </c>
      <c r="G214" s="127">
        <v>0.17</v>
      </c>
      <c r="H214" s="127">
        <v>0.37</v>
      </c>
      <c r="I214" s="127">
        <v>-0.03</v>
      </c>
      <c r="J214" s="127">
        <v>0</v>
      </c>
      <c r="K214" s="127">
        <v>0.28000000000000003</v>
      </c>
      <c r="L214" s="127">
        <v>0.54</v>
      </c>
      <c r="M214" s="1">
        <v>0</v>
      </c>
      <c r="N214" s="1">
        <v>0.17</v>
      </c>
      <c r="O214" s="1">
        <v>0</v>
      </c>
      <c r="P214" s="1">
        <v>0.17</v>
      </c>
      <c r="Q214" s="1"/>
      <c r="R214" s="1"/>
      <c r="S214" s="1"/>
      <c r="T214" s="1"/>
      <c r="U214" s="1"/>
      <c r="V214" s="1"/>
      <c r="W214" s="1"/>
      <c r="X214" s="1"/>
      <c r="Y214" s="1"/>
    </row>
    <row r="215" spans="1:25" x14ac:dyDescent="0.2">
      <c r="A215" s="126" t="s">
        <v>513</v>
      </c>
      <c r="B215" s="127">
        <v>0.04</v>
      </c>
      <c r="C215" s="127">
        <v>0.14000000000000001</v>
      </c>
      <c r="D215" s="127">
        <v>0.6</v>
      </c>
      <c r="E215" s="127">
        <v>0.03</v>
      </c>
      <c r="F215" s="127">
        <v>0.1</v>
      </c>
      <c r="G215" s="127">
        <v>0.04</v>
      </c>
      <c r="H215" s="127">
        <v>0.13</v>
      </c>
      <c r="I215" s="127">
        <v>0.03</v>
      </c>
      <c r="J215" s="127">
        <v>0.03</v>
      </c>
      <c r="K215" s="127">
        <v>0.12</v>
      </c>
      <c r="L215" s="127">
        <v>0.28000000000000003</v>
      </c>
      <c r="M215" s="1">
        <v>0.03</v>
      </c>
      <c r="N215" s="1">
        <v>0.06</v>
      </c>
      <c r="O215" s="1">
        <v>0.03</v>
      </c>
      <c r="P215" s="1">
        <v>0.06</v>
      </c>
      <c r="Q215" s="1"/>
      <c r="R215" s="1"/>
      <c r="S215" s="1"/>
      <c r="T215" s="1"/>
      <c r="U215" s="1"/>
      <c r="V215" s="1"/>
      <c r="W215" s="1"/>
      <c r="X215" s="1"/>
      <c r="Y215" s="1"/>
    </row>
    <row r="216" spans="1:25" x14ac:dyDescent="0.2">
      <c r="A216" s="126" t="s">
        <v>514</v>
      </c>
      <c r="B216" s="127">
        <v>0</v>
      </c>
      <c r="C216" s="127">
        <v>0</v>
      </c>
      <c r="D216" s="127">
        <v>0.6</v>
      </c>
      <c r="E216" s="127">
        <v>0</v>
      </c>
      <c r="F216" s="127">
        <v>0</v>
      </c>
      <c r="G216" s="127">
        <v>0</v>
      </c>
      <c r="H216" s="127">
        <v>0</v>
      </c>
      <c r="I216" s="127">
        <v>0</v>
      </c>
      <c r="J216" s="127">
        <v>0</v>
      </c>
      <c r="K216" s="127">
        <v>0</v>
      </c>
      <c r="L216" s="127">
        <v>0</v>
      </c>
      <c r="M216" s="1">
        <v>0</v>
      </c>
      <c r="N216" s="1">
        <v>0</v>
      </c>
      <c r="O216" s="1">
        <v>0</v>
      </c>
      <c r="P216" s="1">
        <v>0</v>
      </c>
      <c r="Q216" s="1"/>
      <c r="R216" s="1"/>
      <c r="S216" s="1"/>
      <c r="T216" s="1"/>
      <c r="U216" s="1"/>
      <c r="V216" s="1"/>
      <c r="W216" s="1"/>
      <c r="X216" s="1"/>
      <c r="Y216" s="1"/>
    </row>
    <row r="217" spans="1:25" x14ac:dyDescent="0.2">
      <c r="A217" s="126" t="s">
        <v>515</v>
      </c>
      <c r="B217" s="127">
        <v>0.1</v>
      </c>
      <c r="C217" s="127">
        <v>0.28999999999999998</v>
      </c>
      <c r="D217" s="127">
        <v>0.6</v>
      </c>
      <c r="E217" s="127">
        <v>0.03</v>
      </c>
      <c r="F217" s="127">
        <v>0.28999999999999998</v>
      </c>
      <c r="G217" s="127">
        <v>0.12</v>
      </c>
      <c r="H217" s="127">
        <v>0.22</v>
      </c>
      <c r="I217" s="127">
        <v>0</v>
      </c>
      <c r="J217" s="127">
        <v>0</v>
      </c>
      <c r="K217" s="127">
        <v>0.2</v>
      </c>
      <c r="L217" s="127">
        <v>0.43</v>
      </c>
      <c r="M217" s="1">
        <v>0</v>
      </c>
      <c r="N217" s="1">
        <v>0.12</v>
      </c>
      <c r="O217" s="1">
        <v>0</v>
      </c>
      <c r="P217" s="1">
        <v>0.11</v>
      </c>
      <c r="Q217" s="1"/>
      <c r="R217" s="1"/>
      <c r="S217" s="1"/>
      <c r="T217" s="1"/>
      <c r="U217" s="1"/>
      <c r="V217" s="1"/>
      <c r="W217" s="1"/>
      <c r="X217" s="1"/>
      <c r="Y217" s="1"/>
    </row>
    <row r="218" spans="1:25" x14ac:dyDescent="0.2">
      <c r="A218" s="126" t="s">
        <v>516</v>
      </c>
      <c r="B218" s="127">
        <v>0.03</v>
      </c>
      <c r="C218" s="127">
        <v>0.18</v>
      </c>
      <c r="D218" s="127">
        <v>0.6</v>
      </c>
      <c r="E218" s="127">
        <v>0.03</v>
      </c>
      <c r="F218" s="127">
        <v>0.18</v>
      </c>
      <c r="G218" s="127">
        <v>0.04</v>
      </c>
      <c r="H218" s="127">
        <v>0.14000000000000001</v>
      </c>
      <c r="I218" s="127">
        <v>0.03</v>
      </c>
      <c r="J218" s="127">
        <v>0.03</v>
      </c>
      <c r="K218" s="127">
        <v>0.15</v>
      </c>
      <c r="L218" s="127">
        <v>0.34</v>
      </c>
      <c r="M218" s="1">
        <v>0.03</v>
      </c>
      <c r="N218" s="1">
        <v>0.04</v>
      </c>
      <c r="O218" s="1">
        <v>0.03</v>
      </c>
      <c r="P218" s="1">
        <v>0.08</v>
      </c>
      <c r="Q218" s="1"/>
      <c r="R218" s="1"/>
      <c r="S218" s="1"/>
      <c r="T218" s="1"/>
      <c r="U218" s="1"/>
      <c r="V218" s="1"/>
      <c r="W218" s="1"/>
      <c r="X218" s="1"/>
      <c r="Y218" s="1"/>
    </row>
    <row r="219" spans="1:25" x14ac:dyDescent="0.2">
      <c r="A219" s="126" t="s">
        <v>517</v>
      </c>
      <c r="B219" s="127">
        <v>0.1</v>
      </c>
      <c r="C219" s="127">
        <v>0.24</v>
      </c>
      <c r="D219" s="127">
        <v>0.6</v>
      </c>
      <c r="E219" s="127">
        <v>0.09</v>
      </c>
      <c r="F219" s="127">
        <v>0.18</v>
      </c>
      <c r="G219" s="127">
        <v>0.12</v>
      </c>
      <c r="H219" s="127">
        <v>0.18</v>
      </c>
      <c r="I219" s="127">
        <v>0.09</v>
      </c>
      <c r="J219" s="127">
        <v>0.09</v>
      </c>
      <c r="K219" s="127">
        <v>0.18</v>
      </c>
      <c r="L219" s="127">
        <v>0.34</v>
      </c>
      <c r="M219" s="1">
        <v>0.09</v>
      </c>
      <c r="N219" s="1">
        <v>0.12</v>
      </c>
      <c r="O219" s="1">
        <v>0.09</v>
      </c>
      <c r="P219" s="1">
        <v>0.13</v>
      </c>
      <c r="Q219" s="1"/>
      <c r="R219" s="1"/>
      <c r="S219" s="1"/>
      <c r="T219" s="1"/>
      <c r="U219" s="1"/>
      <c r="V219" s="1"/>
      <c r="W219" s="1"/>
      <c r="X219" s="1"/>
      <c r="Y219" s="1"/>
    </row>
    <row r="220" spans="1:25" x14ac:dyDescent="0.2">
      <c r="A220" s="126" t="s">
        <v>518</v>
      </c>
      <c r="B220" s="127">
        <v>0.15</v>
      </c>
      <c r="C220" s="127">
        <v>0.38</v>
      </c>
      <c r="D220" s="127">
        <v>0.6</v>
      </c>
      <c r="E220" s="127">
        <v>0.1</v>
      </c>
      <c r="F220" s="127">
        <v>0.32</v>
      </c>
      <c r="G220" s="127">
        <v>0.18</v>
      </c>
      <c r="H220" s="127">
        <v>0.32</v>
      </c>
      <c r="I220" s="127">
        <v>0.09</v>
      </c>
      <c r="J220" s="127">
        <v>0.09</v>
      </c>
      <c r="K220" s="127">
        <v>0.27</v>
      </c>
      <c r="L220" s="127">
        <v>0.49</v>
      </c>
      <c r="M220" s="1">
        <v>0.09</v>
      </c>
      <c r="N220" s="1">
        <v>0.18</v>
      </c>
      <c r="O220" s="1">
        <v>0.09</v>
      </c>
      <c r="P220" s="1">
        <v>0.18</v>
      </c>
      <c r="Q220" s="1"/>
      <c r="R220" s="1"/>
      <c r="S220" s="1"/>
      <c r="T220" s="1"/>
      <c r="U220" s="1"/>
      <c r="V220" s="1"/>
      <c r="W220" s="1"/>
      <c r="X220" s="1"/>
      <c r="Y220" s="1"/>
    </row>
    <row r="221" spans="1:25" x14ac:dyDescent="0.2">
      <c r="A221" s="126" t="s">
        <v>519</v>
      </c>
      <c r="B221" s="127">
        <v>0.56999999999999995</v>
      </c>
      <c r="C221" s="127">
        <v>0.63</v>
      </c>
      <c r="D221" s="127">
        <v>0.6</v>
      </c>
      <c r="E221" s="127">
        <v>0.46</v>
      </c>
      <c r="F221" s="127">
        <v>0.63</v>
      </c>
      <c r="G221" s="127">
        <v>0.6</v>
      </c>
      <c r="H221" s="127">
        <v>0.63</v>
      </c>
      <c r="I221" s="127">
        <v>0.03</v>
      </c>
      <c r="J221" s="127">
        <v>0.36</v>
      </c>
      <c r="K221" s="127">
        <v>0.56000000000000005</v>
      </c>
      <c r="L221" s="127">
        <v>0.63</v>
      </c>
      <c r="M221" s="1">
        <v>0.03</v>
      </c>
      <c r="N221" s="1">
        <v>0.6</v>
      </c>
      <c r="O221" s="1">
        <v>0.04</v>
      </c>
      <c r="P221" s="1">
        <v>0.42</v>
      </c>
      <c r="Q221" s="1"/>
      <c r="R221" s="1"/>
      <c r="S221" s="1"/>
      <c r="T221" s="1"/>
      <c r="U221" s="1"/>
      <c r="V221" s="1"/>
      <c r="W221" s="1"/>
      <c r="X221" s="1"/>
      <c r="Y221" s="1"/>
    </row>
    <row r="222" spans="1:25" x14ac:dyDescent="0.2">
      <c r="A222" s="126" t="s">
        <v>520</v>
      </c>
      <c r="B222" s="127">
        <v>0.15</v>
      </c>
      <c r="C222" s="127">
        <v>0.4</v>
      </c>
      <c r="D222" s="127">
        <v>0.6</v>
      </c>
      <c r="E222" s="127">
        <v>0.05</v>
      </c>
      <c r="F222" s="127">
        <v>0.37</v>
      </c>
      <c r="G222" s="127">
        <v>0.19</v>
      </c>
      <c r="H222" s="127">
        <v>0.37</v>
      </c>
      <c r="I222" s="127">
        <v>0</v>
      </c>
      <c r="J222" s="127">
        <v>0.01</v>
      </c>
      <c r="K222" s="127">
        <v>0.28999999999999998</v>
      </c>
      <c r="L222" s="127">
        <v>0.56999999999999995</v>
      </c>
      <c r="M222" s="1">
        <v>0</v>
      </c>
      <c r="N222" s="1">
        <v>0.2</v>
      </c>
      <c r="O222" s="1">
        <v>0</v>
      </c>
      <c r="P222" s="1">
        <v>0.19</v>
      </c>
      <c r="Q222" s="1"/>
      <c r="R222" s="1"/>
      <c r="S222" s="1"/>
      <c r="T222" s="1"/>
      <c r="U222" s="1"/>
      <c r="V222" s="1"/>
      <c r="W222" s="1"/>
      <c r="X222" s="1"/>
      <c r="Y222" s="1"/>
    </row>
    <row r="223" spans="1:25" x14ac:dyDescent="0.2">
      <c r="A223" s="126" t="s">
        <v>521</v>
      </c>
      <c r="B223" s="127">
        <v>0.28000000000000003</v>
      </c>
      <c r="C223" s="127">
        <v>0.54</v>
      </c>
      <c r="D223" s="127">
        <v>0.6</v>
      </c>
      <c r="E223" s="127">
        <v>0.19</v>
      </c>
      <c r="F223" s="127">
        <v>0.43</v>
      </c>
      <c r="G223" s="127">
        <v>0.33</v>
      </c>
      <c r="H223" s="127">
        <v>0.43</v>
      </c>
      <c r="I223" s="127">
        <v>0.06</v>
      </c>
      <c r="J223" s="127">
        <v>0.11</v>
      </c>
      <c r="K223" s="127">
        <v>0.36</v>
      </c>
      <c r="L223" s="127">
        <v>0.56999999999999995</v>
      </c>
      <c r="M223" s="1">
        <v>0.06</v>
      </c>
      <c r="N223" s="1">
        <v>0.33</v>
      </c>
      <c r="O223" s="1">
        <v>0.06</v>
      </c>
      <c r="P223" s="1">
        <v>0.27</v>
      </c>
      <c r="Q223" s="1"/>
      <c r="R223" s="1"/>
      <c r="S223" s="1"/>
      <c r="T223" s="1"/>
      <c r="U223" s="1"/>
      <c r="V223" s="1"/>
      <c r="W223" s="1"/>
      <c r="X223" s="1"/>
      <c r="Y223" s="1"/>
    </row>
    <row r="224" spans="1:25" x14ac:dyDescent="0.2">
      <c r="A224" s="126" t="s">
        <v>522</v>
      </c>
      <c r="B224" s="127">
        <v>0.63</v>
      </c>
      <c r="C224" s="127">
        <v>0.63</v>
      </c>
      <c r="D224" s="127">
        <v>0.6</v>
      </c>
      <c r="E224" s="127">
        <v>0.6</v>
      </c>
      <c r="F224" s="127">
        <v>0.63</v>
      </c>
      <c r="G224" s="127">
        <v>0.63</v>
      </c>
      <c r="H224" s="127">
        <v>0.63</v>
      </c>
      <c r="I224" s="127">
        <v>0.03</v>
      </c>
      <c r="J224" s="127">
        <v>0.5</v>
      </c>
      <c r="K224" s="127">
        <v>0.6</v>
      </c>
      <c r="L224" s="127">
        <v>0.63</v>
      </c>
      <c r="M224" s="1">
        <v>0.06</v>
      </c>
      <c r="N224" s="1">
        <v>0.63</v>
      </c>
      <c r="O224" s="1">
        <v>0.08</v>
      </c>
      <c r="P224" s="1">
        <v>0.45</v>
      </c>
      <c r="Q224" s="1"/>
      <c r="R224" s="1"/>
      <c r="S224" s="1"/>
      <c r="T224" s="1"/>
      <c r="U224" s="1"/>
      <c r="V224" s="1"/>
      <c r="W224" s="1"/>
      <c r="X224" s="1"/>
      <c r="Y224" s="1"/>
    </row>
    <row r="225" spans="1:25" x14ac:dyDescent="0.2">
      <c r="A225" s="126" t="s">
        <v>523</v>
      </c>
      <c r="B225" s="127">
        <v>7.0000000000000007E-2</v>
      </c>
      <c r="C225" s="127">
        <v>0.44</v>
      </c>
      <c r="D225" s="127">
        <v>0.6</v>
      </c>
      <c r="E225" s="127">
        <v>-0.02</v>
      </c>
      <c r="F225" s="127">
        <v>0.44</v>
      </c>
      <c r="G225" s="127">
        <v>0.11</v>
      </c>
      <c r="H225" s="127">
        <v>0.3</v>
      </c>
      <c r="I225" s="127">
        <v>-0.03</v>
      </c>
      <c r="J225" s="127">
        <v>-0.03</v>
      </c>
      <c r="K225" s="127">
        <v>0.25</v>
      </c>
      <c r="L225" s="127">
        <v>0.54</v>
      </c>
      <c r="M225" s="1">
        <v>0</v>
      </c>
      <c r="N225" s="1">
        <v>0.16</v>
      </c>
      <c r="O225" s="1">
        <v>0</v>
      </c>
      <c r="P225" s="1">
        <v>0.18</v>
      </c>
      <c r="Q225" s="1"/>
      <c r="R225" s="1"/>
      <c r="S225" s="1"/>
      <c r="T225" s="1"/>
      <c r="U225" s="1"/>
      <c r="V225" s="1"/>
      <c r="W225" s="1"/>
      <c r="X225" s="1"/>
      <c r="Y225" s="1"/>
    </row>
    <row r="226" spans="1:25" x14ac:dyDescent="0.2">
      <c r="A226" s="126" t="s">
        <v>524</v>
      </c>
      <c r="B226" s="127">
        <v>0.42</v>
      </c>
      <c r="C226" s="127">
        <v>0.63</v>
      </c>
      <c r="D226" s="127">
        <v>0.6</v>
      </c>
      <c r="E226" s="127">
        <v>0.32</v>
      </c>
      <c r="F226" s="127">
        <v>0.6</v>
      </c>
      <c r="G226" s="127">
        <v>0.46</v>
      </c>
      <c r="H226" s="127">
        <v>0.6</v>
      </c>
      <c r="I226" s="127">
        <v>0.03</v>
      </c>
      <c r="J226" s="127">
        <v>0.25</v>
      </c>
      <c r="K226" s="127">
        <v>0.5</v>
      </c>
      <c r="L226" s="127">
        <v>0.63</v>
      </c>
      <c r="M226" s="1">
        <v>0.03</v>
      </c>
      <c r="N226" s="1">
        <v>0.46</v>
      </c>
      <c r="O226" s="1">
        <v>0.06</v>
      </c>
      <c r="P226" s="1">
        <v>0.37</v>
      </c>
      <c r="Q226" s="1"/>
      <c r="R226" s="1"/>
      <c r="S226" s="1"/>
      <c r="T226" s="1"/>
      <c r="U226" s="1"/>
      <c r="V226" s="1"/>
      <c r="W226" s="1"/>
      <c r="X226" s="1"/>
      <c r="Y226" s="1"/>
    </row>
    <row r="227" spans="1:25" x14ac:dyDescent="0.2">
      <c r="A227" s="126" t="s">
        <v>525</v>
      </c>
      <c r="B227" s="127">
        <v>0.52</v>
      </c>
      <c r="C227" s="127">
        <v>0.56999999999999995</v>
      </c>
      <c r="D227" s="127">
        <v>0.6</v>
      </c>
      <c r="E227" s="127">
        <v>0.44</v>
      </c>
      <c r="F227" s="127">
        <v>0.56999999999999995</v>
      </c>
      <c r="G227" s="127">
        <v>0.56999999999999995</v>
      </c>
      <c r="H227" s="127">
        <v>0.56999999999999995</v>
      </c>
      <c r="I227" s="127">
        <v>-0.03</v>
      </c>
      <c r="J227" s="127">
        <v>0.15</v>
      </c>
      <c r="K227" s="127">
        <v>0.47</v>
      </c>
      <c r="L227" s="127">
        <v>0.56999999999999995</v>
      </c>
      <c r="M227" s="1">
        <v>0</v>
      </c>
      <c r="N227" s="1">
        <v>0.56999999999999995</v>
      </c>
      <c r="O227" s="1">
        <v>0</v>
      </c>
      <c r="P227" s="1">
        <v>0.37</v>
      </c>
      <c r="Q227" s="1"/>
      <c r="R227" s="1"/>
      <c r="S227" s="1"/>
      <c r="T227" s="1"/>
      <c r="U227" s="1"/>
      <c r="V227" s="1"/>
      <c r="W227" s="1"/>
      <c r="X227" s="1"/>
      <c r="Y227" s="1"/>
    </row>
    <row r="228" spans="1:25" x14ac:dyDescent="0.2">
      <c r="A228" s="126" t="s">
        <v>526</v>
      </c>
      <c r="B228" s="127">
        <v>0.06</v>
      </c>
      <c r="C228" s="127">
        <v>0.18</v>
      </c>
      <c r="D228" s="127">
        <v>0.6</v>
      </c>
      <c r="E228" s="127">
        <v>0</v>
      </c>
      <c r="F228" s="127">
        <v>0.16</v>
      </c>
      <c r="G228" s="127">
        <v>0.1</v>
      </c>
      <c r="H228" s="127">
        <v>0.16</v>
      </c>
      <c r="I228" s="127">
        <v>0</v>
      </c>
      <c r="J228" s="127">
        <v>0</v>
      </c>
      <c r="K228" s="127">
        <v>0.14000000000000001</v>
      </c>
      <c r="L228" s="127">
        <v>0.28999999999999998</v>
      </c>
      <c r="M228" s="1">
        <v>0</v>
      </c>
      <c r="N228" s="1">
        <v>0.1</v>
      </c>
      <c r="O228" s="1">
        <v>0</v>
      </c>
      <c r="P228" s="1">
        <v>0.09</v>
      </c>
      <c r="Q228" s="1"/>
      <c r="R228" s="1"/>
      <c r="S228" s="1"/>
      <c r="T228" s="1"/>
      <c r="U228" s="1"/>
      <c r="V228" s="1"/>
      <c r="W228" s="1"/>
      <c r="X228" s="1"/>
      <c r="Y228" s="1"/>
    </row>
    <row r="229" spans="1:25" x14ac:dyDescent="0.2">
      <c r="A229" s="126" t="s">
        <v>527</v>
      </c>
      <c r="B229" s="127">
        <v>0.15</v>
      </c>
      <c r="C229" s="127">
        <v>0.43</v>
      </c>
      <c r="D229" s="127">
        <v>0.6</v>
      </c>
      <c r="E229" s="127">
        <v>0.09</v>
      </c>
      <c r="F229" s="127">
        <v>0.36</v>
      </c>
      <c r="G229" s="127">
        <v>0.2</v>
      </c>
      <c r="H229" s="127">
        <v>0.33</v>
      </c>
      <c r="I229" s="127">
        <v>0.06</v>
      </c>
      <c r="J229" s="127">
        <v>0.08</v>
      </c>
      <c r="K229" s="127">
        <v>0.28999999999999998</v>
      </c>
      <c r="L229" s="127">
        <v>0.53</v>
      </c>
      <c r="M229" s="1">
        <v>0.06</v>
      </c>
      <c r="N229" s="1">
        <v>0.17</v>
      </c>
      <c r="O229" s="1">
        <v>0.06</v>
      </c>
      <c r="P229" s="1">
        <v>0.2</v>
      </c>
      <c r="Q229" s="1"/>
      <c r="R229" s="1"/>
      <c r="S229" s="1"/>
      <c r="T229" s="1"/>
      <c r="U229" s="1"/>
      <c r="V229" s="1"/>
      <c r="W229" s="1"/>
      <c r="X229" s="1"/>
      <c r="Y229" s="1"/>
    </row>
    <row r="230" spans="1:25" x14ac:dyDescent="0.2">
      <c r="A230" s="126" t="s">
        <v>528</v>
      </c>
      <c r="B230" s="127">
        <v>0.13</v>
      </c>
      <c r="C230" s="127">
        <v>0.55000000000000004</v>
      </c>
      <c r="D230" s="127">
        <v>0.6</v>
      </c>
      <c r="E230" s="127">
        <v>0.08</v>
      </c>
      <c r="F230" s="127">
        <v>0.46</v>
      </c>
      <c r="G230" s="127">
        <v>0.21</v>
      </c>
      <c r="H230" s="127">
        <v>0.46</v>
      </c>
      <c r="I230" s="127">
        <v>0</v>
      </c>
      <c r="J230" s="127">
        <v>0.02</v>
      </c>
      <c r="K230" s="127">
        <v>0.32</v>
      </c>
      <c r="L230" s="127">
        <v>0.59</v>
      </c>
      <c r="M230" s="1">
        <v>0</v>
      </c>
      <c r="N230" s="1">
        <v>0.16</v>
      </c>
      <c r="O230" s="1">
        <v>0</v>
      </c>
      <c r="P230" s="1">
        <v>0.21</v>
      </c>
      <c r="Q230" s="1"/>
      <c r="R230" s="1"/>
      <c r="S230" s="1"/>
      <c r="T230" s="1"/>
      <c r="U230" s="1"/>
      <c r="V230" s="1"/>
      <c r="W230" s="1"/>
      <c r="X230" s="1"/>
      <c r="Y230" s="1"/>
    </row>
    <row r="231" spans="1:25" x14ac:dyDescent="0.2">
      <c r="A231" s="126" t="s">
        <v>529</v>
      </c>
      <c r="B231" s="127">
        <v>0.06</v>
      </c>
      <c r="C231" s="127">
        <v>0.11</v>
      </c>
      <c r="D231" s="127">
        <v>0.6</v>
      </c>
      <c r="E231" s="127">
        <v>0.08</v>
      </c>
      <c r="F231" s="127">
        <v>0.09</v>
      </c>
      <c r="G231" s="127">
        <v>0.06</v>
      </c>
      <c r="H231" s="127">
        <v>0.09</v>
      </c>
      <c r="I231" s="127">
        <v>0.18</v>
      </c>
      <c r="J231" s="127">
        <v>0.06</v>
      </c>
      <c r="K231" s="127">
        <v>0.11</v>
      </c>
      <c r="L231" s="127">
        <v>0.24</v>
      </c>
      <c r="M231" s="1">
        <v>0.06</v>
      </c>
      <c r="N231" s="1">
        <v>0.06</v>
      </c>
      <c r="O231" s="1">
        <v>0.08</v>
      </c>
      <c r="P231" s="1">
        <v>7.0000000000000007E-2</v>
      </c>
      <c r="Q231" s="1"/>
      <c r="R231" s="1"/>
      <c r="S231" s="1"/>
      <c r="T231" s="1"/>
      <c r="U231" s="1"/>
      <c r="V231" s="1"/>
      <c r="W231" s="1"/>
      <c r="X231" s="1"/>
      <c r="Y231" s="1"/>
    </row>
    <row r="232" spans="1:25" x14ac:dyDescent="0.2">
      <c r="A232" s="126" t="s">
        <v>530</v>
      </c>
      <c r="B232" s="127">
        <v>0.16</v>
      </c>
      <c r="C232" s="127">
        <v>0.39</v>
      </c>
      <c r="D232" s="127">
        <v>0.6</v>
      </c>
      <c r="E232" s="127">
        <v>0.09</v>
      </c>
      <c r="F232" s="127">
        <v>0.35</v>
      </c>
      <c r="G232" s="127">
        <v>0.22</v>
      </c>
      <c r="H232" s="127">
        <v>0.28000000000000003</v>
      </c>
      <c r="I232" s="127">
        <v>0.06</v>
      </c>
      <c r="J232" s="127">
        <v>0.06</v>
      </c>
      <c r="K232" s="127">
        <v>0.26</v>
      </c>
      <c r="L232" s="127">
        <v>0.49</v>
      </c>
      <c r="M232" s="1">
        <v>0.06</v>
      </c>
      <c r="N232" s="1">
        <v>0.18</v>
      </c>
      <c r="O232" s="1">
        <v>0.06</v>
      </c>
      <c r="P232" s="1">
        <v>0.2</v>
      </c>
      <c r="Q232" s="1"/>
      <c r="R232" s="1"/>
      <c r="S232" s="1"/>
      <c r="T232" s="1"/>
      <c r="U232" s="1"/>
      <c r="V232" s="1"/>
      <c r="W232" s="1"/>
      <c r="X232" s="1"/>
      <c r="Y232" s="1"/>
    </row>
    <row r="233" spans="1:25" x14ac:dyDescent="0.2">
      <c r="A233" s="126" t="s">
        <v>531</v>
      </c>
      <c r="B233" s="127">
        <v>0.23</v>
      </c>
      <c r="C233" s="127">
        <v>0.53</v>
      </c>
      <c r="D233" s="127">
        <v>0.6</v>
      </c>
      <c r="E233" s="127">
        <v>0.17</v>
      </c>
      <c r="F233" s="127">
        <v>0.5</v>
      </c>
      <c r="G233" s="127">
        <v>0.28000000000000003</v>
      </c>
      <c r="H233" s="127">
        <v>0.5</v>
      </c>
      <c r="I233" s="127">
        <v>0.03</v>
      </c>
      <c r="J233" s="127">
        <v>0.08</v>
      </c>
      <c r="K233" s="127">
        <v>0.37</v>
      </c>
      <c r="L233" s="127">
        <v>0.6</v>
      </c>
      <c r="M233" s="1">
        <v>0.03</v>
      </c>
      <c r="N233" s="1">
        <v>0.28000000000000003</v>
      </c>
      <c r="O233" s="1">
        <v>0.03</v>
      </c>
      <c r="P233" s="1">
        <v>0.27</v>
      </c>
      <c r="Q233" s="1"/>
      <c r="R233" s="1"/>
      <c r="S233" s="1"/>
      <c r="T233" s="1"/>
      <c r="U233" s="1"/>
      <c r="V233" s="1"/>
      <c r="W233" s="1"/>
      <c r="X233" s="1"/>
      <c r="Y233" s="1"/>
    </row>
    <row r="234" spans="1:25" x14ac:dyDescent="0.2">
      <c r="A234" s="126" t="s">
        <v>532</v>
      </c>
      <c r="B234" s="127">
        <v>0.16</v>
      </c>
      <c r="C234" s="127">
        <v>0.5</v>
      </c>
      <c r="D234" s="127">
        <v>0.6</v>
      </c>
      <c r="E234" s="127">
        <v>0.08</v>
      </c>
      <c r="F234" s="127">
        <v>0.43</v>
      </c>
      <c r="G234" s="127">
        <v>0.22</v>
      </c>
      <c r="H234" s="127">
        <v>0.4</v>
      </c>
      <c r="I234" s="127">
        <v>0.03</v>
      </c>
      <c r="J234" s="127">
        <v>0.06</v>
      </c>
      <c r="K234" s="127">
        <v>0.33</v>
      </c>
      <c r="L234" s="127">
        <v>0.6</v>
      </c>
      <c r="M234" s="1">
        <v>0.03</v>
      </c>
      <c r="N234" s="1">
        <v>0.23</v>
      </c>
      <c r="O234" s="1">
        <v>0.03</v>
      </c>
      <c r="P234" s="1">
        <v>0.22</v>
      </c>
      <c r="Q234" s="1"/>
      <c r="R234" s="1"/>
      <c r="S234" s="1"/>
      <c r="T234" s="1"/>
      <c r="U234" s="1"/>
      <c r="V234" s="1"/>
      <c r="W234" s="1"/>
      <c r="X234" s="1"/>
      <c r="Y234" s="1"/>
    </row>
    <row r="235" spans="1:25" x14ac:dyDescent="0.2">
      <c r="A235" s="126" t="s">
        <v>533</v>
      </c>
      <c r="B235" s="127">
        <v>0.21</v>
      </c>
      <c r="C235" s="127">
        <v>0.53</v>
      </c>
      <c r="D235" s="127">
        <v>0.6</v>
      </c>
      <c r="E235" s="127">
        <v>0.11</v>
      </c>
      <c r="F235" s="127">
        <v>0.42</v>
      </c>
      <c r="G235" s="127">
        <v>0.26</v>
      </c>
      <c r="H235" s="127">
        <v>0.39</v>
      </c>
      <c r="I235" s="127">
        <v>0.06</v>
      </c>
      <c r="J235" s="127">
        <v>0.09</v>
      </c>
      <c r="K235" s="127">
        <v>0.34</v>
      </c>
      <c r="L235" s="127">
        <v>0.56000000000000005</v>
      </c>
      <c r="M235" s="1">
        <v>0.06</v>
      </c>
      <c r="N235" s="1">
        <v>0.26</v>
      </c>
      <c r="O235" s="1">
        <v>0.06</v>
      </c>
      <c r="P235" s="1">
        <v>0.24</v>
      </c>
      <c r="Q235" s="1"/>
      <c r="R235" s="1"/>
      <c r="S235" s="1"/>
      <c r="T235" s="1"/>
      <c r="U235" s="1"/>
      <c r="V235" s="1"/>
      <c r="W235" s="1"/>
      <c r="X235" s="1"/>
      <c r="Y235" s="1"/>
    </row>
    <row r="236" spans="1:25" x14ac:dyDescent="0.2">
      <c r="A236" s="126" t="s">
        <v>534</v>
      </c>
      <c r="B236" s="127">
        <v>0.15</v>
      </c>
      <c r="C236" s="127">
        <v>0.6</v>
      </c>
      <c r="D236" s="127">
        <v>0.6</v>
      </c>
      <c r="E236" s="127">
        <v>0.05</v>
      </c>
      <c r="F236" s="127">
        <v>0.56999999999999995</v>
      </c>
      <c r="G236" s="127">
        <v>0.27</v>
      </c>
      <c r="H236" s="127">
        <v>0.56999999999999995</v>
      </c>
      <c r="I236" s="127">
        <v>0</v>
      </c>
      <c r="J236" s="127">
        <v>0.01</v>
      </c>
      <c r="K236" s="127">
        <v>0.37</v>
      </c>
      <c r="L236" s="127">
        <v>0.6</v>
      </c>
      <c r="M236" s="1">
        <v>0</v>
      </c>
      <c r="N236" s="1">
        <v>0.25</v>
      </c>
      <c r="O236" s="1">
        <v>0</v>
      </c>
      <c r="P236" s="1">
        <v>0.27</v>
      </c>
      <c r="Q236" s="1"/>
      <c r="R236" s="1"/>
      <c r="S236" s="1"/>
      <c r="T236" s="1"/>
      <c r="U236" s="1"/>
      <c r="V236" s="1"/>
      <c r="W236" s="1"/>
      <c r="X236" s="1"/>
      <c r="Y236" s="1"/>
    </row>
    <row r="237" spans="1:25" x14ac:dyDescent="0.2">
      <c r="A237" s="126" t="s">
        <v>535</v>
      </c>
      <c r="B237" s="127">
        <v>0.19</v>
      </c>
      <c r="C237" s="127">
        <v>0.35</v>
      </c>
      <c r="D237" s="127">
        <v>0.6</v>
      </c>
      <c r="E237" s="127">
        <v>0.12</v>
      </c>
      <c r="F237" s="127">
        <v>0.35</v>
      </c>
      <c r="G237" s="127">
        <v>0.23</v>
      </c>
      <c r="H237" s="127">
        <v>0.34</v>
      </c>
      <c r="I237" s="127">
        <v>0.09</v>
      </c>
      <c r="J237" s="127">
        <v>0.12</v>
      </c>
      <c r="K237" s="127">
        <v>0.3</v>
      </c>
      <c r="L237" s="127">
        <v>0.49</v>
      </c>
      <c r="M237" s="1">
        <v>0.09</v>
      </c>
      <c r="N237" s="1">
        <v>0.23</v>
      </c>
      <c r="O237" s="1">
        <v>0.09</v>
      </c>
      <c r="P237" s="1">
        <v>0.22</v>
      </c>
      <c r="Q237" s="1"/>
      <c r="R237" s="1"/>
      <c r="S237" s="1"/>
      <c r="T237" s="1"/>
      <c r="U237" s="1"/>
      <c r="V237" s="1"/>
      <c r="W237" s="1"/>
      <c r="X237" s="1"/>
      <c r="Y237" s="1"/>
    </row>
    <row r="238" spans="1:25" x14ac:dyDescent="0.2">
      <c r="A238" s="126" t="s">
        <v>536</v>
      </c>
      <c r="B238" s="127">
        <v>0.16</v>
      </c>
      <c r="C238" s="127">
        <v>0.36</v>
      </c>
      <c r="D238" s="127">
        <v>0.6</v>
      </c>
      <c r="E238" s="127">
        <v>0.1</v>
      </c>
      <c r="F238" s="127">
        <v>0.36</v>
      </c>
      <c r="G238" s="127">
        <v>0.22</v>
      </c>
      <c r="H238" s="127">
        <v>0.28999999999999998</v>
      </c>
      <c r="I238" s="127">
        <v>0.03</v>
      </c>
      <c r="J238" s="127">
        <v>0.08</v>
      </c>
      <c r="K238" s="127">
        <v>0.26</v>
      </c>
      <c r="L238" s="127">
        <v>0.43</v>
      </c>
      <c r="M238" s="1">
        <v>0.03</v>
      </c>
      <c r="N238" s="1">
        <v>0.23</v>
      </c>
      <c r="O238" s="1">
        <v>0.03</v>
      </c>
      <c r="P238" s="1">
        <v>0.19</v>
      </c>
      <c r="Q238" s="1"/>
      <c r="R238" s="1"/>
      <c r="S238" s="1"/>
      <c r="T238" s="1"/>
      <c r="U238" s="1"/>
      <c r="V238" s="1"/>
      <c r="W238" s="1"/>
      <c r="X238" s="1"/>
      <c r="Y238" s="1"/>
    </row>
    <row r="239" spans="1:25" x14ac:dyDescent="0.2">
      <c r="A239" s="126" t="s">
        <v>537</v>
      </c>
      <c r="B239" s="127">
        <v>0.66</v>
      </c>
      <c r="C239" s="127">
        <v>0.66</v>
      </c>
      <c r="D239" s="127">
        <v>0.6</v>
      </c>
      <c r="E239" s="127">
        <v>0.66</v>
      </c>
      <c r="F239" s="127">
        <v>0.66</v>
      </c>
      <c r="G239" s="127">
        <v>0.66</v>
      </c>
      <c r="H239" s="127">
        <v>0.66</v>
      </c>
      <c r="I239" s="127">
        <v>0.06</v>
      </c>
      <c r="J239" s="127">
        <v>0.66</v>
      </c>
      <c r="K239" s="127">
        <v>0.66</v>
      </c>
      <c r="L239" s="127">
        <v>0.66</v>
      </c>
      <c r="M239" s="1">
        <v>0.06</v>
      </c>
      <c r="N239" s="1">
        <v>0.66</v>
      </c>
      <c r="O239" s="1">
        <v>0.1</v>
      </c>
      <c r="P239" s="1">
        <v>0.47</v>
      </c>
      <c r="Q239" s="1"/>
      <c r="R239" s="1"/>
      <c r="S239" s="1"/>
      <c r="T239" s="1"/>
      <c r="U239" s="1"/>
      <c r="V239" s="1"/>
      <c r="W239" s="1"/>
      <c r="X239" s="1"/>
      <c r="Y239" s="1"/>
    </row>
    <row r="240" spans="1:25" x14ac:dyDescent="0.2">
      <c r="A240" s="126" t="s">
        <v>538</v>
      </c>
      <c r="B240" s="127">
        <v>0.16</v>
      </c>
      <c r="C240" s="127">
        <v>0.43</v>
      </c>
      <c r="D240" s="127">
        <v>0.6</v>
      </c>
      <c r="E240" s="127">
        <v>0.09</v>
      </c>
      <c r="F240" s="127">
        <v>0.32</v>
      </c>
      <c r="G240" s="127">
        <v>0.17</v>
      </c>
      <c r="H240" s="127">
        <v>0.31</v>
      </c>
      <c r="I240" s="127">
        <v>0.06</v>
      </c>
      <c r="J240" s="127">
        <v>7.0000000000000007E-2</v>
      </c>
      <c r="K240" s="127">
        <v>0.28999999999999998</v>
      </c>
      <c r="L240" s="127">
        <v>0.53</v>
      </c>
      <c r="M240" s="1">
        <v>0.06</v>
      </c>
      <c r="N240" s="1">
        <v>0.2</v>
      </c>
      <c r="O240" s="1">
        <v>0.06</v>
      </c>
      <c r="P240" s="1">
        <v>0.19</v>
      </c>
      <c r="Q240" s="1"/>
      <c r="R240" s="1"/>
      <c r="S240" s="1"/>
      <c r="T240" s="1"/>
      <c r="U240" s="1"/>
      <c r="V240" s="1"/>
      <c r="W240" s="1"/>
      <c r="X240" s="1"/>
      <c r="Y240" s="1"/>
    </row>
    <row r="241" spans="1:25" x14ac:dyDescent="0.2">
      <c r="A241" s="126" t="s">
        <v>539</v>
      </c>
      <c r="B241" s="127">
        <v>0.03</v>
      </c>
      <c r="C241" s="127">
        <v>0.03</v>
      </c>
      <c r="D241" s="127">
        <v>0.6</v>
      </c>
      <c r="E241" s="127">
        <v>0.03</v>
      </c>
      <c r="F241" s="127">
        <v>0.03</v>
      </c>
      <c r="G241" s="127">
        <v>0.03</v>
      </c>
      <c r="H241" s="127">
        <v>0.03</v>
      </c>
      <c r="I241" s="127">
        <v>0.03</v>
      </c>
      <c r="J241" s="127">
        <v>0.03</v>
      </c>
      <c r="K241" s="127">
        <v>0.04</v>
      </c>
      <c r="L241" s="127">
        <v>0.06</v>
      </c>
      <c r="M241" s="1">
        <v>0.03</v>
      </c>
      <c r="N241" s="1">
        <v>0.03</v>
      </c>
      <c r="O241" s="1">
        <v>0.03</v>
      </c>
      <c r="P241" s="1">
        <v>0.03</v>
      </c>
      <c r="Q241" s="1"/>
      <c r="R241" s="1"/>
      <c r="S241" s="1"/>
      <c r="T241" s="1"/>
      <c r="U241" s="1"/>
      <c r="V241" s="1"/>
      <c r="W241" s="1"/>
      <c r="X241" s="1"/>
      <c r="Y241" s="1"/>
    </row>
    <row r="242" spans="1:25" x14ac:dyDescent="0.2">
      <c r="A242" s="126" t="s">
        <v>540</v>
      </c>
      <c r="B242" s="127">
        <v>0.2</v>
      </c>
      <c r="C242" s="127">
        <v>0.46</v>
      </c>
      <c r="D242" s="127">
        <v>0.6</v>
      </c>
      <c r="E242" s="127">
        <v>0.14000000000000001</v>
      </c>
      <c r="F242" s="127">
        <v>0.42</v>
      </c>
      <c r="G242" s="127">
        <v>0.24</v>
      </c>
      <c r="H242" s="127">
        <v>0.35</v>
      </c>
      <c r="I242" s="127">
        <v>0.09</v>
      </c>
      <c r="J242" s="127">
        <v>0.12</v>
      </c>
      <c r="K242" s="127">
        <v>0.34</v>
      </c>
      <c r="L242" s="127">
        <v>0.56000000000000005</v>
      </c>
      <c r="M242" s="1">
        <v>0.09</v>
      </c>
      <c r="N242" s="1">
        <v>0.25</v>
      </c>
      <c r="O242" s="1">
        <v>0.09</v>
      </c>
      <c r="P242" s="1">
        <v>0.25</v>
      </c>
      <c r="Q242" s="1"/>
      <c r="R242" s="1"/>
      <c r="S242" s="1"/>
      <c r="T242" s="1"/>
      <c r="U242" s="1"/>
      <c r="V242" s="1"/>
      <c r="W242" s="1"/>
      <c r="X242" s="1"/>
      <c r="Y242" s="1"/>
    </row>
    <row r="243" spans="1:25" x14ac:dyDescent="0.2">
      <c r="A243" s="126" t="s">
        <v>541</v>
      </c>
      <c r="B243" s="127">
        <v>0.19</v>
      </c>
      <c r="C243" s="127">
        <v>0.42</v>
      </c>
      <c r="D243" s="127">
        <v>0.6</v>
      </c>
      <c r="E243" s="127">
        <v>0.12</v>
      </c>
      <c r="F243" s="127">
        <v>0.35</v>
      </c>
      <c r="G243" s="127">
        <v>0.23</v>
      </c>
      <c r="H243" s="127">
        <v>0.34</v>
      </c>
      <c r="I243" s="127">
        <v>0.09</v>
      </c>
      <c r="J243" s="127">
        <v>0.12</v>
      </c>
      <c r="K243" s="127">
        <v>0.3</v>
      </c>
      <c r="L243" s="127">
        <v>0.49</v>
      </c>
      <c r="M243" s="1">
        <v>0.09</v>
      </c>
      <c r="N243" s="1">
        <v>0.23</v>
      </c>
      <c r="O243" s="1">
        <v>0.09</v>
      </c>
      <c r="P243" s="1">
        <v>0.22</v>
      </c>
      <c r="Q243" s="1"/>
      <c r="R243" s="1"/>
      <c r="S243" s="1"/>
      <c r="T243" s="1"/>
      <c r="U243" s="1"/>
      <c r="V243" s="1"/>
      <c r="W243" s="1"/>
      <c r="X243" s="1"/>
      <c r="Y243" s="1"/>
    </row>
    <row r="244" spans="1:25" x14ac:dyDescent="0.2">
      <c r="A244" s="126" t="s">
        <v>542</v>
      </c>
      <c r="B244" s="127">
        <v>0.43</v>
      </c>
      <c r="C244" s="127">
        <v>0.6</v>
      </c>
      <c r="D244" s="127">
        <v>0.6</v>
      </c>
      <c r="E244" s="127">
        <v>0.36</v>
      </c>
      <c r="F244" s="127">
        <v>0.53</v>
      </c>
      <c r="G244" s="127">
        <v>0.5</v>
      </c>
      <c r="H244" s="127">
        <v>0.53</v>
      </c>
      <c r="I244" s="127">
        <v>0.03</v>
      </c>
      <c r="J244" s="127">
        <v>0.17</v>
      </c>
      <c r="K244" s="127">
        <v>0.46</v>
      </c>
      <c r="L244" s="127">
        <v>0.63</v>
      </c>
      <c r="M244" s="1">
        <v>0.03</v>
      </c>
      <c r="N244" s="1">
        <v>0.5</v>
      </c>
      <c r="O244" s="1">
        <v>0.03</v>
      </c>
      <c r="P244" s="1">
        <v>0.35</v>
      </c>
      <c r="Q244" s="1"/>
      <c r="R244" s="1"/>
      <c r="S244" s="1"/>
      <c r="T244" s="1"/>
      <c r="U244" s="1"/>
      <c r="V244" s="1"/>
      <c r="W244" s="1"/>
      <c r="X244" s="1"/>
      <c r="Y244" s="1"/>
    </row>
    <row r="245" spans="1:25" x14ac:dyDescent="0.2">
      <c r="A245" s="126" t="s">
        <v>543</v>
      </c>
      <c r="B245" s="127">
        <v>0.16</v>
      </c>
      <c r="C245" s="127">
        <v>0.4</v>
      </c>
      <c r="D245" s="127">
        <v>0.6</v>
      </c>
      <c r="E245" s="127">
        <v>0.09</v>
      </c>
      <c r="F245" s="127">
        <v>0.36</v>
      </c>
      <c r="G245" s="127">
        <v>0.18</v>
      </c>
      <c r="H245" s="127">
        <v>0.34</v>
      </c>
      <c r="I245" s="127">
        <v>0.06</v>
      </c>
      <c r="J245" s="127">
        <v>0.08</v>
      </c>
      <c r="K245" s="127">
        <v>0.28000000000000003</v>
      </c>
      <c r="L245" s="127">
        <v>0.47</v>
      </c>
      <c r="M245" s="1">
        <v>0.06</v>
      </c>
      <c r="N245" s="1">
        <v>0.2</v>
      </c>
      <c r="O245" s="1">
        <v>0.06</v>
      </c>
      <c r="P245" s="1">
        <v>0.2</v>
      </c>
      <c r="Q245" s="1"/>
      <c r="R245" s="1"/>
      <c r="S245" s="1"/>
      <c r="T245" s="1"/>
      <c r="U245" s="1"/>
      <c r="V245" s="1"/>
      <c r="W245" s="1"/>
      <c r="X245" s="1"/>
      <c r="Y245" s="1"/>
    </row>
    <row r="246" spans="1:25" x14ac:dyDescent="0.2">
      <c r="A246" s="126" t="s">
        <v>544</v>
      </c>
      <c r="B246" s="127">
        <v>0.17</v>
      </c>
      <c r="C246" s="127">
        <v>0.46</v>
      </c>
      <c r="D246" s="127">
        <v>0.6</v>
      </c>
      <c r="E246" s="127">
        <v>0.11</v>
      </c>
      <c r="F246" s="127">
        <v>0.39</v>
      </c>
      <c r="G246" s="127">
        <v>0.19</v>
      </c>
      <c r="H246" s="127">
        <v>0.39</v>
      </c>
      <c r="I246" s="127">
        <v>0.03</v>
      </c>
      <c r="J246" s="127">
        <v>0.06</v>
      </c>
      <c r="K246" s="127">
        <v>0.31</v>
      </c>
      <c r="L246" s="127">
        <v>0.53</v>
      </c>
      <c r="M246" s="1">
        <v>0.03</v>
      </c>
      <c r="N246" s="1">
        <v>0.19</v>
      </c>
      <c r="O246" s="1">
        <v>0.03</v>
      </c>
      <c r="P246" s="1">
        <v>0.2</v>
      </c>
      <c r="Q246" s="1"/>
      <c r="R246" s="1"/>
      <c r="S246" s="1"/>
      <c r="T246" s="1"/>
      <c r="U246" s="1"/>
      <c r="V246" s="1"/>
      <c r="W246" s="1"/>
      <c r="X246" s="1"/>
      <c r="Y246" s="1"/>
    </row>
    <row r="247" spans="1:25" x14ac:dyDescent="0.2">
      <c r="A247" s="126" t="s">
        <v>545</v>
      </c>
      <c r="B247" s="127">
        <v>0.06</v>
      </c>
      <c r="C247" s="127">
        <v>0.11</v>
      </c>
      <c r="D247" s="127">
        <v>0.6</v>
      </c>
      <c r="E247" s="127">
        <v>0.06</v>
      </c>
      <c r="F247" s="127">
        <v>0.09</v>
      </c>
      <c r="G247" s="127">
        <v>0.06</v>
      </c>
      <c r="H247" s="127">
        <v>0.09</v>
      </c>
      <c r="I247" s="127">
        <v>0.06</v>
      </c>
      <c r="J247" s="127">
        <v>0.06</v>
      </c>
      <c r="K247" s="127">
        <v>0.11</v>
      </c>
      <c r="L247" s="127">
        <v>0.22</v>
      </c>
      <c r="M247" s="1">
        <v>0.06</v>
      </c>
      <c r="N247" s="1">
        <v>0.06</v>
      </c>
      <c r="O247" s="1">
        <v>0.06</v>
      </c>
      <c r="P247" s="1">
        <v>7.0000000000000007E-2</v>
      </c>
      <c r="Q247" s="1"/>
      <c r="R247" s="1"/>
      <c r="S247" s="1"/>
      <c r="T247" s="1"/>
      <c r="U247" s="1"/>
      <c r="V247" s="1"/>
      <c r="W247" s="1"/>
      <c r="X247" s="1"/>
      <c r="Y247" s="1"/>
    </row>
    <row r="248" spans="1:25" x14ac:dyDescent="0.2">
      <c r="A248" s="126" t="s">
        <v>546</v>
      </c>
      <c r="B248" s="127">
        <v>0.16</v>
      </c>
      <c r="C248" s="127">
        <v>0.32</v>
      </c>
      <c r="D248" s="127">
        <v>0.6</v>
      </c>
      <c r="E248" s="127">
        <v>0.09</v>
      </c>
      <c r="F248" s="127">
        <v>0.32</v>
      </c>
      <c r="G248" s="127">
        <v>0.2</v>
      </c>
      <c r="H248" s="127">
        <v>0.31</v>
      </c>
      <c r="I248" s="127">
        <v>0.06</v>
      </c>
      <c r="J248" s="127">
        <v>0.09</v>
      </c>
      <c r="K248" s="127">
        <v>0.26</v>
      </c>
      <c r="L248" s="127">
        <v>0.42</v>
      </c>
      <c r="M248" s="1">
        <v>0.06</v>
      </c>
      <c r="N248" s="1">
        <v>0.2</v>
      </c>
      <c r="O248" s="1">
        <v>0.06</v>
      </c>
      <c r="P248" s="1">
        <v>0.19</v>
      </c>
      <c r="Q248" s="1"/>
      <c r="R248" s="1"/>
      <c r="S248" s="1"/>
      <c r="T248" s="1"/>
      <c r="U248" s="1"/>
      <c r="V248" s="1"/>
      <c r="W248" s="1"/>
      <c r="X248" s="1"/>
      <c r="Y248" s="1"/>
    </row>
    <row r="249" spans="1:25" x14ac:dyDescent="0.2">
      <c r="A249" s="126" t="s">
        <v>547</v>
      </c>
      <c r="B249" s="127">
        <v>7.0000000000000007E-2</v>
      </c>
      <c r="C249" s="127">
        <v>0.28000000000000003</v>
      </c>
      <c r="D249" s="127">
        <v>0.6</v>
      </c>
      <c r="E249" s="127">
        <v>0.06</v>
      </c>
      <c r="F249" s="127">
        <v>0.28000000000000003</v>
      </c>
      <c r="G249" s="127">
        <v>0.08</v>
      </c>
      <c r="H249" s="127">
        <v>0.23</v>
      </c>
      <c r="I249" s="127">
        <v>0.03</v>
      </c>
      <c r="J249" s="127">
        <v>0.03</v>
      </c>
      <c r="K249" s="127">
        <v>0.2</v>
      </c>
      <c r="L249" s="127">
        <v>0.4</v>
      </c>
      <c r="M249" s="1">
        <v>0.03</v>
      </c>
      <c r="N249" s="1">
        <v>0.08</v>
      </c>
      <c r="O249" s="1">
        <v>0.03</v>
      </c>
      <c r="P249" s="1">
        <v>0.12</v>
      </c>
      <c r="Q249" s="1"/>
      <c r="R249" s="1"/>
      <c r="S249" s="1"/>
      <c r="T249" s="1"/>
      <c r="U249" s="1"/>
      <c r="V249" s="1"/>
      <c r="W249" s="1"/>
      <c r="X249" s="1"/>
      <c r="Y249" s="1"/>
    </row>
    <row r="250" spans="1:25" x14ac:dyDescent="0.2">
      <c r="A250" s="126" t="s">
        <v>548</v>
      </c>
      <c r="B250" s="127">
        <v>7.0000000000000007E-2</v>
      </c>
      <c r="C250" s="127">
        <v>0.28000000000000003</v>
      </c>
      <c r="D250" s="127">
        <v>0.6</v>
      </c>
      <c r="E250" s="127">
        <v>0.06</v>
      </c>
      <c r="F250" s="127">
        <v>0.28000000000000003</v>
      </c>
      <c r="G250" s="127">
        <v>0.08</v>
      </c>
      <c r="H250" s="127">
        <v>0.23</v>
      </c>
      <c r="I250" s="127">
        <v>0.03</v>
      </c>
      <c r="J250" s="127">
        <v>0.03</v>
      </c>
      <c r="K250" s="127">
        <v>0.19</v>
      </c>
      <c r="L250" s="127">
        <v>0.4</v>
      </c>
      <c r="M250" s="1">
        <v>0.03</v>
      </c>
      <c r="N250" s="1">
        <v>0.08</v>
      </c>
      <c r="O250" s="1">
        <v>0.03</v>
      </c>
      <c r="P250" s="1">
        <v>0.12</v>
      </c>
      <c r="Q250" s="1"/>
      <c r="R250" s="1"/>
      <c r="S250" s="1"/>
      <c r="T250" s="1"/>
      <c r="U250" s="1"/>
      <c r="V250" s="1"/>
      <c r="W250" s="1"/>
      <c r="X250" s="1"/>
      <c r="Y250" s="1"/>
    </row>
    <row r="251" spans="1:25" x14ac:dyDescent="0.2">
      <c r="A251" s="126" t="s">
        <v>549</v>
      </c>
      <c r="B251" s="127">
        <v>-0.03</v>
      </c>
      <c r="C251" s="127">
        <v>0.43</v>
      </c>
      <c r="D251" s="127">
        <v>0.6</v>
      </c>
      <c r="E251" s="127">
        <v>-0.03</v>
      </c>
      <c r="F251" s="127">
        <v>0.4</v>
      </c>
      <c r="G251" s="127">
        <v>0</v>
      </c>
      <c r="H251" s="127">
        <v>0.33</v>
      </c>
      <c r="I251" s="127">
        <v>-0.03</v>
      </c>
      <c r="J251" s="127">
        <v>-0.03</v>
      </c>
      <c r="K251" s="127">
        <v>0.23</v>
      </c>
      <c r="L251" s="127">
        <v>0.56999999999999995</v>
      </c>
      <c r="M251" s="1">
        <v>0</v>
      </c>
      <c r="N251" s="1">
        <v>0</v>
      </c>
      <c r="O251" s="1">
        <v>0</v>
      </c>
      <c r="P251" s="1">
        <v>0.11</v>
      </c>
      <c r="Q251" s="1"/>
      <c r="R251" s="1"/>
      <c r="S251" s="1"/>
      <c r="T251" s="1"/>
      <c r="U251" s="1"/>
      <c r="V251" s="1"/>
      <c r="W251" s="1"/>
      <c r="X251" s="1"/>
      <c r="Y251" s="1"/>
    </row>
    <row r="252" spans="1:25" x14ac:dyDescent="0.2">
      <c r="A252" s="126" t="s">
        <v>550</v>
      </c>
      <c r="B252" s="127">
        <v>0.12</v>
      </c>
      <c r="C252" s="127">
        <v>0.36</v>
      </c>
      <c r="D252" s="127">
        <v>0.6</v>
      </c>
      <c r="E252" s="127">
        <v>0.06</v>
      </c>
      <c r="F252" s="127">
        <v>0.36</v>
      </c>
      <c r="G252" s="127">
        <v>0.17</v>
      </c>
      <c r="H252" s="127">
        <v>0.28999999999999998</v>
      </c>
      <c r="I252" s="127">
        <v>0.03</v>
      </c>
      <c r="J252" s="127">
        <v>0.04</v>
      </c>
      <c r="K252" s="127">
        <v>0.26</v>
      </c>
      <c r="L252" s="127">
        <v>0.5</v>
      </c>
      <c r="M252" s="1">
        <v>0.03</v>
      </c>
      <c r="N252" s="1">
        <v>0.17</v>
      </c>
      <c r="O252" s="1">
        <v>0.03</v>
      </c>
      <c r="P252" s="1">
        <v>0.16</v>
      </c>
      <c r="Q252" s="1"/>
      <c r="R252" s="1"/>
      <c r="S252" s="1"/>
      <c r="T252" s="1"/>
      <c r="U252" s="1"/>
      <c r="V252" s="1"/>
      <c r="W252" s="1"/>
      <c r="X252" s="1"/>
      <c r="Y252" s="1"/>
    </row>
    <row r="253" spans="1:25" x14ac:dyDescent="0.2">
      <c r="A253" s="126" t="s">
        <v>551</v>
      </c>
      <c r="B253" s="127">
        <v>0.52</v>
      </c>
      <c r="C253" s="127">
        <v>0.69</v>
      </c>
      <c r="D253" s="127">
        <v>0.6</v>
      </c>
      <c r="E253" s="127">
        <v>0.42</v>
      </c>
      <c r="F253" s="127">
        <v>0.69</v>
      </c>
      <c r="G253" s="127">
        <v>0.59</v>
      </c>
      <c r="H253" s="127">
        <v>0.69</v>
      </c>
      <c r="I253" s="127">
        <v>0.09</v>
      </c>
      <c r="J253" s="127">
        <v>0.31</v>
      </c>
      <c r="K253" s="127">
        <v>0.59</v>
      </c>
      <c r="L253" s="127">
        <v>0.69</v>
      </c>
      <c r="M253" s="1">
        <v>0.09</v>
      </c>
      <c r="N253" s="1">
        <v>0.59</v>
      </c>
      <c r="O253" s="1">
        <v>0.09</v>
      </c>
      <c r="P253" s="1">
        <v>0.46</v>
      </c>
      <c r="Q253" s="1"/>
      <c r="R253" s="1"/>
      <c r="S253" s="1"/>
      <c r="T253" s="1"/>
      <c r="U253" s="1"/>
      <c r="V253" s="1"/>
      <c r="W253" s="1"/>
      <c r="X253" s="1"/>
      <c r="Y253" s="1"/>
    </row>
    <row r="254" spans="1:25" x14ac:dyDescent="0.2">
      <c r="A254" s="126" t="s">
        <v>552</v>
      </c>
      <c r="B254" s="127">
        <v>0.11</v>
      </c>
      <c r="C254" s="127">
        <v>0.25</v>
      </c>
      <c r="D254" s="127">
        <v>0.6</v>
      </c>
      <c r="E254" s="127">
        <v>0.08</v>
      </c>
      <c r="F254" s="127">
        <v>0.24</v>
      </c>
      <c r="G254" s="127">
        <v>0.15</v>
      </c>
      <c r="H254" s="127">
        <v>0.23</v>
      </c>
      <c r="I254" s="127">
        <v>0.06</v>
      </c>
      <c r="J254" s="127">
        <v>0.06</v>
      </c>
      <c r="K254" s="127">
        <v>0.2</v>
      </c>
      <c r="L254" s="127">
        <v>0.35</v>
      </c>
      <c r="M254" s="1">
        <v>0.06</v>
      </c>
      <c r="N254" s="1">
        <v>0.15</v>
      </c>
      <c r="O254" s="1">
        <v>0.06</v>
      </c>
      <c r="P254" s="1">
        <v>0.15</v>
      </c>
      <c r="Q254" s="1"/>
      <c r="R254" s="1"/>
      <c r="S254" s="1"/>
      <c r="T254" s="1"/>
      <c r="U254" s="1"/>
      <c r="V254" s="1"/>
      <c r="W254" s="1"/>
      <c r="X254" s="1"/>
      <c r="Y254" s="1"/>
    </row>
    <row r="255" spans="1:25" x14ac:dyDescent="0.2">
      <c r="A255" s="126" t="s">
        <v>553</v>
      </c>
      <c r="B255" s="127">
        <v>0.48</v>
      </c>
      <c r="C255" s="127">
        <v>0.66</v>
      </c>
      <c r="D255" s="127">
        <v>0.6</v>
      </c>
      <c r="E255" s="127">
        <v>0.42</v>
      </c>
      <c r="F255" s="127">
        <v>0.59</v>
      </c>
      <c r="G255" s="127">
        <v>0.52</v>
      </c>
      <c r="H255" s="127">
        <v>0.59</v>
      </c>
      <c r="I255" s="127">
        <v>0.09</v>
      </c>
      <c r="J255" s="127">
        <v>0.31</v>
      </c>
      <c r="K255" s="127">
        <v>0.53</v>
      </c>
      <c r="L255" s="127">
        <v>0.69</v>
      </c>
      <c r="M255" s="1">
        <v>0.09</v>
      </c>
      <c r="N255" s="1">
        <v>0.52</v>
      </c>
      <c r="O255" s="1">
        <v>0.1</v>
      </c>
      <c r="P255" s="1">
        <v>0.4</v>
      </c>
      <c r="Q255" s="1"/>
      <c r="R255" s="1"/>
      <c r="S255" s="1"/>
      <c r="T255" s="1"/>
      <c r="U255" s="1"/>
      <c r="V255" s="1"/>
      <c r="W255" s="1"/>
      <c r="X255" s="1"/>
      <c r="Y255" s="1"/>
    </row>
    <row r="256" spans="1:25" x14ac:dyDescent="0.2">
      <c r="A256" s="126" t="s">
        <v>554</v>
      </c>
      <c r="B256" s="127">
        <v>0.1</v>
      </c>
      <c r="C256" s="127">
        <v>0.28999999999999998</v>
      </c>
      <c r="D256" s="127">
        <v>0.6</v>
      </c>
      <c r="E256" s="127">
        <v>0.04</v>
      </c>
      <c r="F256" s="127">
        <v>0.28999999999999998</v>
      </c>
      <c r="G256" s="127">
        <v>0.12</v>
      </c>
      <c r="H256" s="127">
        <v>0.24</v>
      </c>
      <c r="I256" s="127">
        <v>0.05</v>
      </c>
      <c r="J256" s="127">
        <v>0.02</v>
      </c>
      <c r="K256" s="127">
        <v>0.19</v>
      </c>
      <c r="L256" s="127">
        <v>0.32</v>
      </c>
      <c r="M256" s="1">
        <v>0</v>
      </c>
      <c r="N256" s="1">
        <v>0.12</v>
      </c>
      <c r="O256" s="1">
        <v>0.01</v>
      </c>
      <c r="P256" s="1">
        <v>0.14000000000000001</v>
      </c>
      <c r="Q256" s="1"/>
      <c r="R256" s="1"/>
      <c r="S256" s="1"/>
      <c r="T256" s="1"/>
      <c r="U256" s="1"/>
      <c r="V256" s="1"/>
      <c r="W256" s="1"/>
      <c r="X256" s="1"/>
      <c r="Y256" s="1"/>
    </row>
    <row r="257" spans="1:25" x14ac:dyDescent="0.2">
      <c r="A257" s="126" t="s">
        <v>555</v>
      </c>
      <c r="B257" s="127">
        <v>0</v>
      </c>
      <c r="C257" s="127">
        <v>0.05</v>
      </c>
      <c r="D257" s="127">
        <v>0.6</v>
      </c>
      <c r="E257" s="127">
        <v>0</v>
      </c>
      <c r="F257" s="127">
        <v>0.03</v>
      </c>
      <c r="G257" s="127">
        <v>0</v>
      </c>
      <c r="H257" s="127">
        <v>0.03</v>
      </c>
      <c r="I257" s="127">
        <v>0</v>
      </c>
      <c r="J257" s="127">
        <v>0</v>
      </c>
      <c r="K257" s="127">
        <v>0.05</v>
      </c>
      <c r="L257" s="127">
        <v>0.16</v>
      </c>
      <c r="M257" s="1">
        <v>0</v>
      </c>
      <c r="N257" s="1">
        <v>0</v>
      </c>
      <c r="O257" s="1">
        <v>0</v>
      </c>
      <c r="P257" s="1">
        <v>0.01</v>
      </c>
      <c r="Q257" s="1"/>
      <c r="R257" s="1"/>
      <c r="S257" s="1"/>
      <c r="T257" s="1"/>
      <c r="U257" s="1"/>
      <c r="V257" s="1"/>
      <c r="W257" s="1"/>
      <c r="X257" s="1"/>
      <c r="Y257" s="1"/>
    </row>
    <row r="258" spans="1:25" x14ac:dyDescent="0.2">
      <c r="A258" s="126" t="s">
        <v>556</v>
      </c>
      <c r="B258" s="127">
        <v>0.21</v>
      </c>
      <c r="C258" s="127">
        <v>0.37</v>
      </c>
      <c r="D258" s="127">
        <v>0.6</v>
      </c>
      <c r="E258" s="127">
        <v>0.22</v>
      </c>
      <c r="F258" s="127">
        <v>0.28000000000000003</v>
      </c>
      <c r="G258" s="127">
        <v>0.24</v>
      </c>
      <c r="H258" s="127">
        <v>0.28000000000000003</v>
      </c>
      <c r="I258" s="127">
        <v>0.21</v>
      </c>
      <c r="J258" s="127">
        <v>0.14000000000000001</v>
      </c>
      <c r="K258" s="127">
        <v>0.3</v>
      </c>
      <c r="L258" s="127">
        <v>0.42</v>
      </c>
      <c r="M258" s="1">
        <v>0.13</v>
      </c>
      <c r="N258" s="1">
        <v>0.24</v>
      </c>
      <c r="O258" s="1">
        <v>0.16</v>
      </c>
      <c r="P258" s="1">
        <v>0.23</v>
      </c>
      <c r="Q258" s="1"/>
      <c r="R258" s="1"/>
      <c r="S258" s="1"/>
      <c r="T258" s="1"/>
      <c r="U258" s="1"/>
      <c r="V258" s="1"/>
      <c r="W258" s="1"/>
      <c r="X258" s="1"/>
      <c r="Y258" s="1"/>
    </row>
    <row r="259" spans="1:25" x14ac:dyDescent="0.2">
      <c r="A259" s="126" t="s">
        <v>557</v>
      </c>
      <c r="B259" s="127">
        <v>0.09</v>
      </c>
      <c r="C259" s="127">
        <v>0.25</v>
      </c>
      <c r="D259" s="127">
        <v>0.6</v>
      </c>
      <c r="E259" s="127">
        <v>0.13</v>
      </c>
      <c r="F259" s="127">
        <v>0.19</v>
      </c>
      <c r="G259" s="127">
        <v>0.13</v>
      </c>
      <c r="H259" s="127">
        <v>0.15</v>
      </c>
      <c r="I259" s="127">
        <v>0.14000000000000001</v>
      </c>
      <c r="J259" s="127">
        <v>0.03</v>
      </c>
      <c r="K259" s="127">
        <v>0.16</v>
      </c>
      <c r="L259" s="127">
        <v>0.25</v>
      </c>
      <c r="M259" s="1">
        <v>0.1</v>
      </c>
      <c r="N259" s="1">
        <v>0.13</v>
      </c>
      <c r="O259" s="1">
        <v>0.1</v>
      </c>
      <c r="P259" s="1">
        <v>0.14000000000000001</v>
      </c>
      <c r="Q259" s="1"/>
      <c r="R259" s="1"/>
      <c r="S259" s="1"/>
      <c r="T259" s="1"/>
      <c r="U259" s="1"/>
      <c r="V259" s="1"/>
      <c r="W259" s="1"/>
      <c r="X259" s="1"/>
      <c r="Y259" s="1"/>
    </row>
    <row r="260" spans="1:25" x14ac:dyDescent="0.2">
      <c r="A260" s="126" t="s">
        <v>558</v>
      </c>
      <c r="B260" s="127">
        <v>-0.03</v>
      </c>
      <c r="C260" s="127">
        <v>0.09</v>
      </c>
      <c r="D260" s="127">
        <v>0.6</v>
      </c>
      <c r="E260" s="127">
        <v>-0.03</v>
      </c>
      <c r="F260" s="127">
        <v>0.09</v>
      </c>
      <c r="G260" s="127">
        <v>0</v>
      </c>
      <c r="H260" s="127">
        <v>0.09</v>
      </c>
      <c r="I260" s="127">
        <v>-0.03</v>
      </c>
      <c r="J260" s="127">
        <v>-0.03</v>
      </c>
      <c r="K260" s="127">
        <v>0.06</v>
      </c>
      <c r="L260" s="127">
        <v>0.19</v>
      </c>
      <c r="M260" s="1">
        <v>0</v>
      </c>
      <c r="N260" s="1">
        <v>0</v>
      </c>
      <c r="O260" s="1">
        <v>0</v>
      </c>
      <c r="P260" s="1">
        <v>0.01</v>
      </c>
      <c r="Q260" s="1"/>
      <c r="R260" s="1"/>
      <c r="S260" s="1"/>
      <c r="T260" s="1"/>
      <c r="U260" s="1"/>
      <c r="V260" s="1"/>
      <c r="W260" s="1"/>
      <c r="X260" s="1"/>
      <c r="Y260" s="1"/>
    </row>
    <row r="261" spans="1:25" x14ac:dyDescent="0.2">
      <c r="A261" s="126" t="s">
        <v>559</v>
      </c>
      <c r="B261" s="127">
        <v>0.06</v>
      </c>
      <c r="C261" s="127">
        <v>0.06</v>
      </c>
      <c r="D261" s="127">
        <v>0.6</v>
      </c>
      <c r="E261" s="127">
        <v>0.06</v>
      </c>
      <c r="F261" s="127">
        <v>0.06</v>
      </c>
      <c r="G261" s="127">
        <v>0.06</v>
      </c>
      <c r="H261" s="127">
        <v>0.06</v>
      </c>
      <c r="I261" s="127">
        <v>0.06</v>
      </c>
      <c r="J261" s="127">
        <v>0.06</v>
      </c>
      <c r="K261" s="127">
        <v>0.06</v>
      </c>
      <c r="L261" s="127">
        <v>0.06</v>
      </c>
      <c r="M261" s="1">
        <v>0.06</v>
      </c>
      <c r="N261" s="1">
        <v>0.06</v>
      </c>
      <c r="O261" s="1">
        <v>0.06</v>
      </c>
      <c r="P261" s="1">
        <v>0.06</v>
      </c>
      <c r="Q261" s="1"/>
      <c r="R261" s="1"/>
      <c r="S261" s="1"/>
      <c r="T261" s="1"/>
      <c r="U261" s="1"/>
      <c r="V261" s="1"/>
      <c r="W261" s="1"/>
      <c r="X261" s="1"/>
      <c r="Y261" s="1"/>
    </row>
    <row r="262" spans="1:25" x14ac:dyDescent="0.2">
      <c r="A262" s="126" t="s">
        <v>560</v>
      </c>
      <c r="B262" s="127">
        <v>0.06</v>
      </c>
      <c r="C262" s="127">
        <v>0.11</v>
      </c>
      <c r="D262" s="127">
        <v>0.6</v>
      </c>
      <c r="E262" s="127">
        <v>0.06</v>
      </c>
      <c r="F262" s="127">
        <v>0.09</v>
      </c>
      <c r="G262" s="127">
        <v>0.06</v>
      </c>
      <c r="H262" s="127">
        <v>0.09</v>
      </c>
      <c r="I262" s="127">
        <v>0.06</v>
      </c>
      <c r="J262" s="127">
        <v>0.06</v>
      </c>
      <c r="K262" s="127">
        <v>0.1</v>
      </c>
      <c r="L262" s="127">
        <v>0.2</v>
      </c>
      <c r="M262" s="1">
        <v>0.06</v>
      </c>
      <c r="N262" s="1">
        <v>0.06</v>
      </c>
      <c r="O262" s="1">
        <v>0.06</v>
      </c>
      <c r="P262" s="1">
        <v>7.0000000000000007E-2</v>
      </c>
      <c r="Q262" s="1"/>
      <c r="R262" s="1"/>
      <c r="S262" s="1"/>
      <c r="T262" s="1"/>
      <c r="U262" s="1"/>
      <c r="V262" s="1"/>
      <c r="W262" s="1"/>
      <c r="X262" s="1"/>
      <c r="Y262" s="1"/>
    </row>
    <row r="263" spans="1:25" x14ac:dyDescent="0.2">
      <c r="A263" s="126" t="s">
        <v>561</v>
      </c>
      <c r="B263" s="127">
        <v>0.13</v>
      </c>
      <c r="C263" s="127">
        <v>0.4</v>
      </c>
      <c r="D263" s="127">
        <v>0.6</v>
      </c>
      <c r="E263" s="127">
        <v>0.06</v>
      </c>
      <c r="F263" s="127">
        <v>0.4</v>
      </c>
      <c r="G263" s="127">
        <v>0.14000000000000001</v>
      </c>
      <c r="H263" s="127">
        <v>0.34</v>
      </c>
      <c r="I263" s="127">
        <v>0.03</v>
      </c>
      <c r="J263" s="127">
        <v>0.04</v>
      </c>
      <c r="K263" s="127">
        <v>0.28000000000000003</v>
      </c>
      <c r="L263" s="127">
        <v>0.53</v>
      </c>
      <c r="M263" s="1">
        <v>0.03</v>
      </c>
      <c r="N263" s="1">
        <v>0.17</v>
      </c>
      <c r="O263" s="1">
        <v>0.03</v>
      </c>
      <c r="P263" s="1">
        <v>0.2</v>
      </c>
      <c r="Q263" s="1"/>
      <c r="R263" s="1"/>
      <c r="S263" s="1"/>
      <c r="T263" s="1"/>
      <c r="U263" s="1"/>
      <c r="V263" s="1"/>
      <c r="W263" s="1"/>
      <c r="X263" s="1"/>
      <c r="Y263" s="1"/>
    </row>
    <row r="264" spans="1:25" x14ac:dyDescent="0.2">
      <c r="A264" s="126" t="s">
        <v>562</v>
      </c>
      <c r="B264" s="127">
        <v>0.31</v>
      </c>
      <c r="C264" s="127">
        <v>0.31</v>
      </c>
      <c r="D264" s="127">
        <v>0.6</v>
      </c>
      <c r="E264" s="127">
        <v>0.31</v>
      </c>
      <c r="F264" s="127">
        <v>0.18</v>
      </c>
      <c r="G264" s="127">
        <v>0.21</v>
      </c>
      <c r="H264" s="127">
        <v>0.12</v>
      </c>
      <c r="I264" s="127">
        <v>0.41</v>
      </c>
      <c r="J264" s="127">
        <v>0.03</v>
      </c>
      <c r="K264" s="127">
        <v>0.2</v>
      </c>
      <c r="L264" s="127">
        <v>0.18</v>
      </c>
      <c r="M264" s="1">
        <v>0.31</v>
      </c>
      <c r="N264" s="1">
        <v>0.31</v>
      </c>
      <c r="O264" s="1">
        <v>0.31</v>
      </c>
      <c r="P264" s="1">
        <v>0.25</v>
      </c>
      <c r="Q264" s="1"/>
      <c r="R264" s="1"/>
      <c r="S264" s="1"/>
      <c r="T264" s="1"/>
      <c r="U264" s="1"/>
      <c r="V264" s="1"/>
      <c r="W264" s="1"/>
      <c r="X264" s="1"/>
      <c r="Y264" s="1"/>
    </row>
    <row r="265" spans="1:25" x14ac:dyDescent="0.2">
      <c r="A265" s="126" t="s">
        <v>563</v>
      </c>
      <c r="B265" s="127">
        <v>0.48</v>
      </c>
      <c r="C265" s="127">
        <v>0.56999999999999995</v>
      </c>
      <c r="D265" s="127">
        <v>0.6</v>
      </c>
      <c r="E265" s="127">
        <v>0.56999999999999995</v>
      </c>
      <c r="F265" s="127">
        <v>0.38</v>
      </c>
      <c r="G265" s="127">
        <v>0.43</v>
      </c>
      <c r="H265" s="127">
        <v>0.12</v>
      </c>
      <c r="I265" s="127">
        <v>0.56999999999999995</v>
      </c>
      <c r="J265" s="127">
        <v>0.12</v>
      </c>
      <c r="K265" s="127">
        <v>0.28000000000000003</v>
      </c>
      <c r="L265" s="127">
        <v>0.28000000000000003</v>
      </c>
      <c r="M265" s="1">
        <v>0.56999999999999995</v>
      </c>
      <c r="N265" s="1">
        <v>0.56999999999999995</v>
      </c>
      <c r="O265" s="1">
        <v>0.56999999999999995</v>
      </c>
      <c r="P265" s="1">
        <v>0.44</v>
      </c>
      <c r="Q265" s="1"/>
      <c r="R265" s="1"/>
      <c r="S265" s="1"/>
      <c r="T265" s="1"/>
      <c r="U265" s="1"/>
      <c r="V265" s="1"/>
      <c r="W265" s="1"/>
      <c r="X265" s="1"/>
      <c r="Y265" s="1"/>
    </row>
    <row r="266" spans="1:25" x14ac:dyDescent="0.2">
      <c r="A266" s="126" t="s">
        <v>564</v>
      </c>
      <c r="B266" s="127">
        <v>0.3</v>
      </c>
      <c r="C266" s="127">
        <v>0.56999999999999995</v>
      </c>
      <c r="D266" s="127">
        <v>0.6</v>
      </c>
      <c r="E266" s="127">
        <v>0.21</v>
      </c>
      <c r="F266" s="127">
        <v>0.51</v>
      </c>
      <c r="G266" s="127">
        <v>0.36</v>
      </c>
      <c r="H266" s="127">
        <v>0.51</v>
      </c>
      <c r="I266" s="127">
        <v>0</v>
      </c>
      <c r="J266" s="127">
        <v>0.12</v>
      </c>
      <c r="K266" s="127">
        <v>0.42</v>
      </c>
      <c r="L266" s="127">
        <v>0.6</v>
      </c>
      <c r="M266" s="1">
        <v>0</v>
      </c>
      <c r="N266" s="1">
        <v>0.36</v>
      </c>
      <c r="O266" s="1">
        <v>0</v>
      </c>
      <c r="P266" s="1">
        <v>0.28999999999999998</v>
      </c>
      <c r="Q266" s="1"/>
      <c r="R266" s="1"/>
      <c r="S266" s="1"/>
      <c r="T266" s="1"/>
      <c r="U266" s="1"/>
      <c r="V266" s="1"/>
      <c r="W266" s="1"/>
      <c r="X266" s="1"/>
      <c r="Y266" s="1"/>
    </row>
    <row r="267" spans="1:25" x14ac:dyDescent="0.2">
      <c r="A267" s="126" t="s">
        <v>565</v>
      </c>
      <c r="B267" s="127">
        <v>-0.03</v>
      </c>
      <c r="C267" s="127">
        <v>0.04</v>
      </c>
      <c r="D267" s="127">
        <v>0.6</v>
      </c>
      <c r="E267" s="127">
        <v>-0.03</v>
      </c>
      <c r="F267" s="127">
        <v>0</v>
      </c>
      <c r="G267" s="127">
        <v>0</v>
      </c>
      <c r="H267" s="127">
        <v>0</v>
      </c>
      <c r="I267" s="127">
        <v>-0.03</v>
      </c>
      <c r="J267" s="127">
        <v>-0.03</v>
      </c>
      <c r="K267" s="127">
        <v>0.03</v>
      </c>
      <c r="L267" s="127">
        <v>0.17</v>
      </c>
      <c r="M267" s="1">
        <v>0</v>
      </c>
      <c r="N267" s="1">
        <v>0</v>
      </c>
      <c r="O267" s="1">
        <v>0</v>
      </c>
      <c r="P267" s="1">
        <v>-0.03</v>
      </c>
      <c r="Q267" s="1"/>
      <c r="R267" s="1"/>
      <c r="S267" s="1"/>
      <c r="T267" s="1"/>
      <c r="U267" s="1"/>
      <c r="V267" s="1"/>
      <c r="W267" s="1"/>
      <c r="X267" s="1"/>
      <c r="Y267" s="1"/>
    </row>
    <row r="268" spans="1:25" x14ac:dyDescent="0.2">
      <c r="A268" s="126" t="s">
        <v>566</v>
      </c>
      <c r="B268" s="127">
        <v>0.1</v>
      </c>
      <c r="C268" s="127">
        <v>0.28000000000000003</v>
      </c>
      <c r="D268" s="127">
        <v>0.6</v>
      </c>
      <c r="E268" s="127">
        <v>7.0000000000000007E-2</v>
      </c>
      <c r="F268" s="127">
        <v>0.19</v>
      </c>
      <c r="G268" s="127">
        <v>0.09</v>
      </c>
      <c r="H268" s="127">
        <v>0.19</v>
      </c>
      <c r="I268" s="127">
        <v>7.0000000000000007E-2</v>
      </c>
      <c r="J268" s="127">
        <v>-0.03</v>
      </c>
      <c r="K268" s="127">
        <v>0.15</v>
      </c>
      <c r="L268" s="127">
        <v>0.28000000000000003</v>
      </c>
      <c r="M268" s="1">
        <v>7.0000000000000007E-2</v>
      </c>
      <c r="N268" s="1">
        <v>0.15</v>
      </c>
      <c r="O268" s="1">
        <v>7.0000000000000007E-2</v>
      </c>
      <c r="P268" s="1">
        <v>0.14000000000000001</v>
      </c>
      <c r="Q268" s="1"/>
      <c r="R268" s="1"/>
      <c r="S268" s="1"/>
      <c r="T268" s="1"/>
      <c r="U268" s="1"/>
      <c r="V268" s="1"/>
      <c r="W268" s="1"/>
      <c r="X268" s="1"/>
      <c r="Y268" s="1"/>
    </row>
    <row r="269" spans="1:25" x14ac:dyDescent="0.2">
      <c r="A269" s="126" t="s">
        <v>567</v>
      </c>
      <c r="B269" s="127">
        <v>0.51</v>
      </c>
      <c r="C269" s="127">
        <v>0.56999999999999995</v>
      </c>
      <c r="D269" s="127">
        <v>0.6</v>
      </c>
      <c r="E269" s="127">
        <v>0.37</v>
      </c>
      <c r="F269" s="127">
        <v>0.56999999999999995</v>
      </c>
      <c r="G269" s="127">
        <v>0.56999999999999995</v>
      </c>
      <c r="H269" s="127">
        <v>0.56999999999999995</v>
      </c>
      <c r="I269" s="127">
        <v>-0.03</v>
      </c>
      <c r="J269" s="127">
        <v>0.15</v>
      </c>
      <c r="K269" s="127">
        <v>0.47</v>
      </c>
      <c r="L269" s="127">
        <v>0.56999999999999995</v>
      </c>
      <c r="M269" s="1">
        <v>0</v>
      </c>
      <c r="N269" s="1">
        <v>0.54</v>
      </c>
      <c r="O269" s="1">
        <v>0</v>
      </c>
      <c r="P269" s="1">
        <v>0.36</v>
      </c>
      <c r="Q269" s="1"/>
      <c r="R269" s="1"/>
      <c r="S269" s="1"/>
      <c r="T269" s="1"/>
      <c r="U269" s="1"/>
      <c r="V269" s="1"/>
      <c r="W269" s="1"/>
      <c r="X269" s="1"/>
      <c r="Y269" s="1"/>
    </row>
    <row r="270" spans="1:25" x14ac:dyDescent="0.2">
      <c r="A270" s="126" t="s">
        <v>568</v>
      </c>
      <c r="B270" s="127">
        <v>0.3</v>
      </c>
      <c r="C270" s="127">
        <v>0.45</v>
      </c>
      <c r="D270" s="127">
        <v>0.6</v>
      </c>
      <c r="E270" s="127">
        <v>0.25</v>
      </c>
      <c r="F270" s="127">
        <v>0.45</v>
      </c>
      <c r="G270" s="127">
        <v>0.31</v>
      </c>
      <c r="H270" s="127">
        <v>0.45</v>
      </c>
      <c r="I270" s="127">
        <v>0.16</v>
      </c>
      <c r="J270" s="127">
        <v>0.2</v>
      </c>
      <c r="K270" s="127">
        <v>0.4</v>
      </c>
      <c r="L270" s="127">
        <v>0.56000000000000005</v>
      </c>
      <c r="M270" s="1">
        <v>0.09</v>
      </c>
      <c r="N270" s="1">
        <v>0.31</v>
      </c>
      <c r="O270" s="1">
        <v>0.09</v>
      </c>
      <c r="P270" s="1">
        <v>0.28000000000000003</v>
      </c>
      <c r="Q270" s="1"/>
      <c r="R270" s="1"/>
      <c r="S270" s="1"/>
      <c r="T270" s="1"/>
      <c r="U270" s="1"/>
      <c r="V270" s="1"/>
      <c r="W270" s="1"/>
      <c r="X270" s="1"/>
      <c r="Y270" s="1"/>
    </row>
    <row r="271" spans="1:25" x14ac:dyDescent="0.2">
      <c r="A271" s="126" t="s">
        <v>569</v>
      </c>
      <c r="B271" s="127">
        <v>0.03</v>
      </c>
      <c r="C271" s="127">
        <v>0.06</v>
      </c>
      <c r="D271" s="127">
        <v>0.6</v>
      </c>
      <c r="E271" s="127">
        <v>0.03</v>
      </c>
      <c r="F271" s="127">
        <v>0.06</v>
      </c>
      <c r="G271" s="127">
        <v>0.03</v>
      </c>
      <c r="H271" s="127">
        <v>0.06</v>
      </c>
      <c r="I271" s="127">
        <v>0.03</v>
      </c>
      <c r="J271" s="127">
        <v>0.03</v>
      </c>
      <c r="K271" s="127">
        <v>7.0000000000000007E-2</v>
      </c>
      <c r="L271" s="127">
        <v>0.15</v>
      </c>
      <c r="M271" s="1">
        <v>0.03</v>
      </c>
      <c r="N271" s="1">
        <v>0.03</v>
      </c>
      <c r="O271" s="1">
        <v>0.03</v>
      </c>
      <c r="P271" s="1">
        <v>0.04</v>
      </c>
      <c r="Q271" s="1"/>
      <c r="R271" s="1"/>
      <c r="S271" s="1"/>
      <c r="T271" s="1"/>
      <c r="U271" s="1"/>
      <c r="V271" s="1"/>
      <c r="W271" s="1"/>
      <c r="X271" s="1"/>
      <c r="Y271" s="1"/>
    </row>
    <row r="272" spans="1:25" x14ac:dyDescent="0.2">
      <c r="A272" s="126" t="s">
        <v>570</v>
      </c>
      <c r="B272" s="127">
        <v>0.09</v>
      </c>
      <c r="C272" s="127">
        <v>0.37</v>
      </c>
      <c r="D272" s="127">
        <v>0.6</v>
      </c>
      <c r="E272" s="127">
        <v>7.0000000000000007E-2</v>
      </c>
      <c r="F272" s="127">
        <v>0.31</v>
      </c>
      <c r="G272" s="127">
        <v>0.11</v>
      </c>
      <c r="H272" s="127">
        <v>0.31</v>
      </c>
      <c r="I272" s="127">
        <v>0.06</v>
      </c>
      <c r="J272" s="127">
        <v>0.06</v>
      </c>
      <c r="K272" s="127">
        <v>0.24</v>
      </c>
      <c r="L272" s="127">
        <v>0.46</v>
      </c>
      <c r="M272" s="1">
        <v>0.06</v>
      </c>
      <c r="N272" s="1">
        <v>0.11</v>
      </c>
      <c r="O272" s="1">
        <v>0.06</v>
      </c>
      <c r="P272" s="1">
        <v>0.16</v>
      </c>
      <c r="Q272" s="1"/>
      <c r="R272" s="1"/>
      <c r="S272" s="1"/>
      <c r="T272" s="1"/>
      <c r="U272" s="1"/>
      <c r="V272" s="1"/>
      <c r="W272" s="1"/>
      <c r="X272" s="1"/>
      <c r="Y272" s="1"/>
    </row>
    <row r="273" spans="1:25" x14ac:dyDescent="0.2">
      <c r="A273" s="126" t="s">
        <v>571</v>
      </c>
      <c r="B273" s="127">
        <v>0.12</v>
      </c>
      <c r="C273" s="127">
        <v>0.54</v>
      </c>
      <c r="D273" s="127">
        <v>0.6</v>
      </c>
      <c r="E273" s="127">
        <v>7.0000000000000007E-2</v>
      </c>
      <c r="F273" s="127">
        <v>0.44</v>
      </c>
      <c r="G273" s="127">
        <v>0.17</v>
      </c>
      <c r="H273" s="127">
        <v>0.44</v>
      </c>
      <c r="I273" s="127">
        <v>-0.03</v>
      </c>
      <c r="J273" s="127">
        <v>0.01</v>
      </c>
      <c r="K273" s="127">
        <v>0.3</v>
      </c>
      <c r="L273" s="127">
        <v>0.56999999999999995</v>
      </c>
      <c r="M273" s="1">
        <v>0</v>
      </c>
      <c r="N273" s="1">
        <v>0.17</v>
      </c>
      <c r="O273" s="1">
        <v>0</v>
      </c>
      <c r="P273" s="1">
        <v>0.19</v>
      </c>
      <c r="Q273" s="1"/>
      <c r="R273" s="1"/>
      <c r="S273" s="1"/>
      <c r="T273" s="1"/>
      <c r="U273" s="1"/>
      <c r="V273" s="1"/>
      <c r="W273" s="1"/>
      <c r="X273" s="1"/>
      <c r="Y273" s="1"/>
    </row>
    <row r="274" spans="1:25" x14ac:dyDescent="0.2">
      <c r="A274" s="126" t="s">
        <v>572</v>
      </c>
      <c r="B274" s="127">
        <v>0.06</v>
      </c>
      <c r="C274" s="127">
        <v>0.3</v>
      </c>
      <c r="D274" s="127">
        <v>0.6</v>
      </c>
      <c r="E274" s="127">
        <v>0.04</v>
      </c>
      <c r="F274" s="127">
        <v>0.22</v>
      </c>
      <c r="G274" s="127">
        <v>0.08</v>
      </c>
      <c r="H274" s="127">
        <v>0.22</v>
      </c>
      <c r="I274" s="127">
        <v>0.03</v>
      </c>
      <c r="J274" s="127">
        <v>0.03</v>
      </c>
      <c r="K274" s="127">
        <v>0.19</v>
      </c>
      <c r="L274" s="127">
        <v>0.4</v>
      </c>
      <c r="M274" s="1">
        <v>0.03</v>
      </c>
      <c r="N274" s="1">
        <v>0.08</v>
      </c>
      <c r="O274" s="1">
        <v>0.03</v>
      </c>
      <c r="P274" s="1">
        <v>0.1</v>
      </c>
      <c r="Q274" s="1"/>
      <c r="R274" s="1"/>
      <c r="S274" s="1"/>
      <c r="T274" s="1"/>
      <c r="U274" s="1"/>
      <c r="V274" s="1"/>
      <c r="W274" s="1"/>
      <c r="X274" s="1"/>
      <c r="Y274" s="1"/>
    </row>
    <row r="275" spans="1:25" x14ac:dyDescent="0.2">
      <c r="A275" s="126" t="s">
        <v>573</v>
      </c>
      <c r="B275" s="127">
        <v>0.17</v>
      </c>
      <c r="C275" s="127">
        <v>0.56999999999999995</v>
      </c>
      <c r="D275" s="127">
        <v>0.6</v>
      </c>
      <c r="E275" s="127">
        <v>0.1</v>
      </c>
      <c r="F275" s="127">
        <v>0.5</v>
      </c>
      <c r="G275" s="127">
        <v>0.22</v>
      </c>
      <c r="H275" s="127">
        <v>0.46</v>
      </c>
      <c r="I275" s="127">
        <v>0</v>
      </c>
      <c r="J275" s="127">
        <v>0.02</v>
      </c>
      <c r="K275" s="127">
        <v>0.34</v>
      </c>
      <c r="L275" s="127">
        <v>0.6</v>
      </c>
      <c r="M275" s="1">
        <v>0</v>
      </c>
      <c r="N275" s="1">
        <v>0.22</v>
      </c>
      <c r="O275" s="1">
        <v>0</v>
      </c>
      <c r="P275" s="1">
        <v>0.23</v>
      </c>
      <c r="Q275" s="1"/>
      <c r="R275" s="1"/>
      <c r="S275" s="1"/>
      <c r="T275" s="1"/>
      <c r="U275" s="1"/>
      <c r="V275" s="1"/>
      <c r="W275" s="1"/>
      <c r="X275" s="1"/>
      <c r="Y275" s="1"/>
    </row>
    <row r="276" spans="1:25" x14ac:dyDescent="0.2">
      <c r="A276" s="126" t="s">
        <v>574</v>
      </c>
      <c r="B276" s="127">
        <v>0.56000000000000005</v>
      </c>
      <c r="C276" s="127">
        <v>0.56999999999999995</v>
      </c>
      <c r="D276" s="127">
        <v>0.6</v>
      </c>
      <c r="E276" s="127">
        <v>0.44</v>
      </c>
      <c r="F276" s="127">
        <v>0.56999999999999995</v>
      </c>
      <c r="G276" s="127">
        <v>0.56999999999999995</v>
      </c>
      <c r="H276" s="127">
        <v>0.56999999999999995</v>
      </c>
      <c r="I276" s="127">
        <v>-0.03</v>
      </c>
      <c r="J276" s="127">
        <v>0.3</v>
      </c>
      <c r="K276" s="127">
        <v>0.5</v>
      </c>
      <c r="L276" s="127">
        <v>0.56999999999999995</v>
      </c>
      <c r="M276" s="1">
        <v>0</v>
      </c>
      <c r="N276" s="1">
        <v>0.56999999999999995</v>
      </c>
      <c r="O276" s="1">
        <v>0</v>
      </c>
      <c r="P276" s="1">
        <v>0.37</v>
      </c>
      <c r="Q276" s="1"/>
      <c r="R276" s="1"/>
      <c r="S276" s="1"/>
      <c r="T276" s="1"/>
      <c r="U276" s="1"/>
      <c r="V276" s="1"/>
      <c r="W276" s="1"/>
      <c r="X276" s="1"/>
      <c r="Y276" s="1"/>
    </row>
    <row r="277" spans="1:25" x14ac:dyDescent="0.2">
      <c r="A277" s="126" t="s">
        <v>575</v>
      </c>
      <c r="B277" s="127">
        <v>0.09</v>
      </c>
      <c r="C277" s="127">
        <v>0.22</v>
      </c>
      <c r="D277" s="127">
        <v>0.6</v>
      </c>
      <c r="E277" s="127">
        <v>7.0000000000000007E-2</v>
      </c>
      <c r="F277" s="127">
        <v>0.22</v>
      </c>
      <c r="G277" s="127">
        <v>0.11</v>
      </c>
      <c r="H277" s="127">
        <v>0.22</v>
      </c>
      <c r="I277" s="127">
        <v>0.06</v>
      </c>
      <c r="J277" s="127">
        <v>0.06</v>
      </c>
      <c r="K277" s="127">
        <v>0.18</v>
      </c>
      <c r="L277" s="127">
        <v>0.32</v>
      </c>
      <c r="M277" s="1">
        <v>0.06</v>
      </c>
      <c r="N277" s="1">
        <v>0.11</v>
      </c>
      <c r="O277" s="1">
        <v>0.06</v>
      </c>
      <c r="P277" s="1">
        <v>0.13</v>
      </c>
      <c r="Q277" s="1"/>
      <c r="R277" s="1"/>
      <c r="S277" s="1"/>
      <c r="T277" s="1"/>
      <c r="U277" s="1"/>
      <c r="V277" s="1"/>
      <c r="W277" s="1"/>
      <c r="X277" s="1"/>
      <c r="Y277" s="1"/>
    </row>
    <row r="278" spans="1:25" x14ac:dyDescent="0.2">
      <c r="A278" s="126" t="s">
        <v>576</v>
      </c>
      <c r="B278" s="127">
        <v>0.19</v>
      </c>
      <c r="C278" s="127">
        <v>0.43</v>
      </c>
      <c r="D278" s="127">
        <v>0.6</v>
      </c>
      <c r="E278" s="127">
        <v>0.13</v>
      </c>
      <c r="F278" s="127">
        <v>0.4</v>
      </c>
      <c r="G278" s="127">
        <v>0.24</v>
      </c>
      <c r="H278" s="127">
        <v>0.4</v>
      </c>
      <c r="I278" s="127">
        <v>0.03</v>
      </c>
      <c r="J278" s="127">
        <v>0.06</v>
      </c>
      <c r="K278" s="127">
        <v>0.31</v>
      </c>
      <c r="L278" s="127">
        <v>0.53</v>
      </c>
      <c r="M278" s="1">
        <v>0.03</v>
      </c>
      <c r="N278" s="1">
        <v>0.24</v>
      </c>
      <c r="O278" s="1">
        <v>0.03</v>
      </c>
      <c r="P278" s="1">
        <v>0.22</v>
      </c>
      <c r="Q278" s="1"/>
      <c r="R278" s="1"/>
      <c r="S278" s="1"/>
      <c r="T278" s="1"/>
      <c r="U278" s="1"/>
      <c r="V278" s="1"/>
      <c r="W278" s="1"/>
      <c r="X278" s="1"/>
      <c r="Y278" s="1"/>
    </row>
    <row r="279" spans="1:25" x14ac:dyDescent="0.2">
      <c r="A279" s="126" t="s">
        <v>577</v>
      </c>
      <c r="B279" s="127">
        <v>0.04</v>
      </c>
      <c r="C279" s="127">
        <v>0.18</v>
      </c>
      <c r="D279" s="127">
        <v>0.6</v>
      </c>
      <c r="E279" s="127">
        <v>0</v>
      </c>
      <c r="F279" s="127">
        <v>0.16</v>
      </c>
      <c r="G279" s="127">
        <v>0.02</v>
      </c>
      <c r="H279" s="127">
        <v>0.16</v>
      </c>
      <c r="I279" s="127">
        <v>0</v>
      </c>
      <c r="J279" s="127">
        <v>0</v>
      </c>
      <c r="K279" s="127">
        <v>0.14000000000000001</v>
      </c>
      <c r="L279" s="127">
        <v>0.28999999999999998</v>
      </c>
      <c r="M279" s="1">
        <v>0</v>
      </c>
      <c r="N279" s="1">
        <v>0.04</v>
      </c>
      <c r="O279" s="1">
        <v>0</v>
      </c>
      <c r="P279" s="1">
        <v>7.0000000000000007E-2</v>
      </c>
      <c r="Q279" s="1"/>
      <c r="R279" s="1"/>
      <c r="S279" s="1"/>
      <c r="T279" s="1"/>
      <c r="U279" s="1"/>
      <c r="V279" s="1"/>
      <c r="W279" s="1"/>
      <c r="X279" s="1"/>
      <c r="Y279" s="1"/>
    </row>
    <row r="280" spans="1:25" x14ac:dyDescent="0.2">
      <c r="A280" s="126" t="s">
        <v>578</v>
      </c>
      <c r="B280" s="127">
        <v>0.18</v>
      </c>
      <c r="C280" s="127">
        <v>0.46</v>
      </c>
      <c r="D280" s="127">
        <v>0.6</v>
      </c>
      <c r="E280" s="127">
        <v>0.11</v>
      </c>
      <c r="F280" s="127">
        <v>0.43</v>
      </c>
      <c r="G280" s="127">
        <v>0.24</v>
      </c>
      <c r="H280" s="127">
        <v>0.43</v>
      </c>
      <c r="I280" s="127">
        <v>0.06</v>
      </c>
      <c r="J280" s="127">
        <v>0.09</v>
      </c>
      <c r="K280" s="127">
        <v>0.34</v>
      </c>
      <c r="L280" s="127">
        <v>0.56000000000000005</v>
      </c>
      <c r="M280" s="1">
        <v>0.06</v>
      </c>
      <c r="N280" s="1">
        <v>0.24</v>
      </c>
      <c r="O280" s="1">
        <v>0.06</v>
      </c>
      <c r="P280" s="1">
        <v>0.25</v>
      </c>
      <c r="Q280" s="1"/>
      <c r="R280" s="1"/>
      <c r="S280" s="1"/>
      <c r="T280" s="1"/>
      <c r="U280" s="1"/>
      <c r="V280" s="1"/>
      <c r="W280" s="1"/>
      <c r="X280" s="1"/>
      <c r="Y280" s="1"/>
    </row>
    <row r="281" spans="1:25" x14ac:dyDescent="0.2">
      <c r="A281" s="126" t="s">
        <v>579</v>
      </c>
      <c r="B281" s="127">
        <v>0.1</v>
      </c>
      <c r="C281" s="127">
        <v>0.35</v>
      </c>
      <c r="D281" s="127">
        <v>0.6</v>
      </c>
      <c r="E281" s="127">
        <v>0.09</v>
      </c>
      <c r="F281" s="127">
        <v>0.26</v>
      </c>
      <c r="G281" s="127">
        <v>0.11</v>
      </c>
      <c r="H281" s="127">
        <v>0.26</v>
      </c>
      <c r="I281" s="127">
        <v>0.06</v>
      </c>
      <c r="J281" s="127">
        <v>0.06</v>
      </c>
      <c r="K281" s="127">
        <v>0.24</v>
      </c>
      <c r="L281" s="127">
        <v>0.43</v>
      </c>
      <c r="M281" s="1">
        <v>0.06</v>
      </c>
      <c r="N281" s="1">
        <v>0.11</v>
      </c>
      <c r="O281" s="1">
        <v>0.06</v>
      </c>
      <c r="P281" s="1">
        <v>0.15</v>
      </c>
      <c r="Q281" s="1"/>
      <c r="R281" s="1"/>
      <c r="S281" s="1"/>
      <c r="T281" s="1"/>
      <c r="U281" s="1"/>
      <c r="V281" s="1"/>
      <c r="W281" s="1"/>
      <c r="X281" s="1"/>
      <c r="Y281" s="1"/>
    </row>
    <row r="282" spans="1:25" x14ac:dyDescent="0.2">
      <c r="A282" s="126" t="s">
        <v>580</v>
      </c>
      <c r="B282" s="127">
        <v>0.46</v>
      </c>
      <c r="C282" s="127">
        <v>0.63</v>
      </c>
      <c r="D282" s="127">
        <v>0.6</v>
      </c>
      <c r="E282" s="127">
        <v>0.3</v>
      </c>
      <c r="F282" s="127">
        <v>0.63</v>
      </c>
      <c r="G282" s="127">
        <v>0.6</v>
      </c>
      <c r="H282" s="127">
        <v>0.63</v>
      </c>
      <c r="I282" s="127">
        <v>0.03</v>
      </c>
      <c r="J282" s="127">
        <v>0.22</v>
      </c>
      <c r="K282" s="127">
        <v>0.53</v>
      </c>
      <c r="L282" s="127">
        <v>0.63</v>
      </c>
      <c r="M282" s="1">
        <v>0.03</v>
      </c>
      <c r="N282" s="1">
        <v>0.6</v>
      </c>
      <c r="O282" s="1">
        <v>0.03</v>
      </c>
      <c r="P282" s="1">
        <v>0.42</v>
      </c>
      <c r="Q282" s="1"/>
      <c r="R282" s="1"/>
      <c r="S282" s="1"/>
      <c r="T282" s="1"/>
      <c r="U282" s="1"/>
      <c r="V282" s="1"/>
      <c r="W282" s="1"/>
      <c r="X282" s="1"/>
      <c r="Y282" s="1"/>
    </row>
    <row r="283" spans="1:25" x14ac:dyDescent="0.2">
      <c r="A283" s="126" t="s">
        <v>581</v>
      </c>
      <c r="B283" s="127">
        <v>0.06</v>
      </c>
      <c r="C283" s="127">
        <v>0.09</v>
      </c>
      <c r="D283" s="127">
        <v>0.6</v>
      </c>
      <c r="E283" s="127">
        <v>0.06</v>
      </c>
      <c r="F283" s="127">
        <v>0.09</v>
      </c>
      <c r="G283" s="127">
        <v>0.06</v>
      </c>
      <c r="H283" s="127">
        <v>0.06</v>
      </c>
      <c r="I283" s="127">
        <v>0.06</v>
      </c>
      <c r="J283" s="127">
        <v>0.06</v>
      </c>
      <c r="K283" s="127">
        <v>7.0000000000000007E-2</v>
      </c>
      <c r="L283" s="127">
        <v>0.09</v>
      </c>
      <c r="M283" s="1">
        <v>0.06</v>
      </c>
      <c r="N283" s="1">
        <v>0.06</v>
      </c>
      <c r="O283" s="1">
        <v>0.06</v>
      </c>
      <c r="P283" s="1">
        <v>7.0000000000000007E-2</v>
      </c>
      <c r="Q283" s="1"/>
      <c r="R283" s="1"/>
      <c r="S283" s="1"/>
      <c r="T283" s="1"/>
      <c r="U283" s="1"/>
      <c r="V283" s="1"/>
      <c r="W283" s="1"/>
      <c r="X283" s="1"/>
      <c r="Y283" s="1"/>
    </row>
    <row r="284" spans="1:25" x14ac:dyDescent="0.2">
      <c r="A284" s="126" t="s">
        <v>582</v>
      </c>
      <c r="B284" s="127">
        <v>0.17</v>
      </c>
      <c r="C284" s="127">
        <v>0.43</v>
      </c>
      <c r="D284" s="127">
        <v>0.6</v>
      </c>
      <c r="E284" s="127">
        <v>0.11</v>
      </c>
      <c r="F284" s="127">
        <v>0.43</v>
      </c>
      <c r="G284" s="127">
        <v>0.21</v>
      </c>
      <c r="H284" s="127">
        <v>0.32</v>
      </c>
      <c r="I284" s="127">
        <v>0.06</v>
      </c>
      <c r="J284" s="127">
        <v>7.0000000000000007E-2</v>
      </c>
      <c r="K284" s="127">
        <v>0.28999999999999998</v>
      </c>
      <c r="L284" s="127">
        <v>0.53</v>
      </c>
      <c r="M284" s="1">
        <v>0.06</v>
      </c>
      <c r="N284" s="1">
        <v>0.22</v>
      </c>
      <c r="O284" s="1">
        <v>0.06</v>
      </c>
      <c r="P284" s="1">
        <v>0.24</v>
      </c>
      <c r="Q284" s="1"/>
      <c r="R284" s="1"/>
      <c r="S284" s="1"/>
      <c r="T284" s="1"/>
      <c r="U284" s="1"/>
      <c r="V284" s="1"/>
      <c r="W284" s="1"/>
      <c r="X284" s="1"/>
      <c r="Y284" s="1"/>
    </row>
    <row r="285" spans="1:25" x14ac:dyDescent="0.2">
      <c r="A285" s="126" t="s">
        <v>583</v>
      </c>
      <c r="B285" s="127">
        <v>0.46</v>
      </c>
      <c r="C285" s="127">
        <v>0.46</v>
      </c>
      <c r="D285" s="127">
        <v>0.6</v>
      </c>
      <c r="E285" s="127">
        <v>0.46</v>
      </c>
      <c r="F285" s="127">
        <v>0.34</v>
      </c>
      <c r="G285" s="127">
        <v>0.41</v>
      </c>
      <c r="H285" s="127">
        <v>0.18</v>
      </c>
      <c r="I285" s="127">
        <v>0.56000000000000005</v>
      </c>
      <c r="J285" s="127">
        <v>0.15</v>
      </c>
      <c r="K285" s="127">
        <v>0.31</v>
      </c>
      <c r="L285" s="127">
        <v>0.31</v>
      </c>
      <c r="M285" s="1">
        <v>0.46</v>
      </c>
      <c r="N285" s="1">
        <v>0.46</v>
      </c>
      <c r="O285" s="1">
        <v>0.46</v>
      </c>
      <c r="P285" s="1">
        <v>0.37</v>
      </c>
      <c r="Q285" s="1"/>
      <c r="R285" s="1"/>
      <c r="S285" s="1"/>
      <c r="T285" s="1"/>
      <c r="U285" s="1"/>
      <c r="V285" s="1"/>
      <c r="W285" s="1"/>
      <c r="X285" s="1"/>
      <c r="Y285" s="1"/>
    </row>
    <row r="286" spans="1:25" x14ac:dyDescent="0.2">
      <c r="A286" s="126" t="s">
        <v>584</v>
      </c>
      <c r="B286" s="127">
        <v>0.32</v>
      </c>
      <c r="C286" s="127">
        <v>0.63</v>
      </c>
      <c r="D286" s="127">
        <v>0.6</v>
      </c>
      <c r="E286" s="127">
        <v>0.23</v>
      </c>
      <c r="F286" s="127">
        <v>0.6</v>
      </c>
      <c r="G286" s="127">
        <v>0.39</v>
      </c>
      <c r="H286" s="127">
        <v>0.6</v>
      </c>
      <c r="I286" s="127">
        <v>0.03</v>
      </c>
      <c r="J286" s="127">
        <v>0.14000000000000001</v>
      </c>
      <c r="K286" s="127">
        <v>0.47</v>
      </c>
      <c r="L286" s="127">
        <v>0.63</v>
      </c>
      <c r="M286" s="1">
        <v>0.03</v>
      </c>
      <c r="N286" s="1">
        <v>0.39</v>
      </c>
      <c r="O286" s="1">
        <v>0.03</v>
      </c>
      <c r="P286" s="1">
        <v>0.34</v>
      </c>
      <c r="Q286" s="1"/>
      <c r="R286" s="1"/>
      <c r="S286" s="1"/>
      <c r="T286" s="1"/>
      <c r="U286" s="1"/>
      <c r="V286" s="1"/>
      <c r="W286" s="1"/>
      <c r="X286" s="1"/>
      <c r="Y286" s="1"/>
    </row>
    <row r="287" spans="1:25" x14ac:dyDescent="0.2">
      <c r="A287" s="126" t="s">
        <v>585</v>
      </c>
      <c r="B287" s="127">
        <v>0.24</v>
      </c>
      <c r="C287" s="127">
        <v>0.56999999999999995</v>
      </c>
      <c r="D287" s="127">
        <v>0.6</v>
      </c>
      <c r="E287" s="127">
        <v>0.16</v>
      </c>
      <c r="F287" s="127">
        <v>0.54</v>
      </c>
      <c r="G287" s="127">
        <v>0.33</v>
      </c>
      <c r="H287" s="127">
        <v>0.54</v>
      </c>
      <c r="I287" s="127">
        <v>-0.03</v>
      </c>
      <c r="J287" s="127">
        <v>0.04</v>
      </c>
      <c r="K287" s="127">
        <v>0.4</v>
      </c>
      <c r="L287" s="127">
        <v>0.56999999999999995</v>
      </c>
      <c r="M287" s="1">
        <v>0</v>
      </c>
      <c r="N287" s="1">
        <v>0.33</v>
      </c>
      <c r="O287" s="1">
        <v>0</v>
      </c>
      <c r="P287" s="1">
        <v>0.28000000000000003</v>
      </c>
      <c r="Q287" s="1"/>
      <c r="R287" s="1"/>
      <c r="S287" s="1"/>
      <c r="T287" s="1"/>
      <c r="U287" s="1"/>
      <c r="V287" s="1"/>
      <c r="W287" s="1"/>
      <c r="X287" s="1"/>
      <c r="Y287" s="1"/>
    </row>
    <row r="288" spans="1:25" x14ac:dyDescent="0.2">
      <c r="A288" s="126" t="s">
        <v>586</v>
      </c>
      <c r="B288" s="127">
        <v>0.54</v>
      </c>
      <c r="C288" s="127">
        <v>0.69</v>
      </c>
      <c r="D288" s="127">
        <v>0.6</v>
      </c>
      <c r="E288" s="127">
        <v>0.45</v>
      </c>
      <c r="F288" s="127">
        <v>0.69</v>
      </c>
      <c r="G288" s="127">
        <v>0.59</v>
      </c>
      <c r="H288" s="127">
        <v>0.69</v>
      </c>
      <c r="I288" s="127">
        <v>0.09</v>
      </c>
      <c r="J288" s="127">
        <v>0.35</v>
      </c>
      <c r="K288" s="127">
        <v>0.6</v>
      </c>
      <c r="L288" s="127">
        <v>0.69</v>
      </c>
      <c r="M288" s="1">
        <v>0.09</v>
      </c>
      <c r="N288" s="1">
        <v>0.59</v>
      </c>
      <c r="O288" s="1">
        <v>0.1</v>
      </c>
      <c r="P288" s="1">
        <v>0.46</v>
      </c>
      <c r="Q288" s="1"/>
      <c r="R288" s="1"/>
      <c r="S288" s="1"/>
      <c r="T288" s="1"/>
      <c r="U288" s="1"/>
      <c r="V288" s="1"/>
      <c r="W288" s="1"/>
      <c r="X288" s="1"/>
      <c r="Y288" s="1"/>
    </row>
    <row r="289" spans="1:25" x14ac:dyDescent="0.2">
      <c r="A289" s="126" t="s">
        <v>587</v>
      </c>
      <c r="B289" s="127">
        <v>0.46</v>
      </c>
      <c r="C289" s="127">
        <v>0.49</v>
      </c>
      <c r="D289" s="127">
        <v>0.6</v>
      </c>
      <c r="E289" s="127">
        <v>0.49</v>
      </c>
      <c r="F289" s="127">
        <v>0.34</v>
      </c>
      <c r="G289" s="127">
        <v>0.37</v>
      </c>
      <c r="H289" s="127">
        <v>0.18</v>
      </c>
      <c r="I289" s="127">
        <v>0.59</v>
      </c>
      <c r="J289" s="127">
        <v>0.14000000000000001</v>
      </c>
      <c r="K289" s="127">
        <v>0.32</v>
      </c>
      <c r="L289" s="127">
        <v>0.3</v>
      </c>
      <c r="M289" s="1">
        <v>0.49</v>
      </c>
      <c r="N289" s="1">
        <v>0.49</v>
      </c>
      <c r="O289" s="1">
        <v>0.49</v>
      </c>
      <c r="P289" s="1">
        <v>0.39</v>
      </c>
      <c r="Q289" s="1"/>
      <c r="R289" s="1"/>
      <c r="S289" s="1"/>
      <c r="T289" s="1"/>
      <c r="U289" s="1"/>
      <c r="V289" s="1"/>
      <c r="W289" s="1"/>
      <c r="X289" s="1"/>
      <c r="Y289" s="1"/>
    </row>
    <row r="290" spans="1:25" x14ac:dyDescent="0.2">
      <c r="A290" s="126" t="s">
        <v>588</v>
      </c>
      <c r="B290" s="127">
        <v>0.21</v>
      </c>
      <c r="C290" s="127">
        <v>0.43</v>
      </c>
      <c r="D290" s="127">
        <v>0.6</v>
      </c>
      <c r="E290" s="127">
        <v>0.09</v>
      </c>
      <c r="F290" s="127">
        <v>0.37</v>
      </c>
      <c r="G290" s="127">
        <v>0.24</v>
      </c>
      <c r="H290" s="127">
        <v>0.36</v>
      </c>
      <c r="I290" s="127">
        <v>0.03</v>
      </c>
      <c r="J290" s="127">
        <v>0.09</v>
      </c>
      <c r="K290" s="127">
        <v>0.32</v>
      </c>
      <c r="L290" s="127">
        <v>0.53</v>
      </c>
      <c r="M290" s="1">
        <v>0.03</v>
      </c>
      <c r="N290" s="1">
        <v>0.24</v>
      </c>
      <c r="O290" s="1">
        <v>0.03</v>
      </c>
      <c r="P290" s="1">
        <v>0.21</v>
      </c>
      <c r="Q290" s="1"/>
      <c r="R290" s="1"/>
      <c r="S290" s="1"/>
      <c r="T290" s="1"/>
      <c r="U290" s="1"/>
      <c r="V290" s="1"/>
      <c r="W290" s="1"/>
      <c r="X290" s="1"/>
      <c r="Y290" s="1"/>
    </row>
    <row r="291" spans="1:25" x14ac:dyDescent="0.2">
      <c r="A291" s="126" t="s">
        <v>589</v>
      </c>
      <c r="B291" s="127">
        <v>0.52</v>
      </c>
      <c r="C291" s="127">
        <v>0.56999999999999995</v>
      </c>
      <c r="D291" s="127">
        <v>0.6</v>
      </c>
      <c r="E291" s="127">
        <v>0.47</v>
      </c>
      <c r="F291" s="127">
        <v>0.56999999999999995</v>
      </c>
      <c r="G291" s="127">
        <v>0.56999999999999995</v>
      </c>
      <c r="H291" s="127">
        <v>0.56999999999999995</v>
      </c>
      <c r="I291" s="127">
        <v>-0.03</v>
      </c>
      <c r="J291" s="127">
        <v>0.33</v>
      </c>
      <c r="K291" s="127">
        <v>0.51</v>
      </c>
      <c r="L291" s="127">
        <v>0.56999999999999995</v>
      </c>
      <c r="M291" s="1">
        <v>0</v>
      </c>
      <c r="N291" s="1">
        <v>0.56999999999999995</v>
      </c>
      <c r="O291" s="1">
        <v>0</v>
      </c>
      <c r="P291" s="1">
        <v>0.37</v>
      </c>
      <c r="Q291" s="1"/>
      <c r="R291" s="1"/>
      <c r="S291" s="1"/>
      <c r="T291" s="1"/>
      <c r="U291" s="1"/>
      <c r="V291" s="1"/>
      <c r="W291" s="1"/>
      <c r="X291" s="1"/>
      <c r="Y291" s="1"/>
    </row>
    <row r="292" spans="1:25" x14ac:dyDescent="0.2">
      <c r="A292" s="126" t="s">
        <v>590</v>
      </c>
      <c r="B292" s="127">
        <v>0.02</v>
      </c>
      <c r="C292" s="127">
        <v>0.4</v>
      </c>
      <c r="D292" s="127">
        <v>0.6</v>
      </c>
      <c r="E292" s="127">
        <v>-0.03</v>
      </c>
      <c r="F292" s="127">
        <v>0.28000000000000003</v>
      </c>
      <c r="G292" s="127">
        <v>7.0000000000000007E-2</v>
      </c>
      <c r="H292" s="127">
        <v>0.26</v>
      </c>
      <c r="I292" s="127">
        <v>-0.03</v>
      </c>
      <c r="J292" s="127">
        <v>-0.03</v>
      </c>
      <c r="K292" s="127">
        <v>0.22</v>
      </c>
      <c r="L292" s="127">
        <v>0.56999999999999995</v>
      </c>
      <c r="M292" s="1">
        <v>0</v>
      </c>
      <c r="N292" s="1">
        <v>7.0000000000000007E-2</v>
      </c>
      <c r="O292" s="1">
        <v>0</v>
      </c>
      <c r="P292" s="1">
        <v>0.1</v>
      </c>
      <c r="Q292" s="1"/>
      <c r="R292" s="1"/>
      <c r="S292" s="1"/>
      <c r="T292" s="1"/>
      <c r="U292" s="1"/>
      <c r="V292" s="1"/>
      <c r="W292" s="1"/>
      <c r="X292" s="1"/>
      <c r="Y292" s="1"/>
    </row>
    <row r="293" spans="1:25" x14ac:dyDescent="0.2">
      <c r="A293" s="126" t="s">
        <v>591</v>
      </c>
      <c r="B293" s="127">
        <v>0.33</v>
      </c>
      <c r="C293" s="127">
        <v>0.46</v>
      </c>
      <c r="D293" s="127">
        <v>0.6</v>
      </c>
      <c r="E293" s="127">
        <v>0.41</v>
      </c>
      <c r="F293" s="127">
        <v>0.27</v>
      </c>
      <c r="G293" s="127">
        <v>0.31</v>
      </c>
      <c r="H293" s="127">
        <v>0.1</v>
      </c>
      <c r="I293" s="127">
        <v>0.56000000000000005</v>
      </c>
      <c r="J293" s="127">
        <v>0.1</v>
      </c>
      <c r="K293" s="127">
        <v>0.23</v>
      </c>
      <c r="L293" s="127">
        <v>0.18</v>
      </c>
      <c r="M293" s="1">
        <v>0.46</v>
      </c>
      <c r="N293" s="1">
        <v>0.41</v>
      </c>
      <c r="O293" s="1">
        <v>0.46</v>
      </c>
      <c r="P293" s="1">
        <v>0.34</v>
      </c>
      <c r="Q293" s="1"/>
      <c r="R293" s="1"/>
      <c r="S293" s="1"/>
      <c r="T293" s="1"/>
      <c r="U293" s="1"/>
      <c r="V293" s="1"/>
      <c r="W293" s="1"/>
      <c r="X293" s="1"/>
      <c r="Y293" s="1"/>
    </row>
    <row r="294" spans="1:25" x14ac:dyDescent="0.2">
      <c r="A294" s="126" t="s">
        <v>592</v>
      </c>
      <c r="B294" s="127">
        <v>0.19</v>
      </c>
      <c r="C294" s="127">
        <v>0.43</v>
      </c>
      <c r="D294" s="127">
        <v>0.6</v>
      </c>
      <c r="E294" s="127">
        <v>0.13</v>
      </c>
      <c r="F294" s="127">
        <v>0.39</v>
      </c>
      <c r="G294" s="127">
        <v>0.25</v>
      </c>
      <c r="H294" s="127">
        <v>0.39</v>
      </c>
      <c r="I294" s="127">
        <v>0.03</v>
      </c>
      <c r="J294" s="127">
        <v>0.08</v>
      </c>
      <c r="K294" s="127">
        <v>0.31</v>
      </c>
      <c r="L294" s="127">
        <v>0.53</v>
      </c>
      <c r="M294" s="1">
        <v>0.03</v>
      </c>
      <c r="N294" s="1">
        <v>0.23</v>
      </c>
      <c r="O294" s="1">
        <v>0.03</v>
      </c>
      <c r="P294" s="1">
        <v>0.22</v>
      </c>
      <c r="Q294" s="1"/>
      <c r="R294" s="1"/>
      <c r="S294" s="1"/>
      <c r="T294" s="1"/>
      <c r="U294" s="1"/>
      <c r="V294" s="1"/>
      <c r="W294" s="1"/>
      <c r="X294" s="1"/>
      <c r="Y294" s="1"/>
    </row>
    <row r="295" spans="1:25" x14ac:dyDescent="0.2">
      <c r="A295" s="126" t="s">
        <v>593</v>
      </c>
      <c r="B295" s="127">
        <v>7.0000000000000007E-2</v>
      </c>
      <c r="C295" s="127">
        <v>0.25</v>
      </c>
      <c r="D295" s="127">
        <v>0.6</v>
      </c>
      <c r="E295" s="127">
        <v>0.03</v>
      </c>
      <c r="F295" s="127">
        <v>0.23</v>
      </c>
      <c r="G295" s="127">
        <v>0.08</v>
      </c>
      <c r="H295" s="127">
        <v>0.23</v>
      </c>
      <c r="I295" s="127">
        <v>0.03</v>
      </c>
      <c r="J295" s="127">
        <v>0.03</v>
      </c>
      <c r="K295" s="127">
        <v>0.19</v>
      </c>
      <c r="L295" s="127">
        <v>0.36</v>
      </c>
      <c r="M295" s="1">
        <v>0.03</v>
      </c>
      <c r="N295" s="1">
        <v>0.08</v>
      </c>
      <c r="O295" s="1">
        <v>0.03</v>
      </c>
      <c r="P295" s="1">
        <v>0.12</v>
      </c>
      <c r="Q295" s="1"/>
      <c r="R295" s="1"/>
      <c r="S295" s="1"/>
      <c r="T295" s="1"/>
      <c r="U295" s="1"/>
      <c r="V295" s="1"/>
      <c r="W295" s="1"/>
      <c r="X295" s="1"/>
      <c r="Y295" s="1"/>
    </row>
    <row r="296" spans="1:25" x14ac:dyDescent="0.2">
      <c r="A296" s="126" t="s">
        <v>594</v>
      </c>
      <c r="B296" s="127">
        <v>0.15</v>
      </c>
      <c r="C296" s="127">
        <v>0.39</v>
      </c>
      <c r="D296" s="127">
        <v>0.6</v>
      </c>
      <c r="E296" s="127">
        <v>0.1</v>
      </c>
      <c r="F296" s="127">
        <v>0.34</v>
      </c>
      <c r="G296" s="127">
        <v>0.16</v>
      </c>
      <c r="H296" s="127">
        <v>0.34</v>
      </c>
      <c r="I296" s="127">
        <v>0.03</v>
      </c>
      <c r="J296" s="127">
        <v>0.06</v>
      </c>
      <c r="K296" s="127">
        <v>0.26</v>
      </c>
      <c r="L296" s="127">
        <v>0.44</v>
      </c>
      <c r="M296" s="1">
        <v>0.03</v>
      </c>
      <c r="N296" s="1">
        <v>0.19</v>
      </c>
      <c r="O296" s="1">
        <v>0.03</v>
      </c>
      <c r="P296" s="1">
        <v>0.18</v>
      </c>
      <c r="Q296" s="1"/>
      <c r="R296" s="1"/>
      <c r="S296" s="1"/>
      <c r="T296" s="1"/>
      <c r="U296" s="1"/>
      <c r="V296" s="1"/>
      <c r="W296" s="1"/>
      <c r="X296" s="1"/>
      <c r="Y296" s="1"/>
    </row>
    <row r="297" spans="1:25" x14ac:dyDescent="0.2">
      <c r="A297" s="126" t="s">
        <v>595</v>
      </c>
      <c r="B297" s="127">
        <v>0.09</v>
      </c>
      <c r="C297" s="127">
        <v>0.24</v>
      </c>
      <c r="D297" s="127">
        <v>0.6</v>
      </c>
      <c r="E297" s="127">
        <v>0.09</v>
      </c>
      <c r="F297" s="127">
        <v>0.24</v>
      </c>
      <c r="G297" s="127">
        <v>0.1</v>
      </c>
      <c r="H297" s="127">
        <v>0.2</v>
      </c>
      <c r="I297" s="127">
        <v>0.09</v>
      </c>
      <c r="J297" s="127">
        <v>0.09</v>
      </c>
      <c r="K297" s="127">
        <v>0.19</v>
      </c>
      <c r="L297" s="127">
        <v>0.34</v>
      </c>
      <c r="M297" s="1">
        <v>0.09</v>
      </c>
      <c r="N297" s="1">
        <v>0.1</v>
      </c>
      <c r="O297" s="1">
        <v>0.09</v>
      </c>
      <c r="P297" s="1">
        <v>0.13</v>
      </c>
      <c r="Q297" s="1"/>
      <c r="R297" s="1"/>
      <c r="S297" s="1"/>
      <c r="T297" s="1"/>
      <c r="U297" s="1"/>
      <c r="V297" s="1"/>
      <c r="W297" s="1"/>
      <c r="X297" s="1"/>
      <c r="Y297" s="1"/>
    </row>
    <row r="298" spans="1:25" x14ac:dyDescent="0.2">
      <c r="A298" s="126" t="s">
        <v>596</v>
      </c>
      <c r="B298" s="127">
        <v>0.44</v>
      </c>
      <c r="C298" s="127">
        <v>0.6</v>
      </c>
      <c r="D298" s="127">
        <v>0.6</v>
      </c>
      <c r="E298" s="127">
        <v>0.36</v>
      </c>
      <c r="F298" s="127">
        <v>0.6</v>
      </c>
      <c r="G298" s="127">
        <v>0.46</v>
      </c>
      <c r="H298" s="127">
        <v>0.6</v>
      </c>
      <c r="I298" s="127">
        <v>0</v>
      </c>
      <c r="J298" s="127">
        <v>0.28999999999999998</v>
      </c>
      <c r="K298" s="127">
        <v>0.5</v>
      </c>
      <c r="L298" s="127">
        <v>0.6</v>
      </c>
      <c r="M298" s="1">
        <v>0.03</v>
      </c>
      <c r="N298" s="1">
        <v>0.46</v>
      </c>
      <c r="O298" s="1">
        <v>0.04</v>
      </c>
      <c r="P298" s="1">
        <v>0.37</v>
      </c>
      <c r="Q298" s="1"/>
      <c r="R298" s="1"/>
      <c r="S298" s="1"/>
      <c r="T298" s="1"/>
      <c r="U298" s="1"/>
      <c r="V298" s="1"/>
      <c r="W298" s="1"/>
      <c r="X298" s="1"/>
      <c r="Y298" s="1"/>
    </row>
    <row r="299" spans="1:25" x14ac:dyDescent="0.2">
      <c r="A299" s="126" t="s">
        <v>597</v>
      </c>
      <c r="B299" s="127">
        <v>0.32</v>
      </c>
      <c r="C299" s="127">
        <v>0.55000000000000004</v>
      </c>
      <c r="D299" s="127">
        <v>0.6</v>
      </c>
      <c r="E299" s="127">
        <v>0.17</v>
      </c>
      <c r="F299" s="127">
        <v>0.5</v>
      </c>
      <c r="G299" s="127">
        <v>0.39</v>
      </c>
      <c r="H299" s="127">
        <v>0.5</v>
      </c>
      <c r="I299" s="127">
        <v>0.06</v>
      </c>
      <c r="J299" s="127">
        <v>0.16</v>
      </c>
      <c r="K299" s="127">
        <v>0.42</v>
      </c>
      <c r="L299" s="127">
        <v>0.6</v>
      </c>
      <c r="M299" s="1">
        <v>0.06</v>
      </c>
      <c r="N299" s="1">
        <v>0.41</v>
      </c>
      <c r="O299" s="1">
        <v>0.06</v>
      </c>
      <c r="P299" s="1">
        <v>0.32</v>
      </c>
      <c r="Q299" s="1"/>
      <c r="R299" s="1"/>
      <c r="S299" s="1"/>
      <c r="T299" s="1"/>
      <c r="U299" s="1"/>
      <c r="V299" s="1"/>
      <c r="W299" s="1"/>
      <c r="X299" s="1"/>
      <c r="Y299" s="1"/>
    </row>
    <row r="300" spans="1:25" x14ac:dyDescent="0.2">
      <c r="A300" s="126" t="s">
        <v>598</v>
      </c>
      <c r="B300" s="127">
        <v>7.0000000000000007E-2</v>
      </c>
      <c r="C300" s="127">
        <v>0.28000000000000003</v>
      </c>
      <c r="D300" s="127">
        <v>0.6</v>
      </c>
      <c r="E300" s="127">
        <v>0.06</v>
      </c>
      <c r="F300" s="127">
        <v>0.19</v>
      </c>
      <c r="G300" s="127">
        <v>0.08</v>
      </c>
      <c r="H300" s="127">
        <v>0.19</v>
      </c>
      <c r="I300" s="127">
        <v>0.03</v>
      </c>
      <c r="J300" s="127">
        <v>0.03</v>
      </c>
      <c r="K300" s="127">
        <v>0.16</v>
      </c>
      <c r="L300" s="127">
        <v>0.28999999999999998</v>
      </c>
      <c r="M300" s="1">
        <v>0.03</v>
      </c>
      <c r="N300" s="1">
        <v>0.08</v>
      </c>
      <c r="O300" s="1">
        <v>0.03</v>
      </c>
      <c r="P300" s="1">
        <v>0.1</v>
      </c>
      <c r="Q300" s="1"/>
      <c r="R300" s="1"/>
      <c r="S300" s="1"/>
      <c r="T300" s="1"/>
      <c r="U300" s="1"/>
      <c r="V300" s="1"/>
      <c r="W300" s="1"/>
      <c r="X300" s="1"/>
      <c r="Y300" s="1"/>
    </row>
    <row r="301" spans="1:25" x14ac:dyDescent="0.2">
      <c r="A301" s="126" t="s">
        <v>599</v>
      </c>
      <c r="B301" s="127">
        <v>0.15</v>
      </c>
      <c r="C301" s="127">
        <v>0.31</v>
      </c>
      <c r="D301" s="127">
        <v>0.6</v>
      </c>
      <c r="E301" s="127">
        <v>0.16</v>
      </c>
      <c r="F301" s="127">
        <v>0.28999999999999998</v>
      </c>
      <c r="G301" s="127">
        <v>0.18</v>
      </c>
      <c r="H301" s="127">
        <v>0.22</v>
      </c>
      <c r="I301" s="127">
        <v>0.1</v>
      </c>
      <c r="J301" s="127">
        <v>0.1</v>
      </c>
      <c r="K301" s="127">
        <v>0.22</v>
      </c>
      <c r="L301" s="127">
        <v>0.36</v>
      </c>
      <c r="M301" s="1">
        <v>0.1</v>
      </c>
      <c r="N301" s="1">
        <v>0.18</v>
      </c>
      <c r="O301" s="1">
        <v>0.1</v>
      </c>
      <c r="P301" s="1">
        <v>0.17</v>
      </c>
      <c r="Q301" s="1"/>
      <c r="R301" s="1"/>
      <c r="S301" s="1"/>
      <c r="T301" s="1"/>
      <c r="U301" s="1"/>
      <c r="V301" s="1"/>
      <c r="W301" s="1"/>
      <c r="X301" s="1"/>
      <c r="Y301" s="1"/>
    </row>
    <row r="302" spans="1:25" x14ac:dyDescent="0.2">
      <c r="A302" s="126" t="s">
        <v>600</v>
      </c>
      <c r="B302" s="127">
        <v>0.13</v>
      </c>
      <c r="C302" s="127">
        <v>0.4</v>
      </c>
      <c r="D302" s="127">
        <v>0.6</v>
      </c>
      <c r="E302" s="127">
        <v>0.08</v>
      </c>
      <c r="F302" s="127">
        <v>0.4</v>
      </c>
      <c r="G302" s="127">
        <v>0.17</v>
      </c>
      <c r="H302" s="127">
        <v>0.34</v>
      </c>
      <c r="I302" s="127">
        <v>0.03</v>
      </c>
      <c r="J302" s="127">
        <v>0.06</v>
      </c>
      <c r="K302" s="127">
        <v>0.28999999999999998</v>
      </c>
      <c r="L302" s="127">
        <v>0.53</v>
      </c>
      <c r="M302" s="1">
        <v>0.03</v>
      </c>
      <c r="N302" s="1">
        <v>0.17</v>
      </c>
      <c r="O302" s="1">
        <v>0.03</v>
      </c>
      <c r="P302" s="1">
        <v>0.18</v>
      </c>
      <c r="Q302" s="1"/>
      <c r="R302" s="1"/>
      <c r="S302" s="1"/>
      <c r="T302" s="1"/>
      <c r="U302" s="1"/>
      <c r="V302" s="1"/>
      <c r="W302" s="1"/>
      <c r="X302" s="1"/>
      <c r="Y302" s="1"/>
    </row>
    <row r="303" spans="1:25" x14ac:dyDescent="0.2">
      <c r="A303" s="126" t="s">
        <v>601</v>
      </c>
      <c r="B303" s="127">
        <v>0.28000000000000003</v>
      </c>
      <c r="C303" s="127">
        <v>0.45</v>
      </c>
      <c r="D303" s="127">
        <v>0.6</v>
      </c>
      <c r="E303" s="127">
        <v>0.27</v>
      </c>
      <c r="F303" s="127">
        <v>0.45</v>
      </c>
      <c r="G303" s="127">
        <v>0.31</v>
      </c>
      <c r="H303" s="127">
        <v>0.45</v>
      </c>
      <c r="I303" s="127">
        <v>0.2</v>
      </c>
      <c r="J303" s="127">
        <v>0.2</v>
      </c>
      <c r="K303" s="127">
        <v>0.4</v>
      </c>
      <c r="L303" s="127">
        <v>0.52</v>
      </c>
      <c r="M303" s="1">
        <v>0.16</v>
      </c>
      <c r="N303" s="1">
        <v>0.31</v>
      </c>
      <c r="O303" s="1">
        <v>0.16</v>
      </c>
      <c r="P303" s="1">
        <v>0.3</v>
      </c>
      <c r="Q303" s="1"/>
      <c r="R303" s="1"/>
      <c r="S303" s="1"/>
      <c r="T303" s="1"/>
      <c r="U303" s="1"/>
      <c r="V303" s="1"/>
      <c r="W303" s="1"/>
      <c r="X303" s="1"/>
      <c r="Y303" s="1"/>
    </row>
    <row r="304" spans="1:25" x14ac:dyDescent="0.2">
      <c r="A304" s="126" t="s">
        <v>602</v>
      </c>
      <c r="B304" s="127">
        <v>0.16</v>
      </c>
      <c r="C304" s="127">
        <v>0.2</v>
      </c>
      <c r="D304" s="127">
        <v>0.6</v>
      </c>
      <c r="E304" s="127">
        <v>0.21</v>
      </c>
      <c r="F304" s="127">
        <v>0.16</v>
      </c>
      <c r="G304" s="127">
        <v>0.16</v>
      </c>
      <c r="H304" s="127">
        <v>0.09</v>
      </c>
      <c r="I304" s="127">
        <v>0.33</v>
      </c>
      <c r="J304" s="127">
        <v>0.06</v>
      </c>
      <c r="K304" s="127">
        <v>0.17</v>
      </c>
      <c r="L304" s="127">
        <v>0.18</v>
      </c>
      <c r="M304" s="1">
        <v>0.21</v>
      </c>
      <c r="N304" s="1">
        <v>0.17</v>
      </c>
      <c r="O304" s="1">
        <v>0.21</v>
      </c>
      <c r="P304" s="1">
        <v>0.16</v>
      </c>
      <c r="Q304" s="1"/>
      <c r="R304" s="1"/>
      <c r="S304" s="1"/>
      <c r="T304" s="1"/>
      <c r="U304" s="1"/>
      <c r="V304" s="1"/>
      <c r="W304" s="1"/>
      <c r="X304" s="1"/>
      <c r="Y304" s="1"/>
    </row>
    <row r="305" spans="1:25" x14ac:dyDescent="0.2">
      <c r="A305" s="126" t="s">
        <v>603</v>
      </c>
      <c r="B305" s="127">
        <v>0.1</v>
      </c>
      <c r="C305" s="127">
        <v>0.32</v>
      </c>
      <c r="D305" s="127">
        <v>0.6</v>
      </c>
      <c r="E305" s="127">
        <v>0.09</v>
      </c>
      <c r="F305" s="127">
        <v>0.31</v>
      </c>
      <c r="G305" s="127">
        <v>0.11</v>
      </c>
      <c r="H305" s="127">
        <v>0.31</v>
      </c>
      <c r="I305" s="127">
        <v>0.06</v>
      </c>
      <c r="J305" s="127">
        <v>0.06</v>
      </c>
      <c r="K305" s="127">
        <v>0.25</v>
      </c>
      <c r="L305" s="127">
        <v>0.46</v>
      </c>
      <c r="M305" s="1">
        <v>0.06</v>
      </c>
      <c r="N305" s="1">
        <v>0.11</v>
      </c>
      <c r="O305" s="1">
        <v>0.06</v>
      </c>
      <c r="P305" s="1">
        <v>0.16</v>
      </c>
      <c r="Q305" s="1"/>
      <c r="R305" s="1"/>
      <c r="S305" s="1"/>
      <c r="T305" s="1"/>
      <c r="U305" s="1"/>
      <c r="V305" s="1"/>
      <c r="W305" s="1"/>
      <c r="X305" s="1"/>
      <c r="Y305" s="1"/>
    </row>
    <row r="306" spans="1:25" x14ac:dyDescent="0.2">
      <c r="A306" s="126" t="s">
        <v>604</v>
      </c>
      <c r="B306" s="127">
        <v>0</v>
      </c>
      <c r="C306" s="127">
        <v>0.03</v>
      </c>
      <c r="D306" s="127">
        <v>0.6</v>
      </c>
      <c r="E306" s="127">
        <v>0</v>
      </c>
      <c r="F306" s="127">
        <v>0.03</v>
      </c>
      <c r="G306" s="127">
        <v>0</v>
      </c>
      <c r="H306" s="127">
        <v>0.03</v>
      </c>
      <c r="I306" s="127">
        <v>0</v>
      </c>
      <c r="J306" s="127">
        <v>0</v>
      </c>
      <c r="K306" s="127">
        <v>0.04</v>
      </c>
      <c r="L306" s="127">
        <v>0.12</v>
      </c>
      <c r="M306" s="1">
        <v>0</v>
      </c>
      <c r="N306" s="1">
        <v>0</v>
      </c>
      <c r="O306" s="1">
        <v>0</v>
      </c>
      <c r="P306" s="1">
        <v>0.01</v>
      </c>
      <c r="Q306" s="1"/>
      <c r="R306" s="1"/>
      <c r="S306" s="1"/>
      <c r="T306" s="1"/>
      <c r="U306" s="1"/>
      <c r="V306" s="1"/>
      <c r="W306" s="1"/>
      <c r="X306" s="1"/>
      <c r="Y306" s="1"/>
    </row>
    <row r="307" spans="1:25" x14ac:dyDescent="0.2">
      <c r="A307" s="126" t="s">
        <v>605</v>
      </c>
      <c r="B307" s="127">
        <v>7.0000000000000007E-2</v>
      </c>
      <c r="C307" s="127">
        <v>0.15</v>
      </c>
      <c r="D307" s="127">
        <v>0.6</v>
      </c>
      <c r="E307" s="127">
        <v>0.06</v>
      </c>
      <c r="F307" s="127">
        <v>0.11</v>
      </c>
      <c r="G307" s="127">
        <v>7.0000000000000007E-2</v>
      </c>
      <c r="H307" s="127">
        <v>0.11</v>
      </c>
      <c r="I307" s="127">
        <v>0.06</v>
      </c>
      <c r="J307" s="127">
        <v>0.06</v>
      </c>
      <c r="K307" s="127">
        <v>0.12</v>
      </c>
      <c r="L307" s="127">
        <v>0.22</v>
      </c>
      <c r="M307" s="1">
        <v>0.06</v>
      </c>
      <c r="N307" s="1">
        <v>0.09</v>
      </c>
      <c r="O307" s="1">
        <v>0.06</v>
      </c>
      <c r="P307" s="1">
        <v>0.09</v>
      </c>
      <c r="Q307" s="1"/>
      <c r="R307" s="1"/>
      <c r="S307" s="1"/>
      <c r="T307" s="1"/>
      <c r="U307" s="1"/>
      <c r="V307" s="1"/>
      <c r="W307" s="1"/>
      <c r="X307" s="1"/>
      <c r="Y307" s="1"/>
    </row>
    <row r="308" spans="1:25" x14ac:dyDescent="0.2">
      <c r="A308" s="126" t="s">
        <v>606</v>
      </c>
      <c r="B308" s="127">
        <v>0.37</v>
      </c>
      <c r="C308" s="127">
        <v>0.56999999999999995</v>
      </c>
      <c r="D308" s="127">
        <v>0.6</v>
      </c>
      <c r="E308" s="127">
        <v>0.3</v>
      </c>
      <c r="F308" s="127">
        <v>0.54</v>
      </c>
      <c r="G308" s="127">
        <v>0.44</v>
      </c>
      <c r="H308" s="127">
        <v>0.54</v>
      </c>
      <c r="I308" s="127">
        <v>-0.03</v>
      </c>
      <c r="J308" s="127">
        <v>0.17</v>
      </c>
      <c r="K308" s="127">
        <v>0.44</v>
      </c>
      <c r="L308" s="127">
        <v>0.56999999999999995</v>
      </c>
      <c r="M308" s="1">
        <v>0</v>
      </c>
      <c r="N308" s="1">
        <v>0.44</v>
      </c>
      <c r="O308" s="1">
        <v>0</v>
      </c>
      <c r="P308" s="1">
        <v>0.32</v>
      </c>
      <c r="Q308" s="1"/>
      <c r="R308" s="1"/>
      <c r="S308" s="1"/>
      <c r="T308" s="1"/>
      <c r="U308" s="1"/>
      <c r="V308" s="1"/>
      <c r="W308" s="1"/>
      <c r="X308" s="1"/>
      <c r="Y308" s="1"/>
    </row>
    <row r="309" spans="1:25" x14ac:dyDescent="0.2">
      <c r="A309" s="126" t="s">
        <v>607</v>
      </c>
      <c r="B309" s="127">
        <v>0.06</v>
      </c>
      <c r="C309" s="127">
        <v>0.09</v>
      </c>
      <c r="D309" s="127">
        <v>0.6</v>
      </c>
      <c r="E309" s="127">
        <v>0.13</v>
      </c>
      <c r="F309" s="127">
        <v>0.09</v>
      </c>
      <c r="G309" s="127">
        <v>0.06</v>
      </c>
      <c r="H309" s="127">
        <v>0.09</v>
      </c>
      <c r="I309" s="127">
        <v>0.21</v>
      </c>
      <c r="J309" s="127">
        <v>0.06</v>
      </c>
      <c r="K309" s="127">
        <v>0.11</v>
      </c>
      <c r="L309" s="127">
        <v>0.14000000000000001</v>
      </c>
      <c r="M309" s="1">
        <v>0.13</v>
      </c>
      <c r="N309" s="1">
        <v>0.08</v>
      </c>
      <c r="O309" s="1">
        <v>0.13</v>
      </c>
      <c r="P309" s="1">
        <v>0.1</v>
      </c>
      <c r="Q309" s="1"/>
      <c r="R309" s="1"/>
      <c r="S309" s="1"/>
      <c r="T309" s="1"/>
      <c r="U309" s="1"/>
      <c r="V309" s="1"/>
      <c r="W309" s="1"/>
      <c r="X309" s="1"/>
      <c r="Y309" s="1"/>
    </row>
    <row r="310" spans="1:25" x14ac:dyDescent="0.2">
      <c r="A310" s="126" t="s">
        <v>608</v>
      </c>
      <c r="B310" s="127">
        <v>0.18</v>
      </c>
      <c r="C310" s="127">
        <v>0.43</v>
      </c>
      <c r="D310" s="127">
        <v>0.6</v>
      </c>
      <c r="E310" s="127">
        <v>0.1</v>
      </c>
      <c r="F310" s="127">
        <v>0.43</v>
      </c>
      <c r="G310" s="127">
        <v>0.22</v>
      </c>
      <c r="H310" s="127">
        <v>0.32</v>
      </c>
      <c r="I310" s="127">
        <v>0.06</v>
      </c>
      <c r="J310" s="127">
        <v>0.09</v>
      </c>
      <c r="K310" s="127">
        <v>0.3</v>
      </c>
      <c r="L310" s="127">
        <v>0.53</v>
      </c>
      <c r="M310" s="1">
        <v>0.06</v>
      </c>
      <c r="N310" s="1">
        <v>0.22</v>
      </c>
      <c r="O310" s="1">
        <v>0.06</v>
      </c>
      <c r="P310" s="1">
        <v>0.22</v>
      </c>
      <c r="Q310" s="1"/>
      <c r="R310" s="1"/>
      <c r="S310" s="1"/>
      <c r="T310" s="1"/>
      <c r="U310" s="1"/>
      <c r="V310" s="1"/>
      <c r="W310" s="1"/>
      <c r="X310" s="1"/>
      <c r="Y310" s="1"/>
    </row>
    <row r="311" spans="1:25" x14ac:dyDescent="0.2">
      <c r="A311" s="126" t="s">
        <v>609</v>
      </c>
      <c r="B311" s="127">
        <v>0.13</v>
      </c>
      <c r="C311" s="127">
        <v>0.31</v>
      </c>
      <c r="D311" s="127">
        <v>0.6</v>
      </c>
      <c r="E311" s="127">
        <v>0.1</v>
      </c>
      <c r="F311" s="127">
        <v>0.31</v>
      </c>
      <c r="G311" s="127">
        <v>0.15</v>
      </c>
      <c r="H311" s="127">
        <v>0.31</v>
      </c>
      <c r="I311" s="127">
        <v>0.09</v>
      </c>
      <c r="J311" s="127">
        <v>0.09</v>
      </c>
      <c r="K311" s="127">
        <v>0.26</v>
      </c>
      <c r="L311" s="127">
        <v>0.48</v>
      </c>
      <c r="M311" s="1">
        <v>0.09</v>
      </c>
      <c r="N311" s="1">
        <v>0.13</v>
      </c>
      <c r="O311" s="1">
        <v>0.09</v>
      </c>
      <c r="P311" s="1">
        <v>0.18</v>
      </c>
      <c r="Q311" s="1"/>
      <c r="R311" s="1"/>
      <c r="S311" s="1"/>
      <c r="T311" s="1"/>
      <c r="U311" s="1"/>
      <c r="V311" s="1"/>
      <c r="W311" s="1"/>
      <c r="X311" s="1"/>
      <c r="Y311" s="1"/>
    </row>
  </sheetData>
  <sheetProtection algorithmName="SHA-512" hashValue="EinhPQbHjaKXvBRil36aL2D+fBWqmliyOFkYNm6xwEgMUUwM7bN06guctZirFzKN/WCdnJufoiaKXSSKKx2DeA==" saltValue="AJX0yC6sfA6nAoZG+jnIkw==" spinCount="100000" sheet="1" objects="1" scenarios="1"/>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CF01FD-2C46-1349-BE06-2334577FA6EF}">
  <sheetPr>
    <tabColor theme="7"/>
  </sheetPr>
  <dimension ref="A1:R80"/>
  <sheetViews>
    <sheetView zoomScale="125" zoomScaleNormal="170" workbookViewId="0">
      <selection activeCell="C10" sqref="C10:C19"/>
    </sheetView>
  </sheetViews>
  <sheetFormatPr baseColWidth="10" defaultRowHeight="16" x14ac:dyDescent="0.2"/>
  <cols>
    <col min="1" max="1" width="27.1640625" style="3" bestFit="1" customWidth="1"/>
    <col min="2" max="3" width="28.5" style="3" bestFit="1" customWidth="1"/>
    <col min="4" max="4" width="22" style="3" customWidth="1"/>
    <col min="5" max="5" width="19" style="3" bestFit="1" customWidth="1"/>
    <col min="6" max="6" width="21" style="3" bestFit="1" customWidth="1"/>
    <col min="7" max="7" width="18.5" style="3" bestFit="1" customWidth="1"/>
    <col min="8" max="8" width="19.33203125" style="3" bestFit="1" customWidth="1"/>
    <col min="9" max="9" width="20.6640625" style="3" bestFit="1" customWidth="1"/>
    <col min="10" max="10" width="16.33203125" style="3" bestFit="1" customWidth="1"/>
    <col min="11" max="16384" width="10.83203125" style="3"/>
  </cols>
  <sheetData>
    <row r="1" spans="1:18" ht="17" thickBot="1" x14ac:dyDescent="0.25"/>
    <row r="2" spans="1:18" x14ac:dyDescent="0.2">
      <c r="A2" s="422" t="s">
        <v>1034</v>
      </c>
      <c r="B2" s="423"/>
      <c r="C2" s="423"/>
      <c r="D2" s="423"/>
      <c r="E2" s="423"/>
      <c r="F2" s="423"/>
      <c r="G2" s="423"/>
      <c r="H2" s="423"/>
      <c r="I2" s="423"/>
      <c r="J2" s="423"/>
      <c r="K2" s="423"/>
      <c r="L2" s="423"/>
      <c r="M2" s="423"/>
      <c r="N2" s="423"/>
      <c r="O2" s="423"/>
      <c r="P2" s="423"/>
      <c r="Q2" s="423"/>
      <c r="R2" s="424"/>
    </row>
    <row r="3" spans="1:18" x14ac:dyDescent="0.2">
      <c r="A3" s="425"/>
      <c r="B3" s="426"/>
      <c r="C3" s="426"/>
      <c r="D3" s="426"/>
      <c r="E3" s="426"/>
      <c r="F3" s="426"/>
      <c r="G3" s="426"/>
      <c r="H3" s="426"/>
      <c r="I3" s="426"/>
      <c r="J3" s="426"/>
      <c r="K3" s="426"/>
      <c r="L3" s="426"/>
      <c r="M3" s="426"/>
      <c r="N3" s="426"/>
      <c r="O3" s="426"/>
      <c r="P3" s="426"/>
      <c r="Q3" s="426"/>
      <c r="R3" s="427"/>
    </row>
    <row r="4" spans="1:18" x14ac:dyDescent="0.2">
      <c r="A4" s="425"/>
      <c r="B4" s="426"/>
      <c r="C4" s="426"/>
      <c r="D4" s="426"/>
      <c r="E4" s="426"/>
      <c r="F4" s="426"/>
      <c r="G4" s="426"/>
      <c r="H4" s="426"/>
      <c r="I4" s="426"/>
      <c r="J4" s="426"/>
      <c r="K4" s="426"/>
      <c r="L4" s="426"/>
      <c r="M4" s="426"/>
      <c r="N4" s="426"/>
      <c r="O4" s="426"/>
      <c r="P4" s="426"/>
      <c r="Q4" s="426"/>
      <c r="R4" s="427"/>
    </row>
    <row r="5" spans="1:18" x14ac:dyDescent="0.2">
      <c r="A5" s="425"/>
      <c r="B5" s="426"/>
      <c r="C5" s="426"/>
      <c r="D5" s="426"/>
      <c r="E5" s="426"/>
      <c r="F5" s="426"/>
      <c r="G5" s="426"/>
      <c r="H5" s="426"/>
      <c r="I5" s="426"/>
      <c r="J5" s="426"/>
      <c r="K5" s="426"/>
      <c r="L5" s="426"/>
      <c r="M5" s="426"/>
      <c r="N5" s="426"/>
      <c r="O5" s="426"/>
      <c r="P5" s="426"/>
      <c r="Q5" s="426"/>
      <c r="R5" s="427"/>
    </row>
    <row r="6" spans="1:18" x14ac:dyDescent="0.2">
      <c r="A6" s="425"/>
      <c r="B6" s="426"/>
      <c r="C6" s="426"/>
      <c r="D6" s="426"/>
      <c r="E6" s="426"/>
      <c r="F6" s="426"/>
      <c r="G6" s="426"/>
      <c r="H6" s="426"/>
      <c r="I6" s="426"/>
      <c r="J6" s="426"/>
      <c r="K6" s="426"/>
      <c r="L6" s="426"/>
      <c r="M6" s="426"/>
      <c r="N6" s="426"/>
      <c r="O6" s="426"/>
      <c r="P6" s="426"/>
      <c r="Q6" s="426"/>
      <c r="R6" s="427"/>
    </row>
    <row r="7" spans="1:18" ht="17" thickBot="1" x14ac:dyDescent="0.25">
      <c r="A7" s="428"/>
      <c r="B7" s="429"/>
      <c r="C7" s="429"/>
      <c r="D7" s="429"/>
      <c r="E7" s="429"/>
      <c r="F7" s="429"/>
      <c r="G7" s="429"/>
      <c r="H7" s="429"/>
      <c r="I7" s="429"/>
      <c r="J7" s="429"/>
      <c r="K7" s="429"/>
      <c r="L7" s="429"/>
      <c r="M7" s="429"/>
      <c r="N7" s="429"/>
      <c r="O7" s="429"/>
      <c r="P7" s="429"/>
      <c r="Q7" s="429"/>
      <c r="R7" s="430"/>
    </row>
    <row r="9" spans="1:18" x14ac:dyDescent="0.2">
      <c r="A9" s="431" t="s">
        <v>1025</v>
      </c>
      <c r="C9" s="273" t="s">
        <v>851</v>
      </c>
      <c r="D9" s="273" t="s">
        <v>852</v>
      </c>
    </row>
    <row r="10" spans="1:18" x14ac:dyDescent="0.2">
      <c r="A10" s="432"/>
      <c r="B10" s="273" t="s">
        <v>11</v>
      </c>
      <c r="C10" s="293"/>
      <c r="D10" s="288" t="str">
        <f>IF(C10="","",C10)</f>
        <v/>
      </c>
    </row>
    <row r="11" spans="1:18" x14ac:dyDescent="0.2">
      <c r="A11" s="432"/>
      <c r="B11" s="273" t="s">
        <v>718</v>
      </c>
      <c r="C11" s="293"/>
      <c r="D11" s="288" t="str">
        <f t="shared" ref="D11:D18" si="0">IF(C11="","",C11)</f>
        <v/>
      </c>
    </row>
    <row r="12" spans="1:18" x14ac:dyDescent="0.2">
      <c r="A12" s="432"/>
      <c r="B12" s="273" t="s">
        <v>1031</v>
      </c>
      <c r="C12" s="293"/>
      <c r="D12" s="288" t="str">
        <f t="shared" si="0"/>
        <v/>
      </c>
    </row>
    <row r="13" spans="1:18" x14ac:dyDescent="0.2">
      <c r="A13" s="432"/>
      <c r="B13" s="273" t="s">
        <v>1030</v>
      </c>
      <c r="C13" s="293"/>
      <c r="D13" s="288" t="str">
        <f t="shared" si="0"/>
        <v/>
      </c>
    </row>
    <row r="14" spans="1:18" x14ac:dyDescent="0.2">
      <c r="A14" s="432"/>
      <c r="B14" s="273" t="s">
        <v>1029</v>
      </c>
      <c r="C14" s="294"/>
      <c r="D14" s="288" t="str">
        <f>IF(C14="","",VLOOKUP(C14,Tableau26[[Région]:[Code_reg]],2,FALSE))</f>
        <v/>
      </c>
    </row>
    <row r="15" spans="1:18" ht="51" customHeight="1" x14ac:dyDescent="0.2">
      <c r="A15" s="432"/>
      <c r="B15" s="273" t="s">
        <v>1028</v>
      </c>
      <c r="C15" s="295"/>
      <c r="D15" s="289" t="str">
        <f t="shared" si="0"/>
        <v/>
      </c>
    </row>
    <row r="16" spans="1:18" x14ac:dyDescent="0.2">
      <c r="A16" s="432"/>
      <c r="B16" s="273" t="s">
        <v>853</v>
      </c>
      <c r="C16" s="294"/>
      <c r="D16" s="288" t="str">
        <f t="shared" si="0"/>
        <v/>
      </c>
    </row>
    <row r="17" spans="1:10" x14ac:dyDescent="0.2">
      <c r="A17" s="432"/>
      <c r="B17" s="273" t="s">
        <v>1032</v>
      </c>
      <c r="C17" s="296"/>
      <c r="D17" s="290" t="str">
        <f t="shared" si="0"/>
        <v/>
      </c>
    </row>
    <row r="18" spans="1:10" x14ac:dyDescent="0.2">
      <c r="A18" s="432"/>
      <c r="B18" s="273" t="s">
        <v>7</v>
      </c>
      <c r="C18" s="293"/>
      <c r="D18" s="288" t="str">
        <f t="shared" si="0"/>
        <v/>
      </c>
    </row>
    <row r="19" spans="1:10" x14ac:dyDescent="0.2">
      <c r="A19" s="433"/>
      <c r="B19" s="273" t="s">
        <v>264</v>
      </c>
      <c r="C19" s="297"/>
      <c r="D19" s="290" t="str">
        <f t="shared" ref="D19" si="1">IF(C19="","",C19)</f>
        <v/>
      </c>
    </row>
    <row r="20" spans="1:10" x14ac:dyDescent="0.2">
      <c r="H20" s="329"/>
      <c r="I20" s="329"/>
      <c r="J20" s="329"/>
    </row>
    <row r="21" spans="1:10" x14ac:dyDescent="0.2">
      <c r="A21" s="419" t="s">
        <v>1024</v>
      </c>
      <c r="B21" s="274" t="s">
        <v>1026</v>
      </c>
      <c r="C21" s="273" t="s">
        <v>1027</v>
      </c>
      <c r="D21" s="273" t="s">
        <v>887</v>
      </c>
      <c r="E21" s="274" t="s">
        <v>888</v>
      </c>
      <c r="F21" s="273" t="s">
        <v>885</v>
      </c>
      <c r="G21" s="274" t="s">
        <v>886</v>
      </c>
    </row>
    <row r="22" spans="1:10" x14ac:dyDescent="0.2">
      <c r="A22" s="420"/>
      <c r="B22" s="298"/>
      <c r="C22" s="288" t="str">
        <f>IF(B22="","",VLOOKUP(B22,Tableau44[[Essence]:[Cat_ess]],3,FALSE))</f>
        <v/>
      </c>
      <c r="D22" s="290" t="str">
        <f>IF(C22="","",MAX(10%,INDEX(RiskEss!$A$2:$P$311,MATCH('1.GLOBAL'!$D$15,RiskEss!$A$2:$A$311,0),MATCH('1.GLOBAL'!$C22,RiskEss!$A$2:$P$2,0))))</f>
        <v/>
      </c>
      <c r="E22" s="299" t="str">
        <f t="shared" ref="E22:E25" si="2">IF(D22="","",D22)</f>
        <v/>
      </c>
      <c r="F22" s="291" t="str">
        <f>IF(C22="","",VLOOKUP(C22,Tableau27[[Cat-Ess]:[Acct]],2,FALSE))</f>
        <v/>
      </c>
      <c r="G22" s="300" t="str">
        <f t="shared" ref="G22:G25" si="3">IF(F22="","",F22)</f>
        <v/>
      </c>
    </row>
    <row r="23" spans="1:10" x14ac:dyDescent="0.2">
      <c r="A23" s="420"/>
      <c r="B23" s="298"/>
      <c r="C23" s="288" t="str">
        <f>IF(B23="","",VLOOKUP(B23,Tableau44[[Essence]:[Cat_ess]],3,FALSE))</f>
        <v/>
      </c>
      <c r="D23" s="290" t="str">
        <f>IF(C23="","",MAX(10%,INDEX(RiskEss!$A$2:$P$311,MATCH('1.GLOBAL'!$D$15,RiskEss!$A$2:$A$311,0),MATCH('1.GLOBAL'!$C23,RiskEss!$A$2:$P$2,0))))</f>
        <v/>
      </c>
      <c r="E23" s="299" t="str">
        <f t="shared" si="2"/>
        <v/>
      </c>
      <c r="F23" s="291" t="str">
        <f>IF(C23="","",VLOOKUP(C23,Tableau27[[Cat-Ess]:[Acct]],2,FALSE))</f>
        <v/>
      </c>
      <c r="G23" s="300" t="str">
        <f t="shared" si="3"/>
        <v/>
      </c>
    </row>
    <row r="24" spans="1:10" x14ac:dyDescent="0.2">
      <c r="A24" s="420"/>
      <c r="B24" s="298"/>
      <c r="C24" s="288" t="str">
        <f>IF(B24="","",VLOOKUP(B24,Tableau44[[Essence]:[Cat_ess]],3,FALSE))</f>
        <v/>
      </c>
      <c r="D24" s="290" t="str">
        <f>IF(C24="","",MAX(10%,INDEX(RiskEss!$A$2:$P$311,MATCH('1.GLOBAL'!$D$15,RiskEss!$A$2:$A$311,0),MATCH('1.GLOBAL'!$C24,RiskEss!$A$2:$P$2,0))))</f>
        <v/>
      </c>
      <c r="E24" s="299" t="str">
        <f t="shared" si="2"/>
        <v/>
      </c>
      <c r="F24" s="291" t="str">
        <f>IF(C24="","",VLOOKUP(C24,Tableau27[[Cat-Ess]:[Acct]],2,FALSE))</f>
        <v/>
      </c>
      <c r="G24" s="300" t="str">
        <f t="shared" si="3"/>
        <v/>
      </c>
    </row>
    <row r="25" spans="1:10" x14ac:dyDescent="0.2">
      <c r="A25" s="420"/>
      <c r="B25" s="298"/>
      <c r="C25" s="288" t="str">
        <f>IF(B25="","",VLOOKUP(B25,Tableau44[[Essence]:[Cat_ess]],3,FALSE))</f>
        <v/>
      </c>
      <c r="D25" s="290" t="str">
        <f>IF(C25="","",MAX(10%,INDEX(RiskEss!$A$2:$P$311,MATCH('1.GLOBAL'!$D$15,RiskEss!$A$2:$A$311,0),MATCH('1.GLOBAL'!$C25,RiskEss!$A$2:$P$2,0))))</f>
        <v/>
      </c>
      <c r="E25" s="299" t="str">
        <f t="shared" si="2"/>
        <v/>
      </c>
      <c r="F25" s="291" t="str">
        <f>IF(C25="","",VLOOKUP(C25,Tableau27[[Cat-Ess]:[Acct]],2,FALSE))</f>
        <v/>
      </c>
      <c r="G25" s="300" t="str">
        <f t="shared" si="3"/>
        <v/>
      </c>
    </row>
    <row r="26" spans="1:10" x14ac:dyDescent="0.2">
      <c r="A26" s="420"/>
      <c r="B26" s="298"/>
      <c r="C26" s="288" t="str">
        <f>IF(B26="","",VLOOKUP(B26,Tableau44[[Essence]:[Cat_ess]],3,FALSE))</f>
        <v/>
      </c>
      <c r="D26" s="290" t="str">
        <f>IF(C26="","",MAX(10%,INDEX(RiskEss!$A$2:$P$311,MATCH('1.GLOBAL'!$D$15,RiskEss!$A$2:$A$311,0),MATCH('1.GLOBAL'!$C26,RiskEss!$A$2:$P$2,0))))</f>
        <v/>
      </c>
      <c r="E26" s="299" t="str">
        <f t="shared" ref="E25:E33" si="4">IF(D26="","",D26)</f>
        <v/>
      </c>
      <c r="F26" s="291" t="str">
        <f>IF(C26="","",VLOOKUP(C26,Tableau27[[Cat-Ess]:[Acct]],2,FALSE))</f>
        <v/>
      </c>
      <c r="G26" s="300" t="str">
        <f t="shared" ref="G25:G33" si="5">IF(F26="","",F26)</f>
        <v/>
      </c>
    </row>
    <row r="27" spans="1:10" x14ac:dyDescent="0.2">
      <c r="A27" s="420"/>
      <c r="B27" s="298"/>
      <c r="C27" s="288" t="str">
        <f>IF(B27="","",VLOOKUP(B27,Tableau44[[Essence]:[Cat_ess]],3,FALSE))</f>
        <v/>
      </c>
      <c r="D27" s="290" t="str">
        <f>IF(C27="","",MAX(10%,INDEX(RiskEss!$A$2:$P$311,MATCH('1.GLOBAL'!$D$15,RiskEss!$A$2:$A$311,0),MATCH('1.GLOBAL'!$C27,RiskEss!$A$2:$P$2,0))))</f>
        <v/>
      </c>
      <c r="E27" s="299" t="str">
        <f t="shared" si="4"/>
        <v/>
      </c>
      <c r="F27" s="291" t="str">
        <f>IF(C27="","",VLOOKUP(C27,Tableau27[[Cat-Ess]:[Acct]],2,FALSE))</f>
        <v/>
      </c>
      <c r="G27" s="300" t="str">
        <f t="shared" si="5"/>
        <v/>
      </c>
    </row>
    <row r="28" spans="1:10" x14ac:dyDescent="0.2">
      <c r="A28" s="420"/>
      <c r="B28" s="298"/>
      <c r="C28" s="288" t="str">
        <f>IF(B28="","",VLOOKUP(B28,Tableau44[[Essence]:[Cat_ess]],3,FALSE))</f>
        <v/>
      </c>
      <c r="D28" s="290" t="str">
        <f>IF(C28="","",MAX(10%,INDEX(RiskEss!$A$2:$P$311,MATCH('1.GLOBAL'!$D$15,RiskEss!$A$2:$A$311,0),MATCH('1.GLOBAL'!$C28,RiskEss!$A$2:$P$2,0))))</f>
        <v/>
      </c>
      <c r="E28" s="299" t="str">
        <f t="shared" si="4"/>
        <v/>
      </c>
      <c r="F28" s="291" t="str">
        <f>IF(C28="","",VLOOKUP(C28,Tableau27[[Cat-Ess]:[Acct]],2,FALSE))</f>
        <v/>
      </c>
      <c r="G28" s="300" t="str">
        <f t="shared" si="5"/>
        <v/>
      </c>
    </row>
    <row r="29" spans="1:10" x14ac:dyDescent="0.2">
      <c r="A29" s="420"/>
      <c r="B29" s="298"/>
      <c r="C29" s="288" t="str">
        <f>IF(B29="","",VLOOKUP(B29,Tableau44[[Essence]:[Cat_ess]],3,FALSE))</f>
        <v/>
      </c>
      <c r="D29" s="290" t="str">
        <f>IF(C29="","",MAX(10%,INDEX(RiskEss!$A$2:$P$311,MATCH('1.GLOBAL'!$D$15,RiskEss!$A$2:$A$311,0),MATCH('1.GLOBAL'!$C29,RiskEss!$A$2:$P$2,0))))</f>
        <v/>
      </c>
      <c r="E29" s="299" t="str">
        <f t="shared" si="4"/>
        <v/>
      </c>
      <c r="F29" s="291" t="str">
        <f>IF(C29="","",VLOOKUP(C29,Tableau27[[Cat-Ess]:[Acct]],2,FALSE))</f>
        <v/>
      </c>
      <c r="G29" s="300" t="str">
        <f t="shared" si="5"/>
        <v/>
      </c>
    </row>
    <row r="30" spans="1:10" x14ac:dyDescent="0.2">
      <c r="A30" s="420"/>
      <c r="B30" s="298"/>
      <c r="C30" s="288" t="str">
        <f>IF(B30="","",VLOOKUP(B30,Tableau44[[Essence]:[Cat_ess]],3,FALSE))</f>
        <v/>
      </c>
      <c r="D30" s="290" t="str">
        <f>IF(C30="","",MAX(10%,INDEX(RiskEss!$A$2:$P$311,MATCH('1.GLOBAL'!$D$15,RiskEss!$A$2:$A$311,0),MATCH('1.GLOBAL'!$C30,RiskEss!$A$2:$P$2,0))))</f>
        <v/>
      </c>
      <c r="E30" s="299" t="str">
        <f t="shared" si="4"/>
        <v/>
      </c>
      <c r="F30" s="291" t="str">
        <f>IF(C30="","",VLOOKUP(C30,Tableau27[[Cat-Ess]:[Acct]],2,FALSE))</f>
        <v/>
      </c>
      <c r="G30" s="300" t="str">
        <f t="shared" si="5"/>
        <v/>
      </c>
    </row>
    <row r="31" spans="1:10" x14ac:dyDescent="0.2">
      <c r="A31" s="420"/>
      <c r="B31" s="298"/>
      <c r="C31" s="288" t="str">
        <f>IF(B31="","",VLOOKUP(B31,Tableau44[[Essence]:[Cat_ess]],3,FALSE))</f>
        <v/>
      </c>
      <c r="D31" s="290" t="str">
        <f>IF(C31="","",MAX(10%,INDEX(RiskEss!$A$2:$P$311,MATCH('1.GLOBAL'!$D$15,RiskEss!$A$2:$A$311,0),MATCH('1.GLOBAL'!$C31,RiskEss!$A$2:$P$2,0))))</f>
        <v/>
      </c>
      <c r="E31" s="299" t="str">
        <f t="shared" si="4"/>
        <v/>
      </c>
      <c r="F31" s="291" t="str">
        <f>IF(C31="","",VLOOKUP(C31,Tableau27[[Cat-Ess]:[Acct]],2,FALSE))</f>
        <v/>
      </c>
      <c r="G31" s="300" t="str">
        <f t="shared" si="5"/>
        <v/>
      </c>
    </row>
    <row r="32" spans="1:10" x14ac:dyDescent="0.2">
      <c r="A32" s="420"/>
      <c r="B32" s="298"/>
      <c r="C32" s="288" t="str">
        <f>IF(B32="","",VLOOKUP(B32,Tableau44[[Essence]:[Cat_ess]],3,FALSE))</f>
        <v/>
      </c>
      <c r="D32" s="290" t="str">
        <f>IF(C32="","",MAX(10%,INDEX(RiskEss!$A$2:$P$311,MATCH('1.GLOBAL'!$D$15,RiskEss!$A$2:$A$311,0),MATCH('1.GLOBAL'!$C32,RiskEss!$A$2:$P$2,0))))</f>
        <v/>
      </c>
      <c r="E32" s="299" t="str">
        <f t="shared" si="4"/>
        <v/>
      </c>
      <c r="F32" s="291" t="str">
        <f>IF(C32="","",VLOOKUP(C32,Tableau27[[Cat-Ess]:[Acct]],2,FALSE))</f>
        <v/>
      </c>
      <c r="G32" s="300" t="str">
        <f t="shared" si="5"/>
        <v/>
      </c>
    </row>
    <row r="33" spans="1:7" x14ac:dyDescent="0.2">
      <c r="A33" s="421"/>
      <c r="B33" s="298"/>
      <c r="C33" s="288" t="str">
        <f>IF(B33="","",VLOOKUP(B33,Tableau44[[Essence]:[Cat_ess]],3,FALSE))</f>
        <v/>
      </c>
      <c r="D33" s="290" t="str">
        <f>IF(C33="","",MAX(10%,INDEX(RiskEss!$A$2:$P$311,MATCH('1.GLOBAL'!$D$15,RiskEss!$A$2:$A$311,0),MATCH('1.GLOBAL'!$C33,RiskEss!$A$2:$P$2,0))))</f>
        <v/>
      </c>
      <c r="E33" s="299" t="str">
        <f t="shared" si="4"/>
        <v/>
      </c>
      <c r="F33" s="291" t="str">
        <f>IF(C33="","",VLOOKUP(C33,Tableau27[[Cat-Ess]:[Acct]],2,FALSE))</f>
        <v/>
      </c>
      <c r="G33" s="300" t="str">
        <f t="shared" si="5"/>
        <v/>
      </c>
    </row>
    <row r="35" spans="1:7" ht="16" customHeight="1" x14ac:dyDescent="0.2">
      <c r="A35" s="419" t="s">
        <v>1040</v>
      </c>
      <c r="B35" s="273" t="s">
        <v>1027</v>
      </c>
      <c r="C35" s="274" t="s">
        <v>928</v>
      </c>
      <c r="D35" s="274" t="s">
        <v>929</v>
      </c>
      <c r="E35" s="273" t="s">
        <v>909</v>
      </c>
    </row>
    <row r="36" spans="1:7" x14ac:dyDescent="0.2">
      <c r="A36" s="420"/>
      <c r="B36" s="288" t="str" cm="1">
        <f t="array" ref="B36">_xlfn.UNIQUE(C22:C33)</f>
        <v/>
      </c>
      <c r="C36" s="301"/>
      <c r="D36" s="301"/>
      <c r="E36" s="292" t="str">
        <f>IF(B36="","",C36*VLOOKUP(B36,Listes!$T$34:$V$44,2,FALSE)+D36*VLOOKUP(B36,Listes!$T$34:$V$44,3,FALSE))</f>
        <v/>
      </c>
    </row>
    <row r="37" spans="1:7" x14ac:dyDescent="0.2">
      <c r="A37" s="420"/>
      <c r="B37" s="288"/>
      <c r="C37" s="301"/>
      <c r="D37" s="301"/>
      <c r="E37" s="292" t="str">
        <f>IF(B37="","",C37*VLOOKUP(B37,Listes!$T$34:$V$44,2,FALSE)+D37*VLOOKUP(B37,Listes!$T$34:$V$44,3,FALSE))</f>
        <v/>
      </c>
    </row>
    <row r="38" spans="1:7" x14ac:dyDescent="0.2">
      <c r="A38" s="420"/>
      <c r="B38" s="288"/>
      <c r="C38" s="301"/>
      <c r="D38" s="301"/>
      <c r="E38" s="292" t="str">
        <f>IF(B38="","",C38*VLOOKUP(B38,Listes!$T$34:$V$44,2,FALSE)+D38*VLOOKUP(B38,Listes!$T$34:$V$44,3,FALSE))</f>
        <v/>
      </c>
    </row>
    <row r="39" spans="1:7" x14ac:dyDescent="0.2">
      <c r="A39" s="420"/>
      <c r="B39" s="288"/>
      <c r="C39" s="301"/>
      <c r="D39" s="301"/>
      <c r="E39" s="292" t="str">
        <f>IF(B39="","",C39*VLOOKUP(B39,Listes!$T$34:$V$44,2,FALSE)+D39*VLOOKUP(B39,Listes!$T$34:$V$44,3,FALSE))</f>
        <v/>
      </c>
    </row>
    <row r="40" spans="1:7" x14ac:dyDescent="0.2">
      <c r="A40" s="420"/>
      <c r="B40" s="288"/>
      <c r="C40" s="301"/>
      <c r="D40" s="301"/>
      <c r="E40" s="292" t="str">
        <f>IF(B40="","",C40*VLOOKUP(B40,Listes!$T$34:$V$44,2,FALSE)+D40*VLOOKUP(B40,Listes!$T$34:$V$44,3,FALSE))</f>
        <v/>
      </c>
    </row>
    <row r="41" spans="1:7" x14ac:dyDescent="0.2">
      <c r="A41" s="420"/>
      <c r="B41" s="288"/>
      <c r="C41" s="301"/>
      <c r="D41" s="301"/>
      <c r="E41" s="292" t="str">
        <f>IF(B41="","",C41*VLOOKUP(B41,Listes!$T$34:$V$44,2,FALSE)+D41*VLOOKUP(B41,Listes!$T$34:$V$44,3,FALSE))</f>
        <v/>
      </c>
    </row>
    <row r="42" spans="1:7" x14ac:dyDescent="0.2">
      <c r="A42" s="420"/>
      <c r="B42" s="288"/>
      <c r="C42" s="301"/>
      <c r="D42" s="301"/>
      <c r="E42" s="292" t="str">
        <f>IF(B42="","",C42*VLOOKUP(B42,Listes!$T$34:$V$44,2,FALSE)+D42*VLOOKUP(B42,Listes!$T$34:$V$44,3,FALSE))</f>
        <v/>
      </c>
    </row>
    <row r="43" spans="1:7" x14ac:dyDescent="0.2">
      <c r="A43" s="420"/>
      <c r="B43" s="288"/>
      <c r="C43" s="301"/>
      <c r="D43" s="301"/>
      <c r="E43" s="292" t="str">
        <f>IF(B43="","",C43*VLOOKUP(B43,Listes!$T$34:$V$44,2,FALSE)+D43*VLOOKUP(B43,Listes!$T$34:$V$44,3,FALSE))</f>
        <v/>
      </c>
    </row>
    <row r="44" spans="1:7" x14ac:dyDescent="0.2">
      <c r="A44" s="420"/>
      <c r="B44" s="288"/>
      <c r="C44" s="301"/>
      <c r="D44" s="301"/>
      <c r="E44" s="292" t="str">
        <f>IF(B44="","",C44*VLOOKUP(B44,Listes!$T$34:$V$44,2,FALSE)+D44*VLOOKUP(B44,Listes!$T$34:$V$44,3,FALSE))</f>
        <v/>
      </c>
    </row>
    <row r="45" spans="1:7" x14ac:dyDescent="0.2">
      <c r="A45" s="420"/>
      <c r="B45" s="288"/>
      <c r="C45" s="301"/>
      <c r="D45" s="301"/>
      <c r="E45" s="292" t="str">
        <f>IF(B45="","",C45*VLOOKUP(B45,Listes!$T$34:$V$44,2,FALSE)+D45*VLOOKUP(B45,Listes!$T$34:$V$44,3,FALSE))</f>
        <v/>
      </c>
    </row>
    <row r="46" spans="1:7" x14ac:dyDescent="0.2">
      <c r="A46" s="420"/>
      <c r="B46" s="288"/>
      <c r="C46" s="301"/>
      <c r="D46" s="301"/>
      <c r="E46" s="292" t="str">
        <f>IF(B46="","",C46*VLOOKUP(B46,Listes!$T$34:$V$44,2,FALSE)+D46*VLOOKUP(B46,Listes!$T$34:$V$44,3,FALSE))</f>
        <v/>
      </c>
    </row>
    <row r="47" spans="1:7" x14ac:dyDescent="0.2">
      <c r="A47" s="421"/>
      <c r="B47" s="288"/>
      <c r="C47" s="301"/>
      <c r="D47" s="301"/>
      <c r="E47" s="292" t="str">
        <f>IF(B47="","",C47*VLOOKUP(B47,Listes!$T$34:$V$44,2,FALSE)+D47*VLOOKUP(B47,Listes!$T$34:$V$44,3,FALSE))</f>
        <v/>
      </c>
    </row>
    <row r="49" spans="1:6" x14ac:dyDescent="0.2">
      <c r="A49" s="434" t="s">
        <v>1035</v>
      </c>
      <c r="B49" s="303" t="s">
        <v>873</v>
      </c>
      <c r="C49" s="274" t="s">
        <v>851</v>
      </c>
      <c r="D49" s="273" t="s">
        <v>852</v>
      </c>
    </row>
    <row r="50" spans="1:6" x14ac:dyDescent="0.2">
      <c r="A50" s="435"/>
      <c r="B50" s="273" t="s">
        <v>874</v>
      </c>
      <c r="C50" s="298"/>
      <c r="D50" s="288" t="str">
        <f>IF(C50="","",VLOOKUP(C50,Tableau221[[nom_ppt]:[type_ppt]],2,FALSE))</f>
        <v/>
      </c>
    </row>
    <row r="51" spans="1:6" x14ac:dyDescent="0.2">
      <c r="A51" s="435"/>
      <c r="B51" s="273" t="s">
        <v>875</v>
      </c>
      <c r="C51" s="298"/>
      <c r="D51" s="288" t="str">
        <f>IF(C51="","",C51)</f>
        <v/>
      </c>
    </row>
    <row r="52" spans="1:6" x14ac:dyDescent="0.2">
      <c r="A52" s="435"/>
      <c r="B52" s="273" t="s">
        <v>1033</v>
      </c>
      <c r="C52" s="302"/>
      <c r="D52" s="288" t="str">
        <f>IF(C52="","",C52)</f>
        <v/>
      </c>
    </row>
    <row r="53" spans="1:6" x14ac:dyDescent="0.2">
      <c r="A53" s="435"/>
      <c r="B53" s="273" t="s">
        <v>890</v>
      </c>
      <c r="C53" s="298"/>
      <c r="D53" s="288" t="str">
        <f>IF(C53="","",C53)</f>
        <v/>
      </c>
      <c r="E53" s="417" t="s">
        <v>1036</v>
      </c>
      <c r="F53" s="418"/>
    </row>
    <row r="54" spans="1:6" x14ac:dyDescent="0.2">
      <c r="A54" s="435"/>
      <c r="B54" s="273" t="s">
        <v>891</v>
      </c>
      <c r="C54" s="298"/>
      <c r="D54" s="288" t="str">
        <f t="shared" ref="D54:D56" si="6">IF(C54="","",C54)</f>
        <v/>
      </c>
      <c r="E54" s="417"/>
      <c r="F54" s="418"/>
    </row>
    <row r="55" spans="1:6" x14ac:dyDescent="0.2">
      <c r="A55" s="435"/>
      <c r="B55" s="273" t="s">
        <v>892</v>
      </c>
      <c r="C55" s="298"/>
      <c r="D55" s="288" t="str">
        <f t="shared" si="6"/>
        <v/>
      </c>
      <c r="E55" s="417"/>
      <c r="F55" s="418"/>
    </row>
    <row r="56" spans="1:6" x14ac:dyDescent="0.2">
      <c r="A56" s="435"/>
      <c r="B56" s="273" t="s">
        <v>893</v>
      </c>
      <c r="C56" s="298"/>
      <c r="D56" s="288" t="str">
        <f t="shared" si="6"/>
        <v/>
      </c>
      <c r="E56" s="417"/>
      <c r="F56" s="418"/>
    </row>
    <row r="57" spans="1:6" x14ac:dyDescent="0.2">
      <c r="A57" s="435"/>
      <c r="B57" s="303" t="s">
        <v>876</v>
      </c>
      <c r="C57" s="274" t="s">
        <v>851</v>
      </c>
      <c r="D57" s="273" t="s">
        <v>852</v>
      </c>
    </row>
    <row r="58" spans="1:6" x14ac:dyDescent="0.2">
      <c r="A58" s="435"/>
      <c r="B58" s="273" t="s">
        <v>874</v>
      </c>
      <c r="C58" s="298"/>
      <c r="D58" s="288" t="str">
        <f>IF(C58="","",VLOOKUP(C58,Tableau221[[nom_ppt]:[type_ppt]],2,FALSE))</f>
        <v/>
      </c>
    </row>
    <row r="59" spans="1:6" x14ac:dyDescent="0.2">
      <c r="A59" s="435"/>
      <c r="B59" s="273" t="s">
        <v>875</v>
      </c>
      <c r="C59" s="298"/>
      <c r="D59" s="288" t="str">
        <f t="shared" ref="D59:D60" si="7">IF(C59="","",C59)</f>
        <v/>
      </c>
    </row>
    <row r="60" spans="1:6" x14ac:dyDescent="0.2">
      <c r="A60" s="435"/>
      <c r="B60" s="273" t="s">
        <v>1033</v>
      </c>
      <c r="C60" s="302"/>
      <c r="D60" s="288" t="str">
        <f t="shared" si="7"/>
        <v/>
      </c>
    </row>
    <row r="61" spans="1:6" x14ac:dyDescent="0.2">
      <c r="A61" s="435"/>
      <c r="B61" s="273" t="s">
        <v>890</v>
      </c>
      <c r="C61" s="298"/>
      <c r="D61" s="288" t="str">
        <f>IF(C61="","",C61)</f>
        <v/>
      </c>
      <c r="E61" s="417" t="s">
        <v>1037</v>
      </c>
      <c r="F61" s="418"/>
    </row>
    <row r="62" spans="1:6" x14ac:dyDescent="0.2">
      <c r="A62" s="435"/>
      <c r="B62" s="273" t="s">
        <v>891</v>
      </c>
      <c r="C62" s="298"/>
      <c r="D62" s="288" t="str">
        <f t="shared" ref="D62:D64" si="8">IF(C62="","",C62)</f>
        <v/>
      </c>
      <c r="E62" s="417"/>
      <c r="F62" s="418"/>
    </row>
    <row r="63" spans="1:6" x14ac:dyDescent="0.2">
      <c r="A63" s="435"/>
      <c r="B63" s="273" t="s">
        <v>892</v>
      </c>
      <c r="C63" s="298"/>
      <c r="D63" s="288" t="str">
        <f t="shared" si="8"/>
        <v/>
      </c>
      <c r="E63" s="417"/>
      <c r="F63" s="418"/>
    </row>
    <row r="64" spans="1:6" x14ac:dyDescent="0.2">
      <c r="A64" s="435"/>
      <c r="B64" s="273" t="s">
        <v>893</v>
      </c>
      <c r="C64" s="298"/>
      <c r="D64" s="288" t="str">
        <f t="shared" si="8"/>
        <v/>
      </c>
      <c r="E64" s="417"/>
      <c r="F64" s="418"/>
    </row>
    <row r="65" spans="1:6" x14ac:dyDescent="0.2">
      <c r="A65" s="435"/>
      <c r="B65" s="303" t="s">
        <v>877</v>
      </c>
      <c r="C65" s="274" t="s">
        <v>851</v>
      </c>
      <c r="D65" s="273" t="s">
        <v>852</v>
      </c>
    </row>
    <row r="66" spans="1:6" x14ac:dyDescent="0.2">
      <c r="A66" s="435"/>
      <c r="B66" s="273" t="s">
        <v>874</v>
      </c>
      <c r="C66" s="298"/>
      <c r="D66" s="288" t="str">
        <f>IF(C66="","",VLOOKUP(C66,Tableau221[[nom_ppt]:[type_ppt]],2,FALSE))</f>
        <v/>
      </c>
    </row>
    <row r="67" spans="1:6" x14ac:dyDescent="0.2">
      <c r="A67" s="435"/>
      <c r="B67" s="273" t="s">
        <v>875</v>
      </c>
      <c r="C67" s="298"/>
      <c r="D67" s="288" t="str">
        <f t="shared" ref="D67:D68" si="9">IF(C67="","",C67)</f>
        <v/>
      </c>
    </row>
    <row r="68" spans="1:6" x14ac:dyDescent="0.2">
      <c r="A68" s="435"/>
      <c r="B68" s="273" t="s">
        <v>1033</v>
      </c>
      <c r="C68" s="302"/>
      <c r="D68" s="288" t="str">
        <f t="shared" si="9"/>
        <v/>
      </c>
    </row>
    <row r="69" spans="1:6" x14ac:dyDescent="0.2">
      <c r="A69" s="435"/>
      <c r="B69" s="273" t="s">
        <v>890</v>
      </c>
      <c r="C69" s="298"/>
      <c r="D69" s="288" t="str">
        <f>IF(C69="","",C69)</f>
        <v/>
      </c>
      <c r="E69" s="417" t="s">
        <v>1038</v>
      </c>
      <c r="F69" s="418"/>
    </row>
    <row r="70" spans="1:6" x14ac:dyDescent="0.2">
      <c r="A70" s="435"/>
      <c r="B70" s="273" t="s">
        <v>891</v>
      </c>
      <c r="C70" s="298"/>
      <c r="D70" s="288" t="str">
        <f t="shared" ref="D70:D72" si="10">IF(C70="","",C70)</f>
        <v/>
      </c>
      <c r="E70" s="417"/>
      <c r="F70" s="418"/>
    </row>
    <row r="71" spans="1:6" x14ac:dyDescent="0.2">
      <c r="A71" s="435"/>
      <c r="B71" s="273" t="s">
        <v>892</v>
      </c>
      <c r="C71" s="298"/>
      <c r="D71" s="288" t="str">
        <f t="shared" si="10"/>
        <v/>
      </c>
      <c r="E71" s="417"/>
      <c r="F71" s="418"/>
    </row>
    <row r="72" spans="1:6" x14ac:dyDescent="0.2">
      <c r="A72" s="435"/>
      <c r="B72" s="273" t="s">
        <v>893</v>
      </c>
      <c r="C72" s="298"/>
      <c r="D72" s="288" t="str">
        <f t="shared" si="10"/>
        <v/>
      </c>
      <c r="E72" s="417"/>
      <c r="F72" s="418"/>
    </row>
    <row r="73" spans="1:6" x14ac:dyDescent="0.2">
      <c r="A73" s="435"/>
      <c r="B73" s="303" t="s">
        <v>878</v>
      </c>
      <c r="C73" s="274" t="s">
        <v>851</v>
      </c>
      <c r="D73" s="273" t="s">
        <v>852</v>
      </c>
    </row>
    <row r="74" spans="1:6" x14ac:dyDescent="0.2">
      <c r="A74" s="435"/>
      <c r="B74" s="273" t="s">
        <v>874</v>
      </c>
      <c r="C74" s="298"/>
      <c r="D74" s="288" t="str">
        <f>IF(C74="","",VLOOKUP(C74,Tableau221[[nom_ppt]:[type_ppt]],2,FALSE))</f>
        <v/>
      </c>
    </row>
    <row r="75" spans="1:6" x14ac:dyDescent="0.2">
      <c r="A75" s="435"/>
      <c r="B75" s="273" t="s">
        <v>875</v>
      </c>
      <c r="C75" s="298"/>
      <c r="D75" s="288" t="str">
        <f t="shared" ref="D75:D76" si="11">IF(C75="","",C75)</f>
        <v/>
      </c>
    </row>
    <row r="76" spans="1:6" x14ac:dyDescent="0.2">
      <c r="A76" s="435"/>
      <c r="B76" s="273" t="s">
        <v>1033</v>
      </c>
      <c r="C76" s="298"/>
      <c r="D76" s="288" t="str">
        <f t="shared" si="11"/>
        <v/>
      </c>
    </row>
    <row r="77" spans="1:6" x14ac:dyDescent="0.2">
      <c r="A77" s="435"/>
      <c r="B77" s="273" t="s">
        <v>890</v>
      </c>
      <c r="C77" s="298"/>
      <c r="D77" s="288" t="str">
        <f>IF(C77="","",C77)</f>
        <v/>
      </c>
      <c r="E77" s="417" t="s">
        <v>1039</v>
      </c>
      <c r="F77" s="418"/>
    </row>
    <row r="78" spans="1:6" x14ac:dyDescent="0.2">
      <c r="A78" s="435"/>
      <c r="B78" s="273" t="s">
        <v>891</v>
      </c>
      <c r="C78" s="298"/>
      <c r="D78" s="288" t="str">
        <f t="shared" ref="D78:D80" si="12">IF(C78="","",C78)</f>
        <v/>
      </c>
      <c r="E78" s="417"/>
      <c r="F78" s="418"/>
    </row>
    <row r="79" spans="1:6" x14ac:dyDescent="0.2">
      <c r="A79" s="435"/>
      <c r="B79" s="273" t="s">
        <v>892</v>
      </c>
      <c r="C79" s="298"/>
      <c r="D79" s="288" t="str">
        <f t="shared" si="12"/>
        <v/>
      </c>
      <c r="E79" s="417"/>
      <c r="F79" s="418"/>
    </row>
    <row r="80" spans="1:6" x14ac:dyDescent="0.2">
      <c r="A80" s="435"/>
      <c r="B80" s="273" t="s">
        <v>893</v>
      </c>
      <c r="C80" s="298"/>
      <c r="D80" s="288" t="str">
        <f t="shared" si="12"/>
        <v/>
      </c>
      <c r="E80" s="417"/>
      <c r="F80" s="418"/>
    </row>
  </sheetData>
  <sheetProtection algorithmName="SHA-512" hashValue="9LilBDMBVb8pSJUpyj5qf5M6ouuFZP3FDG87/b1GiXBVdgYd4chojvoQsJgzGpwvivlM3YP6lZtJcCvGIkJWaw==" saltValue="m1McBqjpUsT+k/oO2GZ7oQ==" spinCount="100000" sheet="1" objects="1" scenarios="1"/>
  <mergeCells count="9">
    <mergeCell ref="E77:F80"/>
    <mergeCell ref="A21:A33"/>
    <mergeCell ref="A2:R7"/>
    <mergeCell ref="A9:A19"/>
    <mergeCell ref="A49:A80"/>
    <mergeCell ref="A35:A47"/>
    <mergeCell ref="E53:F56"/>
    <mergeCell ref="E61:F64"/>
    <mergeCell ref="E69:F72"/>
  </mergeCells>
  <phoneticPr fontId="5" type="noConversion"/>
  <dataValidations count="6">
    <dataValidation type="list" allowBlank="1" showInputMessage="1" showErrorMessage="1" sqref="C11" xr:uid="{38B62330-DD70-6D4D-8C38-11BFFD16C80A}">
      <formula1>Propriete</formula1>
    </dataValidation>
    <dataValidation type="whole" operator="greaterThan" allowBlank="1" showInputMessage="1" showErrorMessage="1" sqref="C16" xr:uid="{ABD00043-8087-3647-AB93-81B35D754586}">
      <formula1>2023</formula1>
    </dataValidation>
    <dataValidation type="decimal" allowBlank="1" showInputMessage="1" showErrorMessage="1" sqref="C60 C68 C76 C52" xr:uid="{E5FC4E8C-6223-A443-BBAD-95DB353ECA30}">
      <formula1>0.01</formula1>
      <formula2>1</formula2>
    </dataValidation>
    <dataValidation type="decimal" operator="greaterThanOrEqual" allowBlank="1" showInputMessage="1" showErrorMessage="1" sqref="C51 C59 C67 C75" xr:uid="{3770CA8D-6405-F64D-91C3-56B438FE2B2F}">
      <formula1>20</formula1>
    </dataValidation>
    <dataValidation type="list" allowBlank="1" showInputMessage="1" showErrorMessage="1" sqref="C19" xr:uid="{B5EC5930-28C4-2B4E-AA66-24834458ACD0}">
      <mc:AlternateContent xmlns:x12ac="http://schemas.microsoft.com/office/spreadsheetml/2011/1/ac" xmlns:mc="http://schemas.openxmlformats.org/markup-compatibility/2006">
        <mc:Choice Requires="x12ac">
          <x12ac:list>0%,"2,5%",5%,10%,15%,30%</x12ac:list>
        </mc:Choice>
        <mc:Fallback>
          <formula1>"0%,2,5%,5%,10%,15%,30%"</formula1>
        </mc:Fallback>
      </mc:AlternateContent>
    </dataValidation>
    <dataValidation type="list" allowBlank="1" showInputMessage="1" showErrorMessage="1" sqref="C53:C56 C61:C64 C69:C72 C77:C80" xr:uid="{43355E71-18DF-6344-8BE7-37DC6A407C21}">
      <formula1>$B$36:$B$47</formula1>
    </dataValidation>
  </dataValidations>
  <pageMargins left="0.7" right="0.7" top="0.75" bottom="0.75" header="0.3" footer="0.3"/>
  <legacyDrawing r:id="rId1"/>
  <extLst>
    <ext xmlns:x14="http://schemas.microsoft.com/office/spreadsheetml/2009/9/main" uri="{CCE6A557-97BC-4b89-ADB6-D9C93CAAB3DF}">
      <x14:dataValidations xmlns:xm="http://schemas.microsoft.com/office/excel/2006/main" count="4">
        <x14:dataValidation type="list" allowBlank="1" showInputMessage="1" showErrorMessage="1" xr:uid="{C302AC33-F23E-204E-B1E1-AF5CA9A23B05}">
          <x14:formula1>
            <xm:f>RiskEss!$A$3:$A$311</xm:f>
          </x14:formula1>
          <xm:sqref>C15</xm:sqref>
        </x14:dataValidation>
        <x14:dataValidation type="list" allowBlank="1" showInputMessage="1" showErrorMessage="1" xr:uid="{78F0FEBC-B03F-0046-A70F-260E5A56F000}">
          <x14:formula1>
            <xm:f>Listes!$C$40:$C$52</xm:f>
          </x14:formula1>
          <xm:sqref>C14</xm:sqref>
        </x14:dataValidation>
        <x14:dataValidation type="list" allowBlank="1" showInputMessage="1" showErrorMessage="1" xr:uid="{414B4FC2-5267-BA44-91F8-75ACBC914693}">
          <x14:formula1>
            <xm:f>Listes!$B$7:$B$36</xm:f>
          </x14:formula1>
          <xm:sqref>B22:B33</xm:sqref>
        </x14:dataValidation>
        <x14:dataValidation type="list" allowBlank="1" showInputMessage="1" showErrorMessage="1" xr:uid="{64EBA5D1-1AB8-F946-95CC-B7CA736CCD6B}">
          <x14:formula1>
            <xm:f>Listes!$T$17:$T$22</xm:f>
          </x14:formula1>
          <xm:sqref>C50 C58 C66 C74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FF847D-5CAE-194F-9072-77D7D5D05896}">
  <sheetPr>
    <tabColor theme="7"/>
  </sheetPr>
  <dimension ref="A1:BB51"/>
  <sheetViews>
    <sheetView zoomScale="125" zoomScaleNormal="130" workbookViewId="0">
      <selection activeCell="C33" sqref="C33:C35"/>
    </sheetView>
  </sheetViews>
  <sheetFormatPr baseColWidth="10" defaultRowHeight="16" x14ac:dyDescent="0.2"/>
  <cols>
    <col min="1" max="1" width="17.6640625" customWidth="1"/>
    <col min="3" max="18" width="10.83203125" customWidth="1"/>
    <col min="19" max="19" width="4.83203125" customWidth="1"/>
    <col min="20" max="20" width="14.5" customWidth="1"/>
    <col min="21" max="21" width="4.33203125" customWidth="1"/>
    <col min="22" max="22" width="14.83203125" customWidth="1"/>
    <col min="23" max="53" width="10.83203125" customWidth="1"/>
    <col min="54" max="54" width="16" customWidth="1"/>
    <col min="55" max="56" width="10.83203125" customWidth="1"/>
  </cols>
  <sheetData>
    <row r="1" spans="1:54" ht="16" customHeight="1" thickBot="1" x14ac:dyDescent="0.25">
      <c r="T1" s="437" t="s">
        <v>296</v>
      </c>
      <c r="V1" s="436" t="s">
        <v>933</v>
      </c>
      <c r="W1" s="332" t="s">
        <v>0</v>
      </c>
      <c r="X1" s="333" t="s">
        <v>8</v>
      </c>
      <c r="Y1" s="333" t="s">
        <v>193</v>
      </c>
      <c r="Z1" s="333" t="s">
        <v>194</v>
      </c>
      <c r="AA1" s="333" t="s">
        <v>195</v>
      </c>
      <c r="AB1" s="333" t="s">
        <v>196</v>
      </c>
      <c r="AC1" s="333" t="s">
        <v>197</v>
      </c>
      <c r="AD1" s="333" t="s">
        <v>198</v>
      </c>
      <c r="AE1" s="333" t="s">
        <v>199</v>
      </c>
      <c r="AF1" s="333" t="s">
        <v>200</v>
      </c>
      <c r="AG1" s="333" t="s">
        <v>201</v>
      </c>
      <c r="AH1" s="333" t="s">
        <v>202</v>
      </c>
      <c r="AI1" s="333" t="s">
        <v>203</v>
      </c>
      <c r="AJ1" s="333" t="s">
        <v>204</v>
      </c>
      <c r="AK1" s="333" t="s">
        <v>205</v>
      </c>
      <c r="AL1" s="333" t="s">
        <v>206</v>
      </c>
      <c r="AM1" s="333" t="s">
        <v>207</v>
      </c>
      <c r="AN1" s="333" t="s">
        <v>208</v>
      </c>
      <c r="AO1" s="333" t="s">
        <v>209</v>
      </c>
      <c r="AP1" s="333" t="s">
        <v>210</v>
      </c>
      <c r="AQ1" s="333" t="s">
        <v>211</v>
      </c>
      <c r="AR1" s="333" t="s">
        <v>212</v>
      </c>
      <c r="AS1" s="333" t="s">
        <v>213</v>
      </c>
      <c r="AT1" s="333" t="s">
        <v>214</v>
      </c>
      <c r="AU1" s="333" t="s">
        <v>215</v>
      </c>
      <c r="AV1" s="333" t="s">
        <v>216</v>
      </c>
      <c r="AW1" s="333" t="s">
        <v>217</v>
      </c>
      <c r="AX1" s="333" t="s">
        <v>218</v>
      </c>
      <c r="AY1" s="333" t="s">
        <v>219</v>
      </c>
      <c r="AZ1" s="333" t="s">
        <v>220</v>
      </c>
      <c r="BA1" s="333" t="s">
        <v>221</v>
      </c>
      <c r="BB1" s="334" t="s">
        <v>13</v>
      </c>
    </row>
    <row r="2" spans="1:54" ht="16" customHeight="1" x14ac:dyDescent="0.2">
      <c r="A2" s="422" t="s">
        <v>1023</v>
      </c>
      <c r="B2" s="423"/>
      <c r="C2" s="423"/>
      <c r="D2" s="423"/>
      <c r="E2" s="423"/>
      <c r="F2" s="423"/>
      <c r="G2" s="423"/>
      <c r="H2" s="423"/>
      <c r="I2" s="423"/>
      <c r="J2" s="423"/>
      <c r="K2" s="423"/>
      <c r="L2" s="423"/>
      <c r="M2" s="423"/>
      <c r="N2" s="423"/>
      <c r="O2" s="423"/>
      <c r="P2" s="423"/>
      <c r="Q2" s="423"/>
      <c r="R2" s="424"/>
      <c r="T2" s="437"/>
      <c r="V2" s="436"/>
      <c r="W2" s="335" t="s">
        <v>180</v>
      </c>
      <c r="X2" s="336" t="str" cm="1">
        <f t="array" ref="X2:BB17">TRANSPOSE(C10:R40)</f>
        <v/>
      </c>
      <c r="Y2" s="336">
        <v>0</v>
      </c>
      <c r="Z2" s="336">
        <v>0</v>
      </c>
      <c r="AA2" s="336">
        <v>0</v>
      </c>
      <c r="AB2" s="336">
        <v>0</v>
      </c>
      <c r="AC2" s="336">
        <v>0</v>
      </c>
      <c r="AD2" s="336">
        <v>0</v>
      </c>
      <c r="AE2" s="336">
        <v>0</v>
      </c>
      <c r="AF2" s="336">
        <v>0</v>
      </c>
      <c r="AG2" s="336">
        <v>0</v>
      </c>
      <c r="AH2" s="336">
        <v>0</v>
      </c>
      <c r="AI2" s="336">
        <v>0</v>
      </c>
      <c r="AJ2" s="336">
        <v>0</v>
      </c>
      <c r="AK2" s="336">
        <v>0</v>
      </c>
      <c r="AL2" s="336">
        <v>0</v>
      </c>
      <c r="AM2" s="336">
        <v>0</v>
      </c>
      <c r="AN2" s="336">
        <v>0</v>
      </c>
      <c r="AO2" s="336">
        <v>0</v>
      </c>
      <c r="AP2" s="336">
        <v>0</v>
      </c>
      <c r="AQ2" s="336">
        <v>0</v>
      </c>
      <c r="AR2" s="336">
        <v>0</v>
      </c>
      <c r="AS2" s="336">
        <v>0</v>
      </c>
      <c r="AT2" s="336">
        <v>0</v>
      </c>
      <c r="AU2" s="336">
        <v>0</v>
      </c>
      <c r="AV2" s="336">
        <v>0</v>
      </c>
      <c r="AW2" s="336">
        <v>0</v>
      </c>
      <c r="AX2" s="336">
        <v>0</v>
      </c>
      <c r="AY2" s="336">
        <v>0</v>
      </c>
      <c r="AZ2" s="336">
        <v>0</v>
      </c>
      <c r="BA2" s="336">
        <v>0</v>
      </c>
      <c r="BB2" s="373">
        <v>0</v>
      </c>
    </row>
    <row r="3" spans="1:54" x14ac:dyDescent="0.2">
      <c r="A3" s="425"/>
      <c r="B3" s="426"/>
      <c r="C3" s="426"/>
      <c r="D3" s="426"/>
      <c r="E3" s="426"/>
      <c r="F3" s="426"/>
      <c r="G3" s="426"/>
      <c r="H3" s="426"/>
      <c r="I3" s="426"/>
      <c r="J3" s="426"/>
      <c r="K3" s="426"/>
      <c r="L3" s="426"/>
      <c r="M3" s="426"/>
      <c r="N3" s="426"/>
      <c r="O3" s="426"/>
      <c r="P3" s="426"/>
      <c r="Q3" s="426"/>
      <c r="R3" s="427"/>
      <c r="T3" s="437"/>
      <c r="V3" s="436"/>
      <c r="W3" s="338" t="s">
        <v>180</v>
      </c>
      <c r="X3" s="340" t="str">
        <v/>
      </c>
      <c r="Y3" s="340">
        <v>0</v>
      </c>
      <c r="Z3" s="340">
        <v>0</v>
      </c>
      <c r="AA3" s="340">
        <v>0</v>
      </c>
      <c r="AB3" s="340">
        <v>0</v>
      </c>
      <c r="AC3" s="340">
        <v>0</v>
      </c>
      <c r="AD3" s="340">
        <v>0</v>
      </c>
      <c r="AE3" s="340">
        <v>0</v>
      </c>
      <c r="AF3" s="340">
        <v>0</v>
      </c>
      <c r="AG3" s="340">
        <v>0</v>
      </c>
      <c r="AH3" s="340">
        <v>0</v>
      </c>
      <c r="AI3" s="340">
        <v>0</v>
      </c>
      <c r="AJ3" s="340">
        <v>0</v>
      </c>
      <c r="AK3" s="340">
        <v>0</v>
      </c>
      <c r="AL3" s="340">
        <v>0</v>
      </c>
      <c r="AM3" s="340">
        <v>0</v>
      </c>
      <c r="AN3" s="340">
        <v>0</v>
      </c>
      <c r="AO3" s="340">
        <v>0</v>
      </c>
      <c r="AP3" s="340">
        <v>0</v>
      </c>
      <c r="AQ3" s="340">
        <v>0</v>
      </c>
      <c r="AR3" s="340">
        <v>0</v>
      </c>
      <c r="AS3" s="340">
        <v>0</v>
      </c>
      <c r="AT3" s="340">
        <v>0</v>
      </c>
      <c r="AU3" s="340">
        <v>0</v>
      </c>
      <c r="AV3" s="340">
        <v>0</v>
      </c>
      <c r="AW3" s="340">
        <v>0</v>
      </c>
      <c r="AX3" s="340">
        <v>0</v>
      </c>
      <c r="AY3" s="340">
        <v>0</v>
      </c>
      <c r="AZ3" s="340">
        <v>0</v>
      </c>
      <c r="BA3" s="340">
        <v>0</v>
      </c>
      <c r="BB3" s="374">
        <v>0</v>
      </c>
    </row>
    <row r="4" spans="1:54" x14ac:dyDescent="0.2">
      <c r="A4" s="425"/>
      <c r="B4" s="426"/>
      <c r="C4" s="426"/>
      <c r="D4" s="426"/>
      <c r="E4" s="426"/>
      <c r="F4" s="426"/>
      <c r="G4" s="426"/>
      <c r="H4" s="426"/>
      <c r="I4" s="426"/>
      <c r="J4" s="426"/>
      <c r="K4" s="426"/>
      <c r="L4" s="426"/>
      <c r="M4" s="426"/>
      <c r="N4" s="426"/>
      <c r="O4" s="426"/>
      <c r="P4" s="426"/>
      <c r="Q4" s="426"/>
      <c r="R4" s="427"/>
      <c r="T4" s="437"/>
      <c r="V4" s="436"/>
      <c r="W4" s="335" t="s">
        <v>180</v>
      </c>
      <c r="X4" s="336" t="str">
        <v/>
      </c>
      <c r="Y4" s="336">
        <v>0</v>
      </c>
      <c r="Z4" s="336">
        <v>0</v>
      </c>
      <c r="AA4" s="336">
        <v>0</v>
      </c>
      <c r="AB4" s="336">
        <v>0</v>
      </c>
      <c r="AC4" s="336">
        <v>0</v>
      </c>
      <c r="AD4" s="336">
        <v>0</v>
      </c>
      <c r="AE4" s="336">
        <v>0</v>
      </c>
      <c r="AF4" s="336">
        <v>0</v>
      </c>
      <c r="AG4" s="336">
        <v>0</v>
      </c>
      <c r="AH4" s="336">
        <v>0</v>
      </c>
      <c r="AI4" s="336">
        <v>0</v>
      </c>
      <c r="AJ4" s="336">
        <v>0</v>
      </c>
      <c r="AK4" s="336">
        <v>0</v>
      </c>
      <c r="AL4" s="336">
        <v>0</v>
      </c>
      <c r="AM4" s="336">
        <v>0</v>
      </c>
      <c r="AN4" s="336">
        <v>0</v>
      </c>
      <c r="AO4" s="336">
        <v>0</v>
      </c>
      <c r="AP4" s="336">
        <v>0</v>
      </c>
      <c r="AQ4" s="336">
        <v>0</v>
      </c>
      <c r="AR4" s="336">
        <v>0</v>
      </c>
      <c r="AS4" s="336">
        <v>0</v>
      </c>
      <c r="AT4" s="336">
        <v>0</v>
      </c>
      <c r="AU4" s="336">
        <v>0</v>
      </c>
      <c r="AV4" s="336">
        <v>0</v>
      </c>
      <c r="AW4" s="336">
        <v>0</v>
      </c>
      <c r="AX4" s="336">
        <v>0</v>
      </c>
      <c r="AY4" s="336">
        <v>0</v>
      </c>
      <c r="AZ4" s="336">
        <v>0</v>
      </c>
      <c r="BA4" s="336">
        <v>0</v>
      </c>
      <c r="BB4" s="373">
        <v>0</v>
      </c>
    </row>
    <row r="5" spans="1:54" x14ac:dyDescent="0.2">
      <c r="A5" s="425"/>
      <c r="B5" s="426"/>
      <c r="C5" s="426"/>
      <c r="D5" s="426"/>
      <c r="E5" s="426"/>
      <c r="F5" s="426"/>
      <c r="G5" s="426"/>
      <c r="H5" s="426"/>
      <c r="I5" s="426"/>
      <c r="J5" s="426"/>
      <c r="K5" s="426"/>
      <c r="L5" s="426"/>
      <c r="M5" s="426"/>
      <c r="N5" s="426"/>
      <c r="O5" s="426"/>
      <c r="P5" s="426"/>
      <c r="Q5" s="426"/>
      <c r="R5" s="427"/>
      <c r="T5" s="437"/>
      <c r="V5" s="436"/>
      <c r="W5" s="338" t="s">
        <v>180</v>
      </c>
      <c r="X5" s="340" t="str">
        <v/>
      </c>
      <c r="Y5" s="340">
        <v>0</v>
      </c>
      <c r="Z5" s="340">
        <v>0</v>
      </c>
      <c r="AA5" s="340">
        <v>0</v>
      </c>
      <c r="AB5" s="340">
        <v>0</v>
      </c>
      <c r="AC5" s="340">
        <v>0</v>
      </c>
      <c r="AD5" s="340">
        <v>0</v>
      </c>
      <c r="AE5" s="340">
        <v>0</v>
      </c>
      <c r="AF5" s="340">
        <v>0</v>
      </c>
      <c r="AG5" s="340">
        <v>0</v>
      </c>
      <c r="AH5" s="340">
        <v>0</v>
      </c>
      <c r="AI5" s="340">
        <v>0</v>
      </c>
      <c r="AJ5" s="340">
        <v>0</v>
      </c>
      <c r="AK5" s="340">
        <v>0</v>
      </c>
      <c r="AL5" s="340">
        <v>0</v>
      </c>
      <c r="AM5" s="340">
        <v>0</v>
      </c>
      <c r="AN5" s="340">
        <v>0</v>
      </c>
      <c r="AO5" s="340">
        <v>0</v>
      </c>
      <c r="AP5" s="340">
        <v>0</v>
      </c>
      <c r="AQ5" s="340">
        <v>0</v>
      </c>
      <c r="AR5" s="340">
        <v>0</v>
      </c>
      <c r="AS5" s="340">
        <v>0</v>
      </c>
      <c r="AT5" s="340">
        <v>0</v>
      </c>
      <c r="AU5" s="340">
        <v>0</v>
      </c>
      <c r="AV5" s="340">
        <v>0</v>
      </c>
      <c r="AW5" s="340">
        <v>0</v>
      </c>
      <c r="AX5" s="340">
        <v>0</v>
      </c>
      <c r="AY5" s="340">
        <v>0</v>
      </c>
      <c r="AZ5" s="340">
        <v>0</v>
      </c>
      <c r="BA5" s="340">
        <v>0</v>
      </c>
      <c r="BB5" s="374">
        <v>0</v>
      </c>
    </row>
    <row r="6" spans="1:54" x14ac:dyDescent="0.2">
      <c r="A6" s="425"/>
      <c r="B6" s="426"/>
      <c r="C6" s="426"/>
      <c r="D6" s="426"/>
      <c r="E6" s="426"/>
      <c r="F6" s="426"/>
      <c r="G6" s="426"/>
      <c r="H6" s="426"/>
      <c r="I6" s="426"/>
      <c r="J6" s="426"/>
      <c r="K6" s="426"/>
      <c r="L6" s="426"/>
      <c r="M6" s="426"/>
      <c r="N6" s="426"/>
      <c r="O6" s="426"/>
      <c r="P6" s="426"/>
      <c r="Q6" s="426"/>
      <c r="R6" s="427"/>
      <c r="T6" s="437"/>
      <c r="V6" s="436"/>
      <c r="W6" s="335" t="s">
        <v>188</v>
      </c>
      <c r="X6" s="336" t="str">
        <v/>
      </c>
      <c r="Y6" s="336">
        <v>0</v>
      </c>
      <c r="Z6" s="336">
        <v>0</v>
      </c>
      <c r="AA6" s="336">
        <v>0</v>
      </c>
      <c r="AB6" s="336">
        <v>0</v>
      </c>
      <c r="AC6" s="336">
        <v>0</v>
      </c>
      <c r="AD6" s="336">
        <v>0</v>
      </c>
      <c r="AE6" s="336">
        <v>0</v>
      </c>
      <c r="AF6" s="336">
        <v>0</v>
      </c>
      <c r="AG6" s="336">
        <v>0</v>
      </c>
      <c r="AH6" s="336">
        <v>0</v>
      </c>
      <c r="AI6" s="336">
        <v>0</v>
      </c>
      <c r="AJ6" s="336">
        <v>0</v>
      </c>
      <c r="AK6" s="336">
        <v>0</v>
      </c>
      <c r="AL6" s="336">
        <v>0</v>
      </c>
      <c r="AM6" s="336">
        <v>0</v>
      </c>
      <c r="AN6" s="336">
        <v>0</v>
      </c>
      <c r="AO6" s="336">
        <v>0</v>
      </c>
      <c r="AP6" s="336">
        <v>0</v>
      </c>
      <c r="AQ6" s="336">
        <v>0</v>
      </c>
      <c r="AR6" s="336">
        <v>0</v>
      </c>
      <c r="AS6" s="336">
        <v>0</v>
      </c>
      <c r="AT6" s="336">
        <v>0</v>
      </c>
      <c r="AU6" s="336">
        <v>0</v>
      </c>
      <c r="AV6" s="336">
        <v>0</v>
      </c>
      <c r="AW6" s="336">
        <v>0</v>
      </c>
      <c r="AX6" s="336">
        <v>0</v>
      </c>
      <c r="AY6" s="336">
        <v>0</v>
      </c>
      <c r="AZ6" s="336">
        <v>0</v>
      </c>
      <c r="BA6" s="336">
        <v>0</v>
      </c>
      <c r="BB6" s="373">
        <v>0</v>
      </c>
    </row>
    <row r="7" spans="1:54" ht="17" thickBot="1" x14ac:dyDescent="0.25">
      <c r="A7" s="428"/>
      <c r="B7" s="429"/>
      <c r="C7" s="429"/>
      <c r="D7" s="429"/>
      <c r="E7" s="429"/>
      <c r="F7" s="429"/>
      <c r="G7" s="429"/>
      <c r="H7" s="429"/>
      <c r="I7" s="429"/>
      <c r="J7" s="429"/>
      <c r="K7" s="429"/>
      <c r="L7" s="429"/>
      <c r="M7" s="429"/>
      <c r="N7" s="429"/>
      <c r="O7" s="429"/>
      <c r="P7" s="429"/>
      <c r="Q7" s="429"/>
      <c r="R7" s="430"/>
      <c r="T7" s="437"/>
      <c r="V7" s="436"/>
      <c r="W7" s="338" t="s">
        <v>188</v>
      </c>
      <c r="X7" s="340" t="str">
        <v/>
      </c>
      <c r="Y7" s="340">
        <v>0</v>
      </c>
      <c r="Z7" s="340">
        <v>0</v>
      </c>
      <c r="AA7" s="340">
        <v>0</v>
      </c>
      <c r="AB7" s="340">
        <v>0</v>
      </c>
      <c r="AC7" s="340">
        <v>0</v>
      </c>
      <c r="AD7" s="340">
        <v>0</v>
      </c>
      <c r="AE7" s="340">
        <v>0</v>
      </c>
      <c r="AF7" s="340">
        <v>0</v>
      </c>
      <c r="AG7" s="340">
        <v>0</v>
      </c>
      <c r="AH7" s="340">
        <v>0</v>
      </c>
      <c r="AI7" s="340">
        <v>0</v>
      </c>
      <c r="AJ7" s="340">
        <v>0</v>
      </c>
      <c r="AK7" s="340">
        <v>0</v>
      </c>
      <c r="AL7" s="340">
        <v>0</v>
      </c>
      <c r="AM7" s="340">
        <v>0</v>
      </c>
      <c r="AN7" s="340">
        <v>0</v>
      </c>
      <c r="AO7" s="340">
        <v>0</v>
      </c>
      <c r="AP7" s="340">
        <v>0</v>
      </c>
      <c r="AQ7" s="340">
        <v>0</v>
      </c>
      <c r="AR7" s="340">
        <v>0</v>
      </c>
      <c r="AS7" s="340">
        <v>0</v>
      </c>
      <c r="AT7" s="340">
        <v>0</v>
      </c>
      <c r="AU7" s="340">
        <v>0</v>
      </c>
      <c r="AV7" s="340">
        <v>0</v>
      </c>
      <c r="AW7" s="340">
        <v>0</v>
      </c>
      <c r="AX7" s="340">
        <v>0</v>
      </c>
      <c r="AY7" s="340">
        <v>0</v>
      </c>
      <c r="AZ7" s="340">
        <v>0</v>
      </c>
      <c r="BA7" s="340">
        <v>0</v>
      </c>
      <c r="BB7" s="374">
        <v>0</v>
      </c>
    </row>
    <row r="8" spans="1:54" x14ac:dyDescent="0.2">
      <c r="T8" s="437"/>
      <c r="V8" s="436"/>
      <c r="W8" s="335" t="s">
        <v>188</v>
      </c>
      <c r="X8" s="336" t="str">
        <v/>
      </c>
      <c r="Y8" s="336">
        <v>0</v>
      </c>
      <c r="Z8" s="336">
        <v>0</v>
      </c>
      <c r="AA8" s="336">
        <v>0</v>
      </c>
      <c r="AB8" s="336">
        <v>0</v>
      </c>
      <c r="AC8" s="336">
        <v>0</v>
      </c>
      <c r="AD8" s="336">
        <v>0</v>
      </c>
      <c r="AE8" s="336">
        <v>0</v>
      </c>
      <c r="AF8" s="336">
        <v>0</v>
      </c>
      <c r="AG8" s="336">
        <v>0</v>
      </c>
      <c r="AH8" s="336">
        <v>0</v>
      </c>
      <c r="AI8" s="336">
        <v>0</v>
      </c>
      <c r="AJ8" s="336">
        <v>0</v>
      </c>
      <c r="AK8" s="336">
        <v>0</v>
      </c>
      <c r="AL8" s="336">
        <v>0</v>
      </c>
      <c r="AM8" s="336">
        <v>0</v>
      </c>
      <c r="AN8" s="336">
        <v>0</v>
      </c>
      <c r="AO8" s="336">
        <v>0</v>
      </c>
      <c r="AP8" s="336">
        <v>0</v>
      </c>
      <c r="AQ8" s="336">
        <v>0</v>
      </c>
      <c r="AR8" s="336">
        <v>0</v>
      </c>
      <c r="AS8" s="336">
        <v>0</v>
      </c>
      <c r="AT8" s="336">
        <v>0</v>
      </c>
      <c r="AU8" s="336">
        <v>0</v>
      </c>
      <c r="AV8" s="336">
        <v>0</v>
      </c>
      <c r="AW8" s="336">
        <v>0</v>
      </c>
      <c r="AX8" s="336">
        <v>0</v>
      </c>
      <c r="AY8" s="336">
        <v>0</v>
      </c>
      <c r="AZ8" s="336">
        <v>0</v>
      </c>
      <c r="BA8" s="336">
        <v>0</v>
      </c>
      <c r="BB8" s="373">
        <v>0</v>
      </c>
    </row>
    <row r="9" spans="1:54" ht="17" customHeight="1" x14ac:dyDescent="0.2">
      <c r="B9" s="389" t="s">
        <v>0</v>
      </c>
      <c r="C9" s="440" t="s">
        <v>180</v>
      </c>
      <c r="D9" s="441"/>
      <c r="E9" s="441"/>
      <c r="F9" s="442"/>
      <c r="G9" s="438" t="s">
        <v>188</v>
      </c>
      <c r="H9" s="438"/>
      <c r="I9" s="438"/>
      <c r="J9" s="438"/>
      <c r="K9" s="440" t="s">
        <v>190</v>
      </c>
      <c r="L9" s="441"/>
      <c r="M9" s="441"/>
      <c r="N9" s="442"/>
      <c r="O9" s="438" t="s">
        <v>192</v>
      </c>
      <c r="P9" s="438"/>
      <c r="Q9" s="438"/>
      <c r="R9" s="439"/>
      <c r="T9" s="437"/>
      <c r="V9" s="436"/>
      <c r="W9" s="338" t="s">
        <v>188</v>
      </c>
      <c r="X9" s="340" t="str">
        <v/>
      </c>
      <c r="Y9" s="340">
        <v>0</v>
      </c>
      <c r="Z9" s="340">
        <v>0</v>
      </c>
      <c r="AA9" s="340">
        <v>0</v>
      </c>
      <c r="AB9" s="340">
        <v>0</v>
      </c>
      <c r="AC9" s="340">
        <v>0</v>
      </c>
      <c r="AD9" s="340">
        <v>0</v>
      </c>
      <c r="AE9" s="340">
        <v>0</v>
      </c>
      <c r="AF9" s="340">
        <v>0</v>
      </c>
      <c r="AG9" s="340">
        <v>0</v>
      </c>
      <c r="AH9" s="340">
        <v>0</v>
      </c>
      <c r="AI9" s="340">
        <v>0</v>
      </c>
      <c r="AJ9" s="340">
        <v>0</v>
      </c>
      <c r="AK9" s="340">
        <v>0</v>
      </c>
      <c r="AL9" s="340">
        <v>0</v>
      </c>
      <c r="AM9" s="340">
        <v>0</v>
      </c>
      <c r="AN9" s="340">
        <v>0</v>
      </c>
      <c r="AO9" s="340">
        <v>0</v>
      </c>
      <c r="AP9" s="340">
        <v>0</v>
      </c>
      <c r="AQ9" s="340">
        <v>0</v>
      </c>
      <c r="AR9" s="340">
        <v>0</v>
      </c>
      <c r="AS9" s="340">
        <v>0</v>
      </c>
      <c r="AT9" s="340">
        <v>0</v>
      </c>
      <c r="AU9" s="340">
        <v>0</v>
      </c>
      <c r="AV9" s="340">
        <v>0</v>
      </c>
      <c r="AW9" s="340">
        <v>0</v>
      </c>
      <c r="AX9" s="340">
        <v>0</v>
      </c>
      <c r="AY9" s="340">
        <v>0</v>
      </c>
      <c r="AZ9" s="340">
        <v>0</v>
      </c>
      <c r="BA9" s="340">
        <v>0</v>
      </c>
      <c r="BB9" s="374">
        <v>0</v>
      </c>
    </row>
    <row r="10" spans="1:54" ht="16" customHeight="1" x14ac:dyDescent="0.2">
      <c r="A10" s="436" t="s">
        <v>935</v>
      </c>
      <c r="B10" s="390" t="s">
        <v>8</v>
      </c>
      <c r="C10" s="409" t="str">
        <f>'1.GLOBAL'!$D53</f>
        <v/>
      </c>
      <c r="D10" s="410" t="str">
        <f>'1.GLOBAL'!$D54</f>
        <v/>
      </c>
      <c r="E10" s="410" t="str">
        <f>'1.GLOBAL'!$D55</f>
        <v/>
      </c>
      <c r="F10" s="411" t="str">
        <f>'1.GLOBAL'!$D56</f>
        <v/>
      </c>
      <c r="G10" s="412" t="str">
        <f>'1.GLOBAL'!$D61</f>
        <v/>
      </c>
      <c r="H10" s="410" t="str">
        <f>'1.GLOBAL'!$D62</f>
        <v/>
      </c>
      <c r="I10" s="410" t="str">
        <f>'1.GLOBAL'!$D63</f>
        <v/>
      </c>
      <c r="J10" s="410" t="str">
        <f>'1.GLOBAL'!$D64</f>
        <v/>
      </c>
      <c r="K10" s="409" t="str">
        <f>'1.GLOBAL'!$D69</f>
        <v/>
      </c>
      <c r="L10" s="410" t="str">
        <f>'1.GLOBAL'!$D70</f>
        <v/>
      </c>
      <c r="M10" s="410" t="str">
        <f>'1.GLOBAL'!$D71</f>
        <v/>
      </c>
      <c r="N10" s="411" t="str">
        <f>'1.GLOBAL'!$D72</f>
        <v/>
      </c>
      <c r="O10" s="412" t="str">
        <f>'1.GLOBAL'!$D77</f>
        <v/>
      </c>
      <c r="P10" s="410" t="str">
        <f>'1.GLOBAL'!$D78</f>
        <v/>
      </c>
      <c r="Q10" s="410" t="str">
        <f>'1.GLOBAL'!$D79</f>
        <v/>
      </c>
      <c r="R10" s="413" t="str">
        <f>'1.GLOBAL'!$D80</f>
        <v/>
      </c>
      <c r="T10" s="437"/>
      <c r="V10" s="436"/>
      <c r="W10" s="335" t="s">
        <v>190</v>
      </c>
      <c r="X10" s="336" t="str">
        <v/>
      </c>
      <c r="Y10" s="336">
        <v>0</v>
      </c>
      <c r="Z10" s="336">
        <v>0</v>
      </c>
      <c r="AA10" s="336">
        <v>0</v>
      </c>
      <c r="AB10" s="336">
        <v>0</v>
      </c>
      <c r="AC10" s="336">
        <v>0</v>
      </c>
      <c r="AD10" s="336">
        <v>0</v>
      </c>
      <c r="AE10" s="336">
        <v>0</v>
      </c>
      <c r="AF10" s="336">
        <v>0</v>
      </c>
      <c r="AG10" s="336">
        <v>0</v>
      </c>
      <c r="AH10" s="336">
        <v>0</v>
      </c>
      <c r="AI10" s="336">
        <v>0</v>
      </c>
      <c r="AJ10" s="336">
        <v>0</v>
      </c>
      <c r="AK10" s="336">
        <v>0</v>
      </c>
      <c r="AL10" s="336">
        <v>0</v>
      </c>
      <c r="AM10" s="336">
        <v>0</v>
      </c>
      <c r="AN10" s="336">
        <v>0</v>
      </c>
      <c r="AO10" s="336">
        <v>0</v>
      </c>
      <c r="AP10" s="336">
        <v>0</v>
      </c>
      <c r="AQ10" s="336">
        <v>0</v>
      </c>
      <c r="AR10" s="336">
        <v>0</v>
      </c>
      <c r="AS10" s="336">
        <v>0</v>
      </c>
      <c r="AT10" s="336">
        <v>0</v>
      </c>
      <c r="AU10" s="336">
        <v>0</v>
      </c>
      <c r="AV10" s="336">
        <v>0</v>
      </c>
      <c r="AW10" s="336">
        <v>0</v>
      </c>
      <c r="AX10" s="336">
        <v>0</v>
      </c>
      <c r="AY10" s="336">
        <v>0</v>
      </c>
      <c r="AZ10" s="336">
        <v>0</v>
      </c>
      <c r="BA10" s="336">
        <v>0</v>
      </c>
      <c r="BB10" s="373">
        <v>0</v>
      </c>
    </row>
    <row r="11" spans="1:54" x14ac:dyDescent="0.2">
      <c r="A11" s="436"/>
      <c r="B11" s="391" t="s">
        <v>193</v>
      </c>
      <c r="C11" s="404"/>
      <c r="D11" s="405"/>
      <c r="E11" s="405"/>
      <c r="F11" s="406"/>
      <c r="G11" s="407"/>
      <c r="H11" s="405"/>
      <c r="I11" s="405"/>
      <c r="J11" s="405"/>
      <c r="K11" s="404"/>
      <c r="L11" s="405"/>
      <c r="M11" s="405"/>
      <c r="N11" s="406"/>
      <c r="O11" s="407"/>
      <c r="P11" s="405"/>
      <c r="Q11" s="405"/>
      <c r="R11" s="408"/>
      <c r="T11" s="437"/>
      <c r="V11" s="436"/>
      <c r="W11" s="338" t="s">
        <v>190</v>
      </c>
      <c r="X11" s="340" t="str">
        <v/>
      </c>
      <c r="Y11" s="340">
        <v>0</v>
      </c>
      <c r="Z11" s="340">
        <v>0</v>
      </c>
      <c r="AA11" s="340">
        <v>0</v>
      </c>
      <c r="AB11" s="340">
        <v>0</v>
      </c>
      <c r="AC11" s="340">
        <v>0</v>
      </c>
      <c r="AD11" s="340">
        <v>0</v>
      </c>
      <c r="AE11" s="340">
        <v>0</v>
      </c>
      <c r="AF11" s="340">
        <v>0</v>
      </c>
      <c r="AG11" s="340">
        <v>0</v>
      </c>
      <c r="AH11" s="340">
        <v>0</v>
      </c>
      <c r="AI11" s="340">
        <v>0</v>
      </c>
      <c r="AJ11" s="340">
        <v>0</v>
      </c>
      <c r="AK11" s="340">
        <v>0</v>
      </c>
      <c r="AL11" s="340">
        <v>0</v>
      </c>
      <c r="AM11" s="340">
        <v>0</v>
      </c>
      <c r="AN11" s="340">
        <v>0</v>
      </c>
      <c r="AO11" s="340">
        <v>0</v>
      </c>
      <c r="AP11" s="340">
        <v>0</v>
      </c>
      <c r="AQ11" s="340">
        <v>0</v>
      </c>
      <c r="AR11" s="340">
        <v>0</v>
      </c>
      <c r="AS11" s="340">
        <v>0</v>
      </c>
      <c r="AT11" s="340">
        <v>0</v>
      </c>
      <c r="AU11" s="340">
        <v>0</v>
      </c>
      <c r="AV11" s="340">
        <v>0</v>
      </c>
      <c r="AW11" s="340">
        <v>0</v>
      </c>
      <c r="AX11" s="340">
        <v>0</v>
      </c>
      <c r="AY11" s="340">
        <v>0</v>
      </c>
      <c r="AZ11" s="340">
        <v>0</v>
      </c>
      <c r="BA11" s="340">
        <v>0</v>
      </c>
      <c r="BB11" s="374">
        <v>0</v>
      </c>
    </row>
    <row r="12" spans="1:54" x14ac:dyDescent="0.2">
      <c r="A12" s="436"/>
      <c r="B12" s="392" t="s">
        <v>194</v>
      </c>
      <c r="C12" s="383"/>
      <c r="D12" s="377"/>
      <c r="E12" s="377"/>
      <c r="F12" s="384"/>
      <c r="G12" s="380"/>
      <c r="H12" s="377"/>
      <c r="I12" s="377"/>
      <c r="J12" s="377"/>
      <c r="K12" s="383"/>
      <c r="L12" s="377"/>
      <c r="M12" s="377"/>
      <c r="N12" s="384"/>
      <c r="O12" s="380"/>
      <c r="P12" s="377"/>
      <c r="Q12" s="377"/>
      <c r="R12" s="378"/>
      <c r="T12" s="437"/>
      <c r="V12" s="436"/>
      <c r="W12" s="335" t="s">
        <v>190</v>
      </c>
      <c r="X12" s="336" t="str">
        <v/>
      </c>
      <c r="Y12" s="336">
        <v>0</v>
      </c>
      <c r="Z12" s="336">
        <v>0</v>
      </c>
      <c r="AA12" s="336">
        <v>0</v>
      </c>
      <c r="AB12" s="336">
        <v>0</v>
      </c>
      <c r="AC12" s="336">
        <v>0</v>
      </c>
      <c r="AD12" s="336">
        <v>0</v>
      </c>
      <c r="AE12" s="336">
        <v>0</v>
      </c>
      <c r="AF12" s="336">
        <v>0</v>
      </c>
      <c r="AG12" s="336">
        <v>0</v>
      </c>
      <c r="AH12" s="336">
        <v>0</v>
      </c>
      <c r="AI12" s="336">
        <v>0</v>
      </c>
      <c r="AJ12" s="336">
        <v>0</v>
      </c>
      <c r="AK12" s="336">
        <v>0</v>
      </c>
      <c r="AL12" s="336">
        <v>0</v>
      </c>
      <c r="AM12" s="336">
        <v>0</v>
      </c>
      <c r="AN12" s="336">
        <v>0</v>
      </c>
      <c r="AO12" s="336">
        <v>0</v>
      </c>
      <c r="AP12" s="336">
        <v>0</v>
      </c>
      <c r="AQ12" s="336">
        <v>0</v>
      </c>
      <c r="AR12" s="336">
        <v>0</v>
      </c>
      <c r="AS12" s="336">
        <v>0</v>
      </c>
      <c r="AT12" s="336">
        <v>0</v>
      </c>
      <c r="AU12" s="336">
        <v>0</v>
      </c>
      <c r="AV12" s="336">
        <v>0</v>
      </c>
      <c r="AW12" s="336">
        <v>0</v>
      </c>
      <c r="AX12" s="336">
        <v>0</v>
      </c>
      <c r="AY12" s="336">
        <v>0</v>
      </c>
      <c r="AZ12" s="336">
        <v>0</v>
      </c>
      <c r="BA12" s="336">
        <v>0</v>
      </c>
      <c r="BB12" s="373">
        <v>0</v>
      </c>
    </row>
    <row r="13" spans="1:54" x14ac:dyDescent="0.2">
      <c r="A13" s="436"/>
      <c r="B13" s="391" t="s">
        <v>195</v>
      </c>
      <c r="C13" s="381"/>
      <c r="D13" s="375"/>
      <c r="E13" s="375"/>
      <c r="F13" s="382"/>
      <c r="G13" s="379"/>
      <c r="H13" s="375"/>
      <c r="I13" s="375"/>
      <c r="J13" s="375"/>
      <c r="K13" s="381"/>
      <c r="L13" s="375"/>
      <c r="M13" s="375"/>
      <c r="N13" s="382"/>
      <c r="O13" s="379"/>
      <c r="P13" s="375"/>
      <c r="Q13" s="375"/>
      <c r="R13" s="376"/>
      <c r="T13" s="437"/>
      <c r="V13" s="436"/>
      <c r="W13" s="338" t="s">
        <v>190</v>
      </c>
      <c r="X13" s="340" t="str">
        <v/>
      </c>
      <c r="Y13" s="340">
        <v>0</v>
      </c>
      <c r="Z13" s="340">
        <v>0</v>
      </c>
      <c r="AA13" s="340">
        <v>0</v>
      </c>
      <c r="AB13" s="340">
        <v>0</v>
      </c>
      <c r="AC13" s="340">
        <v>0</v>
      </c>
      <c r="AD13" s="340">
        <v>0</v>
      </c>
      <c r="AE13" s="340">
        <v>0</v>
      </c>
      <c r="AF13" s="340">
        <v>0</v>
      </c>
      <c r="AG13" s="340">
        <v>0</v>
      </c>
      <c r="AH13" s="340">
        <v>0</v>
      </c>
      <c r="AI13" s="340">
        <v>0</v>
      </c>
      <c r="AJ13" s="340">
        <v>0</v>
      </c>
      <c r="AK13" s="340">
        <v>0</v>
      </c>
      <c r="AL13" s="340">
        <v>0</v>
      </c>
      <c r="AM13" s="340">
        <v>0</v>
      </c>
      <c r="AN13" s="340">
        <v>0</v>
      </c>
      <c r="AO13" s="340">
        <v>0</v>
      </c>
      <c r="AP13" s="340">
        <v>0</v>
      </c>
      <c r="AQ13" s="340">
        <v>0</v>
      </c>
      <c r="AR13" s="340">
        <v>0</v>
      </c>
      <c r="AS13" s="340">
        <v>0</v>
      </c>
      <c r="AT13" s="340">
        <v>0</v>
      </c>
      <c r="AU13" s="340">
        <v>0</v>
      </c>
      <c r="AV13" s="340">
        <v>0</v>
      </c>
      <c r="AW13" s="340">
        <v>0</v>
      </c>
      <c r="AX13" s="340">
        <v>0</v>
      </c>
      <c r="AY13" s="340">
        <v>0</v>
      </c>
      <c r="AZ13" s="340">
        <v>0</v>
      </c>
      <c r="BA13" s="340">
        <v>0</v>
      </c>
      <c r="BB13" s="374">
        <v>0</v>
      </c>
    </row>
    <row r="14" spans="1:54" x14ac:dyDescent="0.2">
      <c r="A14" s="436"/>
      <c r="B14" s="392" t="s">
        <v>196</v>
      </c>
      <c r="C14" s="383"/>
      <c r="D14" s="377"/>
      <c r="E14" s="377"/>
      <c r="F14" s="384"/>
      <c r="G14" s="380"/>
      <c r="H14" s="377"/>
      <c r="I14" s="377"/>
      <c r="J14" s="377"/>
      <c r="K14" s="383"/>
      <c r="L14" s="377"/>
      <c r="M14" s="377"/>
      <c r="N14" s="384"/>
      <c r="O14" s="380"/>
      <c r="P14" s="377"/>
      <c r="Q14" s="377"/>
      <c r="R14" s="378"/>
      <c r="T14" s="437"/>
      <c r="V14" s="436"/>
      <c r="W14" s="335" t="s">
        <v>192</v>
      </c>
      <c r="X14" s="336" t="str">
        <v/>
      </c>
      <c r="Y14" s="336">
        <v>0</v>
      </c>
      <c r="Z14" s="336">
        <v>0</v>
      </c>
      <c r="AA14" s="336">
        <v>0</v>
      </c>
      <c r="AB14" s="336">
        <v>0</v>
      </c>
      <c r="AC14" s="336">
        <v>0</v>
      </c>
      <c r="AD14" s="336">
        <v>0</v>
      </c>
      <c r="AE14" s="336">
        <v>0</v>
      </c>
      <c r="AF14" s="336">
        <v>0</v>
      </c>
      <c r="AG14" s="336">
        <v>0</v>
      </c>
      <c r="AH14" s="336">
        <v>0</v>
      </c>
      <c r="AI14" s="336">
        <v>0</v>
      </c>
      <c r="AJ14" s="336">
        <v>0</v>
      </c>
      <c r="AK14" s="336">
        <v>0</v>
      </c>
      <c r="AL14" s="336">
        <v>0</v>
      </c>
      <c r="AM14" s="336">
        <v>0</v>
      </c>
      <c r="AN14" s="336">
        <v>0</v>
      </c>
      <c r="AO14" s="336">
        <v>0</v>
      </c>
      <c r="AP14" s="336">
        <v>0</v>
      </c>
      <c r="AQ14" s="336">
        <v>0</v>
      </c>
      <c r="AR14" s="336">
        <v>0</v>
      </c>
      <c r="AS14" s="336">
        <v>0</v>
      </c>
      <c r="AT14" s="336">
        <v>0</v>
      </c>
      <c r="AU14" s="336">
        <v>0</v>
      </c>
      <c r="AV14" s="336">
        <v>0</v>
      </c>
      <c r="AW14" s="336">
        <v>0</v>
      </c>
      <c r="AX14" s="336">
        <v>0</v>
      </c>
      <c r="AY14" s="336">
        <v>0</v>
      </c>
      <c r="AZ14" s="336">
        <v>0</v>
      </c>
      <c r="BA14" s="336">
        <v>0</v>
      </c>
      <c r="BB14" s="373">
        <v>0</v>
      </c>
    </row>
    <row r="15" spans="1:54" x14ac:dyDescent="0.2">
      <c r="A15" s="436"/>
      <c r="B15" s="391" t="s">
        <v>197</v>
      </c>
      <c r="C15" s="381"/>
      <c r="D15" s="375"/>
      <c r="E15" s="375"/>
      <c r="F15" s="382"/>
      <c r="G15" s="379"/>
      <c r="H15" s="375"/>
      <c r="I15" s="375"/>
      <c r="J15" s="375"/>
      <c r="K15" s="381"/>
      <c r="L15" s="375"/>
      <c r="M15" s="375"/>
      <c r="N15" s="382"/>
      <c r="O15" s="379"/>
      <c r="P15" s="375"/>
      <c r="Q15" s="375"/>
      <c r="R15" s="376"/>
      <c r="T15" s="437"/>
      <c r="V15" s="436"/>
      <c r="W15" s="338" t="s">
        <v>192</v>
      </c>
      <c r="X15" s="340" t="str">
        <v/>
      </c>
      <c r="Y15" s="340">
        <v>0</v>
      </c>
      <c r="Z15" s="340">
        <v>0</v>
      </c>
      <c r="AA15" s="340">
        <v>0</v>
      </c>
      <c r="AB15" s="340">
        <v>0</v>
      </c>
      <c r="AC15" s="340">
        <v>0</v>
      </c>
      <c r="AD15" s="340">
        <v>0</v>
      </c>
      <c r="AE15" s="340">
        <v>0</v>
      </c>
      <c r="AF15" s="340">
        <v>0</v>
      </c>
      <c r="AG15" s="340">
        <v>0</v>
      </c>
      <c r="AH15" s="340">
        <v>0</v>
      </c>
      <c r="AI15" s="340">
        <v>0</v>
      </c>
      <c r="AJ15" s="340">
        <v>0</v>
      </c>
      <c r="AK15" s="340">
        <v>0</v>
      </c>
      <c r="AL15" s="340">
        <v>0</v>
      </c>
      <c r="AM15" s="340">
        <v>0</v>
      </c>
      <c r="AN15" s="340">
        <v>0</v>
      </c>
      <c r="AO15" s="340">
        <v>0</v>
      </c>
      <c r="AP15" s="340">
        <v>0</v>
      </c>
      <c r="AQ15" s="340">
        <v>0</v>
      </c>
      <c r="AR15" s="340">
        <v>0</v>
      </c>
      <c r="AS15" s="340">
        <v>0</v>
      </c>
      <c r="AT15" s="340">
        <v>0</v>
      </c>
      <c r="AU15" s="340">
        <v>0</v>
      </c>
      <c r="AV15" s="340">
        <v>0</v>
      </c>
      <c r="AW15" s="340">
        <v>0</v>
      </c>
      <c r="AX15" s="340">
        <v>0</v>
      </c>
      <c r="AY15" s="340">
        <v>0</v>
      </c>
      <c r="AZ15" s="340">
        <v>0</v>
      </c>
      <c r="BA15" s="340">
        <v>0</v>
      </c>
      <c r="BB15" s="374">
        <v>0</v>
      </c>
    </row>
    <row r="16" spans="1:54" x14ac:dyDescent="0.2">
      <c r="A16" s="436"/>
      <c r="B16" s="392" t="s">
        <v>198</v>
      </c>
      <c r="C16" s="383"/>
      <c r="D16" s="377"/>
      <c r="E16" s="377"/>
      <c r="F16" s="384"/>
      <c r="G16" s="380"/>
      <c r="H16" s="377"/>
      <c r="I16" s="377"/>
      <c r="J16" s="377"/>
      <c r="K16" s="383"/>
      <c r="L16" s="377"/>
      <c r="M16" s="377"/>
      <c r="N16" s="384"/>
      <c r="O16" s="380"/>
      <c r="P16" s="377"/>
      <c r="Q16" s="377"/>
      <c r="R16" s="378"/>
      <c r="T16" s="437"/>
      <c r="V16" s="436"/>
      <c r="W16" s="335" t="s">
        <v>192</v>
      </c>
      <c r="X16" s="336" t="str">
        <v/>
      </c>
      <c r="Y16" s="336">
        <v>0</v>
      </c>
      <c r="Z16" s="336">
        <v>0</v>
      </c>
      <c r="AA16" s="336">
        <v>0</v>
      </c>
      <c r="AB16" s="336">
        <v>0</v>
      </c>
      <c r="AC16" s="336">
        <v>0</v>
      </c>
      <c r="AD16" s="336">
        <v>0</v>
      </c>
      <c r="AE16" s="336">
        <v>0</v>
      </c>
      <c r="AF16" s="336">
        <v>0</v>
      </c>
      <c r="AG16" s="336">
        <v>0</v>
      </c>
      <c r="AH16" s="336">
        <v>0</v>
      </c>
      <c r="AI16" s="336">
        <v>0</v>
      </c>
      <c r="AJ16" s="336">
        <v>0</v>
      </c>
      <c r="AK16" s="336">
        <v>0</v>
      </c>
      <c r="AL16" s="336">
        <v>0</v>
      </c>
      <c r="AM16" s="336">
        <v>0</v>
      </c>
      <c r="AN16" s="336">
        <v>0</v>
      </c>
      <c r="AO16" s="336">
        <v>0</v>
      </c>
      <c r="AP16" s="336">
        <v>0</v>
      </c>
      <c r="AQ16" s="336">
        <v>0</v>
      </c>
      <c r="AR16" s="336">
        <v>0</v>
      </c>
      <c r="AS16" s="336">
        <v>0</v>
      </c>
      <c r="AT16" s="336">
        <v>0</v>
      </c>
      <c r="AU16" s="336">
        <v>0</v>
      </c>
      <c r="AV16" s="336">
        <v>0</v>
      </c>
      <c r="AW16" s="336">
        <v>0</v>
      </c>
      <c r="AX16" s="336">
        <v>0</v>
      </c>
      <c r="AY16" s="336">
        <v>0</v>
      </c>
      <c r="AZ16" s="336">
        <v>0</v>
      </c>
      <c r="BA16" s="336">
        <v>0</v>
      </c>
      <c r="BB16" s="373">
        <v>0</v>
      </c>
    </row>
    <row r="17" spans="1:54" x14ac:dyDescent="0.2">
      <c r="A17" s="436"/>
      <c r="B17" s="391" t="s">
        <v>199</v>
      </c>
      <c r="C17" s="381"/>
      <c r="D17" s="375"/>
      <c r="E17" s="375"/>
      <c r="F17" s="382"/>
      <c r="G17" s="379"/>
      <c r="H17" s="375"/>
      <c r="I17" s="375"/>
      <c r="J17" s="375"/>
      <c r="K17" s="381"/>
      <c r="L17" s="375"/>
      <c r="M17" s="375"/>
      <c r="N17" s="382"/>
      <c r="O17" s="379"/>
      <c r="P17" s="375"/>
      <c r="Q17" s="375"/>
      <c r="R17" s="376"/>
      <c r="T17" s="437"/>
      <c r="V17" s="436"/>
      <c r="W17" s="338" t="s">
        <v>192</v>
      </c>
      <c r="X17" s="340" t="str">
        <v/>
      </c>
      <c r="Y17" s="340">
        <v>0</v>
      </c>
      <c r="Z17" s="340">
        <v>0</v>
      </c>
      <c r="AA17" s="340">
        <v>0</v>
      </c>
      <c r="AB17" s="340">
        <v>0</v>
      </c>
      <c r="AC17" s="340">
        <v>0</v>
      </c>
      <c r="AD17" s="340">
        <v>0</v>
      </c>
      <c r="AE17" s="340">
        <v>0</v>
      </c>
      <c r="AF17" s="340">
        <v>0</v>
      </c>
      <c r="AG17" s="340">
        <v>0</v>
      </c>
      <c r="AH17" s="340">
        <v>0</v>
      </c>
      <c r="AI17" s="340">
        <v>0</v>
      </c>
      <c r="AJ17" s="340">
        <v>0</v>
      </c>
      <c r="AK17" s="340">
        <v>0</v>
      </c>
      <c r="AL17" s="340">
        <v>0</v>
      </c>
      <c r="AM17" s="340">
        <v>0</v>
      </c>
      <c r="AN17" s="340">
        <v>0</v>
      </c>
      <c r="AO17" s="340">
        <v>0</v>
      </c>
      <c r="AP17" s="340">
        <v>0</v>
      </c>
      <c r="AQ17" s="340">
        <v>0</v>
      </c>
      <c r="AR17" s="340">
        <v>0</v>
      </c>
      <c r="AS17" s="340">
        <v>0</v>
      </c>
      <c r="AT17" s="340">
        <v>0</v>
      </c>
      <c r="AU17" s="340">
        <v>0</v>
      </c>
      <c r="AV17" s="340">
        <v>0</v>
      </c>
      <c r="AW17" s="340">
        <v>0</v>
      </c>
      <c r="AX17" s="340">
        <v>0</v>
      </c>
      <c r="AY17" s="340">
        <v>0</v>
      </c>
      <c r="AZ17" s="340">
        <v>0</v>
      </c>
      <c r="BA17" s="340">
        <v>0</v>
      </c>
      <c r="BB17" s="374">
        <v>0</v>
      </c>
    </row>
    <row r="18" spans="1:54" x14ac:dyDescent="0.2">
      <c r="A18" s="436"/>
      <c r="B18" s="392" t="s">
        <v>200</v>
      </c>
      <c r="C18" s="383"/>
      <c r="D18" s="377"/>
      <c r="E18" s="377"/>
      <c r="F18" s="384"/>
      <c r="G18" s="380"/>
      <c r="H18" s="377"/>
      <c r="I18" s="377"/>
      <c r="J18" s="377"/>
      <c r="K18" s="383"/>
      <c r="L18" s="377"/>
      <c r="M18" s="377"/>
      <c r="N18" s="384"/>
      <c r="O18" s="380"/>
      <c r="P18" s="377"/>
      <c r="Q18" s="377"/>
      <c r="R18" s="378"/>
      <c r="T18" s="437"/>
    </row>
    <row r="19" spans="1:54" x14ac:dyDescent="0.2">
      <c r="A19" s="436"/>
      <c r="B19" s="391" t="s">
        <v>201</v>
      </c>
      <c r="C19" s="381"/>
      <c r="D19" s="375"/>
      <c r="E19" s="375"/>
      <c r="F19" s="382"/>
      <c r="G19" s="379"/>
      <c r="H19" s="375"/>
      <c r="I19" s="375"/>
      <c r="J19" s="375"/>
      <c r="K19" s="381"/>
      <c r="L19" s="375"/>
      <c r="M19" s="375"/>
      <c r="N19" s="382"/>
      <c r="O19" s="379"/>
      <c r="P19" s="375"/>
      <c r="Q19" s="375"/>
      <c r="R19" s="376"/>
      <c r="T19" s="437"/>
    </row>
    <row r="20" spans="1:54" x14ac:dyDescent="0.2">
      <c r="A20" s="436"/>
      <c r="B20" s="392" t="s">
        <v>202</v>
      </c>
      <c r="C20" s="383"/>
      <c r="D20" s="377"/>
      <c r="E20" s="377"/>
      <c r="F20" s="384"/>
      <c r="G20" s="380"/>
      <c r="H20" s="377"/>
      <c r="I20" s="377"/>
      <c r="J20" s="377"/>
      <c r="K20" s="383"/>
      <c r="L20" s="377"/>
      <c r="M20" s="377"/>
      <c r="N20" s="384"/>
      <c r="O20" s="380"/>
      <c r="P20" s="377"/>
      <c r="Q20" s="377"/>
      <c r="R20" s="378"/>
      <c r="T20" s="437"/>
      <c r="V20" s="436" t="s">
        <v>934</v>
      </c>
      <c r="W20" s="258" t="s">
        <v>0</v>
      </c>
      <c r="X20" s="258" t="s">
        <v>8</v>
      </c>
      <c r="Y20" s="258" t="s">
        <v>193</v>
      </c>
      <c r="Z20" s="258" t="s">
        <v>194</v>
      </c>
      <c r="AA20" s="258" t="s">
        <v>195</v>
      </c>
      <c r="AB20" s="258" t="s">
        <v>196</v>
      </c>
      <c r="AC20" s="258" t="s">
        <v>197</v>
      </c>
      <c r="AD20" s="258" t="s">
        <v>198</v>
      </c>
      <c r="AE20" s="258" t="s">
        <v>199</v>
      </c>
      <c r="AF20" s="258" t="s">
        <v>200</v>
      </c>
      <c r="AG20" s="258" t="s">
        <v>201</v>
      </c>
      <c r="AH20" s="258" t="s">
        <v>202</v>
      </c>
      <c r="AI20" s="258" t="s">
        <v>203</v>
      </c>
      <c r="AJ20" s="258" t="s">
        <v>204</v>
      </c>
      <c r="AK20" s="258" t="s">
        <v>205</v>
      </c>
      <c r="AL20" s="258" t="s">
        <v>206</v>
      </c>
      <c r="AM20" s="258" t="s">
        <v>207</v>
      </c>
      <c r="AN20" s="258" t="s">
        <v>208</v>
      </c>
      <c r="AO20" s="258" t="s">
        <v>209</v>
      </c>
      <c r="AP20" s="258" t="s">
        <v>210</v>
      </c>
      <c r="AQ20" s="258" t="s">
        <v>211</v>
      </c>
      <c r="AR20" s="258" t="s">
        <v>212</v>
      </c>
      <c r="AS20" s="258" t="s">
        <v>213</v>
      </c>
      <c r="AT20" s="258" t="s">
        <v>214</v>
      </c>
      <c r="AU20" s="258" t="s">
        <v>215</v>
      </c>
      <c r="AV20" s="258" t="s">
        <v>216</v>
      </c>
      <c r="AW20" s="258" t="s">
        <v>217</v>
      </c>
      <c r="AX20" s="258" t="s">
        <v>218</v>
      </c>
      <c r="AY20" s="258" t="s">
        <v>219</v>
      </c>
      <c r="AZ20" s="258" t="s">
        <v>220</v>
      </c>
      <c r="BA20" s="258" t="s">
        <v>221</v>
      </c>
      <c r="BB20" s="258" t="s">
        <v>13</v>
      </c>
    </row>
    <row r="21" spans="1:54" x14ac:dyDescent="0.2">
      <c r="A21" s="436"/>
      <c r="B21" s="391" t="s">
        <v>203</v>
      </c>
      <c r="C21" s="381"/>
      <c r="D21" s="375"/>
      <c r="E21" s="375"/>
      <c r="F21" s="382"/>
      <c r="G21" s="379"/>
      <c r="H21" s="375"/>
      <c r="I21" s="375"/>
      <c r="J21" s="375"/>
      <c r="K21" s="381"/>
      <c r="L21" s="375"/>
      <c r="M21" s="375"/>
      <c r="N21" s="382"/>
      <c r="O21" s="379"/>
      <c r="P21" s="375"/>
      <c r="Q21" s="375"/>
      <c r="R21" s="376"/>
      <c r="T21" s="437"/>
      <c r="V21" s="436"/>
      <c r="W21" s="4" t="s">
        <v>180</v>
      </c>
      <c r="X21" s="4" t="str">
        <f t="shared" ref="X21:X36" si="0">X2</f>
        <v/>
      </c>
      <c r="Y21" s="4">
        <f>Y2*IF(OR($X21="",$X21=0),0,IF($W21="A",'1.GLOBAL'!$C$51,IF($W21="B",'1.GLOBAL'!$C$59,IF($W21="C",'1.GLOBAL'!$C$67,'1.GLOBAL'!$C$75))))</f>
        <v>0</v>
      </c>
      <c r="Z21" s="4">
        <f>Z2*IF(OR($X21="",$X21=0),0,IF($W21="A",'1.GLOBAL'!$C$51,IF($W21="B",'1.GLOBAL'!$C$59,IF($W21="C",'1.GLOBAL'!$C$67,'1.GLOBAL'!$C$75))))</f>
        <v>0</v>
      </c>
      <c r="AA21" s="4">
        <f>AA2*IF(OR($X21="",$X21=0),0,IF($W21="A",'1.GLOBAL'!$C$51,IF($W21="B",'1.GLOBAL'!$C$59,IF($W21="C",'1.GLOBAL'!$C$67,'1.GLOBAL'!$C$75))))</f>
        <v>0</v>
      </c>
      <c r="AB21" s="4">
        <f>AB2*IF(OR($X21="",$X21=0),0,IF($W21="A",'1.GLOBAL'!$C$51,IF($W21="B",'1.GLOBAL'!$C$59,IF($W21="C",'1.GLOBAL'!$C$67,'1.GLOBAL'!$C$75))))</f>
        <v>0</v>
      </c>
      <c r="AC21" s="4">
        <f>AC2*IF(OR($X21="",$X21=0),0,IF($W21="A",'1.GLOBAL'!$C$51,IF($W21="B",'1.GLOBAL'!$C$59,IF($W21="C",'1.GLOBAL'!$C$67,'1.GLOBAL'!$C$75))))</f>
        <v>0</v>
      </c>
      <c r="AD21" s="4">
        <f>AD2*IF(OR($X21="",$X21=0),0,IF($W21="A",'1.GLOBAL'!$C$51,IF($W21="B",'1.GLOBAL'!$C$59,IF($W21="C",'1.GLOBAL'!$C$67,'1.GLOBAL'!$C$75))))</f>
        <v>0</v>
      </c>
      <c r="AE21" s="4">
        <f>AE2*IF(OR($X21="",$X21=0),0,IF($W21="A",'1.GLOBAL'!$C$51,IF($W21="B",'1.GLOBAL'!$C$59,IF($W21="C",'1.GLOBAL'!$C$67,'1.GLOBAL'!$C$75))))</f>
        <v>0</v>
      </c>
      <c r="AF21" s="4">
        <f>AF2*IF(OR($X21="",$X21=0),0,IF($W21="A",'1.GLOBAL'!$C$51,IF($W21="B",'1.GLOBAL'!$C$59,IF($W21="C",'1.GLOBAL'!$C$67,'1.GLOBAL'!$C$75))))</f>
        <v>0</v>
      </c>
      <c r="AG21" s="4">
        <f>AG2*IF(OR($X21="",$X21=0),0,IF($W21="A",'1.GLOBAL'!$C$51,IF($W21="B",'1.GLOBAL'!$C$59,IF($W21="C",'1.GLOBAL'!$C$67,'1.GLOBAL'!$C$75))))</f>
        <v>0</v>
      </c>
      <c r="AH21" s="4">
        <f>AH2*IF(OR($X21="",$X21=0),0,IF($W21="A",'1.GLOBAL'!$C$51,IF($W21="B",'1.GLOBAL'!$C$59,IF($W21="C",'1.GLOBAL'!$C$67,'1.GLOBAL'!$C$75))))</f>
        <v>0</v>
      </c>
      <c r="AI21" s="4">
        <f>AI2*IF(OR($X21="",$X21=0),0,IF($W21="A",'1.GLOBAL'!$C$51,IF($W21="B",'1.GLOBAL'!$C$59,IF($W21="C",'1.GLOBAL'!$C$67,'1.GLOBAL'!$C$75))))</f>
        <v>0</v>
      </c>
      <c r="AJ21" s="4">
        <f>AJ2*IF(OR($X21="",$X21=0),0,IF($W21="A",'1.GLOBAL'!$C$51,IF($W21="B",'1.GLOBAL'!$C$59,IF($W21="C",'1.GLOBAL'!$C$67,'1.GLOBAL'!$C$75))))</f>
        <v>0</v>
      </c>
      <c r="AK21" s="4">
        <f>AK2*IF(OR($X21="",$X21=0),0,IF($W21="A",'1.GLOBAL'!$C$51,IF($W21="B",'1.GLOBAL'!$C$59,IF($W21="C",'1.GLOBAL'!$C$67,'1.GLOBAL'!$C$75))))</f>
        <v>0</v>
      </c>
      <c r="AL21" s="4">
        <f>AL2*IF(OR($X21="",$X21=0),0,IF($W21="A",'1.GLOBAL'!$C$51,IF($W21="B",'1.GLOBAL'!$C$59,IF($W21="C",'1.GLOBAL'!$C$67,'1.GLOBAL'!$C$75))))</f>
        <v>0</v>
      </c>
      <c r="AM21" s="4">
        <f>AM2*IF(OR($X21="",$X21=0),0,IF($W21="A",'1.GLOBAL'!$C$51,IF($W21="B",'1.GLOBAL'!$C$59,IF($W21="C",'1.GLOBAL'!$C$67,'1.GLOBAL'!$C$75))))</f>
        <v>0</v>
      </c>
      <c r="AN21" s="4">
        <f>AN2*IF(OR($X21="",$X21=0),0,IF($W21="A",'1.GLOBAL'!$C$51,IF($W21="B",'1.GLOBAL'!$C$59,IF($W21="C",'1.GLOBAL'!$C$67,'1.GLOBAL'!$C$75))))</f>
        <v>0</v>
      </c>
      <c r="AO21" s="4">
        <f>AO2*IF(OR($X21="",$X21=0),0,IF($W21="A",'1.GLOBAL'!$C$51,IF($W21="B",'1.GLOBAL'!$C$59,IF($W21="C",'1.GLOBAL'!$C$67,'1.GLOBAL'!$C$75))))</f>
        <v>0</v>
      </c>
      <c r="AP21" s="4">
        <f>AP2*IF(OR($X21="",$X21=0),0,IF($W21="A",'1.GLOBAL'!$C$51,IF($W21="B",'1.GLOBAL'!$C$59,IF($W21="C",'1.GLOBAL'!$C$67,'1.GLOBAL'!$C$75))))</f>
        <v>0</v>
      </c>
      <c r="AQ21" s="4">
        <f>AQ2*IF(OR($X21="",$X21=0),0,IF($W21="A",'1.GLOBAL'!$C$51,IF($W21="B",'1.GLOBAL'!$C$59,IF($W21="C",'1.GLOBAL'!$C$67,'1.GLOBAL'!$C$75))))</f>
        <v>0</v>
      </c>
      <c r="AR21" s="4">
        <f>AR2*IF(OR($X21="",$X21=0),0,IF($W21="A",'1.GLOBAL'!$C$51,IF($W21="B",'1.GLOBAL'!$C$59,IF($W21="C",'1.GLOBAL'!$C$67,'1.GLOBAL'!$C$75))))</f>
        <v>0</v>
      </c>
      <c r="AS21" s="4">
        <f>AS2*IF(OR($X21="",$X21=0),0,IF($W21="A",'1.GLOBAL'!$C$51,IF($W21="B",'1.GLOBAL'!$C$59,IF($W21="C",'1.GLOBAL'!$C$67,'1.GLOBAL'!$C$75))))</f>
        <v>0</v>
      </c>
      <c r="AT21" s="4">
        <f>AT2*IF(OR($X21="",$X21=0),0,IF($W21="A",'1.GLOBAL'!$C$51,IF($W21="B",'1.GLOBAL'!$C$59,IF($W21="C",'1.GLOBAL'!$C$67,'1.GLOBAL'!$C$75))))</f>
        <v>0</v>
      </c>
      <c r="AU21" s="4">
        <f>AU2*IF(OR($X21="",$X21=0),0,IF($W21="A",'1.GLOBAL'!$C$51,IF($W21="B",'1.GLOBAL'!$C$59,IF($W21="C",'1.GLOBAL'!$C$67,'1.GLOBAL'!$C$75))))</f>
        <v>0</v>
      </c>
      <c r="AV21" s="4">
        <f>AV2*IF(OR($X21="",$X21=0),0,IF($W21="A",'1.GLOBAL'!$C$51,IF($W21="B",'1.GLOBAL'!$C$59,IF($W21="C",'1.GLOBAL'!$C$67,'1.GLOBAL'!$C$75))))</f>
        <v>0</v>
      </c>
      <c r="AW21" s="4">
        <f>AW2*IF(OR($X21="",$X21=0),0,IF($W21="A",'1.GLOBAL'!$C$51,IF($W21="B",'1.GLOBAL'!$C$59,IF($W21="C",'1.GLOBAL'!$C$67,'1.GLOBAL'!$C$75))))</f>
        <v>0</v>
      </c>
      <c r="AX21" s="4">
        <f>AX2*IF(OR($X21="",$X21=0),0,IF($W21="A",'1.GLOBAL'!$C$51,IF($W21="B",'1.GLOBAL'!$C$59,IF($W21="C",'1.GLOBAL'!$C$67,'1.GLOBAL'!$C$75))))</f>
        <v>0</v>
      </c>
      <c r="AY21" s="4">
        <f>AY2*IF(OR($X21="",$X21=0),0,IF($W21="A",'1.GLOBAL'!$C$51,IF($W21="B",'1.GLOBAL'!$C$59,IF($W21="C",'1.GLOBAL'!$C$67,'1.GLOBAL'!$C$75))))</f>
        <v>0</v>
      </c>
      <c r="AZ21" s="4">
        <f>AZ2*IF(OR($X21="",$X21=0),0,IF($W21="A",'1.GLOBAL'!$C$51,IF($W21="B",'1.GLOBAL'!$C$59,IF($W21="C",'1.GLOBAL'!$C$67,'1.GLOBAL'!$C$75))))</f>
        <v>0</v>
      </c>
      <c r="BA21" s="4">
        <f>BA2*IF(OR($X21="",$X21=0),0,IF($W21="A",'1.GLOBAL'!$C$51,IF($W21="B",'1.GLOBAL'!$C$59,IF($W21="C",'1.GLOBAL'!$C$67,'1.GLOBAL'!$C$75))))</f>
        <v>0</v>
      </c>
      <c r="BB21" s="4">
        <f t="shared" ref="BB21:BB36" si="1">SUM(Y21:BA21)</f>
        <v>0</v>
      </c>
    </row>
    <row r="22" spans="1:54" x14ac:dyDescent="0.2">
      <c r="A22" s="436"/>
      <c r="B22" s="392" t="s">
        <v>204</v>
      </c>
      <c r="C22" s="383"/>
      <c r="D22" s="377"/>
      <c r="E22" s="377"/>
      <c r="F22" s="384"/>
      <c r="G22" s="380"/>
      <c r="H22" s="377"/>
      <c r="I22" s="377"/>
      <c r="J22" s="377"/>
      <c r="K22" s="383"/>
      <c r="L22" s="377"/>
      <c r="M22" s="377"/>
      <c r="N22" s="384"/>
      <c r="O22" s="380"/>
      <c r="P22" s="377"/>
      <c r="Q22" s="377"/>
      <c r="R22" s="378"/>
      <c r="T22" s="437"/>
      <c r="V22" s="436"/>
      <c r="W22" s="4" t="s">
        <v>180</v>
      </c>
      <c r="X22" s="4" t="str">
        <f t="shared" si="0"/>
        <v/>
      </c>
      <c r="Y22" s="4">
        <f>Y3*IF(OR($X22="",$X22=0),0,IF($W22="A",'1.GLOBAL'!$C$51,IF($W22="B",'1.GLOBAL'!$C$59,IF($W22="C",'1.GLOBAL'!$C$67,'1.GLOBAL'!$C$75))))</f>
        <v>0</v>
      </c>
      <c r="Z22" s="4">
        <f>Z3*IF(OR($X22="",$X22=0),0,IF($W22="A",'1.GLOBAL'!$C$51,IF($W22="B",'1.GLOBAL'!$C$59,IF($W22="C",'1.GLOBAL'!$C$67,'1.GLOBAL'!$C$75))))</f>
        <v>0</v>
      </c>
      <c r="AA22" s="4">
        <f>AA3*IF(OR($X22="",$X22=0),0,IF($W22="A",'1.GLOBAL'!$C$51,IF($W22="B",'1.GLOBAL'!$C$59,IF($W22="C",'1.GLOBAL'!$C$67,'1.GLOBAL'!$C$75))))</f>
        <v>0</v>
      </c>
      <c r="AB22" s="4">
        <f>AB3*IF(OR($X22="",$X22=0),0,IF($W22="A",'1.GLOBAL'!$C$51,IF($W22="B",'1.GLOBAL'!$C$59,IF($W22="C",'1.GLOBAL'!$C$67,'1.GLOBAL'!$C$75))))</f>
        <v>0</v>
      </c>
      <c r="AC22" s="4">
        <f>AC3*IF(OR($X22="",$X22=0),0,IF($W22="A",'1.GLOBAL'!$C$51,IF($W22="B",'1.GLOBAL'!$C$59,IF($W22="C",'1.GLOBAL'!$C$67,'1.GLOBAL'!$C$75))))</f>
        <v>0</v>
      </c>
      <c r="AD22" s="4">
        <f>AD3*IF(OR($X22="",$X22=0),0,IF($W22="A",'1.GLOBAL'!$C$51,IF($W22="B",'1.GLOBAL'!$C$59,IF($W22="C",'1.GLOBAL'!$C$67,'1.GLOBAL'!$C$75))))</f>
        <v>0</v>
      </c>
      <c r="AE22" s="4">
        <f>AE3*IF(OR($X22="",$X22=0),0,IF($W22="A",'1.GLOBAL'!$C$51,IF($W22="B",'1.GLOBAL'!$C$59,IF($W22="C",'1.GLOBAL'!$C$67,'1.GLOBAL'!$C$75))))</f>
        <v>0</v>
      </c>
      <c r="AF22" s="4">
        <f>AF3*IF(OR($X22="",$X22=0),0,IF($W22="A",'1.GLOBAL'!$C$51,IF($W22="B",'1.GLOBAL'!$C$59,IF($W22="C",'1.GLOBAL'!$C$67,'1.GLOBAL'!$C$75))))</f>
        <v>0</v>
      </c>
      <c r="AG22" s="4">
        <f>AG3*IF(OR($X22="",$X22=0),0,IF($W22="A",'1.GLOBAL'!$C$51,IF($W22="B",'1.GLOBAL'!$C$59,IF($W22="C",'1.GLOBAL'!$C$67,'1.GLOBAL'!$C$75))))</f>
        <v>0</v>
      </c>
      <c r="AH22" s="4">
        <f>AH3*IF(OR($X22="",$X22=0),0,IF($W22="A",'1.GLOBAL'!$C$51,IF($W22="B",'1.GLOBAL'!$C$59,IF($W22="C",'1.GLOBAL'!$C$67,'1.GLOBAL'!$C$75))))</f>
        <v>0</v>
      </c>
      <c r="AI22" s="4">
        <f>AI3*IF(OR($X22="",$X22=0),0,IF($W22="A",'1.GLOBAL'!$C$51,IF($W22="B",'1.GLOBAL'!$C$59,IF($W22="C",'1.GLOBAL'!$C$67,'1.GLOBAL'!$C$75))))</f>
        <v>0</v>
      </c>
      <c r="AJ22" s="4">
        <f>AJ3*IF(OR($X22="",$X22=0),0,IF($W22="A",'1.GLOBAL'!$C$51,IF($W22="B",'1.GLOBAL'!$C$59,IF($W22="C",'1.GLOBAL'!$C$67,'1.GLOBAL'!$C$75))))</f>
        <v>0</v>
      </c>
      <c r="AK22" s="4">
        <f>AK3*IF(OR($X22="",$X22=0),0,IF($W22="A",'1.GLOBAL'!$C$51,IF($W22="B",'1.GLOBAL'!$C$59,IF($W22="C",'1.GLOBAL'!$C$67,'1.GLOBAL'!$C$75))))</f>
        <v>0</v>
      </c>
      <c r="AL22" s="4">
        <f>AL3*IF(OR($X22="",$X22=0),0,IF($W22="A",'1.GLOBAL'!$C$51,IF($W22="B",'1.GLOBAL'!$C$59,IF($W22="C",'1.GLOBAL'!$C$67,'1.GLOBAL'!$C$75))))</f>
        <v>0</v>
      </c>
      <c r="AM22" s="4">
        <f>AM3*IF(OR($X22="",$X22=0),0,IF($W22="A",'1.GLOBAL'!$C$51,IF($W22="B",'1.GLOBAL'!$C$59,IF($W22="C",'1.GLOBAL'!$C$67,'1.GLOBAL'!$C$75))))</f>
        <v>0</v>
      </c>
      <c r="AN22" s="4">
        <f>AN3*IF(OR($X22="",$X22=0),0,IF($W22="A",'1.GLOBAL'!$C$51,IF($W22="B",'1.GLOBAL'!$C$59,IF($W22="C",'1.GLOBAL'!$C$67,'1.GLOBAL'!$C$75))))</f>
        <v>0</v>
      </c>
      <c r="AO22" s="4">
        <f>AO3*IF(OR($X22="",$X22=0),0,IF($W22="A",'1.GLOBAL'!$C$51,IF($W22="B",'1.GLOBAL'!$C$59,IF($W22="C",'1.GLOBAL'!$C$67,'1.GLOBAL'!$C$75))))</f>
        <v>0</v>
      </c>
      <c r="AP22" s="4">
        <f>AP3*IF(OR($X22="",$X22=0),0,IF($W22="A",'1.GLOBAL'!$C$51,IF($W22="B",'1.GLOBAL'!$C$59,IF($W22="C",'1.GLOBAL'!$C$67,'1.GLOBAL'!$C$75))))</f>
        <v>0</v>
      </c>
      <c r="AQ22" s="4">
        <f>AQ3*IF(OR($X22="",$X22=0),0,IF($W22="A",'1.GLOBAL'!$C$51,IF($W22="B",'1.GLOBAL'!$C$59,IF($W22="C",'1.GLOBAL'!$C$67,'1.GLOBAL'!$C$75))))</f>
        <v>0</v>
      </c>
      <c r="AR22" s="4">
        <f>AR3*IF(OR($X22="",$X22=0),0,IF($W22="A",'1.GLOBAL'!$C$51,IF($W22="B",'1.GLOBAL'!$C$59,IF($W22="C",'1.GLOBAL'!$C$67,'1.GLOBAL'!$C$75))))</f>
        <v>0</v>
      </c>
      <c r="AS22" s="4">
        <f>AS3*IF(OR($X22="",$X22=0),0,IF($W22="A",'1.GLOBAL'!$C$51,IF($W22="B",'1.GLOBAL'!$C$59,IF($W22="C",'1.GLOBAL'!$C$67,'1.GLOBAL'!$C$75))))</f>
        <v>0</v>
      </c>
      <c r="AT22" s="4">
        <f>AT3*IF(OR($X22="",$X22=0),0,IF($W22="A",'1.GLOBAL'!$C$51,IF($W22="B",'1.GLOBAL'!$C$59,IF($W22="C",'1.GLOBAL'!$C$67,'1.GLOBAL'!$C$75))))</f>
        <v>0</v>
      </c>
      <c r="AU22" s="4">
        <f>AU3*IF(OR($X22="",$X22=0),0,IF($W22="A",'1.GLOBAL'!$C$51,IF($W22="B",'1.GLOBAL'!$C$59,IF($W22="C",'1.GLOBAL'!$C$67,'1.GLOBAL'!$C$75))))</f>
        <v>0</v>
      </c>
      <c r="AV22" s="4">
        <f>AV3*IF(OR($X22="",$X22=0),0,IF($W22="A",'1.GLOBAL'!$C$51,IF($W22="B",'1.GLOBAL'!$C$59,IF($W22="C",'1.GLOBAL'!$C$67,'1.GLOBAL'!$C$75))))</f>
        <v>0</v>
      </c>
      <c r="AW22" s="4">
        <f>AW3*IF(OR($X22="",$X22=0),0,IF($W22="A",'1.GLOBAL'!$C$51,IF($W22="B",'1.GLOBAL'!$C$59,IF($W22="C",'1.GLOBAL'!$C$67,'1.GLOBAL'!$C$75))))</f>
        <v>0</v>
      </c>
      <c r="AX22" s="4">
        <f>AX3*IF(OR($X22="",$X22=0),0,IF($W22="A",'1.GLOBAL'!$C$51,IF($W22="B",'1.GLOBAL'!$C$59,IF($W22="C",'1.GLOBAL'!$C$67,'1.GLOBAL'!$C$75))))</f>
        <v>0</v>
      </c>
      <c r="AY22" s="4">
        <f>AY3*IF(OR($X22="",$X22=0),0,IF($W22="A",'1.GLOBAL'!$C$51,IF($W22="B",'1.GLOBAL'!$C$59,IF($W22="C",'1.GLOBAL'!$C$67,'1.GLOBAL'!$C$75))))</f>
        <v>0</v>
      </c>
      <c r="AZ22" s="4">
        <f>AZ3*IF(OR($X22="",$X22=0),0,IF($W22="A",'1.GLOBAL'!$C$51,IF($W22="B",'1.GLOBAL'!$C$59,IF($W22="C",'1.GLOBAL'!$C$67,'1.GLOBAL'!$C$75))))</f>
        <v>0</v>
      </c>
      <c r="BA22" s="4">
        <f>BA3*IF(OR($X22="",$X22=0),0,IF($W22="A",'1.GLOBAL'!$C$51,IF($W22="B",'1.GLOBAL'!$C$59,IF($W22="C",'1.GLOBAL'!$C$67,'1.GLOBAL'!$C$75))))</f>
        <v>0</v>
      </c>
      <c r="BB22" s="4">
        <f t="shared" si="1"/>
        <v>0</v>
      </c>
    </row>
    <row r="23" spans="1:54" x14ac:dyDescent="0.2">
      <c r="A23" s="436"/>
      <c r="B23" s="391" t="s">
        <v>205</v>
      </c>
      <c r="C23" s="381"/>
      <c r="D23" s="375"/>
      <c r="E23" s="375"/>
      <c r="F23" s="382"/>
      <c r="G23" s="379"/>
      <c r="H23" s="375"/>
      <c r="I23" s="375"/>
      <c r="J23" s="375"/>
      <c r="K23" s="381"/>
      <c r="L23" s="375"/>
      <c r="M23" s="375"/>
      <c r="N23" s="382"/>
      <c r="O23" s="379"/>
      <c r="P23" s="375"/>
      <c r="Q23" s="375"/>
      <c r="R23" s="376"/>
      <c r="T23" s="437"/>
      <c r="V23" s="436"/>
      <c r="W23" s="4" t="s">
        <v>180</v>
      </c>
      <c r="X23" s="4" t="str">
        <f t="shared" si="0"/>
        <v/>
      </c>
      <c r="Y23" s="4">
        <f>Y4*IF(OR($X23="",$X23=0),0,IF($W23="A",'1.GLOBAL'!$C$51,IF($W23="B",'1.GLOBAL'!$C$59,IF($W23="C",'1.GLOBAL'!$C$67,'1.GLOBAL'!$C$75))))</f>
        <v>0</v>
      </c>
      <c r="Z23" s="4">
        <f>Z4*IF(OR($X23="",$X23=0),0,IF($W23="A",'1.GLOBAL'!$C$51,IF($W23="B",'1.GLOBAL'!$C$59,IF($W23="C",'1.GLOBAL'!$C$67,'1.GLOBAL'!$C$75))))</f>
        <v>0</v>
      </c>
      <c r="AA23" s="4">
        <f>AA4*IF(OR($X23="",$X23=0),0,IF($W23="A",'1.GLOBAL'!$C$51,IF($W23="B",'1.GLOBAL'!$C$59,IF($W23="C",'1.GLOBAL'!$C$67,'1.GLOBAL'!$C$75))))</f>
        <v>0</v>
      </c>
      <c r="AB23" s="4">
        <f>AB4*IF(OR($X23="",$X23=0),0,IF($W23="A",'1.GLOBAL'!$C$51,IF($W23="B",'1.GLOBAL'!$C$59,IF($W23="C",'1.GLOBAL'!$C$67,'1.GLOBAL'!$C$75))))</f>
        <v>0</v>
      </c>
      <c r="AC23" s="4">
        <f>AC4*IF(OR($X23="",$X23=0),0,IF($W23="A",'1.GLOBAL'!$C$51,IF($W23="B",'1.GLOBAL'!$C$59,IF($W23="C",'1.GLOBAL'!$C$67,'1.GLOBAL'!$C$75))))</f>
        <v>0</v>
      </c>
      <c r="AD23" s="4">
        <f>AD4*IF(OR($X23="",$X23=0),0,IF($W23="A",'1.GLOBAL'!$C$51,IF($W23="B",'1.GLOBAL'!$C$59,IF($W23="C",'1.GLOBAL'!$C$67,'1.GLOBAL'!$C$75))))</f>
        <v>0</v>
      </c>
      <c r="AE23" s="4">
        <f>AE4*IF(OR($X23="",$X23=0),0,IF($W23="A",'1.GLOBAL'!$C$51,IF($W23="B",'1.GLOBAL'!$C$59,IF($W23="C",'1.GLOBAL'!$C$67,'1.GLOBAL'!$C$75))))</f>
        <v>0</v>
      </c>
      <c r="AF23" s="4">
        <f>AF4*IF(OR($X23="",$X23=0),0,IF($W23="A",'1.GLOBAL'!$C$51,IF($W23="B",'1.GLOBAL'!$C$59,IF($W23="C",'1.GLOBAL'!$C$67,'1.GLOBAL'!$C$75))))</f>
        <v>0</v>
      </c>
      <c r="AG23" s="4">
        <f>AG4*IF(OR($X23="",$X23=0),0,IF($W23="A",'1.GLOBAL'!$C$51,IF($W23="B",'1.GLOBAL'!$C$59,IF($W23="C",'1.GLOBAL'!$C$67,'1.GLOBAL'!$C$75))))</f>
        <v>0</v>
      </c>
      <c r="AH23" s="4">
        <f>AH4*IF(OR($X23="",$X23=0),0,IF($W23="A",'1.GLOBAL'!$C$51,IF($W23="B",'1.GLOBAL'!$C$59,IF($W23="C",'1.GLOBAL'!$C$67,'1.GLOBAL'!$C$75))))</f>
        <v>0</v>
      </c>
      <c r="AI23" s="4">
        <f>AI4*IF(OR($X23="",$X23=0),0,IF($W23="A",'1.GLOBAL'!$C$51,IF($W23="B",'1.GLOBAL'!$C$59,IF($W23="C",'1.GLOBAL'!$C$67,'1.GLOBAL'!$C$75))))</f>
        <v>0</v>
      </c>
      <c r="AJ23" s="4">
        <f>AJ4*IF(OR($X23="",$X23=0),0,IF($W23="A",'1.GLOBAL'!$C$51,IF($W23="B",'1.GLOBAL'!$C$59,IF($W23="C",'1.GLOBAL'!$C$67,'1.GLOBAL'!$C$75))))</f>
        <v>0</v>
      </c>
      <c r="AK23" s="4">
        <f>AK4*IF(OR($X23="",$X23=0),0,IF($W23="A",'1.GLOBAL'!$C$51,IF($W23="B",'1.GLOBAL'!$C$59,IF($W23="C",'1.GLOBAL'!$C$67,'1.GLOBAL'!$C$75))))</f>
        <v>0</v>
      </c>
      <c r="AL23" s="4">
        <f>AL4*IF(OR($X23="",$X23=0),0,IF($W23="A",'1.GLOBAL'!$C$51,IF($W23="B",'1.GLOBAL'!$C$59,IF($W23="C",'1.GLOBAL'!$C$67,'1.GLOBAL'!$C$75))))</f>
        <v>0</v>
      </c>
      <c r="AM23" s="4">
        <f>AM4*IF(OR($X23="",$X23=0),0,IF($W23="A",'1.GLOBAL'!$C$51,IF($W23="B",'1.GLOBAL'!$C$59,IF($W23="C",'1.GLOBAL'!$C$67,'1.GLOBAL'!$C$75))))</f>
        <v>0</v>
      </c>
      <c r="AN23" s="4">
        <f>AN4*IF(OR($X23="",$X23=0),0,IF($W23="A",'1.GLOBAL'!$C$51,IF($W23="B",'1.GLOBAL'!$C$59,IF($W23="C",'1.GLOBAL'!$C$67,'1.GLOBAL'!$C$75))))</f>
        <v>0</v>
      </c>
      <c r="AO23" s="4">
        <f>AO4*IF(OR($X23="",$X23=0),0,IF($W23="A",'1.GLOBAL'!$C$51,IF($W23="B",'1.GLOBAL'!$C$59,IF($W23="C",'1.GLOBAL'!$C$67,'1.GLOBAL'!$C$75))))</f>
        <v>0</v>
      </c>
      <c r="AP23" s="4">
        <f>AP4*IF(OR($X23="",$X23=0),0,IF($W23="A",'1.GLOBAL'!$C$51,IF($W23="B",'1.GLOBAL'!$C$59,IF($W23="C",'1.GLOBAL'!$C$67,'1.GLOBAL'!$C$75))))</f>
        <v>0</v>
      </c>
      <c r="AQ23" s="4">
        <f>AQ4*IF(OR($X23="",$X23=0),0,IF($W23="A",'1.GLOBAL'!$C$51,IF($W23="B",'1.GLOBAL'!$C$59,IF($W23="C",'1.GLOBAL'!$C$67,'1.GLOBAL'!$C$75))))</f>
        <v>0</v>
      </c>
      <c r="AR23" s="4">
        <f>AR4*IF(OR($X23="",$X23=0),0,IF($W23="A",'1.GLOBAL'!$C$51,IF($W23="B",'1.GLOBAL'!$C$59,IF($W23="C",'1.GLOBAL'!$C$67,'1.GLOBAL'!$C$75))))</f>
        <v>0</v>
      </c>
      <c r="AS23" s="4">
        <f>AS4*IF(OR($X23="",$X23=0),0,IF($W23="A",'1.GLOBAL'!$C$51,IF($W23="B",'1.GLOBAL'!$C$59,IF($W23="C",'1.GLOBAL'!$C$67,'1.GLOBAL'!$C$75))))</f>
        <v>0</v>
      </c>
      <c r="AT23" s="4">
        <f>AT4*IF(OR($X23="",$X23=0),0,IF($W23="A",'1.GLOBAL'!$C$51,IF($W23="B",'1.GLOBAL'!$C$59,IF($W23="C",'1.GLOBAL'!$C$67,'1.GLOBAL'!$C$75))))</f>
        <v>0</v>
      </c>
      <c r="AU23" s="4">
        <f>AU4*IF(OR($X23="",$X23=0),0,IF($W23="A",'1.GLOBAL'!$C$51,IF($W23="B",'1.GLOBAL'!$C$59,IF($W23="C",'1.GLOBAL'!$C$67,'1.GLOBAL'!$C$75))))</f>
        <v>0</v>
      </c>
      <c r="AV23" s="4">
        <f>AV4*IF(OR($X23="",$X23=0),0,IF($W23="A",'1.GLOBAL'!$C$51,IF($W23="B",'1.GLOBAL'!$C$59,IF($W23="C",'1.GLOBAL'!$C$67,'1.GLOBAL'!$C$75))))</f>
        <v>0</v>
      </c>
      <c r="AW23" s="4">
        <f>AW4*IF(OR($X23="",$X23=0),0,IF($W23="A",'1.GLOBAL'!$C$51,IF($W23="B",'1.GLOBAL'!$C$59,IF($W23="C",'1.GLOBAL'!$C$67,'1.GLOBAL'!$C$75))))</f>
        <v>0</v>
      </c>
      <c r="AX23" s="4">
        <f>AX4*IF(OR($X23="",$X23=0),0,IF($W23="A",'1.GLOBAL'!$C$51,IF($W23="B",'1.GLOBAL'!$C$59,IF($W23="C",'1.GLOBAL'!$C$67,'1.GLOBAL'!$C$75))))</f>
        <v>0</v>
      </c>
      <c r="AY23" s="4">
        <f>AY4*IF(OR($X23="",$X23=0),0,IF($W23="A",'1.GLOBAL'!$C$51,IF($W23="B",'1.GLOBAL'!$C$59,IF($W23="C",'1.GLOBAL'!$C$67,'1.GLOBAL'!$C$75))))</f>
        <v>0</v>
      </c>
      <c r="AZ23" s="4">
        <f>AZ4*IF(OR($X23="",$X23=0),0,IF($W23="A",'1.GLOBAL'!$C$51,IF($W23="B",'1.GLOBAL'!$C$59,IF($W23="C",'1.GLOBAL'!$C$67,'1.GLOBAL'!$C$75))))</f>
        <v>0</v>
      </c>
      <c r="BA23" s="4">
        <f>BA4*IF(OR($X23="",$X23=0),0,IF($W23="A",'1.GLOBAL'!$C$51,IF($W23="B",'1.GLOBAL'!$C$59,IF($W23="C",'1.GLOBAL'!$C$67,'1.GLOBAL'!$C$75))))</f>
        <v>0</v>
      </c>
      <c r="BB23" s="4">
        <f t="shared" si="1"/>
        <v>0</v>
      </c>
    </row>
    <row r="24" spans="1:54" x14ac:dyDescent="0.2">
      <c r="A24" s="436"/>
      <c r="B24" s="392" t="s">
        <v>206</v>
      </c>
      <c r="C24" s="383"/>
      <c r="D24" s="377"/>
      <c r="E24" s="377"/>
      <c r="F24" s="384"/>
      <c r="G24" s="380"/>
      <c r="H24" s="377"/>
      <c r="I24" s="377"/>
      <c r="J24" s="377"/>
      <c r="K24" s="383"/>
      <c r="L24" s="377"/>
      <c r="M24" s="377"/>
      <c r="N24" s="384"/>
      <c r="O24" s="380"/>
      <c r="P24" s="377"/>
      <c r="Q24" s="377"/>
      <c r="R24" s="378"/>
      <c r="T24" s="437"/>
      <c r="V24" s="436"/>
      <c r="W24" s="4" t="s">
        <v>180</v>
      </c>
      <c r="X24" s="4" t="str">
        <f t="shared" si="0"/>
        <v/>
      </c>
      <c r="Y24" s="4">
        <f>Y5*IF(OR($X24="",$X24=0),0,IF($W24="A",'1.GLOBAL'!$C$51,IF($W24="B",'1.GLOBAL'!$C$59,IF($W24="C",'1.GLOBAL'!$C$67,'1.GLOBAL'!$C$75))))</f>
        <v>0</v>
      </c>
      <c r="Z24" s="4">
        <f>Z5*IF(OR($X24="",$X24=0),0,IF($W24="A",'1.GLOBAL'!$C$51,IF($W24="B",'1.GLOBAL'!$C$59,IF($W24="C",'1.GLOBAL'!$C$67,'1.GLOBAL'!$C$75))))</f>
        <v>0</v>
      </c>
      <c r="AA24" s="4">
        <f>AA5*IF(OR($X24="",$X24=0),0,IF($W24="A",'1.GLOBAL'!$C$51,IF($W24="B",'1.GLOBAL'!$C$59,IF($W24="C",'1.GLOBAL'!$C$67,'1.GLOBAL'!$C$75))))</f>
        <v>0</v>
      </c>
      <c r="AB24" s="4">
        <f>AB5*IF(OR($X24="",$X24=0),0,IF($W24="A",'1.GLOBAL'!$C$51,IF($W24="B",'1.GLOBAL'!$C$59,IF($W24="C",'1.GLOBAL'!$C$67,'1.GLOBAL'!$C$75))))</f>
        <v>0</v>
      </c>
      <c r="AC24" s="4">
        <f>AC5*IF(OR($X24="",$X24=0),0,IF($W24="A",'1.GLOBAL'!$C$51,IF($W24="B",'1.GLOBAL'!$C$59,IF($W24="C",'1.GLOBAL'!$C$67,'1.GLOBAL'!$C$75))))</f>
        <v>0</v>
      </c>
      <c r="AD24" s="4">
        <f>AD5*IF(OR($X24="",$X24=0),0,IF($W24="A",'1.GLOBAL'!$C$51,IF($W24="B",'1.GLOBAL'!$C$59,IF($W24="C",'1.GLOBAL'!$C$67,'1.GLOBAL'!$C$75))))</f>
        <v>0</v>
      </c>
      <c r="AE24" s="4">
        <f>AE5*IF(OR($X24="",$X24=0),0,IF($W24="A",'1.GLOBAL'!$C$51,IF($W24="B",'1.GLOBAL'!$C$59,IF($W24="C",'1.GLOBAL'!$C$67,'1.GLOBAL'!$C$75))))</f>
        <v>0</v>
      </c>
      <c r="AF24" s="4">
        <f>AF5*IF(OR($X24="",$X24=0),0,IF($W24="A",'1.GLOBAL'!$C$51,IF($W24="B",'1.GLOBAL'!$C$59,IF($W24="C",'1.GLOBAL'!$C$67,'1.GLOBAL'!$C$75))))</f>
        <v>0</v>
      </c>
      <c r="AG24" s="4">
        <f>AG5*IF(OR($X24="",$X24=0),0,IF($W24="A",'1.GLOBAL'!$C$51,IF($W24="B",'1.GLOBAL'!$C$59,IF($W24="C",'1.GLOBAL'!$C$67,'1.GLOBAL'!$C$75))))</f>
        <v>0</v>
      </c>
      <c r="AH24" s="4">
        <f>AH5*IF(OR($X24="",$X24=0),0,IF($W24="A",'1.GLOBAL'!$C$51,IF($W24="B",'1.GLOBAL'!$C$59,IF($W24="C",'1.GLOBAL'!$C$67,'1.GLOBAL'!$C$75))))</f>
        <v>0</v>
      </c>
      <c r="AI24" s="4">
        <f>AI5*IF(OR($X24="",$X24=0),0,IF($W24="A",'1.GLOBAL'!$C$51,IF($W24="B",'1.GLOBAL'!$C$59,IF($W24="C",'1.GLOBAL'!$C$67,'1.GLOBAL'!$C$75))))</f>
        <v>0</v>
      </c>
      <c r="AJ24" s="4">
        <f>AJ5*IF(OR($X24="",$X24=0),0,IF($W24="A",'1.GLOBAL'!$C$51,IF($W24="B",'1.GLOBAL'!$C$59,IF($W24="C",'1.GLOBAL'!$C$67,'1.GLOBAL'!$C$75))))</f>
        <v>0</v>
      </c>
      <c r="AK24" s="4">
        <f>AK5*IF(OR($X24="",$X24=0),0,IF($W24="A",'1.GLOBAL'!$C$51,IF($W24="B",'1.GLOBAL'!$C$59,IF($W24="C",'1.GLOBAL'!$C$67,'1.GLOBAL'!$C$75))))</f>
        <v>0</v>
      </c>
      <c r="AL24" s="4">
        <f>AL5*IF(OR($X24="",$X24=0),0,IF($W24="A",'1.GLOBAL'!$C$51,IF($W24="B",'1.GLOBAL'!$C$59,IF($W24="C",'1.GLOBAL'!$C$67,'1.GLOBAL'!$C$75))))</f>
        <v>0</v>
      </c>
      <c r="AM24" s="4">
        <f>AM5*IF(OR($X24="",$X24=0),0,IF($W24="A",'1.GLOBAL'!$C$51,IF($W24="B",'1.GLOBAL'!$C$59,IF($W24="C",'1.GLOBAL'!$C$67,'1.GLOBAL'!$C$75))))</f>
        <v>0</v>
      </c>
      <c r="AN24" s="4">
        <f>AN5*IF(OR($X24="",$X24=0),0,IF($W24="A",'1.GLOBAL'!$C$51,IF($W24="B",'1.GLOBAL'!$C$59,IF($W24="C",'1.GLOBAL'!$C$67,'1.GLOBAL'!$C$75))))</f>
        <v>0</v>
      </c>
      <c r="AO24" s="4">
        <f>AO5*IF(OR($X24="",$X24=0),0,IF($W24="A",'1.GLOBAL'!$C$51,IF($W24="B",'1.GLOBAL'!$C$59,IF($W24="C",'1.GLOBAL'!$C$67,'1.GLOBAL'!$C$75))))</f>
        <v>0</v>
      </c>
      <c r="AP24" s="4">
        <f>AP5*IF(OR($X24="",$X24=0),0,IF($W24="A",'1.GLOBAL'!$C$51,IF($W24="B",'1.GLOBAL'!$C$59,IF($W24="C",'1.GLOBAL'!$C$67,'1.GLOBAL'!$C$75))))</f>
        <v>0</v>
      </c>
      <c r="AQ24" s="4">
        <f>AQ5*IF(OR($X24="",$X24=0),0,IF($W24="A",'1.GLOBAL'!$C$51,IF($W24="B",'1.GLOBAL'!$C$59,IF($W24="C",'1.GLOBAL'!$C$67,'1.GLOBAL'!$C$75))))</f>
        <v>0</v>
      </c>
      <c r="AR24" s="4">
        <f>AR5*IF(OR($X24="",$X24=0),0,IF($W24="A",'1.GLOBAL'!$C$51,IF($W24="B",'1.GLOBAL'!$C$59,IF($W24="C",'1.GLOBAL'!$C$67,'1.GLOBAL'!$C$75))))</f>
        <v>0</v>
      </c>
      <c r="AS24" s="4">
        <f>AS5*IF(OR($X24="",$X24=0),0,IF($W24="A",'1.GLOBAL'!$C$51,IF($W24="B",'1.GLOBAL'!$C$59,IF($W24="C",'1.GLOBAL'!$C$67,'1.GLOBAL'!$C$75))))</f>
        <v>0</v>
      </c>
      <c r="AT24" s="4">
        <f>AT5*IF(OR($X24="",$X24=0),0,IF($W24="A",'1.GLOBAL'!$C$51,IF($W24="B",'1.GLOBAL'!$C$59,IF($W24="C",'1.GLOBAL'!$C$67,'1.GLOBAL'!$C$75))))</f>
        <v>0</v>
      </c>
      <c r="AU24" s="4">
        <f>AU5*IF(OR($X24="",$X24=0),0,IF($W24="A",'1.GLOBAL'!$C$51,IF($W24="B",'1.GLOBAL'!$C$59,IF($W24="C",'1.GLOBAL'!$C$67,'1.GLOBAL'!$C$75))))</f>
        <v>0</v>
      </c>
      <c r="AV24" s="4">
        <f>AV5*IF(OR($X24="",$X24=0),0,IF($W24="A",'1.GLOBAL'!$C$51,IF($W24="B",'1.GLOBAL'!$C$59,IF($W24="C",'1.GLOBAL'!$C$67,'1.GLOBAL'!$C$75))))</f>
        <v>0</v>
      </c>
      <c r="AW24" s="4">
        <f>AW5*IF(OR($X24="",$X24=0),0,IF($W24="A",'1.GLOBAL'!$C$51,IF($W24="B",'1.GLOBAL'!$C$59,IF($W24="C",'1.GLOBAL'!$C$67,'1.GLOBAL'!$C$75))))</f>
        <v>0</v>
      </c>
      <c r="AX24" s="4">
        <f>AX5*IF(OR($X24="",$X24=0),0,IF($W24="A",'1.GLOBAL'!$C$51,IF($W24="B",'1.GLOBAL'!$C$59,IF($W24="C",'1.GLOBAL'!$C$67,'1.GLOBAL'!$C$75))))</f>
        <v>0</v>
      </c>
      <c r="AY24" s="4">
        <f>AY5*IF(OR($X24="",$X24=0),0,IF($W24="A",'1.GLOBAL'!$C$51,IF($W24="B",'1.GLOBAL'!$C$59,IF($W24="C",'1.GLOBAL'!$C$67,'1.GLOBAL'!$C$75))))</f>
        <v>0</v>
      </c>
      <c r="AZ24" s="4">
        <f>AZ5*IF(OR($X24="",$X24=0),0,IF($W24="A",'1.GLOBAL'!$C$51,IF($W24="B",'1.GLOBAL'!$C$59,IF($W24="C",'1.GLOBAL'!$C$67,'1.GLOBAL'!$C$75))))</f>
        <v>0</v>
      </c>
      <c r="BA24" s="4">
        <f>BA5*IF(OR($X24="",$X24=0),0,IF($W24="A",'1.GLOBAL'!$C$51,IF($W24="B",'1.GLOBAL'!$C$59,IF($W24="C",'1.GLOBAL'!$C$67,'1.GLOBAL'!$C$75))))</f>
        <v>0</v>
      </c>
      <c r="BB24" s="4">
        <f t="shared" si="1"/>
        <v>0</v>
      </c>
    </row>
    <row r="25" spans="1:54" x14ac:dyDescent="0.2">
      <c r="A25" s="436"/>
      <c r="B25" s="391" t="s">
        <v>207</v>
      </c>
      <c r="C25" s="381"/>
      <c r="D25" s="375"/>
      <c r="E25" s="375"/>
      <c r="F25" s="382"/>
      <c r="G25" s="379"/>
      <c r="H25" s="375"/>
      <c r="I25" s="375"/>
      <c r="J25" s="375"/>
      <c r="K25" s="381"/>
      <c r="L25" s="375"/>
      <c r="M25" s="375"/>
      <c r="N25" s="382"/>
      <c r="O25" s="379"/>
      <c r="P25" s="375"/>
      <c r="Q25" s="375"/>
      <c r="R25" s="376"/>
      <c r="T25" s="437"/>
      <c r="V25" s="436"/>
      <c r="W25" s="4" t="s">
        <v>188</v>
      </c>
      <c r="X25" s="4" t="str">
        <f t="shared" si="0"/>
        <v/>
      </c>
      <c r="Y25" s="4">
        <f>Y6*IF(OR($X25="",$X25=0),0,IF($W25="A",'1.GLOBAL'!$C$51,IF($W25="B",'1.GLOBAL'!$C$59,IF($W25="C",'1.GLOBAL'!$C$67,'1.GLOBAL'!$C$75))))</f>
        <v>0</v>
      </c>
      <c r="Z25" s="4">
        <f>Z6*IF(OR($X25="",$X25=0),0,IF($W25="A",'1.GLOBAL'!$C$51,IF($W25="B",'1.GLOBAL'!$C$59,IF($W25="C",'1.GLOBAL'!$C$67,'1.GLOBAL'!$C$75))))</f>
        <v>0</v>
      </c>
      <c r="AA25" s="4">
        <f>AA6*IF(OR($X25="",$X25=0),0,IF($W25="A",'1.GLOBAL'!$C$51,IF($W25="B",'1.GLOBAL'!$C$59,IF($W25="C",'1.GLOBAL'!$C$67,'1.GLOBAL'!$C$75))))</f>
        <v>0</v>
      </c>
      <c r="AB25" s="4">
        <f>AB6*IF(OR($X25="",$X25=0),0,IF($W25="A",'1.GLOBAL'!$C$51,IF($W25="B",'1.GLOBAL'!$C$59,IF($W25="C",'1.GLOBAL'!$C$67,'1.GLOBAL'!$C$75))))</f>
        <v>0</v>
      </c>
      <c r="AC25" s="4">
        <f>AC6*IF(OR($X25="",$X25=0),0,IF($W25="A",'1.GLOBAL'!$C$51,IF($W25="B",'1.GLOBAL'!$C$59,IF($W25="C",'1.GLOBAL'!$C$67,'1.GLOBAL'!$C$75))))</f>
        <v>0</v>
      </c>
      <c r="AD25" s="4">
        <f>AD6*IF(OR($X25="",$X25=0),0,IF($W25="A",'1.GLOBAL'!$C$51,IF($W25="B",'1.GLOBAL'!$C$59,IF($W25="C",'1.GLOBAL'!$C$67,'1.GLOBAL'!$C$75))))</f>
        <v>0</v>
      </c>
      <c r="AE25" s="4">
        <f>AE6*IF(OR($X25="",$X25=0),0,IF($W25="A",'1.GLOBAL'!$C$51,IF($W25="B",'1.GLOBAL'!$C$59,IF($W25="C",'1.GLOBAL'!$C$67,'1.GLOBAL'!$C$75))))</f>
        <v>0</v>
      </c>
      <c r="AF25" s="4">
        <f>AF6*IF(OR($X25="",$X25=0),0,IF($W25="A",'1.GLOBAL'!$C$51,IF($W25="B",'1.GLOBAL'!$C$59,IF($W25="C",'1.GLOBAL'!$C$67,'1.GLOBAL'!$C$75))))</f>
        <v>0</v>
      </c>
      <c r="AG25" s="4">
        <f>AG6*IF(OR($X25="",$X25=0),0,IF($W25="A",'1.GLOBAL'!$C$51,IF($W25="B",'1.GLOBAL'!$C$59,IF($W25="C",'1.GLOBAL'!$C$67,'1.GLOBAL'!$C$75))))</f>
        <v>0</v>
      </c>
      <c r="AH25" s="4">
        <f>AH6*IF(OR($X25="",$X25=0),0,IF($W25="A",'1.GLOBAL'!$C$51,IF($W25="B",'1.GLOBAL'!$C$59,IF($W25="C",'1.GLOBAL'!$C$67,'1.GLOBAL'!$C$75))))</f>
        <v>0</v>
      </c>
      <c r="AI25" s="4">
        <f>AI6*IF(OR($X25="",$X25=0),0,IF($W25="A",'1.GLOBAL'!$C$51,IF($W25="B",'1.GLOBAL'!$C$59,IF($W25="C",'1.GLOBAL'!$C$67,'1.GLOBAL'!$C$75))))</f>
        <v>0</v>
      </c>
      <c r="AJ25" s="4">
        <f>AJ6*IF(OR($X25="",$X25=0),0,IF($W25="A",'1.GLOBAL'!$C$51,IF($W25="B",'1.GLOBAL'!$C$59,IF($W25="C",'1.GLOBAL'!$C$67,'1.GLOBAL'!$C$75))))</f>
        <v>0</v>
      </c>
      <c r="AK25" s="4">
        <f>AK6*IF(OR($X25="",$X25=0),0,IF($W25="A",'1.GLOBAL'!$C$51,IF($W25="B",'1.GLOBAL'!$C$59,IF($W25="C",'1.GLOBAL'!$C$67,'1.GLOBAL'!$C$75))))</f>
        <v>0</v>
      </c>
      <c r="AL25" s="4">
        <f>AL6*IF(OR($X25="",$X25=0),0,IF($W25="A",'1.GLOBAL'!$C$51,IF($W25="B",'1.GLOBAL'!$C$59,IF($W25="C",'1.GLOBAL'!$C$67,'1.GLOBAL'!$C$75))))</f>
        <v>0</v>
      </c>
      <c r="AM25" s="4">
        <f>AM6*IF(OR($X25="",$X25=0),0,IF($W25="A",'1.GLOBAL'!$C$51,IF($W25="B",'1.GLOBAL'!$C$59,IF($W25="C",'1.GLOBAL'!$C$67,'1.GLOBAL'!$C$75))))</f>
        <v>0</v>
      </c>
      <c r="AN25" s="4">
        <f>AN6*IF(OR($X25="",$X25=0),0,IF($W25="A",'1.GLOBAL'!$C$51,IF($W25="B",'1.GLOBAL'!$C$59,IF($W25="C",'1.GLOBAL'!$C$67,'1.GLOBAL'!$C$75))))</f>
        <v>0</v>
      </c>
      <c r="AO25" s="4">
        <f>AO6*IF(OR($X25="",$X25=0),0,IF($W25="A",'1.GLOBAL'!$C$51,IF($W25="B",'1.GLOBAL'!$C$59,IF($W25="C",'1.GLOBAL'!$C$67,'1.GLOBAL'!$C$75))))</f>
        <v>0</v>
      </c>
      <c r="AP25" s="4">
        <f>AP6*IF(OR($X25="",$X25=0),0,IF($W25="A",'1.GLOBAL'!$C$51,IF($W25="B",'1.GLOBAL'!$C$59,IF($W25="C",'1.GLOBAL'!$C$67,'1.GLOBAL'!$C$75))))</f>
        <v>0</v>
      </c>
      <c r="AQ25" s="4">
        <f>AQ6*IF(OR($X25="",$X25=0),0,IF($W25="A",'1.GLOBAL'!$C$51,IF($W25="B",'1.GLOBAL'!$C$59,IF($W25="C",'1.GLOBAL'!$C$67,'1.GLOBAL'!$C$75))))</f>
        <v>0</v>
      </c>
      <c r="AR25" s="4">
        <f>AR6*IF(OR($X25="",$X25=0),0,IF($W25="A",'1.GLOBAL'!$C$51,IF($W25="B",'1.GLOBAL'!$C$59,IF($W25="C",'1.GLOBAL'!$C$67,'1.GLOBAL'!$C$75))))</f>
        <v>0</v>
      </c>
      <c r="AS25" s="4">
        <f>AS6*IF(OR($X25="",$X25=0),0,IF($W25="A",'1.GLOBAL'!$C$51,IF($W25="B",'1.GLOBAL'!$C$59,IF($W25="C",'1.GLOBAL'!$C$67,'1.GLOBAL'!$C$75))))</f>
        <v>0</v>
      </c>
      <c r="AT25" s="4">
        <f>AT6*IF(OR($X25="",$X25=0),0,IF($W25="A",'1.GLOBAL'!$C$51,IF($W25="B",'1.GLOBAL'!$C$59,IF($W25="C",'1.GLOBAL'!$C$67,'1.GLOBAL'!$C$75))))</f>
        <v>0</v>
      </c>
      <c r="AU25" s="4">
        <f>AU6*IF(OR($X25="",$X25=0),0,IF($W25="A",'1.GLOBAL'!$C$51,IF($W25="B",'1.GLOBAL'!$C$59,IF($W25="C",'1.GLOBAL'!$C$67,'1.GLOBAL'!$C$75))))</f>
        <v>0</v>
      </c>
      <c r="AV25" s="4">
        <f>AV6*IF(OR($X25="",$X25=0),0,IF($W25="A",'1.GLOBAL'!$C$51,IF($W25="B",'1.GLOBAL'!$C$59,IF($W25="C",'1.GLOBAL'!$C$67,'1.GLOBAL'!$C$75))))</f>
        <v>0</v>
      </c>
      <c r="AW25" s="4">
        <f>AW6*IF(OR($X25="",$X25=0),0,IF($W25="A",'1.GLOBAL'!$C$51,IF($W25="B",'1.GLOBAL'!$C$59,IF($W25="C",'1.GLOBAL'!$C$67,'1.GLOBAL'!$C$75))))</f>
        <v>0</v>
      </c>
      <c r="AX25" s="4">
        <f>AX6*IF(OR($X25="",$X25=0),0,IF($W25="A",'1.GLOBAL'!$C$51,IF($W25="B",'1.GLOBAL'!$C$59,IF($W25="C",'1.GLOBAL'!$C$67,'1.GLOBAL'!$C$75))))</f>
        <v>0</v>
      </c>
      <c r="AY25" s="4">
        <f>AY6*IF(OR($X25="",$X25=0),0,IF($W25="A",'1.GLOBAL'!$C$51,IF($W25="B",'1.GLOBAL'!$C$59,IF($W25="C",'1.GLOBAL'!$C$67,'1.GLOBAL'!$C$75))))</f>
        <v>0</v>
      </c>
      <c r="AZ25" s="4">
        <f>AZ6*IF(OR($X25="",$X25=0),0,IF($W25="A",'1.GLOBAL'!$C$51,IF($W25="B",'1.GLOBAL'!$C$59,IF($W25="C",'1.GLOBAL'!$C$67,'1.GLOBAL'!$C$75))))</f>
        <v>0</v>
      </c>
      <c r="BA25" s="4">
        <f>BA6*IF(OR($X25="",$X25=0),0,IF($W25="A",'1.GLOBAL'!$C$51,IF($W25="B",'1.GLOBAL'!$C$59,IF($W25="C",'1.GLOBAL'!$C$67,'1.GLOBAL'!$C$75))))</f>
        <v>0</v>
      </c>
      <c r="BB25" s="4">
        <f t="shared" si="1"/>
        <v>0</v>
      </c>
    </row>
    <row r="26" spans="1:54" x14ac:dyDescent="0.2">
      <c r="A26" s="436"/>
      <c r="B26" s="392" t="s">
        <v>208</v>
      </c>
      <c r="C26" s="383"/>
      <c r="D26" s="377"/>
      <c r="E26" s="377"/>
      <c r="F26" s="384"/>
      <c r="G26" s="380"/>
      <c r="H26" s="377"/>
      <c r="I26" s="377"/>
      <c r="J26" s="377"/>
      <c r="K26" s="383"/>
      <c r="L26" s="377"/>
      <c r="M26" s="377"/>
      <c r="N26" s="384"/>
      <c r="O26" s="380"/>
      <c r="P26" s="377"/>
      <c r="Q26" s="377"/>
      <c r="R26" s="378"/>
      <c r="T26" s="437"/>
      <c r="V26" s="436"/>
      <c r="W26" s="4" t="s">
        <v>188</v>
      </c>
      <c r="X26" s="4" t="str">
        <f t="shared" si="0"/>
        <v/>
      </c>
      <c r="Y26" s="4">
        <f>Y7*IF(OR($X26="",$X26=0),0,IF($W26="A",'1.GLOBAL'!$C$51,IF($W26="B",'1.GLOBAL'!$C$59,IF($W26="C",'1.GLOBAL'!$C$67,'1.GLOBAL'!$C$75))))</f>
        <v>0</v>
      </c>
      <c r="Z26" s="4">
        <f>Z7*IF(OR($X26="",$X26=0),0,IF($W26="A",'1.GLOBAL'!$C$51,IF($W26="B",'1.GLOBAL'!$C$59,IF($W26="C",'1.GLOBAL'!$C$67,'1.GLOBAL'!$C$75))))</f>
        <v>0</v>
      </c>
      <c r="AA26" s="4">
        <f>AA7*IF(OR($X26="",$X26=0),0,IF($W26="A",'1.GLOBAL'!$C$51,IF($W26="B",'1.GLOBAL'!$C$59,IF($W26="C",'1.GLOBAL'!$C$67,'1.GLOBAL'!$C$75))))</f>
        <v>0</v>
      </c>
      <c r="AB26" s="4">
        <f>AB7*IF(OR($X26="",$X26=0),0,IF($W26="A",'1.GLOBAL'!$C$51,IF($W26="B",'1.GLOBAL'!$C$59,IF($W26="C",'1.GLOBAL'!$C$67,'1.GLOBAL'!$C$75))))</f>
        <v>0</v>
      </c>
      <c r="AC26" s="4">
        <f>AC7*IF(OR($X26="",$X26=0),0,IF($W26="A",'1.GLOBAL'!$C$51,IF($W26="B",'1.GLOBAL'!$C$59,IF($W26="C",'1.GLOBAL'!$C$67,'1.GLOBAL'!$C$75))))</f>
        <v>0</v>
      </c>
      <c r="AD26" s="4">
        <f>AD7*IF(OR($X26="",$X26=0),0,IF($W26="A",'1.GLOBAL'!$C$51,IF($W26="B",'1.GLOBAL'!$C$59,IF($W26="C",'1.GLOBAL'!$C$67,'1.GLOBAL'!$C$75))))</f>
        <v>0</v>
      </c>
      <c r="AE26" s="4">
        <f>AE7*IF(OR($X26="",$X26=0),0,IF($W26="A",'1.GLOBAL'!$C$51,IF($W26="B",'1.GLOBAL'!$C$59,IF($W26="C",'1.GLOBAL'!$C$67,'1.GLOBAL'!$C$75))))</f>
        <v>0</v>
      </c>
      <c r="AF26" s="4">
        <f>AF7*IF(OR($X26="",$X26=0),0,IF($W26="A",'1.GLOBAL'!$C$51,IF($W26="B",'1.GLOBAL'!$C$59,IF($W26="C",'1.GLOBAL'!$C$67,'1.GLOBAL'!$C$75))))</f>
        <v>0</v>
      </c>
      <c r="AG26" s="4">
        <f>AG7*IF(OR($X26="",$X26=0),0,IF($W26="A",'1.GLOBAL'!$C$51,IF($W26="B",'1.GLOBAL'!$C$59,IF($W26="C",'1.GLOBAL'!$C$67,'1.GLOBAL'!$C$75))))</f>
        <v>0</v>
      </c>
      <c r="AH26" s="4">
        <f>AH7*IF(OR($X26="",$X26=0),0,IF($W26="A",'1.GLOBAL'!$C$51,IF($W26="B",'1.GLOBAL'!$C$59,IF($W26="C",'1.GLOBAL'!$C$67,'1.GLOBAL'!$C$75))))</f>
        <v>0</v>
      </c>
      <c r="AI26" s="4">
        <f>AI7*IF(OR($X26="",$X26=0),0,IF($W26="A",'1.GLOBAL'!$C$51,IF($W26="B",'1.GLOBAL'!$C$59,IF($W26="C",'1.GLOBAL'!$C$67,'1.GLOBAL'!$C$75))))</f>
        <v>0</v>
      </c>
      <c r="AJ26" s="4">
        <f>AJ7*IF(OR($X26="",$X26=0),0,IF($W26="A",'1.GLOBAL'!$C$51,IF($W26="B",'1.GLOBAL'!$C$59,IF($W26="C",'1.GLOBAL'!$C$67,'1.GLOBAL'!$C$75))))</f>
        <v>0</v>
      </c>
      <c r="AK26" s="4">
        <f>AK7*IF(OR($X26="",$X26=0),0,IF($W26="A",'1.GLOBAL'!$C$51,IF($W26="B",'1.GLOBAL'!$C$59,IF($W26="C",'1.GLOBAL'!$C$67,'1.GLOBAL'!$C$75))))</f>
        <v>0</v>
      </c>
      <c r="AL26" s="4">
        <f>AL7*IF(OR($X26="",$X26=0),0,IF($W26="A",'1.GLOBAL'!$C$51,IF($W26="B",'1.GLOBAL'!$C$59,IF($W26="C",'1.GLOBAL'!$C$67,'1.GLOBAL'!$C$75))))</f>
        <v>0</v>
      </c>
      <c r="AM26" s="4">
        <f>AM7*IF(OR($X26="",$X26=0),0,IF($W26="A",'1.GLOBAL'!$C$51,IF($W26="B",'1.GLOBAL'!$C$59,IF($W26="C",'1.GLOBAL'!$C$67,'1.GLOBAL'!$C$75))))</f>
        <v>0</v>
      </c>
      <c r="AN26" s="4">
        <f>AN7*IF(OR($X26="",$X26=0),0,IF($W26="A",'1.GLOBAL'!$C$51,IF($W26="B",'1.GLOBAL'!$C$59,IF($W26="C",'1.GLOBAL'!$C$67,'1.GLOBAL'!$C$75))))</f>
        <v>0</v>
      </c>
      <c r="AO26" s="4">
        <f>AO7*IF(OR($X26="",$X26=0),0,IF($W26="A",'1.GLOBAL'!$C$51,IF($W26="B",'1.GLOBAL'!$C$59,IF($W26="C",'1.GLOBAL'!$C$67,'1.GLOBAL'!$C$75))))</f>
        <v>0</v>
      </c>
      <c r="AP26" s="4">
        <f>AP7*IF(OR($X26="",$X26=0),0,IF($W26="A",'1.GLOBAL'!$C$51,IF($W26="B",'1.GLOBAL'!$C$59,IF($W26="C",'1.GLOBAL'!$C$67,'1.GLOBAL'!$C$75))))</f>
        <v>0</v>
      </c>
      <c r="AQ26" s="4">
        <f>AQ7*IF(OR($X26="",$X26=0),0,IF($W26="A",'1.GLOBAL'!$C$51,IF($W26="B",'1.GLOBAL'!$C$59,IF($W26="C",'1.GLOBAL'!$C$67,'1.GLOBAL'!$C$75))))</f>
        <v>0</v>
      </c>
      <c r="AR26" s="4">
        <f>AR7*IF(OR($X26="",$X26=0),0,IF($W26="A",'1.GLOBAL'!$C$51,IF($W26="B",'1.GLOBAL'!$C$59,IF($W26="C",'1.GLOBAL'!$C$67,'1.GLOBAL'!$C$75))))</f>
        <v>0</v>
      </c>
      <c r="AS26" s="4">
        <f>AS7*IF(OR($X26="",$X26=0),0,IF($W26="A",'1.GLOBAL'!$C$51,IF($W26="B",'1.GLOBAL'!$C$59,IF($W26="C",'1.GLOBAL'!$C$67,'1.GLOBAL'!$C$75))))</f>
        <v>0</v>
      </c>
      <c r="AT26" s="4">
        <f>AT7*IF(OR($X26="",$X26=0),0,IF($W26="A",'1.GLOBAL'!$C$51,IF($W26="B",'1.GLOBAL'!$C$59,IF($W26="C",'1.GLOBAL'!$C$67,'1.GLOBAL'!$C$75))))</f>
        <v>0</v>
      </c>
      <c r="AU26" s="4">
        <f>AU7*IF(OR($X26="",$X26=0),0,IF($W26="A",'1.GLOBAL'!$C$51,IF($W26="B",'1.GLOBAL'!$C$59,IF($W26="C",'1.GLOBAL'!$C$67,'1.GLOBAL'!$C$75))))</f>
        <v>0</v>
      </c>
      <c r="AV26" s="4">
        <f>AV7*IF(OR($X26="",$X26=0),0,IF($W26="A",'1.GLOBAL'!$C$51,IF($W26="B",'1.GLOBAL'!$C$59,IF($W26="C",'1.GLOBAL'!$C$67,'1.GLOBAL'!$C$75))))</f>
        <v>0</v>
      </c>
      <c r="AW26" s="4">
        <f>AW7*IF(OR($X26="",$X26=0),0,IF($W26="A",'1.GLOBAL'!$C$51,IF($W26="B",'1.GLOBAL'!$C$59,IF($W26="C",'1.GLOBAL'!$C$67,'1.GLOBAL'!$C$75))))</f>
        <v>0</v>
      </c>
      <c r="AX26" s="4">
        <f>AX7*IF(OR($X26="",$X26=0),0,IF($W26="A",'1.GLOBAL'!$C$51,IF($W26="B",'1.GLOBAL'!$C$59,IF($W26="C",'1.GLOBAL'!$C$67,'1.GLOBAL'!$C$75))))</f>
        <v>0</v>
      </c>
      <c r="AY26" s="4">
        <f>AY7*IF(OR($X26="",$X26=0),0,IF($W26="A",'1.GLOBAL'!$C$51,IF($W26="B",'1.GLOBAL'!$C$59,IF($W26="C",'1.GLOBAL'!$C$67,'1.GLOBAL'!$C$75))))</f>
        <v>0</v>
      </c>
      <c r="AZ26" s="4">
        <f>AZ7*IF(OR($X26="",$X26=0),0,IF($W26="A",'1.GLOBAL'!$C$51,IF($W26="B",'1.GLOBAL'!$C$59,IF($W26="C",'1.GLOBAL'!$C$67,'1.GLOBAL'!$C$75))))</f>
        <v>0</v>
      </c>
      <c r="BA26" s="4">
        <f>BA7*IF(OR($X26="",$X26=0),0,IF($W26="A",'1.GLOBAL'!$C$51,IF($W26="B",'1.GLOBAL'!$C$59,IF($W26="C",'1.GLOBAL'!$C$67,'1.GLOBAL'!$C$75))))</f>
        <v>0</v>
      </c>
      <c r="BB26" s="4">
        <f t="shared" si="1"/>
        <v>0</v>
      </c>
    </row>
    <row r="27" spans="1:54" x14ac:dyDescent="0.2">
      <c r="A27" s="436"/>
      <c r="B27" s="391" t="s">
        <v>209</v>
      </c>
      <c r="C27" s="381"/>
      <c r="D27" s="375"/>
      <c r="E27" s="375"/>
      <c r="F27" s="382"/>
      <c r="G27" s="379"/>
      <c r="H27" s="375"/>
      <c r="I27" s="375"/>
      <c r="J27" s="375"/>
      <c r="K27" s="381"/>
      <c r="L27" s="375"/>
      <c r="M27" s="375"/>
      <c r="N27" s="382"/>
      <c r="O27" s="379"/>
      <c r="P27" s="375"/>
      <c r="Q27" s="375"/>
      <c r="R27" s="376"/>
      <c r="T27" s="437"/>
      <c r="V27" s="436"/>
      <c r="W27" s="4" t="s">
        <v>188</v>
      </c>
      <c r="X27" s="4" t="str">
        <f t="shared" si="0"/>
        <v/>
      </c>
      <c r="Y27" s="4">
        <f>Y8*IF(OR($X27="",$X27=0),0,IF($W27="A",'1.GLOBAL'!$C$51,IF($W27="B",'1.GLOBAL'!$C$59,IF($W27="C",'1.GLOBAL'!$C$67,'1.GLOBAL'!$C$75))))</f>
        <v>0</v>
      </c>
      <c r="Z27" s="4">
        <f>Z8*IF(OR($X27="",$X27=0),0,IF($W27="A",'1.GLOBAL'!$C$51,IF($W27="B",'1.GLOBAL'!$C$59,IF($W27="C",'1.GLOBAL'!$C$67,'1.GLOBAL'!$C$75))))</f>
        <v>0</v>
      </c>
      <c r="AA27" s="4">
        <f>AA8*IF(OR($X27="",$X27=0),0,IF($W27="A",'1.GLOBAL'!$C$51,IF($W27="B",'1.GLOBAL'!$C$59,IF($W27="C",'1.GLOBAL'!$C$67,'1.GLOBAL'!$C$75))))</f>
        <v>0</v>
      </c>
      <c r="AB27" s="4">
        <f>AB8*IF(OR($X27="",$X27=0),0,IF($W27="A",'1.GLOBAL'!$C$51,IF($W27="B",'1.GLOBAL'!$C$59,IF($W27="C",'1.GLOBAL'!$C$67,'1.GLOBAL'!$C$75))))</f>
        <v>0</v>
      </c>
      <c r="AC27" s="4">
        <f>AC8*IF(OR($X27="",$X27=0),0,IF($W27="A",'1.GLOBAL'!$C$51,IF($W27="B",'1.GLOBAL'!$C$59,IF($W27="C",'1.GLOBAL'!$C$67,'1.GLOBAL'!$C$75))))</f>
        <v>0</v>
      </c>
      <c r="AD27" s="4">
        <f>AD8*IF(OR($X27="",$X27=0),0,IF($W27="A",'1.GLOBAL'!$C$51,IF($W27="B",'1.GLOBAL'!$C$59,IF($W27="C",'1.GLOBAL'!$C$67,'1.GLOBAL'!$C$75))))</f>
        <v>0</v>
      </c>
      <c r="AE27" s="4">
        <f>AE8*IF(OR($X27="",$X27=0),0,IF($W27="A",'1.GLOBAL'!$C$51,IF($W27="B",'1.GLOBAL'!$C$59,IF($W27="C",'1.GLOBAL'!$C$67,'1.GLOBAL'!$C$75))))</f>
        <v>0</v>
      </c>
      <c r="AF27" s="4">
        <f>AF8*IF(OR($X27="",$X27=0),0,IF($W27="A",'1.GLOBAL'!$C$51,IF($W27="B",'1.GLOBAL'!$C$59,IF($W27="C",'1.GLOBAL'!$C$67,'1.GLOBAL'!$C$75))))</f>
        <v>0</v>
      </c>
      <c r="AG27" s="4">
        <f>AG8*IF(OR($X27="",$X27=0),0,IF($W27="A",'1.GLOBAL'!$C$51,IF($W27="B",'1.GLOBAL'!$C$59,IF($W27="C",'1.GLOBAL'!$C$67,'1.GLOBAL'!$C$75))))</f>
        <v>0</v>
      </c>
      <c r="AH27" s="4">
        <f>AH8*IF(OR($X27="",$X27=0),0,IF($W27="A",'1.GLOBAL'!$C$51,IF($W27="B",'1.GLOBAL'!$C$59,IF($W27="C",'1.GLOBAL'!$C$67,'1.GLOBAL'!$C$75))))</f>
        <v>0</v>
      </c>
      <c r="AI27" s="4">
        <f>AI8*IF(OR($X27="",$X27=0),0,IF($W27="A",'1.GLOBAL'!$C$51,IF($W27="B",'1.GLOBAL'!$C$59,IF($W27="C",'1.GLOBAL'!$C$67,'1.GLOBAL'!$C$75))))</f>
        <v>0</v>
      </c>
      <c r="AJ27" s="4">
        <f>AJ8*IF(OR($X27="",$X27=0),0,IF($W27="A",'1.GLOBAL'!$C$51,IF($W27="B",'1.GLOBAL'!$C$59,IF($W27="C",'1.GLOBAL'!$C$67,'1.GLOBAL'!$C$75))))</f>
        <v>0</v>
      </c>
      <c r="AK27" s="4">
        <f>AK8*IF(OR($X27="",$X27=0),0,IF($W27="A",'1.GLOBAL'!$C$51,IF($W27="B",'1.GLOBAL'!$C$59,IF($W27="C",'1.GLOBAL'!$C$67,'1.GLOBAL'!$C$75))))</f>
        <v>0</v>
      </c>
      <c r="AL27" s="4">
        <f>AL8*IF(OR($X27="",$X27=0),0,IF($W27="A",'1.GLOBAL'!$C$51,IF($W27="B",'1.GLOBAL'!$C$59,IF($W27="C",'1.GLOBAL'!$C$67,'1.GLOBAL'!$C$75))))</f>
        <v>0</v>
      </c>
      <c r="AM27" s="4">
        <f>AM8*IF(OR($X27="",$X27=0),0,IF($W27="A",'1.GLOBAL'!$C$51,IF($W27="B",'1.GLOBAL'!$C$59,IF($W27="C",'1.GLOBAL'!$C$67,'1.GLOBAL'!$C$75))))</f>
        <v>0</v>
      </c>
      <c r="AN27" s="4">
        <f>AN8*IF(OR($X27="",$X27=0),0,IF($W27="A",'1.GLOBAL'!$C$51,IF($W27="B",'1.GLOBAL'!$C$59,IF($W27="C",'1.GLOBAL'!$C$67,'1.GLOBAL'!$C$75))))</f>
        <v>0</v>
      </c>
      <c r="AO27" s="4">
        <f>AO8*IF(OR($X27="",$X27=0),0,IF($W27="A",'1.GLOBAL'!$C$51,IF($W27="B",'1.GLOBAL'!$C$59,IF($W27="C",'1.GLOBAL'!$C$67,'1.GLOBAL'!$C$75))))</f>
        <v>0</v>
      </c>
      <c r="AP27" s="4">
        <f>AP8*IF(OR($X27="",$X27=0),0,IF($W27="A",'1.GLOBAL'!$C$51,IF($W27="B",'1.GLOBAL'!$C$59,IF($W27="C",'1.GLOBAL'!$C$67,'1.GLOBAL'!$C$75))))</f>
        <v>0</v>
      </c>
      <c r="AQ27" s="4">
        <f>AQ8*IF(OR($X27="",$X27=0),0,IF($W27="A",'1.GLOBAL'!$C$51,IF($W27="B",'1.GLOBAL'!$C$59,IF($W27="C",'1.GLOBAL'!$C$67,'1.GLOBAL'!$C$75))))</f>
        <v>0</v>
      </c>
      <c r="AR27" s="4">
        <f>AR8*IF(OR($X27="",$X27=0),0,IF($W27="A",'1.GLOBAL'!$C$51,IF($W27="B",'1.GLOBAL'!$C$59,IF($W27="C",'1.GLOBAL'!$C$67,'1.GLOBAL'!$C$75))))</f>
        <v>0</v>
      </c>
      <c r="AS27" s="4">
        <f>AS8*IF(OR($X27="",$X27=0),0,IF($W27="A",'1.GLOBAL'!$C$51,IF($W27="B",'1.GLOBAL'!$C$59,IF($W27="C",'1.GLOBAL'!$C$67,'1.GLOBAL'!$C$75))))</f>
        <v>0</v>
      </c>
      <c r="AT27" s="4">
        <f>AT8*IF(OR($X27="",$X27=0),0,IF($W27="A",'1.GLOBAL'!$C$51,IF($W27="B",'1.GLOBAL'!$C$59,IF($W27="C",'1.GLOBAL'!$C$67,'1.GLOBAL'!$C$75))))</f>
        <v>0</v>
      </c>
      <c r="AU27" s="4">
        <f>AU8*IF(OR($X27="",$X27=0),0,IF($W27="A",'1.GLOBAL'!$C$51,IF($W27="B",'1.GLOBAL'!$C$59,IF($W27="C",'1.GLOBAL'!$C$67,'1.GLOBAL'!$C$75))))</f>
        <v>0</v>
      </c>
      <c r="AV27" s="4">
        <f>AV8*IF(OR($X27="",$X27=0),0,IF($W27="A",'1.GLOBAL'!$C$51,IF($W27="B",'1.GLOBAL'!$C$59,IF($W27="C",'1.GLOBAL'!$C$67,'1.GLOBAL'!$C$75))))</f>
        <v>0</v>
      </c>
      <c r="AW27" s="4">
        <f>AW8*IF(OR($X27="",$X27=0),0,IF($W27="A",'1.GLOBAL'!$C$51,IF($W27="B",'1.GLOBAL'!$C$59,IF($W27="C",'1.GLOBAL'!$C$67,'1.GLOBAL'!$C$75))))</f>
        <v>0</v>
      </c>
      <c r="AX27" s="4">
        <f>AX8*IF(OR($X27="",$X27=0),0,IF($W27="A",'1.GLOBAL'!$C$51,IF($W27="B",'1.GLOBAL'!$C$59,IF($W27="C",'1.GLOBAL'!$C$67,'1.GLOBAL'!$C$75))))</f>
        <v>0</v>
      </c>
      <c r="AY27" s="4">
        <f>AY8*IF(OR($X27="",$X27=0),0,IF($W27="A",'1.GLOBAL'!$C$51,IF($W27="B",'1.GLOBAL'!$C$59,IF($W27="C",'1.GLOBAL'!$C$67,'1.GLOBAL'!$C$75))))</f>
        <v>0</v>
      </c>
      <c r="AZ27" s="4">
        <f>AZ8*IF(OR($X27="",$X27=0),0,IF($W27="A",'1.GLOBAL'!$C$51,IF($W27="B",'1.GLOBAL'!$C$59,IF($W27="C",'1.GLOBAL'!$C$67,'1.GLOBAL'!$C$75))))</f>
        <v>0</v>
      </c>
      <c r="BA27" s="4">
        <f>BA8*IF(OR($X27="",$X27=0),0,IF($W27="A",'1.GLOBAL'!$C$51,IF($W27="B",'1.GLOBAL'!$C$59,IF($W27="C",'1.GLOBAL'!$C$67,'1.GLOBAL'!$C$75))))</f>
        <v>0</v>
      </c>
      <c r="BB27" s="4">
        <f t="shared" si="1"/>
        <v>0</v>
      </c>
    </row>
    <row r="28" spans="1:54" x14ac:dyDescent="0.2">
      <c r="A28" s="436"/>
      <c r="B28" s="392" t="s">
        <v>210</v>
      </c>
      <c r="C28" s="383"/>
      <c r="D28" s="377"/>
      <c r="E28" s="377"/>
      <c r="F28" s="384"/>
      <c r="G28" s="380"/>
      <c r="H28" s="377"/>
      <c r="I28" s="377"/>
      <c r="J28" s="377"/>
      <c r="K28" s="383"/>
      <c r="L28" s="377"/>
      <c r="M28" s="377"/>
      <c r="N28" s="384"/>
      <c r="O28" s="380"/>
      <c r="P28" s="377"/>
      <c r="Q28" s="377"/>
      <c r="R28" s="378"/>
      <c r="T28" s="437"/>
      <c r="V28" s="436"/>
      <c r="W28" s="4" t="s">
        <v>188</v>
      </c>
      <c r="X28" s="4" t="str">
        <f t="shared" si="0"/>
        <v/>
      </c>
      <c r="Y28" s="4">
        <f>Y9*IF(OR($X28="",$X28=0),0,IF($W28="A",'1.GLOBAL'!$C$51,IF($W28="B",'1.GLOBAL'!$C$59,IF($W28="C",'1.GLOBAL'!$C$67,'1.GLOBAL'!$C$75))))</f>
        <v>0</v>
      </c>
      <c r="Z28" s="4">
        <f>Z9*IF(OR($X28="",$X28=0),0,IF($W28="A",'1.GLOBAL'!$C$51,IF($W28="B",'1.GLOBAL'!$C$59,IF($W28="C",'1.GLOBAL'!$C$67,'1.GLOBAL'!$C$75))))</f>
        <v>0</v>
      </c>
      <c r="AA28" s="4">
        <f>AA9*IF(OR($X28="",$X28=0),0,IF($W28="A",'1.GLOBAL'!$C$51,IF($W28="B",'1.GLOBAL'!$C$59,IF($W28="C",'1.GLOBAL'!$C$67,'1.GLOBAL'!$C$75))))</f>
        <v>0</v>
      </c>
      <c r="AB28" s="4">
        <f>AB9*IF(OR($X28="",$X28=0),0,IF($W28="A",'1.GLOBAL'!$C$51,IF($W28="B",'1.GLOBAL'!$C$59,IF($W28="C",'1.GLOBAL'!$C$67,'1.GLOBAL'!$C$75))))</f>
        <v>0</v>
      </c>
      <c r="AC28" s="4">
        <f>AC9*IF(OR($X28="",$X28=0),0,IF($W28="A",'1.GLOBAL'!$C$51,IF($W28="B",'1.GLOBAL'!$C$59,IF($W28="C",'1.GLOBAL'!$C$67,'1.GLOBAL'!$C$75))))</f>
        <v>0</v>
      </c>
      <c r="AD28" s="4">
        <f>AD9*IF(OR($X28="",$X28=0),0,IF($W28="A",'1.GLOBAL'!$C$51,IF($W28="B",'1.GLOBAL'!$C$59,IF($W28="C",'1.GLOBAL'!$C$67,'1.GLOBAL'!$C$75))))</f>
        <v>0</v>
      </c>
      <c r="AE28" s="4">
        <f>AE9*IF(OR($X28="",$X28=0),0,IF($W28="A",'1.GLOBAL'!$C$51,IF($W28="B",'1.GLOBAL'!$C$59,IF($W28="C",'1.GLOBAL'!$C$67,'1.GLOBAL'!$C$75))))</f>
        <v>0</v>
      </c>
      <c r="AF28" s="4">
        <f>AF9*IF(OR($X28="",$X28=0),0,IF($W28="A",'1.GLOBAL'!$C$51,IF($W28="B",'1.GLOBAL'!$C$59,IF($W28="C",'1.GLOBAL'!$C$67,'1.GLOBAL'!$C$75))))</f>
        <v>0</v>
      </c>
      <c r="AG28" s="4">
        <f>AG9*IF(OR($X28="",$X28=0),0,IF($W28="A",'1.GLOBAL'!$C$51,IF($W28="B",'1.GLOBAL'!$C$59,IF($W28="C",'1.GLOBAL'!$C$67,'1.GLOBAL'!$C$75))))</f>
        <v>0</v>
      </c>
      <c r="AH28" s="4">
        <f>AH9*IF(OR($X28="",$X28=0),0,IF($W28="A",'1.GLOBAL'!$C$51,IF($W28="B",'1.GLOBAL'!$C$59,IF($W28="C",'1.GLOBAL'!$C$67,'1.GLOBAL'!$C$75))))</f>
        <v>0</v>
      </c>
      <c r="AI28" s="4">
        <f>AI9*IF(OR($X28="",$X28=0),0,IF($W28="A",'1.GLOBAL'!$C$51,IF($W28="B",'1.GLOBAL'!$C$59,IF($W28="C",'1.GLOBAL'!$C$67,'1.GLOBAL'!$C$75))))</f>
        <v>0</v>
      </c>
      <c r="AJ28" s="4">
        <f>AJ9*IF(OR($X28="",$X28=0),0,IF($W28="A",'1.GLOBAL'!$C$51,IF($W28="B",'1.GLOBAL'!$C$59,IF($W28="C",'1.GLOBAL'!$C$67,'1.GLOBAL'!$C$75))))</f>
        <v>0</v>
      </c>
      <c r="AK28" s="4">
        <f>AK9*IF(OR($X28="",$X28=0),0,IF($W28="A",'1.GLOBAL'!$C$51,IF($W28="B",'1.GLOBAL'!$C$59,IF($W28="C",'1.GLOBAL'!$C$67,'1.GLOBAL'!$C$75))))</f>
        <v>0</v>
      </c>
      <c r="AL28" s="4">
        <f>AL9*IF(OR($X28="",$X28=0),0,IF($W28="A",'1.GLOBAL'!$C$51,IF($W28="B",'1.GLOBAL'!$C$59,IF($W28="C",'1.GLOBAL'!$C$67,'1.GLOBAL'!$C$75))))</f>
        <v>0</v>
      </c>
      <c r="AM28" s="4">
        <f>AM9*IF(OR($X28="",$X28=0),0,IF($W28="A",'1.GLOBAL'!$C$51,IF($W28="B",'1.GLOBAL'!$C$59,IF($W28="C",'1.GLOBAL'!$C$67,'1.GLOBAL'!$C$75))))</f>
        <v>0</v>
      </c>
      <c r="AN28" s="4">
        <f>AN9*IF(OR($X28="",$X28=0),0,IF($W28="A",'1.GLOBAL'!$C$51,IF($W28="B",'1.GLOBAL'!$C$59,IF($W28="C",'1.GLOBAL'!$C$67,'1.GLOBAL'!$C$75))))</f>
        <v>0</v>
      </c>
      <c r="AO28" s="4">
        <f>AO9*IF(OR($X28="",$X28=0),0,IF($W28="A",'1.GLOBAL'!$C$51,IF($W28="B",'1.GLOBAL'!$C$59,IF($W28="C",'1.GLOBAL'!$C$67,'1.GLOBAL'!$C$75))))</f>
        <v>0</v>
      </c>
      <c r="AP28" s="4">
        <f>AP9*IF(OR($X28="",$X28=0),0,IF($W28="A",'1.GLOBAL'!$C$51,IF($W28="B",'1.GLOBAL'!$C$59,IF($W28="C",'1.GLOBAL'!$C$67,'1.GLOBAL'!$C$75))))</f>
        <v>0</v>
      </c>
      <c r="AQ28" s="4">
        <f>AQ9*IF(OR($X28="",$X28=0),0,IF($W28="A",'1.GLOBAL'!$C$51,IF($W28="B",'1.GLOBAL'!$C$59,IF($W28="C",'1.GLOBAL'!$C$67,'1.GLOBAL'!$C$75))))</f>
        <v>0</v>
      </c>
      <c r="AR28" s="4">
        <f>AR9*IF(OR($X28="",$X28=0),0,IF($W28="A",'1.GLOBAL'!$C$51,IF($W28="B",'1.GLOBAL'!$C$59,IF($W28="C",'1.GLOBAL'!$C$67,'1.GLOBAL'!$C$75))))</f>
        <v>0</v>
      </c>
      <c r="AS28" s="4">
        <f>AS9*IF(OR($X28="",$X28=0),0,IF($W28="A",'1.GLOBAL'!$C$51,IF($W28="B",'1.GLOBAL'!$C$59,IF($W28="C",'1.GLOBAL'!$C$67,'1.GLOBAL'!$C$75))))</f>
        <v>0</v>
      </c>
      <c r="AT28" s="4">
        <f>AT9*IF(OR($X28="",$X28=0),0,IF($W28="A",'1.GLOBAL'!$C$51,IF($W28="B",'1.GLOBAL'!$C$59,IF($W28="C",'1.GLOBAL'!$C$67,'1.GLOBAL'!$C$75))))</f>
        <v>0</v>
      </c>
      <c r="AU28" s="4">
        <f>AU9*IF(OR($X28="",$X28=0),0,IF($W28="A",'1.GLOBAL'!$C$51,IF($W28="B",'1.GLOBAL'!$C$59,IF($W28="C",'1.GLOBAL'!$C$67,'1.GLOBAL'!$C$75))))</f>
        <v>0</v>
      </c>
      <c r="AV28" s="4">
        <f>AV9*IF(OR($X28="",$X28=0),0,IF($W28="A",'1.GLOBAL'!$C$51,IF($W28="B",'1.GLOBAL'!$C$59,IF($W28="C",'1.GLOBAL'!$C$67,'1.GLOBAL'!$C$75))))</f>
        <v>0</v>
      </c>
      <c r="AW28" s="4">
        <f>AW9*IF(OR($X28="",$X28=0),0,IF($W28="A",'1.GLOBAL'!$C$51,IF($W28="B",'1.GLOBAL'!$C$59,IF($W28="C",'1.GLOBAL'!$C$67,'1.GLOBAL'!$C$75))))</f>
        <v>0</v>
      </c>
      <c r="AX28" s="4">
        <f>AX9*IF(OR($X28="",$X28=0),0,IF($W28="A",'1.GLOBAL'!$C$51,IF($W28="B",'1.GLOBAL'!$C$59,IF($W28="C",'1.GLOBAL'!$C$67,'1.GLOBAL'!$C$75))))</f>
        <v>0</v>
      </c>
      <c r="AY28" s="4">
        <f>AY9*IF(OR($X28="",$X28=0),0,IF($W28="A",'1.GLOBAL'!$C$51,IF($W28="B",'1.GLOBAL'!$C$59,IF($W28="C",'1.GLOBAL'!$C$67,'1.GLOBAL'!$C$75))))</f>
        <v>0</v>
      </c>
      <c r="AZ28" s="4">
        <f>AZ9*IF(OR($X28="",$X28=0),0,IF($W28="A",'1.GLOBAL'!$C$51,IF($W28="B",'1.GLOBAL'!$C$59,IF($W28="C",'1.GLOBAL'!$C$67,'1.GLOBAL'!$C$75))))</f>
        <v>0</v>
      </c>
      <c r="BA28" s="4">
        <f>BA9*IF(OR($X28="",$X28=0),0,IF($W28="A",'1.GLOBAL'!$C$51,IF($W28="B",'1.GLOBAL'!$C$59,IF($W28="C",'1.GLOBAL'!$C$67,'1.GLOBAL'!$C$75))))</f>
        <v>0</v>
      </c>
      <c r="BB28" s="4">
        <f t="shared" si="1"/>
        <v>0</v>
      </c>
    </row>
    <row r="29" spans="1:54" x14ac:dyDescent="0.2">
      <c r="A29" s="436"/>
      <c r="B29" s="391" t="s">
        <v>211</v>
      </c>
      <c r="C29" s="381"/>
      <c r="D29" s="375"/>
      <c r="E29" s="375"/>
      <c r="F29" s="382"/>
      <c r="G29" s="379"/>
      <c r="H29" s="375"/>
      <c r="I29" s="375"/>
      <c r="J29" s="375"/>
      <c r="K29" s="381"/>
      <c r="L29" s="375"/>
      <c r="M29" s="375"/>
      <c r="N29" s="382"/>
      <c r="O29" s="379"/>
      <c r="P29" s="375"/>
      <c r="Q29" s="375"/>
      <c r="R29" s="376"/>
      <c r="T29" s="437"/>
      <c r="V29" s="436"/>
      <c r="W29" s="4" t="s">
        <v>190</v>
      </c>
      <c r="X29" s="4" t="str">
        <f t="shared" si="0"/>
        <v/>
      </c>
      <c r="Y29" s="4">
        <f>Y10*IF(OR($X29="",$X29=0),0,IF($W29="A",'1.GLOBAL'!$C$51,IF($W29="B",'1.GLOBAL'!$C$59,IF($W29="C",'1.GLOBAL'!$C$67,'1.GLOBAL'!$C$75))))</f>
        <v>0</v>
      </c>
      <c r="Z29" s="4">
        <f>Z10*IF(OR($X29="",$X29=0),0,IF($W29="A",'1.GLOBAL'!$C$51,IF($W29="B",'1.GLOBAL'!$C$59,IF($W29="C",'1.GLOBAL'!$C$67,'1.GLOBAL'!$C$75))))</f>
        <v>0</v>
      </c>
      <c r="AA29" s="4">
        <f>AA10*IF(OR($X29="",$X29=0),0,IF($W29="A",'1.GLOBAL'!$C$51,IF($W29="B",'1.GLOBAL'!$C$59,IF($W29="C",'1.GLOBAL'!$C$67,'1.GLOBAL'!$C$75))))</f>
        <v>0</v>
      </c>
      <c r="AB29" s="4">
        <f>AB10*IF(OR($X29="",$X29=0),0,IF($W29="A",'1.GLOBAL'!$C$51,IF($W29="B",'1.GLOBAL'!$C$59,IF($W29="C",'1.GLOBAL'!$C$67,'1.GLOBAL'!$C$75))))</f>
        <v>0</v>
      </c>
      <c r="AC29" s="4">
        <f>AC10*IF(OR($X29="",$X29=0),0,IF($W29="A",'1.GLOBAL'!$C$51,IF($W29="B",'1.GLOBAL'!$C$59,IF($W29="C",'1.GLOBAL'!$C$67,'1.GLOBAL'!$C$75))))</f>
        <v>0</v>
      </c>
      <c r="AD29" s="4">
        <f>AD10*IF(OR($X29="",$X29=0),0,IF($W29="A",'1.GLOBAL'!$C$51,IF($W29="B",'1.GLOBAL'!$C$59,IF($W29="C",'1.GLOBAL'!$C$67,'1.GLOBAL'!$C$75))))</f>
        <v>0</v>
      </c>
      <c r="AE29" s="4">
        <f>AE10*IF(OR($X29="",$X29=0),0,IF($W29="A",'1.GLOBAL'!$C$51,IF($W29="B",'1.GLOBAL'!$C$59,IF($W29="C",'1.GLOBAL'!$C$67,'1.GLOBAL'!$C$75))))</f>
        <v>0</v>
      </c>
      <c r="AF29" s="4">
        <f>AF10*IF(OR($X29="",$X29=0),0,IF($W29="A",'1.GLOBAL'!$C$51,IF($W29="B",'1.GLOBAL'!$C$59,IF($W29="C",'1.GLOBAL'!$C$67,'1.GLOBAL'!$C$75))))</f>
        <v>0</v>
      </c>
      <c r="AG29" s="4">
        <f>AG10*IF(OR($X29="",$X29=0),0,IF($W29="A",'1.GLOBAL'!$C$51,IF($W29="B",'1.GLOBAL'!$C$59,IF($W29="C",'1.GLOBAL'!$C$67,'1.GLOBAL'!$C$75))))</f>
        <v>0</v>
      </c>
      <c r="AH29" s="4">
        <f>AH10*IF(OR($X29="",$X29=0),0,IF($W29="A",'1.GLOBAL'!$C$51,IF($W29="B",'1.GLOBAL'!$C$59,IF($W29="C",'1.GLOBAL'!$C$67,'1.GLOBAL'!$C$75))))</f>
        <v>0</v>
      </c>
      <c r="AI29" s="4">
        <f>AI10*IF(OR($X29="",$X29=0),0,IF($W29="A",'1.GLOBAL'!$C$51,IF($W29="B",'1.GLOBAL'!$C$59,IF($W29="C",'1.GLOBAL'!$C$67,'1.GLOBAL'!$C$75))))</f>
        <v>0</v>
      </c>
      <c r="AJ29" s="4">
        <f>AJ10*IF(OR($X29="",$X29=0),0,IF($W29="A",'1.GLOBAL'!$C$51,IF($W29="B",'1.GLOBAL'!$C$59,IF($W29="C",'1.GLOBAL'!$C$67,'1.GLOBAL'!$C$75))))</f>
        <v>0</v>
      </c>
      <c r="AK29" s="4">
        <f>AK10*IF(OR($X29="",$X29=0),0,IF($W29="A",'1.GLOBAL'!$C$51,IF($W29="B",'1.GLOBAL'!$C$59,IF($W29="C",'1.GLOBAL'!$C$67,'1.GLOBAL'!$C$75))))</f>
        <v>0</v>
      </c>
      <c r="AL29" s="4">
        <f>AL10*IF(OR($X29="",$X29=0),0,IF($W29="A",'1.GLOBAL'!$C$51,IF($W29="B",'1.GLOBAL'!$C$59,IF($W29="C",'1.GLOBAL'!$C$67,'1.GLOBAL'!$C$75))))</f>
        <v>0</v>
      </c>
      <c r="AM29" s="4">
        <f>AM10*IF(OR($X29="",$X29=0),0,IF($W29="A",'1.GLOBAL'!$C$51,IF($W29="B",'1.GLOBAL'!$C$59,IF($W29="C",'1.GLOBAL'!$C$67,'1.GLOBAL'!$C$75))))</f>
        <v>0</v>
      </c>
      <c r="AN29" s="4">
        <f>AN10*IF(OR($X29="",$X29=0),0,IF($W29="A",'1.GLOBAL'!$C$51,IF($W29="B",'1.GLOBAL'!$C$59,IF($W29="C",'1.GLOBAL'!$C$67,'1.GLOBAL'!$C$75))))</f>
        <v>0</v>
      </c>
      <c r="AO29" s="4">
        <f>AO10*IF(OR($X29="",$X29=0),0,IF($W29="A",'1.GLOBAL'!$C$51,IF($W29="B",'1.GLOBAL'!$C$59,IF($W29="C",'1.GLOBAL'!$C$67,'1.GLOBAL'!$C$75))))</f>
        <v>0</v>
      </c>
      <c r="AP29" s="4">
        <f>AP10*IF(OR($X29="",$X29=0),0,IF($W29="A",'1.GLOBAL'!$C$51,IF($W29="B",'1.GLOBAL'!$C$59,IF($W29="C",'1.GLOBAL'!$C$67,'1.GLOBAL'!$C$75))))</f>
        <v>0</v>
      </c>
      <c r="AQ29" s="4">
        <f>AQ10*IF(OR($X29="",$X29=0),0,IF($W29="A",'1.GLOBAL'!$C$51,IF($W29="B",'1.GLOBAL'!$C$59,IF($W29="C",'1.GLOBAL'!$C$67,'1.GLOBAL'!$C$75))))</f>
        <v>0</v>
      </c>
      <c r="AR29" s="4">
        <f>AR10*IF(OR($X29="",$X29=0),0,IF($W29="A",'1.GLOBAL'!$C$51,IF($W29="B",'1.GLOBAL'!$C$59,IF($W29="C",'1.GLOBAL'!$C$67,'1.GLOBAL'!$C$75))))</f>
        <v>0</v>
      </c>
      <c r="AS29" s="4">
        <f>AS10*IF(OR($X29="",$X29=0),0,IF($W29="A",'1.GLOBAL'!$C$51,IF($W29="B",'1.GLOBAL'!$C$59,IF($W29="C",'1.GLOBAL'!$C$67,'1.GLOBAL'!$C$75))))</f>
        <v>0</v>
      </c>
      <c r="AT29" s="4">
        <f>AT10*IF(OR($X29="",$X29=0),0,IF($W29="A",'1.GLOBAL'!$C$51,IF($W29="B",'1.GLOBAL'!$C$59,IF($W29="C",'1.GLOBAL'!$C$67,'1.GLOBAL'!$C$75))))</f>
        <v>0</v>
      </c>
      <c r="AU29" s="4">
        <f>AU10*IF(OR($X29="",$X29=0),0,IF($W29="A",'1.GLOBAL'!$C$51,IF($W29="B",'1.GLOBAL'!$C$59,IF($W29="C",'1.GLOBAL'!$C$67,'1.GLOBAL'!$C$75))))</f>
        <v>0</v>
      </c>
      <c r="AV29" s="4">
        <f>AV10*IF(OR($X29="",$X29=0),0,IF($W29="A",'1.GLOBAL'!$C$51,IF($W29="B",'1.GLOBAL'!$C$59,IF($W29="C",'1.GLOBAL'!$C$67,'1.GLOBAL'!$C$75))))</f>
        <v>0</v>
      </c>
      <c r="AW29" s="4">
        <f>AW10*IF(OR($X29="",$X29=0),0,IF($W29="A",'1.GLOBAL'!$C$51,IF($W29="B",'1.GLOBAL'!$C$59,IF($W29="C",'1.GLOBAL'!$C$67,'1.GLOBAL'!$C$75))))</f>
        <v>0</v>
      </c>
      <c r="AX29" s="4">
        <f>AX10*IF(OR($X29="",$X29=0),0,IF($W29="A",'1.GLOBAL'!$C$51,IF($W29="B",'1.GLOBAL'!$C$59,IF($W29="C",'1.GLOBAL'!$C$67,'1.GLOBAL'!$C$75))))</f>
        <v>0</v>
      </c>
      <c r="AY29" s="4">
        <f>AY10*IF(OR($X29="",$X29=0),0,IF($W29="A",'1.GLOBAL'!$C$51,IF($W29="B",'1.GLOBAL'!$C$59,IF($W29="C",'1.GLOBAL'!$C$67,'1.GLOBAL'!$C$75))))</f>
        <v>0</v>
      </c>
      <c r="AZ29" s="4">
        <f>AZ10*IF(OR($X29="",$X29=0),0,IF($W29="A",'1.GLOBAL'!$C$51,IF($W29="B",'1.GLOBAL'!$C$59,IF($W29="C",'1.GLOBAL'!$C$67,'1.GLOBAL'!$C$75))))</f>
        <v>0</v>
      </c>
      <c r="BA29" s="4">
        <f>BA10*IF(OR($X29="",$X29=0),0,IF($W29="A",'1.GLOBAL'!$C$51,IF($W29="B",'1.GLOBAL'!$C$59,IF($W29="C",'1.GLOBAL'!$C$67,'1.GLOBAL'!$C$75))))</f>
        <v>0</v>
      </c>
      <c r="BB29" s="4">
        <f t="shared" si="1"/>
        <v>0</v>
      </c>
    </row>
    <row r="30" spans="1:54" x14ac:dyDescent="0.2">
      <c r="A30" s="436"/>
      <c r="B30" s="392" t="s">
        <v>212</v>
      </c>
      <c r="C30" s="383"/>
      <c r="D30" s="377"/>
      <c r="E30" s="377"/>
      <c r="F30" s="384"/>
      <c r="G30" s="380"/>
      <c r="H30" s="377"/>
      <c r="I30" s="377"/>
      <c r="J30" s="377"/>
      <c r="K30" s="383"/>
      <c r="L30" s="377"/>
      <c r="M30" s="377"/>
      <c r="N30" s="384"/>
      <c r="O30" s="380"/>
      <c r="P30" s="377"/>
      <c r="Q30" s="377"/>
      <c r="R30" s="378"/>
      <c r="T30" s="437"/>
      <c r="V30" s="436"/>
      <c r="W30" s="4" t="s">
        <v>190</v>
      </c>
      <c r="X30" s="4" t="str">
        <f t="shared" si="0"/>
        <v/>
      </c>
      <c r="Y30" s="4">
        <f>Y11*IF(OR($X30="",$X30=0),0,IF($W30="A",'1.GLOBAL'!$C$51,IF($W30="B",'1.GLOBAL'!$C$59,IF($W30="C",'1.GLOBAL'!$C$67,'1.GLOBAL'!$C$75))))</f>
        <v>0</v>
      </c>
      <c r="Z30" s="4">
        <f>Z11*IF(OR($X30="",$X30=0),0,IF($W30="A",'1.GLOBAL'!$C$51,IF($W30="B",'1.GLOBAL'!$C$59,IF($W30="C",'1.GLOBAL'!$C$67,'1.GLOBAL'!$C$75))))</f>
        <v>0</v>
      </c>
      <c r="AA30" s="4">
        <f>AA11*IF(OR($X30="",$X30=0),0,IF($W30="A",'1.GLOBAL'!$C$51,IF($W30="B",'1.GLOBAL'!$C$59,IF($W30="C",'1.GLOBAL'!$C$67,'1.GLOBAL'!$C$75))))</f>
        <v>0</v>
      </c>
      <c r="AB30" s="4">
        <f>AB11*IF(OR($X30="",$X30=0),0,IF($W30="A",'1.GLOBAL'!$C$51,IF($W30="B",'1.GLOBAL'!$C$59,IF($W30="C",'1.GLOBAL'!$C$67,'1.GLOBAL'!$C$75))))</f>
        <v>0</v>
      </c>
      <c r="AC30" s="4">
        <f>AC11*IF(OR($X30="",$X30=0),0,IF($W30="A",'1.GLOBAL'!$C$51,IF($W30="B",'1.GLOBAL'!$C$59,IF($W30="C",'1.GLOBAL'!$C$67,'1.GLOBAL'!$C$75))))</f>
        <v>0</v>
      </c>
      <c r="AD30" s="4">
        <f>AD11*IF(OR($X30="",$X30=0),0,IF($W30="A",'1.GLOBAL'!$C$51,IF($W30="B",'1.GLOBAL'!$C$59,IF($W30="C",'1.GLOBAL'!$C$67,'1.GLOBAL'!$C$75))))</f>
        <v>0</v>
      </c>
      <c r="AE30" s="4">
        <f>AE11*IF(OR($X30="",$X30=0),0,IF($W30="A",'1.GLOBAL'!$C$51,IF($W30="B",'1.GLOBAL'!$C$59,IF($W30="C",'1.GLOBAL'!$C$67,'1.GLOBAL'!$C$75))))</f>
        <v>0</v>
      </c>
      <c r="AF30" s="4">
        <f>AF11*IF(OR($X30="",$X30=0),0,IF($W30="A",'1.GLOBAL'!$C$51,IF($W30="B",'1.GLOBAL'!$C$59,IF($W30="C",'1.GLOBAL'!$C$67,'1.GLOBAL'!$C$75))))</f>
        <v>0</v>
      </c>
      <c r="AG30" s="4">
        <f>AG11*IF(OR($X30="",$X30=0),0,IF($W30="A",'1.GLOBAL'!$C$51,IF($W30="B",'1.GLOBAL'!$C$59,IF($W30="C",'1.GLOBAL'!$C$67,'1.GLOBAL'!$C$75))))</f>
        <v>0</v>
      </c>
      <c r="AH30" s="4">
        <f>AH11*IF(OR($X30="",$X30=0),0,IF($W30="A",'1.GLOBAL'!$C$51,IF($W30="B",'1.GLOBAL'!$C$59,IF($W30="C",'1.GLOBAL'!$C$67,'1.GLOBAL'!$C$75))))</f>
        <v>0</v>
      </c>
      <c r="AI30" s="4">
        <f>AI11*IF(OR($X30="",$X30=0),0,IF($W30="A",'1.GLOBAL'!$C$51,IF($W30="B",'1.GLOBAL'!$C$59,IF($W30="C",'1.GLOBAL'!$C$67,'1.GLOBAL'!$C$75))))</f>
        <v>0</v>
      </c>
      <c r="AJ30" s="4">
        <f>AJ11*IF(OR($X30="",$X30=0),0,IF($W30="A",'1.GLOBAL'!$C$51,IF($W30="B",'1.GLOBAL'!$C$59,IF($W30="C",'1.GLOBAL'!$C$67,'1.GLOBAL'!$C$75))))</f>
        <v>0</v>
      </c>
      <c r="AK30" s="4">
        <f>AK11*IF(OR($X30="",$X30=0),0,IF($W30="A",'1.GLOBAL'!$C$51,IF($W30="B",'1.GLOBAL'!$C$59,IF($W30="C",'1.GLOBAL'!$C$67,'1.GLOBAL'!$C$75))))</f>
        <v>0</v>
      </c>
      <c r="AL30" s="4">
        <f>AL11*IF(OR($X30="",$X30=0),0,IF($W30="A",'1.GLOBAL'!$C$51,IF($W30="B",'1.GLOBAL'!$C$59,IF($W30="C",'1.GLOBAL'!$C$67,'1.GLOBAL'!$C$75))))</f>
        <v>0</v>
      </c>
      <c r="AM30" s="4">
        <f>AM11*IF(OR($X30="",$X30=0),0,IF($W30="A",'1.GLOBAL'!$C$51,IF($W30="B",'1.GLOBAL'!$C$59,IF($W30="C",'1.GLOBAL'!$C$67,'1.GLOBAL'!$C$75))))</f>
        <v>0</v>
      </c>
      <c r="AN30" s="4">
        <f>AN11*IF(OR($X30="",$X30=0),0,IF($W30="A",'1.GLOBAL'!$C$51,IF($W30="B",'1.GLOBAL'!$C$59,IF($W30="C",'1.GLOBAL'!$C$67,'1.GLOBAL'!$C$75))))</f>
        <v>0</v>
      </c>
      <c r="AO30" s="4">
        <f>AO11*IF(OR($X30="",$X30=0),0,IF($W30="A",'1.GLOBAL'!$C$51,IF($W30="B",'1.GLOBAL'!$C$59,IF($W30="C",'1.GLOBAL'!$C$67,'1.GLOBAL'!$C$75))))</f>
        <v>0</v>
      </c>
      <c r="AP30" s="4">
        <f>AP11*IF(OR($X30="",$X30=0),0,IF($W30="A",'1.GLOBAL'!$C$51,IF($W30="B",'1.GLOBAL'!$C$59,IF($W30="C",'1.GLOBAL'!$C$67,'1.GLOBAL'!$C$75))))</f>
        <v>0</v>
      </c>
      <c r="AQ30" s="4">
        <f>AQ11*IF(OR($X30="",$X30=0),0,IF($W30="A",'1.GLOBAL'!$C$51,IF($W30="B",'1.GLOBAL'!$C$59,IF($W30="C",'1.GLOBAL'!$C$67,'1.GLOBAL'!$C$75))))</f>
        <v>0</v>
      </c>
      <c r="AR30" s="4">
        <f>AR11*IF(OR($X30="",$X30=0),0,IF($W30="A",'1.GLOBAL'!$C$51,IF($W30="B",'1.GLOBAL'!$C$59,IF($W30="C",'1.GLOBAL'!$C$67,'1.GLOBAL'!$C$75))))</f>
        <v>0</v>
      </c>
      <c r="AS30" s="4">
        <f>AS11*IF(OR($X30="",$X30=0),0,IF($W30="A",'1.GLOBAL'!$C$51,IF($W30="B",'1.GLOBAL'!$C$59,IF($W30="C",'1.GLOBAL'!$C$67,'1.GLOBAL'!$C$75))))</f>
        <v>0</v>
      </c>
      <c r="AT30" s="4">
        <f>AT11*IF(OR($X30="",$X30=0),0,IF($W30="A",'1.GLOBAL'!$C$51,IF($W30="B",'1.GLOBAL'!$C$59,IF($W30="C",'1.GLOBAL'!$C$67,'1.GLOBAL'!$C$75))))</f>
        <v>0</v>
      </c>
      <c r="AU30" s="4">
        <f>AU11*IF(OR($X30="",$X30=0),0,IF($W30="A",'1.GLOBAL'!$C$51,IF($W30="B",'1.GLOBAL'!$C$59,IF($W30="C",'1.GLOBAL'!$C$67,'1.GLOBAL'!$C$75))))</f>
        <v>0</v>
      </c>
      <c r="AV30" s="4">
        <f>AV11*IF(OR($X30="",$X30=0),0,IF($W30="A",'1.GLOBAL'!$C$51,IF($W30="B",'1.GLOBAL'!$C$59,IF($W30="C",'1.GLOBAL'!$C$67,'1.GLOBAL'!$C$75))))</f>
        <v>0</v>
      </c>
      <c r="AW30" s="4">
        <f>AW11*IF(OR($X30="",$X30=0),0,IF($W30="A",'1.GLOBAL'!$C$51,IF($W30="B",'1.GLOBAL'!$C$59,IF($W30="C",'1.GLOBAL'!$C$67,'1.GLOBAL'!$C$75))))</f>
        <v>0</v>
      </c>
      <c r="AX30" s="4">
        <f>AX11*IF(OR($X30="",$X30=0),0,IF($W30="A",'1.GLOBAL'!$C$51,IF($W30="B",'1.GLOBAL'!$C$59,IF($W30="C",'1.GLOBAL'!$C$67,'1.GLOBAL'!$C$75))))</f>
        <v>0</v>
      </c>
      <c r="AY30" s="4">
        <f>AY11*IF(OR($X30="",$X30=0),0,IF($W30="A",'1.GLOBAL'!$C$51,IF($W30="B",'1.GLOBAL'!$C$59,IF($W30="C",'1.GLOBAL'!$C$67,'1.GLOBAL'!$C$75))))</f>
        <v>0</v>
      </c>
      <c r="AZ30" s="4">
        <f>AZ11*IF(OR($X30="",$X30=0),0,IF($W30="A",'1.GLOBAL'!$C$51,IF($W30="B",'1.GLOBAL'!$C$59,IF($W30="C",'1.GLOBAL'!$C$67,'1.GLOBAL'!$C$75))))</f>
        <v>0</v>
      </c>
      <c r="BA30" s="4">
        <f>BA11*IF(OR($X30="",$X30=0),0,IF($W30="A",'1.GLOBAL'!$C$51,IF($W30="B",'1.GLOBAL'!$C$59,IF($W30="C",'1.GLOBAL'!$C$67,'1.GLOBAL'!$C$75))))</f>
        <v>0</v>
      </c>
      <c r="BB30" s="4">
        <f t="shared" si="1"/>
        <v>0</v>
      </c>
    </row>
    <row r="31" spans="1:54" x14ac:dyDescent="0.2">
      <c r="A31" s="436"/>
      <c r="B31" s="391" t="s">
        <v>213</v>
      </c>
      <c r="C31" s="381"/>
      <c r="D31" s="375"/>
      <c r="E31" s="375"/>
      <c r="F31" s="382"/>
      <c r="G31" s="379"/>
      <c r="H31" s="375"/>
      <c r="I31" s="375"/>
      <c r="J31" s="375"/>
      <c r="K31" s="381"/>
      <c r="L31" s="375"/>
      <c r="M31" s="375"/>
      <c r="N31" s="382"/>
      <c r="O31" s="379"/>
      <c r="P31" s="375"/>
      <c r="Q31" s="375"/>
      <c r="R31" s="376"/>
      <c r="T31" s="437"/>
      <c r="V31" s="436"/>
      <c r="W31" s="4" t="s">
        <v>190</v>
      </c>
      <c r="X31" s="4" t="str">
        <f t="shared" si="0"/>
        <v/>
      </c>
      <c r="Y31" s="4">
        <f>Y12*IF(OR($X31="",$X31=0),0,IF($W31="A",'1.GLOBAL'!$C$51,IF($W31="B",'1.GLOBAL'!$C$59,IF($W31="C",'1.GLOBAL'!$C$67,'1.GLOBAL'!$C$75))))</f>
        <v>0</v>
      </c>
      <c r="Z31" s="4">
        <f>Z12*IF(OR($X31="",$X31=0),0,IF($W31="A",'1.GLOBAL'!$C$51,IF($W31="B",'1.GLOBAL'!$C$59,IF($W31="C",'1.GLOBAL'!$C$67,'1.GLOBAL'!$C$75))))</f>
        <v>0</v>
      </c>
      <c r="AA31" s="4">
        <f>AA12*IF(OR($X31="",$X31=0),0,IF($W31="A",'1.GLOBAL'!$C$51,IF($W31="B",'1.GLOBAL'!$C$59,IF($W31="C",'1.GLOBAL'!$C$67,'1.GLOBAL'!$C$75))))</f>
        <v>0</v>
      </c>
      <c r="AB31" s="4">
        <f>AB12*IF(OR($X31="",$X31=0),0,IF($W31="A",'1.GLOBAL'!$C$51,IF($W31="B",'1.GLOBAL'!$C$59,IF($W31="C",'1.GLOBAL'!$C$67,'1.GLOBAL'!$C$75))))</f>
        <v>0</v>
      </c>
      <c r="AC31" s="4">
        <f>AC12*IF(OR($X31="",$X31=0),0,IF($W31="A",'1.GLOBAL'!$C$51,IF($W31="B",'1.GLOBAL'!$C$59,IF($W31="C",'1.GLOBAL'!$C$67,'1.GLOBAL'!$C$75))))</f>
        <v>0</v>
      </c>
      <c r="AD31" s="4">
        <f>AD12*IF(OR($X31="",$X31=0),0,IF($W31="A",'1.GLOBAL'!$C$51,IF($W31="B",'1.GLOBAL'!$C$59,IF($W31="C",'1.GLOBAL'!$C$67,'1.GLOBAL'!$C$75))))</f>
        <v>0</v>
      </c>
      <c r="AE31" s="4">
        <f>AE12*IF(OR($X31="",$X31=0),0,IF($W31="A",'1.GLOBAL'!$C$51,IF($W31="B",'1.GLOBAL'!$C$59,IF($W31="C",'1.GLOBAL'!$C$67,'1.GLOBAL'!$C$75))))</f>
        <v>0</v>
      </c>
      <c r="AF31" s="4">
        <f>AF12*IF(OR($X31="",$X31=0),0,IF($W31="A",'1.GLOBAL'!$C$51,IF($W31="B",'1.GLOBAL'!$C$59,IF($W31="C",'1.GLOBAL'!$C$67,'1.GLOBAL'!$C$75))))</f>
        <v>0</v>
      </c>
      <c r="AG31" s="4">
        <f>AG12*IF(OR($X31="",$X31=0),0,IF($W31="A",'1.GLOBAL'!$C$51,IF($W31="B",'1.GLOBAL'!$C$59,IF($W31="C",'1.GLOBAL'!$C$67,'1.GLOBAL'!$C$75))))</f>
        <v>0</v>
      </c>
      <c r="AH31" s="4">
        <f>AH12*IF(OR($X31="",$X31=0),0,IF($W31="A",'1.GLOBAL'!$C$51,IF($W31="B",'1.GLOBAL'!$C$59,IF($W31="C",'1.GLOBAL'!$C$67,'1.GLOBAL'!$C$75))))</f>
        <v>0</v>
      </c>
      <c r="AI31" s="4">
        <f>AI12*IF(OR($X31="",$X31=0),0,IF($W31="A",'1.GLOBAL'!$C$51,IF($W31="B",'1.GLOBAL'!$C$59,IF($W31="C",'1.GLOBAL'!$C$67,'1.GLOBAL'!$C$75))))</f>
        <v>0</v>
      </c>
      <c r="AJ31" s="4">
        <f>AJ12*IF(OR($X31="",$X31=0),0,IF($W31="A",'1.GLOBAL'!$C$51,IF($W31="B",'1.GLOBAL'!$C$59,IF($W31="C",'1.GLOBAL'!$C$67,'1.GLOBAL'!$C$75))))</f>
        <v>0</v>
      </c>
      <c r="AK31" s="4">
        <f>AK12*IF(OR($X31="",$X31=0),0,IF($W31="A",'1.GLOBAL'!$C$51,IF($W31="B",'1.GLOBAL'!$C$59,IF($W31="C",'1.GLOBAL'!$C$67,'1.GLOBAL'!$C$75))))</f>
        <v>0</v>
      </c>
      <c r="AL31" s="4">
        <f>AL12*IF(OR($X31="",$X31=0),0,IF($W31="A",'1.GLOBAL'!$C$51,IF($W31="B",'1.GLOBAL'!$C$59,IF($W31="C",'1.GLOBAL'!$C$67,'1.GLOBAL'!$C$75))))</f>
        <v>0</v>
      </c>
      <c r="AM31" s="4">
        <f>AM12*IF(OR($X31="",$X31=0),0,IF($W31="A",'1.GLOBAL'!$C$51,IF($W31="B",'1.GLOBAL'!$C$59,IF($W31="C",'1.GLOBAL'!$C$67,'1.GLOBAL'!$C$75))))</f>
        <v>0</v>
      </c>
      <c r="AN31" s="4">
        <f>AN12*IF(OR($X31="",$X31=0),0,IF($W31="A",'1.GLOBAL'!$C$51,IF($W31="B",'1.GLOBAL'!$C$59,IF($W31="C",'1.GLOBAL'!$C$67,'1.GLOBAL'!$C$75))))</f>
        <v>0</v>
      </c>
      <c r="AO31" s="4">
        <f>AO12*IF(OR($X31="",$X31=0),0,IF($W31="A",'1.GLOBAL'!$C$51,IF($W31="B",'1.GLOBAL'!$C$59,IF($W31="C",'1.GLOBAL'!$C$67,'1.GLOBAL'!$C$75))))</f>
        <v>0</v>
      </c>
      <c r="AP31" s="4">
        <f>AP12*IF(OR($X31="",$X31=0),0,IF($W31="A",'1.GLOBAL'!$C$51,IF($W31="B",'1.GLOBAL'!$C$59,IF($W31="C",'1.GLOBAL'!$C$67,'1.GLOBAL'!$C$75))))</f>
        <v>0</v>
      </c>
      <c r="AQ31" s="4">
        <f>AQ12*IF(OR($X31="",$X31=0),0,IF($W31="A",'1.GLOBAL'!$C$51,IF($W31="B",'1.GLOBAL'!$C$59,IF($W31="C",'1.GLOBAL'!$C$67,'1.GLOBAL'!$C$75))))</f>
        <v>0</v>
      </c>
      <c r="AR31" s="4">
        <f>AR12*IF(OR($X31="",$X31=0),0,IF($W31="A",'1.GLOBAL'!$C$51,IF($W31="B",'1.GLOBAL'!$C$59,IF($W31="C",'1.GLOBAL'!$C$67,'1.GLOBAL'!$C$75))))</f>
        <v>0</v>
      </c>
      <c r="AS31" s="4">
        <f>AS12*IF(OR($X31="",$X31=0),0,IF($W31="A",'1.GLOBAL'!$C$51,IF($W31="B",'1.GLOBAL'!$C$59,IF($W31="C",'1.GLOBAL'!$C$67,'1.GLOBAL'!$C$75))))</f>
        <v>0</v>
      </c>
      <c r="AT31" s="4">
        <f>AT12*IF(OR($X31="",$X31=0),0,IF($W31="A",'1.GLOBAL'!$C$51,IF($W31="B",'1.GLOBAL'!$C$59,IF($W31="C",'1.GLOBAL'!$C$67,'1.GLOBAL'!$C$75))))</f>
        <v>0</v>
      </c>
      <c r="AU31" s="4">
        <f>AU12*IF(OR($X31="",$X31=0),0,IF($W31="A",'1.GLOBAL'!$C$51,IF($W31="B",'1.GLOBAL'!$C$59,IF($W31="C",'1.GLOBAL'!$C$67,'1.GLOBAL'!$C$75))))</f>
        <v>0</v>
      </c>
      <c r="AV31" s="4">
        <f>AV12*IF(OR($X31="",$X31=0),0,IF($W31="A",'1.GLOBAL'!$C$51,IF($W31="B",'1.GLOBAL'!$C$59,IF($W31="C",'1.GLOBAL'!$C$67,'1.GLOBAL'!$C$75))))</f>
        <v>0</v>
      </c>
      <c r="AW31" s="4">
        <f>AW12*IF(OR($X31="",$X31=0),0,IF($W31="A",'1.GLOBAL'!$C$51,IF($W31="B",'1.GLOBAL'!$C$59,IF($W31="C",'1.GLOBAL'!$C$67,'1.GLOBAL'!$C$75))))</f>
        <v>0</v>
      </c>
      <c r="AX31" s="4">
        <f>AX12*IF(OR($X31="",$X31=0),0,IF($W31="A",'1.GLOBAL'!$C$51,IF($W31="B",'1.GLOBAL'!$C$59,IF($W31="C",'1.GLOBAL'!$C$67,'1.GLOBAL'!$C$75))))</f>
        <v>0</v>
      </c>
      <c r="AY31" s="4">
        <f>AY12*IF(OR($X31="",$X31=0),0,IF($W31="A",'1.GLOBAL'!$C$51,IF($W31="B",'1.GLOBAL'!$C$59,IF($W31="C",'1.GLOBAL'!$C$67,'1.GLOBAL'!$C$75))))</f>
        <v>0</v>
      </c>
      <c r="AZ31" s="4">
        <f>AZ12*IF(OR($X31="",$X31=0),0,IF($W31="A",'1.GLOBAL'!$C$51,IF($W31="B",'1.GLOBAL'!$C$59,IF($W31="C",'1.GLOBAL'!$C$67,'1.GLOBAL'!$C$75))))</f>
        <v>0</v>
      </c>
      <c r="BA31" s="4">
        <f>BA12*IF(OR($X31="",$X31=0),0,IF($W31="A",'1.GLOBAL'!$C$51,IF($W31="B",'1.GLOBAL'!$C$59,IF($W31="C",'1.GLOBAL'!$C$67,'1.GLOBAL'!$C$75))))</f>
        <v>0</v>
      </c>
      <c r="BB31" s="4">
        <f t="shared" si="1"/>
        <v>0</v>
      </c>
    </row>
    <row r="32" spans="1:54" x14ac:dyDescent="0.2">
      <c r="A32" s="436"/>
      <c r="B32" s="392" t="s">
        <v>214</v>
      </c>
      <c r="C32" s="383"/>
      <c r="D32" s="377"/>
      <c r="E32" s="377"/>
      <c r="F32" s="384"/>
      <c r="G32" s="380"/>
      <c r="H32" s="377"/>
      <c r="I32" s="377"/>
      <c r="J32" s="377"/>
      <c r="K32" s="383"/>
      <c r="L32" s="377"/>
      <c r="M32" s="377"/>
      <c r="N32" s="384"/>
      <c r="O32" s="380"/>
      <c r="P32" s="377"/>
      <c r="Q32" s="377"/>
      <c r="R32" s="378"/>
      <c r="T32" s="437"/>
      <c r="V32" s="436"/>
      <c r="W32" s="4" t="s">
        <v>190</v>
      </c>
      <c r="X32" s="4" t="str">
        <f t="shared" si="0"/>
        <v/>
      </c>
      <c r="Y32" s="4">
        <f>Y13*IF(OR($X32="",$X32=0),0,IF($W32="A",'1.GLOBAL'!$C$51,IF($W32="B",'1.GLOBAL'!$C$59,IF($W32="C",'1.GLOBAL'!$C$67,'1.GLOBAL'!$C$75))))</f>
        <v>0</v>
      </c>
      <c r="Z32" s="4">
        <f>Z13*IF(OR($X32="",$X32=0),0,IF($W32="A",'1.GLOBAL'!$C$51,IF($W32="B",'1.GLOBAL'!$C$59,IF($W32="C",'1.GLOBAL'!$C$67,'1.GLOBAL'!$C$75))))</f>
        <v>0</v>
      </c>
      <c r="AA32" s="4">
        <f>AA13*IF(OR($X32="",$X32=0),0,IF($W32="A",'1.GLOBAL'!$C$51,IF($W32="B",'1.GLOBAL'!$C$59,IF($W32="C",'1.GLOBAL'!$C$67,'1.GLOBAL'!$C$75))))</f>
        <v>0</v>
      </c>
      <c r="AB32" s="4">
        <f>AB13*IF(OR($X32="",$X32=0),0,IF($W32="A",'1.GLOBAL'!$C$51,IF($W32="B",'1.GLOBAL'!$C$59,IF($W32="C",'1.GLOBAL'!$C$67,'1.GLOBAL'!$C$75))))</f>
        <v>0</v>
      </c>
      <c r="AC32" s="4">
        <f>AC13*IF(OR($X32="",$X32=0),0,IF($W32="A",'1.GLOBAL'!$C$51,IF($W32="B",'1.GLOBAL'!$C$59,IF($W32="C",'1.GLOBAL'!$C$67,'1.GLOBAL'!$C$75))))</f>
        <v>0</v>
      </c>
      <c r="AD32" s="4">
        <f>AD13*IF(OR($X32="",$X32=0),0,IF($W32="A",'1.GLOBAL'!$C$51,IF($W32="B",'1.GLOBAL'!$C$59,IF($W32="C",'1.GLOBAL'!$C$67,'1.GLOBAL'!$C$75))))</f>
        <v>0</v>
      </c>
      <c r="AE32" s="4">
        <f>AE13*IF(OR($X32="",$X32=0),0,IF($W32="A",'1.GLOBAL'!$C$51,IF($W32="B",'1.GLOBAL'!$C$59,IF($W32="C",'1.GLOBAL'!$C$67,'1.GLOBAL'!$C$75))))</f>
        <v>0</v>
      </c>
      <c r="AF32" s="4">
        <f>AF13*IF(OR($X32="",$X32=0),0,IF($W32="A",'1.GLOBAL'!$C$51,IF($W32="B",'1.GLOBAL'!$C$59,IF($W32="C",'1.GLOBAL'!$C$67,'1.GLOBAL'!$C$75))))</f>
        <v>0</v>
      </c>
      <c r="AG32" s="4">
        <f>AG13*IF(OR($X32="",$X32=0),0,IF($W32="A",'1.GLOBAL'!$C$51,IF($W32="B",'1.GLOBAL'!$C$59,IF($W32="C",'1.GLOBAL'!$C$67,'1.GLOBAL'!$C$75))))</f>
        <v>0</v>
      </c>
      <c r="AH32" s="4">
        <f>AH13*IF(OR($X32="",$X32=0),0,IF($W32="A",'1.GLOBAL'!$C$51,IF($W32="B",'1.GLOBAL'!$C$59,IF($W32="C",'1.GLOBAL'!$C$67,'1.GLOBAL'!$C$75))))</f>
        <v>0</v>
      </c>
      <c r="AI32" s="4">
        <f>AI13*IF(OR($X32="",$X32=0),0,IF($W32="A",'1.GLOBAL'!$C$51,IF($W32="B",'1.GLOBAL'!$C$59,IF($W32="C",'1.GLOBAL'!$C$67,'1.GLOBAL'!$C$75))))</f>
        <v>0</v>
      </c>
      <c r="AJ32" s="4">
        <f>AJ13*IF(OR($X32="",$X32=0),0,IF($W32="A",'1.GLOBAL'!$C$51,IF($W32="B",'1.GLOBAL'!$C$59,IF($W32="C",'1.GLOBAL'!$C$67,'1.GLOBAL'!$C$75))))</f>
        <v>0</v>
      </c>
      <c r="AK32" s="4">
        <f>AK13*IF(OR($X32="",$X32=0),0,IF($W32="A",'1.GLOBAL'!$C$51,IF($W32="B",'1.GLOBAL'!$C$59,IF($W32="C",'1.GLOBAL'!$C$67,'1.GLOBAL'!$C$75))))</f>
        <v>0</v>
      </c>
      <c r="AL32" s="4">
        <f>AL13*IF(OR($X32="",$X32=0),0,IF($W32="A",'1.GLOBAL'!$C$51,IF($W32="B",'1.GLOBAL'!$C$59,IF($W32="C",'1.GLOBAL'!$C$67,'1.GLOBAL'!$C$75))))</f>
        <v>0</v>
      </c>
      <c r="AM32" s="4">
        <f>AM13*IF(OR($X32="",$X32=0),0,IF($W32="A",'1.GLOBAL'!$C$51,IF($W32="B",'1.GLOBAL'!$C$59,IF($W32="C",'1.GLOBAL'!$C$67,'1.GLOBAL'!$C$75))))</f>
        <v>0</v>
      </c>
      <c r="AN32" s="4">
        <f>AN13*IF(OR($X32="",$X32=0),0,IF($W32="A",'1.GLOBAL'!$C$51,IF($W32="B",'1.GLOBAL'!$C$59,IF($W32="C",'1.GLOBAL'!$C$67,'1.GLOBAL'!$C$75))))</f>
        <v>0</v>
      </c>
      <c r="AO32" s="4">
        <f>AO13*IF(OR($X32="",$X32=0),0,IF($W32="A",'1.GLOBAL'!$C$51,IF($W32="B",'1.GLOBAL'!$C$59,IF($W32="C",'1.GLOBAL'!$C$67,'1.GLOBAL'!$C$75))))</f>
        <v>0</v>
      </c>
      <c r="AP32" s="4">
        <f>AP13*IF(OR($X32="",$X32=0),0,IF($W32="A",'1.GLOBAL'!$C$51,IF($W32="B",'1.GLOBAL'!$C$59,IF($W32="C",'1.GLOBAL'!$C$67,'1.GLOBAL'!$C$75))))</f>
        <v>0</v>
      </c>
      <c r="AQ32" s="4">
        <f>AQ13*IF(OR($X32="",$X32=0),0,IF($W32="A",'1.GLOBAL'!$C$51,IF($W32="B",'1.GLOBAL'!$C$59,IF($W32="C",'1.GLOBAL'!$C$67,'1.GLOBAL'!$C$75))))</f>
        <v>0</v>
      </c>
      <c r="AR32" s="4">
        <f>AR13*IF(OR($X32="",$X32=0),0,IF($W32="A",'1.GLOBAL'!$C$51,IF($W32="B",'1.GLOBAL'!$C$59,IF($W32="C",'1.GLOBAL'!$C$67,'1.GLOBAL'!$C$75))))</f>
        <v>0</v>
      </c>
      <c r="AS32" s="4">
        <f>AS13*IF(OR($X32="",$X32=0),0,IF($W32="A",'1.GLOBAL'!$C$51,IF($W32="B",'1.GLOBAL'!$C$59,IF($W32="C",'1.GLOBAL'!$C$67,'1.GLOBAL'!$C$75))))</f>
        <v>0</v>
      </c>
      <c r="AT32" s="4">
        <f>AT13*IF(OR($X32="",$X32=0),0,IF($W32="A",'1.GLOBAL'!$C$51,IF($W32="B",'1.GLOBAL'!$C$59,IF($W32="C",'1.GLOBAL'!$C$67,'1.GLOBAL'!$C$75))))</f>
        <v>0</v>
      </c>
      <c r="AU32" s="4">
        <f>AU13*IF(OR($X32="",$X32=0),0,IF($W32="A",'1.GLOBAL'!$C$51,IF($W32="B",'1.GLOBAL'!$C$59,IF($W32="C",'1.GLOBAL'!$C$67,'1.GLOBAL'!$C$75))))</f>
        <v>0</v>
      </c>
      <c r="AV32" s="4">
        <f>AV13*IF(OR($X32="",$X32=0),0,IF($W32="A",'1.GLOBAL'!$C$51,IF($W32="B",'1.GLOBAL'!$C$59,IF($W32="C",'1.GLOBAL'!$C$67,'1.GLOBAL'!$C$75))))</f>
        <v>0</v>
      </c>
      <c r="AW32" s="4">
        <f>AW13*IF(OR($X32="",$X32=0),0,IF($W32="A",'1.GLOBAL'!$C$51,IF($W32="B",'1.GLOBAL'!$C$59,IF($W32="C",'1.GLOBAL'!$C$67,'1.GLOBAL'!$C$75))))</f>
        <v>0</v>
      </c>
      <c r="AX32" s="4">
        <f>AX13*IF(OR($X32="",$X32=0),0,IF($W32="A",'1.GLOBAL'!$C$51,IF($W32="B",'1.GLOBAL'!$C$59,IF($W32="C",'1.GLOBAL'!$C$67,'1.GLOBAL'!$C$75))))</f>
        <v>0</v>
      </c>
      <c r="AY32" s="4">
        <f>AY13*IF(OR($X32="",$X32=0),0,IF($W32="A",'1.GLOBAL'!$C$51,IF($W32="B",'1.GLOBAL'!$C$59,IF($W32="C",'1.GLOBAL'!$C$67,'1.GLOBAL'!$C$75))))</f>
        <v>0</v>
      </c>
      <c r="AZ32" s="4">
        <f>AZ13*IF(OR($X32="",$X32=0),0,IF($W32="A",'1.GLOBAL'!$C$51,IF($W32="B",'1.GLOBAL'!$C$59,IF($W32="C",'1.GLOBAL'!$C$67,'1.GLOBAL'!$C$75))))</f>
        <v>0</v>
      </c>
      <c r="BA32" s="4">
        <f>BA13*IF(OR($X32="",$X32=0),0,IF($W32="A",'1.GLOBAL'!$C$51,IF($W32="B",'1.GLOBAL'!$C$59,IF($W32="C",'1.GLOBAL'!$C$67,'1.GLOBAL'!$C$75))))</f>
        <v>0</v>
      </c>
      <c r="BB32" s="4">
        <f t="shared" si="1"/>
        <v>0</v>
      </c>
    </row>
    <row r="33" spans="1:54" x14ac:dyDescent="0.2">
      <c r="A33" s="436"/>
      <c r="B33" s="391" t="s">
        <v>215</v>
      </c>
      <c r="C33" s="381"/>
      <c r="D33" s="375"/>
      <c r="E33" s="375"/>
      <c r="F33" s="382"/>
      <c r="G33" s="379"/>
      <c r="H33" s="375"/>
      <c r="I33" s="375"/>
      <c r="J33" s="375"/>
      <c r="K33" s="381"/>
      <c r="L33" s="375"/>
      <c r="M33" s="375"/>
      <c r="N33" s="382"/>
      <c r="O33" s="379"/>
      <c r="P33" s="375"/>
      <c r="Q33" s="375"/>
      <c r="R33" s="376"/>
      <c r="T33" s="437"/>
      <c r="V33" s="436"/>
      <c r="W33" s="4" t="s">
        <v>192</v>
      </c>
      <c r="X33" s="4" t="str">
        <f t="shared" si="0"/>
        <v/>
      </c>
      <c r="Y33" s="4">
        <f>Y14*IF(OR($X33="",$X33=0),0,IF($W33="A",'1.GLOBAL'!$C$51,IF($W33="B",'1.GLOBAL'!$C$59,IF($W33="C",'1.GLOBAL'!$C$67,'1.GLOBAL'!$C$75))))</f>
        <v>0</v>
      </c>
      <c r="Z33" s="4">
        <f>Z14*IF(OR($X33="",$X33=0),0,IF($W33="A",'1.GLOBAL'!$C$51,IF($W33="B",'1.GLOBAL'!$C$59,IF($W33="C",'1.GLOBAL'!$C$67,'1.GLOBAL'!$C$75))))</f>
        <v>0</v>
      </c>
      <c r="AA33" s="4">
        <f>AA14*IF(OR($X33="",$X33=0),0,IF($W33="A",'1.GLOBAL'!$C$51,IF($W33="B",'1.GLOBAL'!$C$59,IF($W33="C",'1.GLOBAL'!$C$67,'1.GLOBAL'!$C$75))))</f>
        <v>0</v>
      </c>
      <c r="AB33" s="4">
        <f>AB14*IF(OR($X33="",$X33=0),0,IF($W33="A",'1.GLOBAL'!$C$51,IF($W33="B",'1.GLOBAL'!$C$59,IF($W33="C",'1.GLOBAL'!$C$67,'1.GLOBAL'!$C$75))))</f>
        <v>0</v>
      </c>
      <c r="AC33" s="4">
        <f>AC14*IF(OR($X33="",$X33=0),0,IF($W33="A",'1.GLOBAL'!$C$51,IF($W33="B",'1.GLOBAL'!$C$59,IF($W33="C",'1.GLOBAL'!$C$67,'1.GLOBAL'!$C$75))))</f>
        <v>0</v>
      </c>
      <c r="AD33" s="4">
        <f>AD14*IF(OR($X33="",$X33=0),0,IF($W33="A",'1.GLOBAL'!$C$51,IF($W33="B",'1.GLOBAL'!$C$59,IF($W33="C",'1.GLOBAL'!$C$67,'1.GLOBAL'!$C$75))))</f>
        <v>0</v>
      </c>
      <c r="AE33" s="4">
        <f>AE14*IF(OR($X33="",$X33=0),0,IF($W33="A",'1.GLOBAL'!$C$51,IF($W33="B",'1.GLOBAL'!$C$59,IF($W33="C",'1.GLOBAL'!$C$67,'1.GLOBAL'!$C$75))))</f>
        <v>0</v>
      </c>
      <c r="AF33" s="4">
        <f>AF14*IF(OR($X33="",$X33=0),0,IF($W33="A",'1.GLOBAL'!$C$51,IF($W33="B",'1.GLOBAL'!$C$59,IF($W33="C",'1.GLOBAL'!$C$67,'1.GLOBAL'!$C$75))))</f>
        <v>0</v>
      </c>
      <c r="AG33" s="4">
        <f>AG14*IF(OR($X33="",$X33=0),0,IF($W33="A",'1.GLOBAL'!$C$51,IF($W33="B",'1.GLOBAL'!$C$59,IF($W33="C",'1.GLOBAL'!$C$67,'1.GLOBAL'!$C$75))))</f>
        <v>0</v>
      </c>
      <c r="AH33" s="4">
        <f>AH14*IF(OR($X33="",$X33=0),0,IF($W33="A",'1.GLOBAL'!$C$51,IF($W33="B",'1.GLOBAL'!$C$59,IF($W33="C",'1.GLOBAL'!$C$67,'1.GLOBAL'!$C$75))))</f>
        <v>0</v>
      </c>
      <c r="AI33" s="4">
        <f>AI14*IF(OR($X33="",$X33=0),0,IF($W33="A",'1.GLOBAL'!$C$51,IF($W33="B",'1.GLOBAL'!$C$59,IF($W33="C",'1.GLOBAL'!$C$67,'1.GLOBAL'!$C$75))))</f>
        <v>0</v>
      </c>
      <c r="AJ33" s="4">
        <f>AJ14*IF(OR($X33="",$X33=0),0,IF($W33="A",'1.GLOBAL'!$C$51,IF($W33="B",'1.GLOBAL'!$C$59,IF($W33="C",'1.GLOBAL'!$C$67,'1.GLOBAL'!$C$75))))</f>
        <v>0</v>
      </c>
      <c r="AK33" s="4">
        <f>AK14*IF(OR($X33="",$X33=0),0,IF($W33="A",'1.GLOBAL'!$C$51,IF($W33="B",'1.GLOBAL'!$C$59,IF($W33="C",'1.GLOBAL'!$C$67,'1.GLOBAL'!$C$75))))</f>
        <v>0</v>
      </c>
      <c r="AL33" s="4">
        <f>AL14*IF(OR($X33="",$X33=0),0,IF($W33="A",'1.GLOBAL'!$C$51,IF($W33="B",'1.GLOBAL'!$C$59,IF($W33="C",'1.GLOBAL'!$C$67,'1.GLOBAL'!$C$75))))</f>
        <v>0</v>
      </c>
      <c r="AM33" s="4">
        <f>AM14*IF(OR($X33="",$X33=0),0,IF($W33="A",'1.GLOBAL'!$C$51,IF($W33="B",'1.GLOBAL'!$C$59,IF($W33="C",'1.GLOBAL'!$C$67,'1.GLOBAL'!$C$75))))</f>
        <v>0</v>
      </c>
      <c r="AN33" s="4">
        <f>AN14*IF(OR($X33="",$X33=0),0,IF($W33="A",'1.GLOBAL'!$C$51,IF($W33="B",'1.GLOBAL'!$C$59,IF($W33="C",'1.GLOBAL'!$C$67,'1.GLOBAL'!$C$75))))</f>
        <v>0</v>
      </c>
      <c r="AO33" s="4">
        <f>AO14*IF(OR($X33="",$X33=0),0,IF($W33="A",'1.GLOBAL'!$C$51,IF($W33="B",'1.GLOBAL'!$C$59,IF($W33="C",'1.GLOBAL'!$C$67,'1.GLOBAL'!$C$75))))</f>
        <v>0</v>
      </c>
      <c r="AP33" s="4">
        <f>AP14*IF(OR($X33="",$X33=0),0,IF($W33="A",'1.GLOBAL'!$C$51,IF($W33="B",'1.GLOBAL'!$C$59,IF($W33="C",'1.GLOBAL'!$C$67,'1.GLOBAL'!$C$75))))</f>
        <v>0</v>
      </c>
      <c r="AQ33" s="4">
        <f>AQ14*IF(OR($X33="",$X33=0),0,IF($W33="A",'1.GLOBAL'!$C$51,IF($W33="B",'1.GLOBAL'!$C$59,IF($W33="C",'1.GLOBAL'!$C$67,'1.GLOBAL'!$C$75))))</f>
        <v>0</v>
      </c>
      <c r="AR33" s="4">
        <f>AR14*IF(OR($X33="",$X33=0),0,IF($W33="A",'1.GLOBAL'!$C$51,IF($W33="B",'1.GLOBAL'!$C$59,IF($W33="C",'1.GLOBAL'!$C$67,'1.GLOBAL'!$C$75))))</f>
        <v>0</v>
      </c>
      <c r="AS33" s="4">
        <f>AS14*IF(OR($X33="",$X33=0),0,IF($W33="A",'1.GLOBAL'!$C$51,IF($W33="B",'1.GLOBAL'!$C$59,IF($W33="C",'1.GLOBAL'!$C$67,'1.GLOBAL'!$C$75))))</f>
        <v>0</v>
      </c>
      <c r="AT33" s="4">
        <f>AT14*IF(OR($X33="",$X33=0),0,IF($W33="A",'1.GLOBAL'!$C$51,IF($W33="B",'1.GLOBAL'!$C$59,IF($W33="C",'1.GLOBAL'!$C$67,'1.GLOBAL'!$C$75))))</f>
        <v>0</v>
      </c>
      <c r="AU33" s="4">
        <f>AU14*IF(OR($X33="",$X33=0),0,IF($W33="A",'1.GLOBAL'!$C$51,IF($W33="B",'1.GLOBAL'!$C$59,IF($W33="C",'1.GLOBAL'!$C$67,'1.GLOBAL'!$C$75))))</f>
        <v>0</v>
      </c>
      <c r="AV33" s="4">
        <f>AV14*IF(OR($X33="",$X33=0),0,IF($W33="A",'1.GLOBAL'!$C$51,IF($W33="B",'1.GLOBAL'!$C$59,IF($W33="C",'1.GLOBAL'!$C$67,'1.GLOBAL'!$C$75))))</f>
        <v>0</v>
      </c>
      <c r="AW33" s="4">
        <f>AW14*IF(OR($X33="",$X33=0),0,IF($W33="A",'1.GLOBAL'!$C$51,IF($W33="B",'1.GLOBAL'!$C$59,IF($W33="C",'1.GLOBAL'!$C$67,'1.GLOBAL'!$C$75))))</f>
        <v>0</v>
      </c>
      <c r="AX33" s="4">
        <f>AX14*IF(OR($X33="",$X33=0),0,IF($W33="A",'1.GLOBAL'!$C$51,IF($W33="B",'1.GLOBAL'!$C$59,IF($W33="C",'1.GLOBAL'!$C$67,'1.GLOBAL'!$C$75))))</f>
        <v>0</v>
      </c>
      <c r="AY33" s="4">
        <f>AY14*IF(OR($X33="",$X33=0),0,IF($W33="A",'1.GLOBAL'!$C$51,IF($W33="B",'1.GLOBAL'!$C$59,IF($W33="C",'1.GLOBAL'!$C$67,'1.GLOBAL'!$C$75))))</f>
        <v>0</v>
      </c>
      <c r="AZ33" s="4">
        <f>AZ14*IF(OR($X33="",$X33=0),0,IF($W33="A",'1.GLOBAL'!$C$51,IF($W33="B",'1.GLOBAL'!$C$59,IF($W33="C",'1.GLOBAL'!$C$67,'1.GLOBAL'!$C$75))))</f>
        <v>0</v>
      </c>
      <c r="BA33" s="4">
        <f>BA14*IF(OR($X33="",$X33=0),0,IF($W33="A",'1.GLOBAL'!$C$51,IF($W33="B",'1.GLOBAL'!$C$59,IF($W33="C",'1.GLOBAL'!$C$67,'1.GLOBAL'!$C$75))))</f>
        <v>0</v>
      </c>
      <c r="BB33" s="4">
        <f t="shared" si="1"/>
        <v>0</v>
      </c>
    </row>
    <row r="34" spans="1:54" x14ac:dyDescent="0.2">
      <c r="A34" s="436"/>
      <c r="B34" s="392" t="s">
        <v>216</v>
      </c>
      <c r="C34" s="383"/>
      <c r="D34" s="377"/>
      <c r="E34" s="377"/>
      <c r="F34" s="384"/>
      <c r="G34" s="380"/>
      <c r="H34" s="377"/>
      <c r="I34" s="377"/>
      <c r="J34" s="377"/>
      <c r="K34" s="383"/>
      <c r="L34" s="377"/>
      <c r="M34" s="377"/>
      <c r="N34" s="384"/>
      <c r="O34" s="380"/>
      <c r="P34" s="377"/>
      <c r="Q34" s="377"/>
      <c r="R34" s="378"/>
      <c r="T34" s="437"/>
      <c r="V34" s="436"/>
      <c r="W34" s="4" t="s">
        <v>192</v>
      </c>
      <c r="X34" s="4" t="str">
        <f t="shared" si="0"/>
        <v/>
      </c>
      <c r="Y34" s="4">
        <f>Y15*IF(OR($X34="",$X34=0),0,IF($W34="A",'1.GLOBAL'!$C$51,IF($W34="B",'1.GLOBAL'!$C$59,IF($W34="C",'1.GLOBAL'!$C$67,'1.GLOBAL'!$C$75))))</f>
        <v>0</v>
      </c>
      <c r="Z34" s="4">
        <f>Z15*IF(OR($X34="",$X34=0),0,IF($W34="A",'1.GLOBAL'!$C$51,IF($W34="B",'1.GLOBAL'!$C$59,IF($W34="C",'1.GLOBAL'!$C$67,'1.GLOBAL'!$C$75))))</f>
        <v>0</v>
      </c>
      <c r="AA34" s="4">
        <f>AA15*IF(OR($X34="",$X34=0),0,IF($W34="A",'1.GLOBAL'!$C$51,IF($W34="B",'1.GLOBAL'!$C$59,IF($W34="C",'1.GLOBAL'!$C$67,'1.GLOBAL'!$C$75))))</f>
        <v>0</v>
      </c>
      <c r="AB34" s="4">
        <f>AB15*IF(OR($X34="",$X34=0),0,IF($W34="A",'1.GLOBAL'!$C$51,IF($W34="B",'1.GLOBAL'!$C$59,IF($W34="C",'1.GLOBAL'!$C$67,'1.GLOBAL'!$C$75))))</f>
        <v>0</v>
      </c>
      <c r="AC34" s="4">
        <f>AC15*IF(OR($X34="",$X34=0),0,IF($W34="A",'1.GLOBAL'!$C$51,IF($W34="B",'1.GLOBAL'!$C$59,IF($W34="C",'1.GLOBAL'!$C$67,'1.GLOBAL'!$C$75))))</f>
        <v>0</v>
      </c>
      <c r="AD34" s="4">
        <f>AD15*IF(OR($X34="",$X34=0),0,IF($W34="A",'1.GLOBAL'!$C$51,IF($W34="B",'1.GLOBAL'!$C$59,IF($W34="C",'1.GLOBAL'!$C$67,'1.GLOBAL'!$C$75))))</f>
        <v>0</v>
      </c>
      <c r="AE34" s="4">
        <f>AE15*IF(OR($X34="",$X34=0),0,IF($W34="A",'1.GLOBAL'!$C$51,IF($W34="B",'1.GLOBAL'!$C$59,IF($W34="C",'1.GLOBAL'!$C$67,'1.GLOBAL'!$C$75))))</f>
        <v>0</v>
      </c>
      <c r="AF34" s="4">
        <f>AF15*IF(OR($X34="",$X34=0),0,IF($W34="A",'1.GLOBAL'!$C$51,IF($W34="B",'1.GLOBAL'!$C$59,IF($W34="C",'1.GLOBAL'!$C$67,'1.GLOBAL'!$C$75))))</f>
        <v>0</v>
      </c>
      <c r="AG34" s="4">
        <f>AG15*IF(OR($X34="",$X34=0),0,IF($W34="A",'1.GLOBAL'!$C$51,IF($W34="B",'1.GLOBAL'!$C$59,IF($W34="C",'1.GLOBAL'!$C$67,'1.GLOBAL'!$C$75))))</f>
        <v>0</v>
      </c>
      <c r="AH34" s="4">
        <f>AH15*IF(OR($X34="",$X34=0),0,IF($W34="A",'1.GLOBAL'!$C$51,IF($W34="B",'1.GLOBAL'!$C$59,IF($W34="C",'1.GLOBAL'!$C$67,'1.GLOBAL'!$C$75))))</f>
        <v>0</v>
      </c>
      <c r="AI34" s="4">
        <f>AI15*IF(OR($X34="",$X34=0),0,IF($W34="A",'1.GLOBAL'!$C$51,IF($W34="B",'1.GLOBAL'!$C$59,IF($W34="C",'1.GLOBAL'!$C$67,'1.GLOBAL'!$C$75))))</f>
        <v>0</v>
      </c>
      <c r="AJ34" s="4">
        <f>AJ15*IF(OR($X34="",$X34=0),0,IF($W34="A",'1.GLOBAL'!$C$51,IF($W34="B",'1.GLOBAL'!$C$59,IF($W34="C",'1.GLOBAL'!$C$67,'1.GLOBAL'!$C$75))))</f>
        <v>0</v>
      </c>
      <c r="AK34" s="4">
        <f>AK15*IF(OR($X34="",$X34=0),0,IF($W34="A",'1.GLOBAL'!$C$51,IF($W34="B",'1.GLOBAL'!$C$59,IF($W34="C",'1.GLOBAL'!$C$67,'1.GLOBAL'!$C$75))))</f>
        <v>0</v>
      </c>
      <c r="AL34" s="4">
        <f>AL15*IF(OR($X34="",$X34=0),0,IF($W34="A",'1.GLOBAL'!$C$51,IF($W34="B",'1.GLOBAL'!$C$59,IF($W34="C",'1.GLOBAL'!$C$67,'1.GLOBAL'!$C$75))))</f>
        <v>0</v>
      </c>
      <c r="AM34" s="4">
        <f>AM15*IF(OR($X34="",$X34=0),0,IF($W34="A",'1.GLOBAL'!$C$51,IF($W34="B",'1.GLOBAL'!$C$59,IF($W34="C",'1.GLOBAL'!$C$67,'1.GLOBAL'!$C$75))))</f>
        <v>0</v>
      </c>
      <c r="AN34" s="4">
        <f>AN15*IF(OR($X34="",$X34=0),0,IF($W34="A",'1.GLOBAL'!$C$51,IF($W34="B",'1.GLOBAL'!$C$59,IF($W34="C",'1.GLOBAL'!$C$67,'1.GLOBAL'!$C$75))))</f>
        <v>0</v>
      </c>
      <c r="AO34" s="4">
        <f>AO15*IF(OR($X34="",$X34=0),0,IF($W34="A",'1.GLOBAL'!$C$51,IF($W34="B",'1.GLOBAL'!$C$59,IF($W34="C",'1.GLOBAL'!$C$67,'1.GLOBAL'!$C$75))))</f>
        <v>0</v>
      </c>
      <c r="AP34" s="4">
        <f>AP15*IF(OR($X34="",$X34=0),0,IF($W34="A",'1.GLOBAL'!$C$51,IF($W34="B",'1.GLOBAL'!$C$59,IF($W34="C",'1.GLOBAL'!$C$67,'1.GLOBAL'!$C$75))))</f>
        <v>0</v>
      </c>
      <c r="AQ34" s="4">
        <f>AQ15*IF(OR($X34="",$X34=0),0,IF($W34="A",'1.GLOBAL'!$C$51,IF($W34="B",'1.GLOBAL'!$C$59,IF($W34="C",'1.GLOBAL'!$C$67,'1.GLOBAL'!$C$75))))</f>
        <v>0</v>
      </c>
      <c r="AR34" s="4">
        <f>AR15*IF(OR($X34="",$X34=0),0,IF($W34="A",'1.GLOBAL'!$C$51,IF($W34="B",'1.GLOBAL'!$C$59,IF($W34="C",'1.GLOBAL'!$C$67,'1.GLOBAL'!$C$75))))</f>
        <v>0</v>
      </c>
      <c r="AS34" s="4">
        <f>AS15*IF(OR($X34="",$X34=0),0,IF($W34="A",'1.GLOBAL'!$C$51,IF($W34="B",'1.GLOBAL'!$C$59,IF($W34="C",'1.GLOBAL'!$C$67,'1.GLOBAL'!$C$75))))</f>
        <v>0</v>
      </c>
      <c r="AT34" s="4">
        <f>AT15*IF(OR($X34="",$X34=0),0,IF($W34="A",'1.GLOBAL'!$C$51,IF($W34="B",'1.GLOBAL'!$C$59,IF($W34="C",'1.GLOBAL'!$C$67,'1.GLOBAL'!$C$75))))</f>
        <v>0</v>
      </c>
      <c r="AU34" s="4">
        <f>AU15*IF(OR($X34="",$X34=0),0,IF($W34="A",'1.GLOBAL'!$C$51,IF($W34="B",'1.GLOBAL'!$C$59,IF($W34="C",'1.GLOBAL'!$C$67,'1.GLOBAL'!$C$75))))</f>
        <v>0</v>
      </c>
      <c r="AV34" s="4">
        <f>AV15*IF(OR($X34="",$X34=0),0,IF($W34="A",'1.GLOBAL'!$C$51,IF($W34="B",'1.GLOBAL'!$C$59,IF($W34="C",'1.GLOBAL'!$C$67,'1.GLOBAL'!$C$75))))</f>
        <v>0</v>
      </c>
      <c r="AW34" s="4">
        <f>AW15*IF(OR($X34="",$X34=0),0,IF($W34="A",'1.GLOBAL'!$C$51,IF($W34="B",'1.GLOBAL'!$C$59,IF($W34="C",'1.GLOBAL'!$C$67,'1.GLOBAL'!$C$75))))</f>
        <v>0</v>
      </c>
      <c r="AX34" s="4">
        <f>AX15*IF(OR($X34="",$X34=0),0,IF($W34="A",'1.GLOBAL'!$C$51,IF($W34="B",'1.GLOBAL'!$C$59,IF($W34="C",'1.GLOBAL'!$C$67,'1.GLOBAL'!$C$75))))</f>
        <v>0</v>
      </c>
      <c r="AY34" s="4">
        <f>AY15*IF(OR($X34="",$X34=0),0,IF($W34="A",'1.GLOBAL'!$C$51,IF($W34="B",'1.GLOBAL'!$C$59,IF($W34="C",'1.GLOBAL'!$C$67,'1.GLOBAL'!$C$75))))</f>
        <v>0</v>
      </c>
      <c r="AZ34" s="4">
        <f>AZ15*IF(OR($X34="",$X34=0),0,IF($W34="A",'1.GLOBAL'!$C$51,IF($W34="B",'1.GLOBAL'!$C$59,IF($W34="C",'1.GLOBAL'!$C$67,'1.GLOBAL'!$C$75))))</f>
        <v>0</v>
      </c>
      <c r="BA34" s="4">
        <f>BA15*IF(OR($X34="",$X34=0),0,IF($W34="A",'1.GLOBAL'!$C$51,IF($W34="B",'1.GLOBAL'!$C$59,IF($W34="C",'1.GLOBAL'!$C$67,'1.GLOBAL'!$C$75))))</f>
        <v>0</v>
      </c>
      <c r="BB34" s="4">
        <f t="shared" si="1"/>
        <v>0</v>
      </c>
    </row>
    <row r="35" spans="1:54" x14ac:dyDescent="0.2">
      <c r="A35" s="436"/>
      <c r="B35" s="391" t="s">
        <v>217</v>
      </c>
      <c r="C35" s="381"/>
      <c r="D35" s="375"/>
      <c r="E35" s="375"/>
      <c r="F35" s="382"/>
      <c r="G35" s="375"/>
      <c r="H35" s="375"/>
      <c r="I35" s="375"/>
      <c r="J35" s="375"/>
      <c r="K35" s="385"/>
      <c r="L35" s="375"/>
      <c r="M35" s="375"/>
      <c r="N35" s="382"/>
      <c r="O35" s="375"/>
      <c r="P35" s="375"/>
      <c r="Q35" s="375"/>
      <c r="R35" s="376"/>
      <c r="T35" s="437"/>
      <c r="V35" s="436"/>
      <c r="W35" s="4" t="s">
        <v>192</v>
      </c>
      <c r="X35" s="4" t="str">
        <f t="shared" si="0"/>
        <v/>
      </c>
      <c r="Y35" s="4">
        <f>Y16*IF(OR($X35="",$X35=0),0,IF($W35="A",'1.GLOBAL'!$C$51,IF($W35="B",'1.GLOBAL'!$C$59,IF($W35="C",'1.GLOBAL'!$C$67,'1.GLOBAL'!$C$75))))</f>
        <v>0</v>
      </c>
      <c r="Z35" s="4">
        <f>Z16*IF(OR($X35="",$X35=0),0,IF($W35="A",'1.GLOBAL'!$C$51,IF($W35="B",'1.GLOBAL'!$C$59,IF($W35="C",'1.GLOBAL'!$C$67,'1.GLOBAL'!$C$75))))</f>
        <v>0</v>
      </c>
      <c r="AA35" s="4">
        <f>AA16*IF(OR($X35="",$X35=0),0,IF($W35="A",'1.GLOBAL'!$C$51,IF($W35="B",'1.GLOBAL'!$C$59,IF($W35="C",'1.GLOBAL'!$C$67,'1.GLOBAL'!$C$75))))</f>
        <v>0</v>
      </c>
      <c r="AB35" s="4">
        <f>AB16*IF(OR($X35="",$X35=0),0,IF($W35="A",'1.GLOBAL'!$C$51,IF($W35="B",'1.GLOBAL'!$C$59,IF($W35="C",'1.GLOBAL'!$C$67,'1.GLOBAL'!$C$75))))</f>
        <v>0</v>
      </c>
      <c r="AC35" s="4">
        <f>AC16*IF(OR($X35="",$X35=0),0,IF($W35="A",'1.GLOBAL'!$C$51,IF($W35="B",'1.GLOBAL'!$C$59,IF($W35="C",'1.GLOBAL'!$C$67,'1.GLOBAL'!$C$75))))</f>
        <v>0</v>
      </c>
      <c r="AD35" s="4">
        <f>AD16*IF(OR($X35="",$X35=0),0,IF($W35="A",'1.GLOBAL'!$C$51,IF($W35="B",'1.GLOBAL'!$C$59,IF($W35="C",'1.GLOBAL'!$C$67,'1.GLOBAL'!$C$75))))</f>
        <v>0</v>
      </c>
      <c r="AE35" s="4">
        <f>AE16*IF(OR($X35="",$X35=0),0,IF($W35="A",'1.GLOBAL'!$C$51,IF($W35="B",'1.GLOBAL'!$C$59,IF($W35="C",'1.GLOBAL'!$C$67,'1.GLOBAL'!$C$75))))</f>
        <v>0</v>
      </c>
      <c r="AF35" s="4">
        <f>AF16*IF(OR($X35="",$X35=0),0,IF($W35="A",'1.GLOBAL'!$C$51,IF($W35="B",'1.GLOBAL'!$C$59,IF($W35="C",'1.GLOBAL'!$C$67,'1.GLOBAL'!$C$75))))</f>
        <v>0</v>
      </c>
      <c r="AG35" s="4">
        <f>AG16*IF(OR($X35="",$X35=0),0,IF($W35="A",'1.GLOBAL'!$C$51,IF($W35="B",'1.GLOBAL'!$C$59,IF($W35="C",'1.GLOBAL'!$C$67,'1.GLOBAL'!$C$75))))</f>
        <v>0</v>
      </c>
      <c r="AH35" s="4">
        <f>AH16*IF(OR($X35="",$X35=0),0,IF($W35="A",'1.GLOBAL'!$C$51,IF($W35="B",'1.GLOBAL'!$C$59,IF($W35="C",'1.GLOBAL'!$C$67,'1.GLOBAL'!$C$75))))</f>
        <v>0</v>
      </c>
      <c r="AI35" s="4">
        <f>AI16*IF(OR($X35="",$X35=0),0,IF($W35="A",'1.GLOBAL'!$C$51,IF($W35="B",'1.GLOBAL'!$C$59,IF($W35="C",'1.GLOBAL'!$C$67,'1.GLOBAL'!$C$75))))</f>
        <v>0</v>
      </c>
      <c r="AJ35" s="4">
        <f>AJ16*IF(OR($X35="",$X35=0),0,IF($W35="A",'1.GLOBAL'!$C$51,IF($W35="B",'1.GLOBAL'!$C$59,IF($W35="C",'1.GLOBAL'!$C$67,'1.GLOBAL'!$C$75))))</f>
        <v>0</v>
      </c>
      <c r="AK35" s="4">
        <f>AK16*IF(OR($X35="",$X35=0),0,IF($W35="A",'1.GLOBAL'!$C$51,IF($W35="B",'1.GLOBAL'!$C$59,IF($W35="C",'1.GLOBAL'!$C$67,'1.GLOBAL'!$C$75))))</f>
        <v>0</v>
      </c>
      <c r="AL35" s="4">
        <f>AL16*IF(OR($X35="",$X35=0),0,IF($W35="A",'1.GLOBAL'!$C$51,IF($W35="B",'1.GLOBAL'!$C$59,IF($W35="C",'1.GLOBAL'!$C$67,'1.GLOBAL'!$C$75))))</f>
        <v>0</v>
      </c>
      <c r="AM35" s="4">
        <f>AM16*IF(OR($X35="",$X35=0),0,IF($W35="A",'1.GLOBAL'!$C$51,IF($W35="B",'1.GLOBAL'!$C$59,IF($W35="C",'1.GLOBAL'!$C$67,'1.GLOBAL'!$C$75))))</f>
        <v>0</v>
      </c>
      <c r="AN35" s="4">
        <f>AN16*IF(OR($X35="",$X35=0),0,IF($W35="A",'1.GLOBAL'!$C$51,IF($W35="B",'1.GLOBAL'!$C$59,IF($W35="C",'1.GLOBAL'!$C$67,'1.GLOBAL'!$C$75))))</f>
        <v>0</v>
      </c>
      <c r="AO35" s="4">
        <f>AO16*IF(OR($X35="",$X35=0),0,IF($W35="A",'1.GLOBAL'!$C$51,IF($W35="B",'1.GLOBAL'!$C$59,IF($W35="C",'1.GLOBAL'!$C$67,'1.GLOBAL'!$C$75))))</f>
        <v>0</v>
      </c>
      <c r="AP35" s="4">
        <f>AP16*IF(OR($X35="",$X35=0),0,IF($W35="A",'1.GLOBAL'!$C$51,IF($W35="B",'1.GLOBAL'!$C$59,IF($W35="C",'1.GLOBAL'!$C$67,'1.GLOBAL'!$C$75))))</f>
        <v>0</v>
      </c>
      <c r="AQ35" s="4">
        <f>AQ16*IF(OR($X35="",$X35=0),0,IF($W35="A",'1.GLOBAL'!$C$51,IF($W35="B",'1.GLOBAL'!$C$59,IF($W35="C",'1.GLOBAL'!$C$67,'1.GLOBAL'!$C$75))))</f>
        <v>0</v>
      </c>
      <c r="AR35" s="4">
        <f>AR16*IF(OR($X35="",$X35=0),0,IF($W35="A",'1.GLOBAL'!$C$51,IF($W35="B",'1.GLOBAL'!$C$59,IF($W35="C",'1.GLOBAL'!$C$67,'1.GLOBAL'!$C$75))))</f>
        <v>0</v>
      </c>
      <c r="AS35" s="4">
        <f>AS16*IF(OR($X35="",$X35=0),0,IF($W35="A",'1.GLOBAL'!$C$51,IF($W35="B",'1.GLOBAL'!$C$59,IF($W35="C",'1.GLOBAL'!$C$67,'1.GLOBAL'!$C$75))))</f>
        <v>0</v>
      </c>
      <c r="AT35" s="4">
        <f>AT16*IF(OR($X35="",$X35=0),0,IF($W35="A",'1.GLOBAL'!$C$51,IF($W35="B",'1.GLOBAL'!$C$59,IF($W35="C",'1.GLOBAL'!$C$67,'1.GLOBAL'!$C$75))))</f>
        <v>0</v>
      </c>
      <c r="AU35" s="4">
        <f>AU16*IF(OR($X35="",$X35=0),0,IF($W35="A",'1.GLOBAL'!$C$51,IF($W35="B",'1.GLOBAL'!$C$59,IF($W35="C",'1.GLOBAL'!$C$67,'1.GLOBAL'!$C$75))))</f>
        <v>0</v>
      </c>
      <c r="AV35" s="4">
        <f>AV16*IF(OR($X35="",$X35=0),0,IF($W35="A",'1.GLOBAL'!$C$51,IF($W35="B",'1.GLOBAL'!$C$59,IF($W35="C",'1.GLOBAL'!$C$67,'1.GLOBAL'!$C$75))))</f>
        <v>0</v>
      </c>
      <c r="AW35" s="4">
        <f>AW16*IF(OR($X35="",$X35=0),0,IF($W35="A",'1.GLOBAL'!$C$51,IF($W35="B",'1.GLOBAL'!$C$59,IF($W35="C",'1.GLOBAL'!$C$67,'1.GLOBAL'!$C$75))))</f>
        <v>0</v>
      </c>
      <c r="AX35" s="4">
        <f>AX16*IF(OR($X35="",$X35=0),0,IF($W35="A",'1.GLOBAL'!$C$51,IF($W35="B",'1.GLOBAL'!$C$59,IF($W35="C",'1.GLOBAL'!$C$67,'1.GLOBAL'!$C$75))))</f>
        <v>0</v>
      </c>
      <c r="AY35" s="4">
        <f>AY16*IF(OR($X35="",$X35=0),0,IF($W35="A",'1.GLOBAL'!$C$51,IF($W35="B",'1.GLOBAL'!$C$59,IF($W35="C",'1.GLOBAL'!$C$67,'1.GLOBAL'!$C$75))))</f>
        <v>0</v>
      </c>
      <c r="AZ35" s="4">
        <f>AZ16*IF(OR($X35="",$X35=0),0,IF($W35="A",'1.GLOBAL'!$C$51,IF($W35="B",'1.GLOBAL'!$C$59,IF($W35="C",'1.GLOBAL'!$C$67,'1.GLOBAL'!$C$75))))</f>
        <v>0</v>
      </c>
      <c r="BA35" s="4">
        <f>BA16*IF(OR($X35="",$X35=0),0,IF($W35="A",'1.GLOBAL'!$C$51,IF($W35="B",'1.GLOBAL'!$C$59,IF($W35="C",'1.GLOBAL'!$C$67,'1.GLOBAL'!$C$75))))</f>
        <v>0</v>
      </c>
      <c r="BB35" s="4">
        <f t="shared" si="1"/>
        <v>0</v>
      </c>
    </row>
    <row r="36" spans="1:54" x14ac:dyDescent="0.2">
      <c r="A36" s="436"/>
      <c r="B36" s="392" t="s">
        <v>218</v>
      </c>
      <c r="C36" s="383"/>
      <c r="D36" s="377"/>
      <c r="E36" s="377"/>
      <c r="F36" s="384"/>
      <c r="G36" s="377"/>
      <c r="H36" s="377"/>
      <c r="I36" s="377"/>
      <c r="J36" s="377"/>
      <c r="K36" s="386"/>
      <c r="L36" s="377"/>
      <c r="M36" s="377"/>
      <c r="N36" s="384"/>
      <c r="O36" s="377"/>
      <c r="P36" s="377"/>
      <c r="Q36" s="377"/>
      <c r="R36" s="378"/>
      <c r="T36" s="437"/>
      <c r="V36" s="436"/>
      <c r="W36" s="4" t="s">
        <v>192</v>
      </c>
      <c r="X36" s="4" t="str">
        <f t="shared" si="0"/>
        <v/>
      </c>
      <c r="Y36" s="4">
        <f>Y17*IF(OR($X36="",$X36=0),0,IF($W36="A",'1.GLOBAL'!$C$51,IF($W36="B",'1.GLOBAL'!$C$59,IF($W36="C",'1.GLOBAL'!$C$67,'1.GLOBAL'!$C$75))))</f>
        <v>0</v>
      </c>
      <c r="Z36" s="4">
        <f>Z17*IF(OR($X36="",$X36=0),0,IF($W36="A",'1.GLOBAL'!$C$51,IF($W36="B",'1.GLOBAL'!$C$59,IF($W36="C",'1.GLOBAL'!$C$67,'1.GLOBAL'!$C$75))))</f>
        <v>0</v>
      </c>
      <c r="AA36" s="4">
        <f>AA17*IF(OR($X36="",$X36=0),0,IF($W36="A",'1.GLOBAL'!$C$51,IF($W36="B",'1.GLOBAL'!$C$59,IF($W36="C",'1.GLOBAL'!$C$67,'1.GLOBAL'!$C$75))))</f>
        <v>0</v>
      </c>
      <c r="AB36" s="4">
        <f>AB17*IF(OR($X36="",$X36=0),0,IF($W36="A",'1.GLOBAL'!$C$51,IF($W36="B",'1.GLOBAL'!$C$59,IF($W36="C",'1.GLOBAL'!$C$67,'1.GLOBAL'!$C$75))))</f>
        <v>0</v>
      </c>
      <c r="AC36" s="4">
        <f>AC17*IF(OR($X36="",$X36=0),0,IF($W36="A",'1.GLOBAL'!$C$51,IF($W36="B",'1.GLOBAL'!$C$59,IF($W36="C",'1.GLOBAL'!$C$67,'1.GLOBAL'!$C$75))))</f>
        <v>0</v>
      </c>
      <c r="AD36" s="4">
        <f>AD17*IF(OR($X36="",$X36=0),0,IF($W36="A",'1.GLOBAL'!$C$51,IF($W36="B",'1.GLOBAL'!$C$59,IF($W36="C",'1.GLOBAL'!$C$67,'1.GLOBAL'!$C$75))))</f>
        <v>0</v>
      </c>
      <c r="AE36" s="4">
        <f>AE17*IF(OR($X36="",$X36=0),0,IF($W36="A",'1.GLOBAL'!$C$51,IF($W36="B",'1.GLOBAL'!$C$59,IF($W36="C",'1.GLOBAL'!$C$67,'1.GLOBAL'!$C$75))))</f>
        <v>0</v>
      </c>
      <c r="AF36" s="4">
        <f>AF17*IF(OR($X36="",$X36=0),0,IF($W36="A",'1.GLOBAL'!$C$51,IF($W36="B",'1.GLOBAL'!$C$59,IF($W36="C",'1.GLOBAL'!$C$67,'1.GLOBAL'!$C$75))))</f>
        <v>0</v>
      </c>
      <c r="AG36" s="4">
        <f>AG17*IF(OR($X36="",$X36=0),0,IF($W36="A",'1.GLOBAL'!$C$51,IF($W36="B",'1.GLOBAL'!$C$59,IF($W36="C",'1.GLOBAL'!$C$67,'1.GLOBAL'!$C$75))))</f>
        <v>0</v>
      </c>
      <c r="AH36" s="4">
        <f>AH17*IF(OR($X36="",$X36=0),0,IF($W36="A",'1.GLOBAL'!$C$51,IF($W36="B",'1.GLOBAL'!$C$59,IF($W36="C",'1.GLOBAL'!$C$67,'1.GLOBAL'!$C$75))))</f>
        <v>0</v>
      </c>
      <c r="AI36" s="4">
        <f>AI17*IF(OR($X36="",$X36=0),0,IF($W36="A",'1.GLOBAL'!$C$51,IF($W36="B",'1.GLOBAL'!$C$59,IF($W36="C",'1.GLOBAL'!$C$67,'1.GLOBAL'!$C$75))))</f>
        <v>0</v>
      </c>
      <c r="AJ36" s="4">
        <f>AJ17*IF(OR($X36="",$X36=0),0,IF($W36="A",'1.GLOBAL'!$C$51,IF($W36="B",'1.GLOBAL'!$C$59,IF($W36="C",'1.GLOBAL'!$C$67,'1.GLOBAL'!$C$75))))</f>
        <v>0</v>
      </c>
      <c r="AK36" s="4">
        <f>AK17*IF(OR($X36="",$X36=0),0,IF($W36="A",'1.GLOBAL'!$C$51,IF($W36="B",'1.GLOBAL'!$C$59,IF($W36="C",'1.GLOBAL'!$C$67,'1.GLOBAL'!$C$75))))</f>
        <v>0</v>
      </c>
      <c r="AL36" s="4">
        <f>AL17*IF(OR($X36="",$X36=0),0,IF($W36="A",'1.GLOBAL'!$C$51,IF($W36="B",'1.GLOBAL'!$C$59,IF($W36="C",'1.GLOBAL'!$C$67,'1.GLOBAL'!$C$75))))</f>
        <v>0</v>
      </c>
      <c r="AM36" s="4">
        <f>AM17*IF(OR($X36="",$X36=0),0,IF($W36="A",'1.GLOBAL'!$C$51,IF($W36="B",'1.GLOBAL'!$C$59,IF($W36="C",'1.GLOBAL'!$C$67,'1.GLOBAL'!$C$75))))</f>
        <v>0</v>
      </c>
      <c r="AN36" s="4">
        <f>AN17*IF(OR($X36="",$X36=0),0,IF($W36="A",'1.GLOBAL'!$C$51,IF($W36="B",'1.GLOBAL'!$C$59,IF($W36="C",'1.GLOBAL'!$C$67,'1.GLOBAL'!$C$75))))</f>
        <v>0</v>
      </c>
      <c r="AO36" s="4">
        <f>AO17*IF(OR($X36="",$X36=0),0,IF($W36="A",'1.GLOBAL'!$C$51,IF($W36="B",'1.GLOBAL'!$C$59,IF($W36="C",'1.GLOBAL'!$C$67,'1.GLOBAL'!$C$75))))</f>
        <v>0</v>
      </c>
      <c r="AP36" s="4">
        <f>AP17*IF(OR($X36="",$X36=0),0,IF($W36="A",'1.GLOBAL'!$C$51,IF($W36="B",'1.GLOBAL'!$C$59,IF($W36="C",'1.GLOBAL'!$C$67,'1.GLOBAL'!$C$75))))</f>
        <v>0</v>
      </c>
      <c r="AQ36" s="4">
        <f>AQ17*IF(OR($X36="",$X36=0),0,IF($W36="A",'1.GLOBAL'!$C$51,IF($W36="B",'1.GLOBAL'!$C$59,IF($W36="C",'1.GLOBAL'!$C$67,'1.GLOBAL'!$C$75))))</f>
        <v>0</v>
      </c>
      <c r="AR36" s="4">
        <f>AR17*IF(OR($X36="",$X36=0),0,IF($W36="A",'1.GLOBAL'!$C$51,IF($W36="B",'1.GLOBAL'!$C$59,IF($W36="C",'1.GLOBAL'!$C$67,'1.GLOBAL'!$C$75))))</f>
        <v>0</v>
      </c>
      <c r="AS36" s="4">
        <f>AS17*IF(OR($X36="",$X36=0),0,IF($W36="A",'1.GLOBAL'!$C$51,IF($W36="B",'1.GLOBAL'!$C$59,IF($W36="C",'1.GLOBAL'!$C$67,'1.GLOBAL'!$C$75))))</f>
        <v>0</v>
      </c>
      <c r="AT36" s="4">
        <f>AT17*IF(OR($X36="",$X36=0),0,IF($W36="A",'1.GLOBAL'!$C$51,IF($W36="B",'1.GLOBAL'!$C$59,IF($W36="C",'1.GLOBAL'!$C$67,'1.GLOBAL'!$C$75))))</f>
        <v>0</v>
      </c>
      <c r="AU36" s="4">
        <f>AU17*IF(OR($X36="",$X36=0),0,IF($W36="A",'1.GLOBAL'!$C$51,IF($W36="B",'1.GLOBAL'!$C$59,IF($W36="C",'1.GLOBAL'!$C$67,'1.GLOBAL'!$C$75))))</f>
        <v>0</v>
      </c>
      <c r="AV36" s="4">
        <f>AV17*IF(OR($X36="",$X36=0),0,IF($W36="A",'1.GLOBAL'!$C$51,IF($W36="B",'1.GLOBAL'!$C$59,IF($W36="C",'1.GLOBAL'!$C$67,'1.GLOBAL'!$C$75))))</f>
        <v>0</v>
      </c>
      <c r="AW36" s="4">
        <f>AW17*IF(OR($X36="",$X36=0),0,IF($W36="A",'1.GLOBAL'!$C$51,IF($W36="B",'1.GLOBAL'!$C$59,IF($W36="C",'1.GLOBAL'!$C$67,'1.GLOBAL'!$C$75))))</f>
        <v>0</v>
      </c>
      <c r="AX36" s="4">
        <f>AX17*IF(OR($X36="",$X36=0),0,IF($W36="A",'1.GLOBAL'!$C$51,IF($W36="B",'1.GLOBAL'!$C$59,IF($W36="C",'1.GLOBAL'!$C$67,'1.GLOBAL'!$C$75))))</f>
        <v>0</v>
      </c>
      <c r="AY36" s="4">
        <f>AY17*IF(OR($X36="",$X36=0),0,IF($W36="A",'1.GLOBAL'!$C$51,IF($W36="B",'1.GLOBAL'!$C$59,IF($W36="C",'1.GLOBAL'!$C$67,'1.GLOBAL'!$C$75))))</f>
        <v>0</v>
      </c>
      <c r="AZ36" s="4">
        <f>AZ17*IF(OR($X36="",$X36=0),0,IF($W36="A",'1.GLOBAL'!$C$51,IF($W36="B",'1.GLOBAL'!$C$59,IF($W36="C",'1.GLOBAL'!$C$67,'1.GLOBAL'!$C$75))))</f>
        <v>0</v>
      </c>
      <c r="BA36" s="4">
        <f>BA17*IF(OR($X36="",$X36=0),0,IF($W36="A",'1.GLOBAL'!$C$51,IF($W36="B",'1.GLOBAL'!$C$59,IF($W36="C",'1.GLOBAL'!$C$67,'1.GLOBAL'!$C$75))))</f>
        <v>0</v>
      </c>
      <c r="BB36" s="4">
        <f t="shared" si="1"/>
        <v>0</v>
      </c>
    </row>
    <row r="37" spans="1:54" x14ac:dyDescent="0.2">
      <c r="A37" s="436"/>
      <c r="B37" s="391" t="s">
        <v>219</v>
      </c>
      <c r="C37" s="381"/>
      <c r="D37" s="375"/>
      <c r="E37" s="375"/>
      <c r="F37" s="382"/>
      <c r="G37" s="375"/>
      <c r="H37" s="375"/>
      <c r="I37" s="375"/>
      <c r="J37" s="375"/>
      <c r="K37" s="385"/>
      <c r="L37" s="375"/>
      <c r="M37" s="375"/>
      <c r="N37" s="382"/>
      <c r="O37" s="375"/>
      <c r="P37" s="375"/>
      <c r="Q37" s="375"/>
      <c r="R37" s="376"/>
      <c r="T37" s="437"/>
    </row>
    <row r="38" spans="1:54" x14ac:dyDescent="0.2">
      <c r="A38" s="436"/>
      <c r="B38" s="392" t="s">
        <v>220</v>
      </c>
      <c r="C38" s="383"/>
      <c r="D38" s="377"/>
      <c r="E38" s="377"/>
      <c r="F38" s="384"/>
      <c r="G38" s="377"/>
      <c r="H38" s="377"/>
      <c r="I38" s="377"/>
      <c r="J38" s="377"/>
      <c r="K38" s="386"/>
      <c r="L38" s="377"/>
      <c r="M38" s="377"/>
      <c r="N38" s="384"/>
      <c r="O38" s="377"/>
      <c r="P38" s="377"/>
      <c r="Q38" s="377"/>
      <c r="R38" s="378"/>
      <c r="T38" s="437"/>
    </row>
    <row r="39" spans="1:54" ht="17" thickBot="1" x14ac:dyDescent="0.25">
      <c r="A39" s="436"/>
      <c r="B39" s="402" t="s">
        <v>221</v>
      </c>
      <c r="C39" s="393"/>
      <c r="D39" s="394"/>
      <c r="E39" s="394"/>
      <c r="F39" s="395"/>
      <c r="G39" s="394"/>
      <c r="H39" s="394"/>
      <c r="I39" s="394"/>
      <c r="J39" s="394"/>
      <c r="K39" s="396"/>
      <c r="L39" s="394"/>
      <c r="M39" s="394"/>
      <c r="N39" s="395"/>
      <c r="O39" s="394"/>
      <c r="P39" s="394"/>
      <c r="Q39" s="394"/>
      <c r="R39" s="397"/>
      <c r="T39" s="437"/>
    </row>
    <row r="40" spans="1:54" ht="18" thickBot="1" x14ac:dyDescent="0.25">
      <c r="A40" s="287" t="s">
        <v>298</v>
      </c>
      <c r="B40" s="403" t="s">
        <v>13</v>
      </c>
      <c r="C40" s="398">
        <f>SUM(C11:C39)</f>
        <v>0</v>
      </c>
      <c r="D40" s="399">
        <f t="shared" ref="D40:R40" si="2">SUM(D11:D39)</f>
        <v>0</v>
      </c>
      <c r="E40" s="399">
        <f t="shared" si="2"/>
        <v>0</v>
      </c>
      <c r="F40" s="400">
        <f t="shared" si="2"/>
        <v>0</v>
      </c>
      <c r="G40" s="399">
        <f t="shared" si="2"/>
        <v>0</v>
      </c>
      <c r="H40" s="399">
        <f t="shared" si="2"/>
        <v>0</v>
      </c>
      <c r="I40" s="399">
        <f t="shared" si="2"/>
        <v>0</v>
      </c>
      <c r="J40" s="399">
        <f t="shared" si="2"/>
        <v>0</v>
      </c>
      <c r="K40" s="398">
        <f t="shared" si="2"/>
        <v>0</v>
      </c>
      <c r="L40" s="399">
        <f t="shared" si="2"/>
        <v>0</v>
      </c>
      <c r="M40" s="399">
        <f t="shared" si="2"/>
        <v>0</v>
      </c>
      <c r="N40" s="400">
        <f t="shared" si="2"/>
        <v>0</v>
      </c>
      <c r="O40" s="399">
        <f t="shared" si="2"/>
        <v>0</v>
      </c>
      <c r="P40" s="399">
        <f t="shared" si="2"/>
        <v>0</v>
      </c>
      <c r="Q40" s="399">
        <f t="shared" si="2"/>
        <v>0</v>
      </c>
      <c r="R40" s="401">
        <f t="shared" si="2"/>
        <v>0</v>
      </c>
      <c r="T40" s="437"/>
    </row>
    <row r="41" spans="1:54" ht="17" customHeight="1" x14ac:dyDescent="0.2">
      <c r="T41" s="437"/>
      <c r="X41" s="83"/>
      <c r="Y41" s="83"/>
      <c r="Z41" s="83"/>
      <c r="AA41" s="83"/>
    </row>
    <row r="42" spans="1:54" x14ac:dyDescent="0.2">
      <c r="W42" s="83"/>
      <c r="X42" s="83"/>
      <c r="Y42" s="83"/>
      <c r="Z42" s="83"/>
      <c r="AA42" s="83"/>
    </row>
    <row r="43" spans="1:54" x14ac:dyDescent="0.2">
      <c r="W43" s="83"/>
      <c r="X43" s="83"/>
      <c r="Y43" s="83"/>
      <c r="Z43" s="83"/>
      <c r="AA43" s="83"/>
    </row>
    <row r="44" spans="1:54" x14ac:dyDescent="0.2">
      <c r="W44" s="83"/>
      <c r="X44" s="83"/>
      <c r="Y44" s="83"/>
      <c r="Z44" s="83"/>
      <c r="AA44" s="83"/>
    </row>
    <row r="45" spans="1:54" x14ac:dyDescent="0.2">
      <c r="W45" s="83"/>
      <c r="X45" s="83"/>
      <c r="Y45" s="83"/>
      <c r="Z45" s="83"/>
      <c r="AA45" s="83"/>
    </row>
    <row r="46" spans="1:54" x14ac:dyDescent="0.2">
      <c r="W46" s="83"/>
      <c r="X46" s="83"/>
      <c r="Y46" s="83"/>
      <c r="Z46" s="83"/>
      <c r="AA46" s="83"/>
    </row>
    <row r="47" spans="1:54" x14ac:dyDescent="0.2">
      <c r="W47" s="83"/>
      <c r="X47" s="83"/>
      <c r="Y47" s="83"/>
      <c r="Z47" s="83"/>
      <c r="AA47" s="83"/>
    </row>
    <row r="48" spans="1:54" x14ac:dyDescent="0.2">
      <c r="W48" s="83"/>
      <c r="X48" s="83"/>
      <c r="Y48" s="83"/>
      <c r="Z48" s="83"/>
      <c r="AA48" s="83"/>
    </row>
    <row r="49" spans="23:27" x14ac:dyDescent="0.2">
      <c r="W49" s="83"/>
      <c r="X49" s="83"/>
      <c r="Y49" s="83"/>
      <c r="Z49" s="83"/>
      <c r="AA49" s="83"/>
    </row>
    <row r="50" spans="23:27" x14ac:dyDescent="0.2">
      <c r="W50" s="83"/>
      <c r="X50" s="83"/>
      <c r="Y50" s="83"/>
      <c r="Z50" s="83"/>
      <c r="AA50" s="83"/>
    </row>
    <row r="51" spans="23:27" x14ac:dyDescent="0.2">
      <c r="W51" s="83"/>
      <c r="X51" s="83"/>
      <c r="Y51" s="83"/>
      <c r="Z51" s="83"/>
      <c r="AA51" s="83"/>
    </row>
  </sheetData>
  <sheetProtection algorithmName="SHA-512" hashValue="IlB/B+2F37zBhUEQ/PUjxlAgUhzYlueadWP0s0JUIskQoicrSP60QWsjBflZ+hKFyKRh+FWRNvraXuejpHw1WQ==" saltValue="kBw++IbA6djwgkSf2ag2ZQ==" spinCount="100000" sheet="1" objects="1" scenarios="1"/>
  <mergeCells count="9">
    <mergeCell ref="A10:A39"/>
    <mergeCell ref="V1:V17"/>
    <mergeCell ref="T1:T41"/>
    <mergeCell ref="O9:R9"/>
    <mergeCell ref="K9:N9"/>
    <mergeCell ref="G9:J9"/>
    <mergeCell ref="C9:F9"/>
    <mergeCell ref="V20:V36"/>
    <mergeCell ref="A2:R7"/>
  </mergeCells>
  <pageMargins left="0.7" right="0.7" top="0.75" bottom="0.75" header="0.3" footer="0.3"/>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6FC9BE-9A43-3E41-8E2D-23D6478B163B}">
  <sheetPr>
    <tabColor theme="7"/>
  </sheetPr>
  <dimension ref="A1:W52"/>
  <sheetViews>
    <sheetView tabSelected="1" topLeftCell="A13" zoomScale="112" zoomScaleNormal="130" workbookViewId="0">
      <selection activeCell="Z40" sqref="Z40"/>
    </sheetView>
  </sheetViews>
  <sheetFormatPr baseColWidth="10" defaultRowHeight="16" x14ac:dyDescent="0.2"/>
  <cols>
    <col min="1" max="1" width="10.83203125" customWidth="1"/>
    <col min="3" max="3" width="12.1640625" customWidth="1"/>
    <col min="4" max="4" width="14" customWidth="1"/>
  </cols>
  <sheetData>
    <row r="1" spans="1:23" ht="16" hidden="1" customHeight="1" x14ac:dyDescent="0.2">
      <c r="A1" s="436" t="s">
        <v>695</v>
      </c>
      <c r="B1" s="443"/>
      <c r="C1" s="119" t="s">
        <v>223</v>
      </c>
      <c r="D1" s="445" t="s">
        <v>180</v>
      </c>
      <c r="E1" s="446"/>
      <c r="F1" s="446"/>
      <c r="G1" s="447"/>
      <c r="H1" s="445" t="s">
        <v>188</v>
      </c>
      <c r="I1" s="446"/>
      <c r="J1" s="446"/>
      <c r="K1" s="447"/>
      <c r="L1" s="445" t="s">
        <v>190</v>
      </c>
      <c r="M1" s="446"/>
      <c r="N1" s="446"/>
      <c r="O1" s="447"/>
      <c r="P1" s="445" t="s">
        <v>192</v>
      </c>
      <c r="Q1" s="446"/>
      <c r="R1" s="446"/>
      <c r="S1" s="447"/>
    </row>
    <row r="2" spans="1:23" hidden="1" x14ac:dyDescent="0.2">
      <c r="A2" s="436"/>
      <c r="B2" s="443"/>
      <c r="C2" s="167" t="s">
        <v>694</v>
      </c>
      <c r="D2" s="172">
        <f>'2.VOL_INITIAL'!C40</f>
        <v>0</v>
      </c>
      <c r="E2" s="168">
        <f>'2.VOL_INITIAL'!D40</f>
        <v>0</v>
      </c>
      <c r="F2" s="168">
        <f>'2.VOL_INITIAL'!E40</f>
        <v>0</v>
      </c>
      <c r="G2" s="169">
        <f>'2.VOL_INITIAL'!F40</f>
        <v>0</v>
      </c>
      <c r="H2" s="172">
        <f>'2.VOL_INITIAL'!G40</f>
        <v>0</v>
      </c>
      <c r="I2" s="168">
        <f>'2.VOL_INITIAL'!H40</f>
        <v>0</v>
      </c>
      <c r="J2" s="168">
        <f>'2.VOL_INITIAL'!I40</f>
        <v>0</v>
      </c>
      <c r="K2" s="169">
        <f>'2.VOL_INITIAL'!J40</f>
        <v>0</v>
      </c>
      <c r="L2" s="172">
        <f>'2.VOL_INITIAL'!K40</f>
        <v>0</v>
      </c>
      <c r="M2" s="168">
        <f>'2.VOL_INITIAL'!L40</f>
        <v>0</v>
      </c>
      <c r="N2" s="168">
        <f>'2.VOL_INITIAL'!M40</f>
        <v>0</v>
      </c>
      <c r="O2" s="169">
        <f>'2.VOL_INITIAL'!N40</f>
        <v>0</v>
      </c>
      <c r="P2" s="172">
        <f>'2.VOL_INITIAL'!O40</f>
        <v>0</v>
      </c>
      <c r="Q2" s="168">
        <f>'2.VOL_INITIAL'!P40</f>
        <v>0</v>
      </c>
      <c r="R2" s="168">
        <f>'2.VOL_INITIAL'!Q40</f>
        <v>0</v>
      </c>
      <c r="S2" s="169">
        <f>'2.VOL_INITIAL'!R40</f>
        <v>0</v>
      </c>
    </row>
    <row r="3" spans="1:23" hidden="1" x14ac:dyDescent="0.2">
      <c r="A3" s="436"/>
      <c r="B3" s="443"/>
      <c r="C3" s="170" t="s">
        <v>249</v>
      </c>
      <c r="D3" s="120" t="str">
        <f>IF('2.VOL_INITIAL'!C10="","",'2.VOL_INITIAL'!C10)</f>
        <v/>
      </c>
      <c r="E3" s="112" t="str">
        <f>IF('2.VOL_INITIAL'!D10="","",'2.VOL_INITIAL'!D10)</f>
        <v/>
      </c>
      <c r="F3" s="112" t="str">
        <f>IF('2.VOL_INITIAL'!E10="","",'2.VOL_INITIAL'!E10)</f>
        <v/>
      </c>
      <c r="G3" s="171" t="str">
        <f>IF('2.VOL_INITIAL'!F10="","",'2.VOL_INITIAL'!F10)</f>
        <v/>
      </c>
      <c r="H3" s="120" t="str">
        <f>IF('2.VOL_INITIAL'!G10="","",'2.VOL_INITIAL'!G10)</f>
        <v/>
      </c>
      <c r="I3" s="112" t="str">
        <f>IF('2.VOL_INITIAL'!H10="","",'2.VOL_INITIAL'!H10)</f>
        <v/>
      </c>
      <c r="J3" s="112" t="str">
        <f>IF('2.VOL_INITIAL'!I10="","",'2.VOL_INITIAL'!I10)</f>
        <v/>
      </c>
      <c r="K3" s="171" t="str">
        <f>IF('2.VOL_INITIAL'!J10="","",'2.VOL_INITIAL'!J10)</f>
        <v/>
      </c>
      <c r="L3" s="120" t="str">
        <f>IF('2.VOL_INITIAL'!K10="","",'2.VOL_INITIAL'!K10)</f>
        <v/>
      </c>
      <c r="M3" s="112" t="str">
        <f>IF('2.VOL_INITIAL'!L10="","",'2.VOL_INITIAL'!L10)</f>
        <v/>
      </c>
      <c r="N3" s="112" t="str">
        <f>IF('2.VOL_INITIAL'!M10="","",'2.VOL_INITIAL'!M10)</f>
        <v/>
      </c>
      <c r="O3" s="171" t="str">
        <f>IF('2.VOL_INITIAL'!N10="","",'2.VOL_INITIAL'!N10)</f>
        <v/>
      </c>
      <c r="P3" s="120" t="str">
        <f>IF('2.VOL_INITIAL'!O10="","",'2.VOL_INITIAL'!O10)</f>
        <v/>
      </c>
      <c r="Q3" s="112" t="str">
        <f>IF('2.VOL_INITIAL'!P10="","",'2.VOL_INITIAL'!P10)</f>
        <v/>
      </c>
      <c r="R3" s="112" t="str">
        <f>IF('2.VOL_INITIAL'!Q10="","",'2.VOL_INITIAL'!Q10)</f>
        <v/>
      </c>
      <c r="S3" s="171" t="str">
        <f>IF('2.VOL_INITIAL'!R10="","",'2.VOL_INITIAL'!R10)</f>
        <v/>
      </c>
    </row>
    <row r="4" spans="1:23" hidden="1" x14ac:dyDescent="0.2"/>
    <row r="5" spans="1:23" ht="16" hidden="1" customHeight="1" x14ac:dyDescent="0.2">
      <c r="A5" s="436" t="s">
        <v>697</v>
      </c>
      <c r="B5" s="436"/>
      <c r="C5" t="s">
        <v>223</v>
      </c>
      <c r="D5" t="s">
        <v>696</v>
      </c>
      <c r="E5" t="s">
        <v>693</v>
      </c>
    </row>
    <row r="6" spans="1:23" hidden="1" x14ac:dyDescent="0.2">
      <c r="A6" s="436"/>
      <c r="B6" s="436"/>
      <c r="C6" s="4" t="s">
        <v>180</v>
      </c>
      <c r="D6" s="118">
        <f>MAX(D2:G2)</f>
        <v>0</v>
      </c>
      <c r="E6" s="4" t="str">
        <f>HLOOKUP(D6,$D$2:$G$3,2,FALSE)</f>
        <v/>
      </c>
    </row>
    <row r="7" spans="1:23" hidden="1" x14ac:dyDescent="0.2">
      <c r="A7" s="436"/>
      <c r="B7" s="436"/>
      <c r="C7" s="4" t="s">
        <v>188</v>
      </c>
      <c r="D7" s="118">
        <f>MAX(H2:K2)</f>
        <v>0</v>
      </c>
      <c r="E7" s="4" t="str">
        <f>HLOOKUP(D7,$H$2:$K$3,2,FALSE)</f>
        <v/>
      </c>
    </row>
    <row r="8" spans="1:23" hidden="1" x14ac:dyDescent="0.2">
      <c r="A8" s="436"/>
      <c r="B8" s="436"/>
      <c r="C8" s="4" t="s">
        <v>190</v>
      </c>
      <c r="D8" s="118">
        <f>MAX(L2:O2)</f>
        <v>0</v>
      </c>
      <c r="E8" s="4" t="str">
        <f>HLOOKUP(D8,$L$2:$O$3,2,FALSE)</f>
        <v/>
      </c>
    </row>
    <row r="9" spans="1:23" hidden="1" x14ac:dyDescent="0.2">
      <c r="A9" s="436"/>
      <c r="B9" s="436"/>
      <c r="C9" s="4" t="s">
        <v>192</v>
      </c>
      <c r="D9" s="118">
        <f>MAX(P2:S2)</f>
        <v>0</v>
      </c>
      <c r="E9" s="4" t="str">
        <f>HLOOKUP(D9,$P$2:$S$3,2,FALSE)</f>
        <v/>
      </c>
    </row>
    <row r="10" spans="1:23" hidden="1" x14ac:dyDescent="0.2"/>
    <row r="11" spans="1:23" ht="17" thickBot="1" x14ac:dyDescent="0.25"/>
    <row r="12" spans="1:23" ht="25" customHeight="1" x14ac:dyDescent="0.2">
      <c r="A12" s="450" t="s">
        <v>1022</v>
      </c>
      <c r="B12" s="451"/>
      <c r="C12" s="451"/>
      <c r="D12" s="451"/>
      <c r="E12" s="451"/>
      <c r="F12" s="451"/>
      <c r="G12" s="451"/>
      <c r="H12" s="451"/>
      <c r="I12" s="451"/>
      <c r="J12" s="451"/>
      <c r="K12" s="451"/>
      <c r="L12" s="451"/>
      <c r="M12" s="451"/>
      <c r="N12" s="451"/>
      <c r="O12" s="451"/>
      <c r="P12" s="451"/>
      <c r="Q12" s="451"/>
      <c r="R12" s="451"/>
      <c r="S12" s="451"/>
      <c r="T12" s="451"/>
      <c r="U12" s="451"/>
      <c r="V12" s="451"/>
      <c r="W12" s="452"/>
    </row>
    <row r="13" spans="1:23" ht="24" customHeight="1" x14ac:dyDescent="0.2">
      <c r="A13" s="453"/>
      <c r="B13" s="454"/>
      <c r="C13" s="454"/>
      <c r="D13" s="454"/>
      <c r="E13" s="454"/>
      <c r="F13" s="454"/>
      <c r="G13" s="454"/>
      <c r="H13" s="454"/>
      <c r="I13" s="454"/>
      <c r="J13" s="454"/>
      <c r="K13" s="454"/>
      <c r="L13" s="454"/>
      <c r="M13" s="454"/>
      <c r="N13" s="454"/>
      <c r="O13" s="454"/>
      <c r="P13" s="454"/>
      <c r="Q13" s="454"/>
      <c r="R13" s="454"/>
      <c r="S13" s="454"/>
      <c r="T13" s="454"/>
      <c r="U13" s="454"/>
      <c r="V13" s="454"/>
      <c r="W13" s="455"/>
    </row>
    <row r="14" spans="1:23" ht="24" customHeight="1" thickBot="1" x14ac:dyDescent="0.25">
      <c r="A14" s="456"/>
      <c r="B14" s="457"/>
      <c r="C14" s="457"/>
      <c r="D14" s="457"/>
      <c r="E14" s="457"/>
      <c r="F14" s="457"/>
      <c r="G14" s="457"/>
      <c r="H14" s="457"/>
      <c r="I14" s="457"/>
      <c r="J14" s="457"/>
      <c r="K14" s="457"/>
      <c r="L14" s="457"/>
      <c r="M14" s="457"/>
      <c r="N14" s="457"/>
      <c r="O14" s="457"/>
      <c r="P14" s="457"/>
      <c r="Q14" s="457"/>
      <c r="R14" s="457"/>
      <c r="S14" s="457"/>
      <c r="T14" s="457"/>
      <c r="U14" s="457"/>
      <c r="V14" s="457"/>
      <c r="W14" s="458"/>
    </row>
    <row r="16" spans="1:23" ht="29" x14ac:dyDescent="0.35">
      <c r="A16" s="444" t="s">
        <v>634</v>
      </c>
      <c r="B16" s="444"/>
      <c r="C16" s="444"/>
      <c r="D16" s="444"/>
      <c r="E16" s="444"/>
      <c r="F16" s="17"/>
      <c r="G16" s="444" t="s">
        <v>640</v>
      </c>
      <c r="H16" s="444"/>
      <c r="I16" s="444"/>
      <c r="J16" s="444"/>
      <c r="K16" s="444"/>
      <c r="L16" s="17"/>
      <c r="M16" s="444" t="s">
        <v>641</v>
      </c>
      <c r="N16" s="444"/>
      <c r="O16" s="444"/>
      <c r="P16" s="444"/>
      <c r="Q16" s="444"/>
      <c r="R16" s="17"/>
      <c r="S16" s="444" t="s">
        <v>642</v>
      </c>
      <c r="T16" s="444"/>
      <c r="U16" s="444"/>
      <c r="V16" s="444"/>
      <c r="W16" s="444"/>
    </row>
    <row r="18" spans="1:23" x14ac:dyDescent="0.2">
      <c r="A18" s="174" t="s">
        <v>293</v>
      </c>
      <c r="B18" s="388" t="s">
        <v>698</v>
      </c>
      <c r="C18" s="388"/>
      <c r="D18" s="388"/>
      <c r="E18" s="388"/>
      <c r="G18" s="174" t="s">
        <v>293</v>
      </c>
      <c r="H18" s="388" t="s">
        <v>698</v>
      </c>
      <c r="I18" s="388"/>
      <c r="J18" s="388"/>
      <c r="K18" s="388"/>
      <c r="M18" s="174" t="s">
        <v>293</v>
      </c>
      <c r="N18" s="388" t="s">
        <v>698</v>
      </c>
      <c r="O18" s="388"/>
      <c r="P18" s="388"/>
      <c r="Q18" s="388"/>
      <c r="S18" s="174" t="s">
        <v>293</v>
      </c>
      <c r="T18" s="388" t="s">
        <v>698</v>
      </c>
      <c r="U18" s="388"/>
      <c r="V18" s="388"/>
      <c r="W18" s="388"/>
    </row>
    <row r="19" spans="1:23" x14ac:dyDescent="0.2">
      <c r="A19" s="345" t="str">
        <f>IF(E6="","",E6)</f>
        <v/>
      </c>
      <c r="B19" s="448"/>
      <c r="C19" s="448"/>
      <c r="D19" s="448"/>
      <c r="E19" s="448"/>
      <c r="G19" s="387" t="str">
        <f>IF(E7="","",E7)</f>
        <v/>
      </c>
      <c r="H19" s="449"/>
      <c r="I19" s="449"/>
      <c r="J19" s="449"/>
      <c r="K19" s="449"/>
      <c r="M19" s="387" t="str">
        <f>IF(E8="","",E8)</f>
        <v/>
      </c>
      <c r="N19" s="449"/>
      <c r="O19" s="449"/>
      <c r="P19" s="449"/>
      <c r="Q19" s="449"/>
      <c r="S19" s="387" t="str">
        <f>IF(E9="","",E9)</f>
        <v/>
      </c>
      <c r="T19" s="449"/>
      <c r="U19" s="449"/>
      <c r="V19" s="449"/>
      <c r="W19" s="449"/>
    </row>
    <row r="21" spans="1:23" x14ac:dyDescent="0.2">
      <c r="A21" s="436" t="s">
        <v>634</v>
      </c>
      <c r="B21" s="4" t="s">
        <v>94</v>
      </c>
      <c r="C21" s="4" t="s">
        <v>153</v>
      </c>
      <c r="D21" s="4" t="s">
        <v>152</v>
      </c>
      <c r="E21" s="4" t="s">
        <v>151</v>
      </c>
      <c r="F21" s="3"/>
      <c r="G21" s="436" t="s">
        <v>640</v>
      </c>
      <c r="H21" s="4" t="s">
        <v>94</v>
      </c>
      <c r="I21" s="4" t="s">
        <v>153</v>
      </c>
      <c r="J21" s="4" t="s">
        <v>152</v>
      </c>
      <c r="K21" s="4" t="s">
        <v>151</v>
      </c>
      <c r="M21" s="436" t="s">
        <v>641</v>
      </c>
      <c r="N21" s="4" t="s">
        <v>94</v>
      </c>
      <c r="O21" s="4" t="s">
        <v>153</v>
      </c>
      <c r="P21" s="4" t="s">
        <v>152</v>
      </c>
      <c r="Q21" s="4" t="s">
        <v>151</v>
      </c>
      <c r="S21" s="436" t="s">
        <v>642</v>
      </c>
      <c r="T21" s="4" t="s">
        <v>94</v>
      </c>
      <c r="U21" s="4" t="s">
        <v>153</v>
      </c>
      <c r="V21" s="4" t="s">
        <v>152</v>
      </c>
      <c r="W21" s="4" t="s">
        <v>151</v>
      </c>
    </row>
    <row r="22" spans="1:23" ht="16" customHeight="1" x14ac:dyDescent="0.2">
      <c r="A22" s="436"/>
      <c r="B22" s="4">
        <v>0</v>
      </c>
      <c r="C22" s="4">
        <v>0</v>
      </c>
      <c r="D22" s="4">
        <v>0</v>
      </c>
      <c r="E22" s="4">
        <v>0</v>
      </c>
      <c r="F22" s="3"/>
      <c r="G22" s="436"/>
      <c r="H22" s="4">
        <v>0</v>
      </c>
      <c r="I22" s="4">
        <v>0</v>
      </c>
      <c r="J22" s="4">
        <v>0</v>
      </c>
      <c r="K22" s="4">
        <v>0</v>
      </c>
      <c r="M22" s="436"/>
      <c r="N22" s="4">
        <v>0</v>
      </c>
      <c r="O22" s="4">
        <v>0</v>
      </c>
      <c r="P22" s="4">
        <v>0</v>
      </c>
      <c r="Q22" s="4">
        <v>0</v>
      </c>
      <c r="S22" s="436"/>
      <c r="T22" s="4">
        <v>0</v>
      </c>
      <c r="U22" s="4">
        <v>0</v>
      </c>
      <c r="V22" s="4">
        <v>0</v>
      </c>
      <c r="W22" s="4">
        <v>0</v>
      </c>
    </row>
    <row r="23" spans="1:23" x14ac:dyDescent="0.2">
      <c r="A23" s="436"/>
      <c r="B23" s="12">
        <v>1</v>
      </c>
      <c r="C23" s="414">
        <f>IF($A$19="",0,VLOOKUP(CONCATENATE($B$19,"_",$B23),Tables_concat!$D$2:$G$1561,2,FALSE))</f>
        <v>0</v>
      </c>
      <c r="D23" s="414">
        <f>IF($A$19="",0,VLOOKUP(CONCATENATE($B$19,"_",$B23),Tables_concat!$D$2:$G$1561,3,FALSE))</f>
        <v>0</v>
      </c>
      <c r="E23" s="414">
        <f>IF($A$19="",0,VLOOKUP(CONCATENATE($B$19,"_",$B23),Tables_concat!$D$2:$G$1561,4,FALSE))</f>
        <v>0</v>
      </c>
      <c r="F23" s="3"/>
      <c r="G23" s="436"/>
      <c r="H23" s="12">
        <v>1</v>
      </c>
      <c r="I23" s="414">
        <f>IF($G$19="",0,VLOOKUP(CONCATENATE($H$19,"_",$H23),Tables_concat!$D$2:$G$1561,2,FALSE))</f>
        <v>0</v>
      </c>
      <c r="J23" s="414">
        <f>IF($G$19="",0,VLOOKUP(CONCATENATE($H$19,"_",$H23),Tables_concat!$D$2:$G$1561,3,FALSE))</f>
        <v>0</v>
      </c>
      <c r="K23" s="414">
        <f>IF($G$19="",0,VLOOKUP(CONCATENATE($H$19,"_",$H23),Tables_concat!$D$2:$G$1561,4,FALSE))</f>
        <v>0</v>
      </c>
      <c r="M23" s="436"/>
      <c r="N23" s="12">
        <v>1</v>
      </c>
      <c r="O23" s="414">
        <f>IF($M$19="",0,VLOOKUP(CONCATENATE($N$19,"_",$N23),Tables_concat!$D$2:$G$1561,2,FALSE))</f>
        <v>0</v>
      </c>
      <c r="P23" s="414">
        <f>IF($M$19="",0,VLOOKUP(CONCATENATE($N$19,"_",$N23),Tables_concat!$D$2:$G$1561,3,FALSE))</f>
        <v>0</v>
      </c>
      <c r="Q23" s="414">
        <f>IF($M$19="",0,VLOOKUP(CONCATENATE($N$19,"_",$N23),Tables_concat!$D$2:$G$1561,4,FALSE))</f>
        <v>0</v>
      </c>
      <c r="S23" s="436"/>
      <c r="T23" s="12">
        <v>1</v>
      </c>
      <c r="U23" s="414">
        <f>IF($S$19="",0,VLOOKUP(CONCATENATE($T$19,"_",$T23),Tables_concat!$D$2:$G$1561,2,FALSE))</f>
        <v>0</v>
      </c>
      <c r="V23" s="414">
        <f>IF($S$19="",0,VLOOKUP(CONCATENATE($T$19,"_",$T23),Tables_concat!$D$2:$G$1561,3,FALSE))</f>
        <v>0</v>
      </c>
      <c r="W23" s="414">
        <f>IF($S$19="",0,VLOOKUP(CONCATENATE($T$19,"_",$T23),Tables_concat!$D$2:$G$1561,4,FALSE))</f>
        <v>0</v>
      </c>
    </row>
    <row r="24" spans="1:23" x14ac:dyDescent="0.2">
      <c r="A24" s="436"/>
      <c r="B24" s="12">
        <v>2</v>
      </c>
      <c r="C24" s="414">
        <f>IF($A$19="",0,VLOOKUP(CONCATENATE($B$19,"_",$B24),Tables_concat!$D$2:$G$1561,2,FALSE))</f>
        <v>0</v>
      </c>
      <c r="D24" s="414">
        <f>IF($A$19="",0,VLOOKUP(CONCATENATE($B$19,"_",$B24),Tables_concat!$D$2:$G$1561,3,FALSE))</f>
        <v>0</v>
      </c>
      <c r="E24" s="414">
        <f>IF($A$19="",0,VLOOKUP(CONCATENATE($B$19,"_",$B24),Tables_concat!$D$2:$G$1561,4,FALSE))</f>
        <v>0</v>
      </c>
      <c r="F24" s="3"/>
      <c r="G24" s="436"/>
      <c r="H24" s="12">
        <v>2</v>
      </c>
      <c r="I24" s="414">
        <f>IF($G$19="",0,VLOOKUP(CONCATENATE($H$19,"_",$H24),Tables_concat!$D$2:$G$1561,2,FALSE))</f>
        <v>0</v>
      </c>
      <c r="J24" s="414">
        <f>IF($G$19="",0,VLOOKUP(CONCATENATE($H$19,"_",$H24),Tables_concat!$D$2:$G$1561,3,FALSE))</f>
        <v>0</v>
      </c>
      <c r="K24" s="414">
        <f>IF($G$19="",0,VLOOKUP(CONCATENATE($H$19,"_",$H24),Tables_concat!$D$2:$G$1561,4,FALSE))</f>
        <v>0</v>
      </c>
      <c r="M24" s="436"/>
      <c r="N24" s="12">
        <v>2</v>
      </c>
      <c r="O24" s="414">
        <f>IF($M$19="",0,VLOOKUP(CONCATENATE($N$19,"_",$N24),Tables_concat!$D$2:$G$1561,2,FALSE))</f>
        <v>0</v>
      </c>
      <c r="P24" s="414">
        <f>IF($M$19="",0,VLOOKUP(CONCATENATE($N$19,"_",$N24),Tables_concat!$D$2:$G$1561,3,FALSE))</f>
        <v>0</v>
      </c>
      <c r="Q24" s="414">
        <f>IF($M$19="",0,VLOOKUP(CONCATENATE($N$19,"_",$N24),Tables_concat!$D$2:$G$1561,4,FALSE))</f>
        <v>0</v>
      </c>
      <c r="S24" s="436"/>
      <c r="T24" s="12">
        <v>2</v>
      </c>
      <c r="U24" s="414">
        <f>IF($S$19="",0,VLOOKUP(CONCATENATE($T$19,"_",$T24),Tables_concat!$D$2:$G$1561,2,FALSE))</f>
        <v>0</v>
      </c>
      <c r="V24" s="414">
        <f>IF($S$19="",0,VLOOKUP(CONCATENATE($T$19,"_",$T24),Tables_concat!$D$2:$G$1561,3,FALSE))</f>
        <v>0</v>
      </c>
      <c r="W24" s="414">
        <f>IF($S$19="",0,VLOOKUP(CONCATENATE($T$19,"_",$T24),Tables_concat!$D$2:$G$1561,4,FALSE))</f>
        <v>0</v>
      </c>
    </row>
    <row r="25" spans="1:23" x14ac:dyDescent="0.2">
      <c r="A25" s="436"/>
      <c r="B25" s="12">
        <v>3</v>
      </c>
      <c r="C25" s="414">
        <f>IF($A$19="",0,VLOOKUP(CONCATENATE($B$19,"_",$B25),Tables_concat!$D$2:$G$1561,2,FALSE))</f>
        <v>0</v>
      </c>
      <c r="D25" s="414">
        <f>IF($A$19="",0,VLOOKUP(CONCATENATE($B$19,"_",$B25),Tables_concat!$D$2:$G$1561,3,FALSE))</f>
        <v>0</v>
      </c>
      <c r="E25" s="414">
        <f>IF($A$19="",0,VLOOKUP(CONCATENATE($B$19,"_",$B25),Tables_concat!$D$2:$G$1561,4,FALSE))</f>
        <v>0</v>
      </c>
      <c r="F25" s="3"/>
      <c r="G25" s="436"/>
      <c r="H25" s="12">
        <v>3</v>
      </c>
      <c r="I25" s="414">
        <f>IF($G$19="",0,VLOOKUP(CONCATENATE($H$19,"_",$H25),Tables_concat!$D$2:$G$1561,2,FALSE))</f>
        <v>0</v>
      </c>
      <c r="J25" s="414">
        <f>IF($G$19="",0,VLOOKUP(CONCATENATE($H$19,"_",$H25),Tables_concat!$D$2:$G$1561,3,FALSE))</f>
        <v>0</v>
      </c>
      <c r="K25" s="414">
        <f>IF($G$19="",0,VLOOKUP(CONCATENATE($H$19,"_",$H25),Tables_concat!$D$2:$G$1561,4,FALSE))</f>
        <v>0</v>
      </c>
      <c r="M25" s="436"/>
      <c r="N25" s="12">
        <v>3</v>
      </c>
      <c r="O25" s="414">
        <f>IF($M$19="",0,VLOOKUP(CONCATENATE($N$19,"_",$N25),Tables_concat!$D$2:$G$1561,2,FALSE))</f>
        <v>0</v>
      </c>
      <c r="P25" s="414">
        <f>IF($M$19="",0,VLOOKUP(CONCATENATE($N$19,"_",$N25),Tables_concat!$D$2:$G$1561,3,FALSE))</f>
        <v>0</v>
      </c>
      <c r="Q25" s="414">
        <f>IF($M$19="",0,VLOOKUP(CONCATENATE($N$19,"_",$N25),Tables_concat!$D$2:$G$1561,4,FALSE))</f>
        <v>0</v>
      </c>
      <c r="S25" s="436"/>
      <c r="T25" s="12">
        <v>3</v>
      </c>
      <c r="U25" s="414">
        <f>IF($S$19="",0,VLOOKUP(CONCATENATE($T$19,"_",$T25),Tables_concat!$D$2:$G$1561,2,FALSE))</f>
        <v>0</v>
      </c>
      <c r="V25" s="414">
        <f>IF($S$19="",0,VLOOKUP(CONCATENATE($T$19,"_",$T25),Tables_concat!$D$2:$G$1561,3,FALSE))</f>
        <v>0</v>
      </c>
      <c r="W25" s="414">
        <f>IF($S$19="",0,VLOOKUP(CONCATENATE($T$19,"_",$T25),Tables_concat!$D$2:$G$1561,4,FALSE))</f>
        <v>0</v>
      </c>
    </row>
    <row r="26" spans="1:23" x14ac:dyDescent="0.2">
      <c r="A26" s="436"/>
      <c r="B26" s="12">
        <v>4</v>
      </c>
      <c r="C26" s="414">
        <f>IF($A$19="",0,VLOOKUP(CONCATENATE($B$19,"_",$B26),Tables_concat!$D$2:$G$1561,2,FALSE))</f>
        <v>0</v>
      </c>
      <c r="D26" s="414">
        <f>IF($A$19="",0,VLOOKUP(CONCATENATE($B$19,"_",$B26),Tables_concat!$D$2:$G$1561,3,FALSE))</f>
        <v>0</v>
      </c>
      <c r="E26" s="414">
        <f>IF($A$19="",0,VLOOKUP(CONCATENATE($B$19,"_",$B26),Tables_concat!$D$2:$G$1561,4,FALSE))</f>
        <v>0</v>
      </c>
      <c r="F26" s="3"/>
      <c r="G26" s="436"/>
      <c r="H26" s="12">
        <v>4</v>
      </c>
      <c r="I26" s="414">
        <f>IF($G$19="",0,VLOOKUP(CONCATENATE($H$19,"_",$H26),Tables_concat!$D$2:$G$1561,2,FALSE))</f>
        <v>0</v>
      </c>
      <c r="J26" s="414">
        <f>IF($G$19="",0,VLOOKUP(CONCATENATE($H$19,"_",$H26),Tables_concat!$D$2:$G$1561,3,FALSE))</f>
        <v>0</v>
      </c>
      <c r="K26" s="414">
        <f>IF($G$19="",0,VLOOKUP(CONCATENATE($H$19,"_",$H26),Tables_concat!$D$2:$G$1561,4,FALSE))</f>
        <v>0</v>
      </c>
      <c r="M26" s="436"/>
      <c r="N26" s="12">
        <v>4</v>
      </c>
      <c r="O26" s="414">
        <f>IF($M$19="",0,VLOOKUP(CONCATENATE($N$19,"_",$N26),Tables_concat!$D$2:$G$1561,2,FALSE))</f>
        <v>0</v>
      </c>
      <c r="P26" s="414">
        <f>IF($M$19="",0,VLOOKUP(CONCATENATE($N$19,"_",$N26),Tables_concat!$D$2:$G$1561,3,FALSE))</f>
        <v>0</v>
      </c>
      <c r="Q26" s="414">
        <f>IF($M$19="",0,VLOOKUP(CONCATENATE($N$19,"_",$N26),Tables_concat!$D$2:$G$1561,4,FALSE))</f>
        <v>0</v>
      </c>
      <c r="S26" s="436"/>
      <c r="T26" s="12">
        <v>4</v>
      </c>
      <c r="U26" s="414">
        <f>IF($S$19="",0,VLOOKUP(CONCATENATE($T$19,"_",$T26),Tables_concat!$D$2:$G$1561,2,FALSE))</f>
        <v>0</v>
      </c>
      <c r="V26" s="414">
        <f>IF($S$19="",0,VLOOKUP(CONCATENATE($T$19,"_",$T26),Tables_concat!$D$2:$G$1561,3,FALSE))</f>
        <v>0</v>
      </c>
      <c r="W26" s="414">
        <f>IF($S$19="",0,VLOOKUP(CONCATENATE($T$19,"_",$T26),Tables_concat!$D$2:$G$1561,4,FALSE))</f>
        <v>0</v>
      </c>
    </row>
    <row r="27" spans="1:23" x14ac:dyDescent="0.2">
      <c r="A27" s="436"/>
      <c r="B27" s="12">
        <v>5</v>
      </c>
      <c r="C27" s="414">
        <f>IF($A$19="",0,VLOOKUP(CONCATENATE($B$19,"_",$B27),Tables_concat!$D$2:$G$1561,2,FALSE))</f>
        <v>0</v>
      </c>
      <c r="D27" s="414">
        <f>IF($A$19="",0,VLOOKUP(CONCATENATE($B$19,"_",$B27),Tables_concat!$D$2:$G$1561,3,FALSE))</f>
        <v>0</v>
      </c>
      <c r="E27" s="414">
        <f>IF($A$19="",0,VLOOKUP(CONCATENATE($B$19,"_",$B27),Tables_concat!$D$2:$G$1561,4,FALSE))</f>
        <v>0</v>
      </c>
      <c r="F27" s="3"/>
      <c r="G27" s="436"/>
      <c r="H27" s="12">
        <v>5</v>
      </c>
      <c r="I27" s="414">
        <f>IF($G$19="",0,VLOOKUP(CONCATENATE($H$19,"_",$H27),Tables_concat!$D$2:$G$1561,2,FALSE))</f>
        <v>0</v>
      </c>
      <c r="J27" s="414">
        <f>IF($G$19="",0,VLOOKUP(CONCATENATE($H$19,"_",$H27),Tables_concat!$D$2:$G$1561,3,FALSE))</f>
        <v>0</v>
      </c>
      <c r="K27" s="414">
        <f>IF($G$19="",0,VLOOKUP(CONCATENATE($H$19,"_",$H27),Tables_concat!$D$2:$G$1561,4,FALSE))</f>
        <v>0</v>
      </c>
      <c r="M27" s="436"/>
      <c r="N27" s="12">
        <v>5</v>
      </c>
      <c r="O27" s="414">
        <f>IF($M$19="",0,VLOOKUP(CONCATENATE($N$19,"_",$N27),Tables_concat!$D$2:$G$1561,2,FALSE))</f>
        <v>0</v>
      </c>
      <c r="P27" s="414">
        <f>IF($M$19="",0,VLOOKUP(CONCATENATE($N$19,"_",$N27),Tables_concat!$D$2:$G$1561,3,FALSE))</f>
        <v>0</v>
      </c>
      <c r="Q27" s="414">
        <f>IF($M$19="",0,VLOOKUP(CONCATENATE($N$19,"_",$N27),Tables_concat!$D$2:$G$1561,4,FALSE))</f>
        <v>0</v>
      </c>
      <c r="S27" s="436"/>
      <c r="T27" s="12">
        <v>5</v>
      </c>
      <c r="U27" s="414">
        <f>IF($S$19="",0,VLOOKUP(CONCATENATE($T$19,"_",$T27),Tables_concat!$D$2:$G$1561,2,FALSE))</f>
        <v>0</v>
      </c>
      <c r="V27" s="414">
        <f>IF($S$19="",0,VLOOKUP(CONCATENATE($T$19,"_",$T27),Tables_concat!$D$2:$G$1561,3,FALSE))</f>
        <v>0</v>
      </c>
      <c r="W27" s="414">
        <f>IF($S$19="",0,VLOOKUP(CONCATENATE($T$19,"_",$T27),Tables_concat!$D$2:$G$1561,4,FALSE))</f>
        <v>0</v>
      </c>
    </row>
    <row r="28" spans="1:23" x14ac:dyDescent="0.2">
      <c r="A28" s="436"/>
      <c r="B28" s="12">
        <v>6</v>
      </c>
      <c r="C28" s="414">
        <f>IF($A$19="",0,VLOOKUP(CONCATENATE($B$19,"_",$B28),Tables_concat!$D$2:$G$1561,2,FALSE))</f>
        <v>0</v>
      </c>
      <c r="D28" s="414">
        <f>IF($A$19="",0,VLOOKUP(CONCATENATE($B$19,"_",$B28),Tables_concat!$D$2:$G$1561,3,FALSE))</f>
        <v>0</v>
      </c>
      <c r="E28" s="414">
        <f>IF($A$19="",0,VLOOKUP(CONCATENATE($B$19,"_",$B28),Tables_concat!$D$2:$G$1561,4,FALSE))</f>
        <v>0</v>
      </c>
      <c r="F28" s="3"/>
      <c r="G28" s="436"/>
      <c r="H28" s="12">
        <v>6</v>
      </c>
      <c r="I28" s="414">
        <f>IF($G$19="",0,VLOOKUP(CONCATENATE($H$19,"_",$H28),Tables_concat!$D$2:$G$1561,2,FALSE))</f>
        <v>0</v>
      </c>
      <c r="J28" s="414">
        <f>IF($G$19="",0,VLOOKUP(CONCATENATE($H$19,"_",$H28),Tables_concat!$D$2:$G$1561,3,FALSE))</f>
        <v>0</v>
      </c>
      <c r="K28" s="414">
        <f>IF($G$19="",0,VLOOKUP(CONCATENATE($H$19,"_",$H28),Tables_concat!$D$2:$G$1561,4,FALSE))</f>
        <v>0</v>
      </c>
      <c r="M28" s="436"/>
      <c r="N28" s="12">
        <v>6</v>
      </c>
      <c r="O28" s="414">
        <f>IF($M$19="",0,VLOOKUP(CONCATENATE($N$19,"_",$N28),Tables_concat!$D$2:$G$1561,2,FALSE))</f>
        <v>0</v>
      </c>
      <c r="P28" s="414">
        <f>IF($M$19="",0,VLOOKUP(CONCATENATE($N$19,"_",$N28),Tables_concat!$D$2:$G$1561,3,FALSE))</f>
        <v>0</v>
      </c>
      <c r="Q28" s="414">
        <f>IF($M$19="",0,VLOOKUP(CONCATENATE($N$19,"_",$N28),Tables_concat!$D$2:$G$1561,4,FALSE))</f>
        <v>0</v>
      </c>
      <c r="S28" s="436"/>
      <c r="T28" s="12">
        <v>6</v>
      </c>
      <c r="U28" s="414">
        <f>IF($S$19="",0,VLOOKUP(CONCATENATE($T$19,"_",$T28),Tables_concat!$D$2:$G$1561,2,FALSE))</f>
        <v>0</v>
      </c>
      <c r="V28" s="414">
        <f>IF($S$19="",0,VLOOKUP(CONCATENATE($T$19,"_",$T28),Tables_concat!$D$2:$G$1561,3,FALSE))</f>
        <v>0</v>
      </c>
      <c r="W28" s="414">
        <f>IF($S$19="",0,VLOOKUP(CONCATENATE($T$19,"_",$T28),Tables_concat!$D$2:$G$1561,4,FALSE))</f>
        <v>0</v>
      </c>
    </row>
    <row r="29" spans="1:23" x14ac:dyDescent="0.2">
      <c r="A29" s="436"/>
      <c r="B29" s="12">
        <v>7</v>
      </c>
      <c r="C29" s="414">
        <f>IF($A$19="",0,VLOOKUP(CONCATENATE($B$19,"_",$B29),Tables_concat!$D$2:$G$1561,2,FALSE))</f>
        <v>0</v>
      </c>
      <c r="D29" s="414">
        <f>IF($A$19="",0,VLOOKUP(CONCATENATE($B$19,"_",$B29),Tables_concat!$D$2:$G$1561,3,FALSE))</f>
        <v>0</v>
      </c>
      <c r="E29" s="414">
        <f>IF($A$19="",0,VLOOKUP(CONCATENATE($B$19,"_",$B29),Tables_concat!$D$2:$G$1561,4,FALSE))</f>
        <v>0</v>
      </c>
      <c r="F29" s="3"/>
      <c r="G29" s="436"/>
      <c r="H29" s="12">
        <v>7</v>
      </c>
      <c r="I29" s="414">
        <f>IF($G$19="",0,VLOOKUP(CONCATENATE($H$19,"_",$H29),Tables_concat!$D$2:$G$1561,2,FALSE))</f>
        <v>0</v>
      </c>
      <c r="J29" s="414">
        <f>IF($G$19="",0,VLOOKUP(CONCATENATE($H$19,"_",$H29),Tables_concat!$D$2:$G$1561,3,FALSE))</f>
        <v>0</v>
      </c>
      <c r="K29" s="414">
        <f>IF($G$19="",0,VLOOKUP(CONCATENATE($H$19,"_",$H29),Tables_concat!$D$2:$G$1561,4,FALSE))</f>
        <v>0</v>
      </c>
      <c r="M29" s="436"/>
      <c r="N29" s="12">
        <v>7</v>
      </c>
      <c r="O29" s="414">
        <f>IF($M$19="",0,VLOOKUP(CONCATENATE($N$19,"_",$N29),Tables_concat!$D$2:$G$1561,2,FALSE))</f>
        <v>0</v>
      </c>
      <c r="P29" s="414">
        <f>IF($M$19="",0,VLOOKUP(CONCATENATE($N$19,"_",$N29),Tables_concat!$D$2:$G$1561,3,FALSE))</f>
        <v>0</v>
      </c>
      <c r="Q29" s="414">
        <f>IF($M$19="",0,VLOOKUP(CONCATENATE($N$19,"_",$N29),Tables_concat!$D$2:$G$1561,4,FALSE))</f>
        <v>0</v>
      </c>
      <c r="S29" s="436"/>
      <c r="T29" s="12">
        <v>7</v>
      </c>
      <c r="U29" s="414">
        <f>IF($S$19="",0,VLOOKUP(CONCATENATE($T$19,"_",$T29),Tables_concat!$D$2:$G$1561,2,FALSE))</f>
        <v>0</v>
      </c>
      <c r="V29" s="414">
        <f>IF($S$19="",0,VLOOKUP(CONCATENATE($T$19,"_",$T29),Tables_concat!$D$2:$G$1561,3,FALSE))</f>
        <v>0</v>
      </c>
      <c r="W29" s="414">
        <f>IF($S$19="",0,VLOOKUP(CONCATENATE($T$19,"_",$T29),Tables_concat!$D$2:$G$1561,4,FALSE))</f>
        <v>0</v>
      </c>
    </row>
    <row r="30" spans="1:23" x14ac:dyDescent="0.2">
      <c r="A30" s="436"/>
      <c r="B30" s="12">
        <v>8</v>
      </c>
      <c r="C30" s="414">
        <f>IF($A$19="",0,VLOOKUP(CONCATENATE($B$19,"_",$B30),Tables_concat!$D$2:$G$1561,2,FALSE))</f>
        <v>0</v>
      </c>
      <c r="D30" s="414">
        <f>IF($A$19="",0,VLOOKUP(CONCATENATE($B$19,"_",$B30),Tables_concat!$D$2:$G$1561,3,FALSE))</f>
        <v>0</v>
      </c>
      <c r="E30" s="414">
        <f>IF($A$19="",0,VLOOKUP(CONCATENATE($B$19,"_",$B30),Tables_concat!$D$2:$G$1561,4,FALSE))</f>
        <v>0</v>
      </c>
      <c r="F30" s="3"/>
      <c r="G30" s="436"/>
      <c r="H30" s="12">
        <v>8</v>
      </c>
      <c r="I30" s="414">
        <f>IF($G$19="",0,VLOOKUP(CONCATENATE($H$19,"_",$H30),Tables_concat!$D$2:$G$1561,2,FALSE))</f>
        <v>0</v>
      </c>
      <c r="J30" s="414">
        <f>IF($G$19="",0,VLOOKUP(CONCATENATE($H$19,"_",$H30),Tables_concat!$D$2:$G$1561,3,FALSE))</f>
        <v>0</v>
      </c>
      <c r="K30" s="414">
        <f>IF($G$19="",0,VLOOKUP(CONCATENATE($H$19,"_",$H30),Tables_concat!$D$2:$G$1561,4,FALSE))</f>
        <v>0</v>
      </c>
      <c r="M30" s="436"/>
      <c r="N30" s="12">
        <v>8</v>
      </c>
      <c r="O30" s="414">
        <f>IF($M$19="",0,VLOOKUP(CONCATENATE($N$19,"_",$N30),Tables_concat!$D$2:$G$1561,2,FALSE))</f>
        <v>0</v>
      </c>
      <c r="P30" s="414">
        <f>IF($M$19="",0,VLOOKUP(CONCATENATE($N$19,"_",$N30),Tables_concat!$D$2:$G$1561,3,FALSE))</f>
        <v>0</v>
      </c>
      <c r="Q30" s="414">
        <f>IF($M$19="",0,VLOOKUP(CONCATENATE($N$19,"_",$N30),Tables_concat!$D$2:$G$1561,4,FALSE))</f>
        <v>0</v>
      </c>
      <c r="S30" s="436"/>
      <c r="T30" s="12">
        <v>8</v>
      </c>
      <c r="U30" s="414">
        <f>IF($S$19="",0,VLOOKUP(CONCATENATE($T$19,"_",$T30),Tables_concat!$D$2:$G$1561,2,FALSE))</f>
        <v>0</v>
      </c>
      <c r="V30" s="414">
        <f>IF($S$19="",0,VLOOKUP(CONCATENATE($T$19,"_",$T30),Tables_concat!$D$2:$G$1561,3,FALSE))</f>
        <v>0</v>
      </c>
      <c r="W30" s="414">
        <f>IF($S$19="",0,VLOOKUP(CONCATENATE($T$19,"_",$T30),Tables_concat!$D$2:$G$1561,4,FALSE))</f>
        <v>0</v>
      </c>
    </row>
    <row r="31" spans="1:23" x14ac:dyDescent="0.2">
      <c r="A31" s="436"/>
      <c r="B31" s="12">
        <v>9</v>
      </c>
      <c r="C31" s="414">
        <f>IF($A$19="",0,VLOOKUP(CONCATENATE($B$19,"_",$B31),Tables_concat!$D$2:$G$1561,2,FALSE))</f>
        <v>0</v>
      </c>
      <c r="D31" s="414">
        <f>IF($A$19="",0,VLOOKUP(CONCATENATE($B$19,"_",$B31),Tables_concat!$D$2:$G$1561,3,FALSE))</f>
        <v>0</v>
      </c>
      <c r="E31" s="414">
        <f>IF($A$19="",0,VLOOKUP(CONCATENATE($B$19,"_",$B31),Tables_concat!$D$2:$G$1561,4,FALSE))</f>
        <v>0</v>
      </c>
      <c r="F31" s="3"/>
      <c r="G31" s="436"/>
      <c r="H31" s="12">
        <v>9</v>
      </c>
      <c r="I31" s="414">
        <f>IF($G$19="",0,VLOOKUP(CONCATENATE($H$19,"_",$H31),Tables_concat!$D$2:$G$1561,2,FALSE))</f>
        <v>0</v>
      </c>
      <c r="J31" s="414">
        <f>IF($G$19="",0,VLOOKUP(CONCATENATE($H$19,"_",$H31),Tables_concat!$D$2:$G$1561,3,FALSE))</f>
        <v>0</v>
      </c>
      <c r="K31" s="414">
        <f>IF($G$19="",0,VLOOKUP(CONCATENATE($H$19,"_",$H31),Tables_concat!$D$2:$G$1561,4,FALSE))</f>
        <v>0</v>
      </c>
      <c r="M31" s="436"/>
      <c r="N31" s="12">
        <v>9</v>
      </c>
      <c r="O31" s="414">
        <f>IF($M$19="",0,VLOOKUP(CONCATENATE($N$19,"_",$N31),Tables_concat!$D$2:$G$1561,2,FALSE))</f>
        <v>0</v>
      </c>
      <c r="P31" s="414">
        <f>IF($M$19="",0,VLOOKUP(CONCATENATE($N$19,"_",$N31),Tables_concat!$D$2:$G$1561,3,FALSE))</f>
        <v>0</v>
      </c>
      <c r="Q31" s="414">
        <f>IF($M$19="",0,VLOOKUP(CONCATENATE($N$19,"_",$N31),Tables_concat!$D$2:$G$1561,4,FALSE))</f>
        <v>0</v>
      </c>
      <c r="S31" s="436"/>
      <c r="T31" s="12">
        <v>9</v>
      </c>
      <c r="U31" s="414">
        <f>IF($S$19="",0,VLOOKUP(CONCATENATE($T$19,"_",$T31),Tables_concat!$D$2:$G$1561,2,FALSE))</f>
        <v>0</v>
      </c>
      <c r="V31" s="414">
        <f>IF($S$19="",0,VLOOKUP(CONCATENATE($T$19,"_",$T31),Tables_concat!$D$2:$G$1561,3,FALSE))</f>
        <v>0</v>
      </c>
      <c r="W31" s="414">
        <f>IF($S$19="",0,VLOOKUP(CONCATENATE($T$19,"_",$T31),Tables_concat!$D$2:$G$1561,4,FALSE))</f>
        <v>0</v>
      </c>
    </row>
    <row r="32" spans="1:23" x14ac:dyDescent="0.2">
      <c r="A32" s="436"/>
      <c r="B32" s="12">
        <v>10</v>
      </c>
      <c r="C32" s="414">
        <f>IF($A$19="",0,VLOOKUP(CONCATENATE($B$19,"_",$B32),Tables_concat!$D$2:$G$1561,2,FALSE))</f>
        <v>0</v>
      </c>
      <c r="D32" s="414">
        <f>IF($A$19="",0,VLOOKUP(CONCATENATE($B$19,"_",$B32),Tables_concat!$D$2:$G$1561,3,FALSE))</f>
        <v>0</v>
      </c>
      <c r="E32" s="414">
        <f>IF($A$19="",0,VLOOKUP(CONCATENATE($B$19,"_",$B32),Tables_concat!$D$2:$G$1561,4,FALSE))</f>
        <v>0</v>
      </c>
      <c r="F32" s="3"/>
      <c r="G32" s="436"/>
      <c r="H32" s="12">
        <v>10</v>
      </c>
      <c r="I32" s="414">
        <f>IF($G$19="",0,VLOOKUP(CONCATENATE($H$19,"_",$H32),Tables_concat!$D$2:$G$1561,2,FALSE))</f>
        <v>0</v>
      </c>
      <c r="J32" s="414">
        <f>IF($G$19="",0,VLOOKUP(CONCATENATE($H$19,"_",$H32),Tables_concat!$D$2:$G$1561,3,FALSE))</f>
        <v>0</v>
      </c>
      <c r="K32" s="414">
        <f>IF($G$19="",0,VLOOKUP(CONCATENATE($H$19,"_",$H32),Tables_concat!$D$2:$G$1561,4,FALSE))</f>
        <v>0</v>
      </c>
      <c r="M32" s="436"/>
      <c r="N32" s="12">
        <v>10</v>
      </c>
      <c r="O32" s="414">
        <f>IF($M$19="",0,VLOOKUP(CONCATENATE($N$19,"_",$N32),Tables_concat!$D$2:$G$1561,2,FALSE))</f>
        <v>0</v>
      </c>
      <c r="P32" s="414">
        <f>IF($M$19="",0,VLOOKUP(CONCATENATE($N$19,"_",$N32),Tables_concat!$D$2:$G$1561,3,FALSE))</f>
        <v>0</v>
      </c>
      <c r="Q32" s="414">
        <f>IF($M$19="",0,VLOOKUP(CONCATENATE($N$19,"_",$N32),Tables_concat!$D$2:$G$1561,4,FALSE))</f>
        <v>0</v>
      </c>
      <c r="S32" s="436"/>
      <c r="T32" s="12">
        <v>10</v>
      </c>
      <c r="U32" s="414">
        <f>IF($S$19="",0,VLOOKUP(CONCATENATE($T$19,"_",$T32),Tables_concat!$D$2:$G$1561,2,FALSE))</f>
        <v>0</v>
      </c>
      <c r="V32" s="414">
        <f>IF($S$19="",0,VLOOKUP(CONCATENATE($T$19,"_",$T32),Tables_concat!$D$2:$G$1561,3,FALSE))</f>
        <v>0</v>
      </c>
      <c r="W32" s="414">
        <f>IF($S$19="",0,VLOOKUP(CONCATENATE($T$19,"_",$T32),Tables_concat!$D$2:$G$1561,4,FALSE))</f>
        <v>0</v>
      </c>
    </row>
    <row r="33" spans="1:23" x14ac:dyDescent="0.2">
      <c r="A33" s="436"/>
      <c r="B33" s="12">
        <v>11</v>
      </c>
      <c r="C33" s="414">
        <f>IF($A$19="",0,VLOOKUP(CONCATENATE($B$19,"_",$B33),Tables_concat!$D$2:$G$1561,2,FALSE))</f>
        <v>0</v>
      </c>
      <c r="D33" s="414">
        <f>IF($A$19="",0,VLOOKUP(CONCATENATE($B$19,"_",$B33),Tables_concat!$D$2:$G$1561,3,FALSE))</f>
        <v>0</v>
      </c>
      <c r="E33" s="414">
        <f>IF($A$19="",0,VLOOKUP(CONCATENATE($B$19,"_",$B33),Tables_concat!$D$2:$G$1561,4,FALSE))</f>
        <v>0</v>
      </c>
      <c r="F33" s="3"/>
      <c r="G33" s="436"/>
      <c r="H33" s="12">
        <v>11</v>
      </c>
      <c r="I33" s="414">
        <f>IF($G$19="",0,VLOOKUP(CONCATENATE($H$19,"_",$H33),Tables_concat!$D$2:$G$1561,2,FALSE))</f>
        <v>0</v>
      </c>
      <c r="J33" s="414">
        <f>IF($G$19="",0,VLOOKUP(CONCATENATE($H$19,"_",$H33),Tables_concat!$D$2:$G$1561,3,FALSE))</f>
        <v>0</v>
      </c>
      <c r="K33" s="414">
        <f>IF($G$19="",0,VLOOKUP(CONCATENATE($H$19,"_",$H33),Tables_concat!$D$2:$G$1561,4,FALSE))</f>
        <v>0</v>
      </c>
      <c r="M33" s="436"/>
      <c r="N33" s="12">
        <v>11</v>
      </c>
      <c r="O33" s="414">
        <f>IF($M$19="",0,VLOOKUP(CONCATENATE($N$19,"_",$N33),Tables_concat!$D$2:$G$1561,2,FALSE))</f>
        <v>0</v>
      </c>
      <c r="P33" s="414">
        <f>IF($M$19="",0,VLOOKUP(CONCATENATE($N$19,"_",$N33),Tables_concat!$D$2:$G$1561,3,FALSE))</f>
        <v>0</v>
      </c>
      <c r="Q33" s="414">
        <f>IF($M$19="",0,VLOOKUP(CONCATENATE($N$19,"_",$N33),Tables_concat!$D$2:$G$1561,4,FALSE))</f>
        <v>0</v>
      </c>
      <c r="S33" s="436"/>
      <c r="T33" s="12">
        <v>11</v>
      </c>
      <c r="U33" s="414">
        <f>IF($S$19="",0,VLOOKUP(CONCATENATE($T$19,"_",$T33),Tables_concat!$D$2:$G$1561,2,FALSE))</f>
        <v>0</v>
      </c>
      <c r="V33" s="414">
        <f>IF($S$19="",0,VLOOKUP(CONCATENATE($T$19,"_",$T33),Tables_concat!$D$2:$G$1561,3,FALSE))</f>
        <v>0</v>
      </c>
      <c r="W33" s="414">
        <f>IF($S$19="",0,VLOOKUP(CONCATENATE($T$19,"_",$T33),Tables_concat!$D$2:$G$1561,4,FALSE))</f>
        <v>0</v>
      </c>
    </row>
    <row r="34" spans="1:23" x14ac:dyDescent="0.2">
      <c r="A34" s="436"/>
      <c r="B34" s="12">
        <v>12</v>
      </c>
      <c r="C34" s="414">
        <f>IF($A$19="",0,VLOOKUP(CONCATENATE($B$19,"_",$B34),Tables_concat!$D$2:$G$1561,2,FALSE))</f>
        <v>0</v>
      </c>
      <c r="D34" s="414">
        <f>IF($A$19="",0,VLOOKUP(CONCATENATE($B$19,"_",$B34),Tables_concat!$D$2:$G$1561,3,FALSE))</f>
        <v>0</v>
      </c>
      <c r="E34" s="414">
        <f>IF($A$19="",0,VLOOKUP(CONCATENATE($B$19,"_",$B34),Tables_concat!$D$2:$G$1561,4,FALSE))</f>
        <v>0</v>
      </c>
      <c r="F34" s="3"/>
      <c r="G34" s="436"/>
      <c r="H34" s="12">
        <v>12</v>
      </c>
      <c r="I34" s="414">
        <f>IF($G$19="",0,VLOOKUP(CONCATENATE($H$19,"_",$H34),Tables_concat!$D$2:$G$1561,2,FALSE))</f>
        <v>0</v>
      </c>
      <c r="J34" s="414">
        <f>IF($G$19="",0,VLOOKUP(CONCATENATE($H$19,"_",$H34),Tables_concat!$D$2:$G$1561,3,FALSE))</f>
        <v>0</v>
      </c>
      <c r="K34" s="414">
        <f>IF($G$19="",0,VLOOKUP(CONCATENATE($H$19,"_",$H34),Tables_concat!$D$2:$G$1561,4,FALSE))</f>
        <v>0</v>
      </c>
      <c r="M34" s="436"/>
      <c r="N34" s="12">
        <v>12</v>
      </c>
      <c r="O34" s="414">
        <f>IF($M$19="",0,VLOOKUP(CONCATENATE($N$19,"_",$N34),Tables_concat!$D$2:$G$1561,2,FALSE))</f>
        <v>0</v>
      </c>
      <c r="P34" s="414">
        <f>IF($M$19="",0,VLOOKUP(CONCATENATE($N$19,"_",$N34),Tables_concat!$D$2:$G$1561,3,FALSE))</f>
        <v>0</v>
      </c>
      <c r="Q34" s="414">
        <f>IF($M$19="",0,VLOOKUP(CONCATENATE($N$19,"_",$N34),Tables_concat!$D$2:$G$1561,4,FALSE))</f>
        <v>0</v>
      </c>
      <c r="S34" s="436"/>
      <c r="T34" s="12">
        <v>12</v>
      </c>
      <c r="U34" s="414">
        <f>IF($S$19="",0,VLOOKUP(CONCATENATE($T$19,"_",$T34),Tables_concat!$D$2:$G$1561,2,FALSE))</f>
        <v>0</v>
      </c>
      <c r="V34" s="414">
        <f>IF($S$19="",0,VLOOKUP(CONCATENATE($T$19,"_",$T34),Tables_concat!$D$2:$G$1561,3,FALSE))</f>
        <v>0</v>
      </c>
      <c r="W34" s="414">
        <f>IF($S$19="",0,VLOOKUP(CONCATENATE($T$19,"_",$T34),Tables_concat!$D$2:$G$1561,4,FALSE))</f>
        <v>0</v>
      </c>
    </row>
    <row r="35" spans="1:23" x14ac:dyDescent="0.2">
      <c r="A35" s="436"/>
      <c r="B35" s="12">
        <v>13</v>
      </c>
      <c r="C35" s="414">
        <f>IF($A$19="",0,VLOOKUP(CONCATENATE($B$19,"_",$B35),Tables_concat!$D$2:$G$1561,2,FALSE))</f>
        <v>0</v>
      </c>
      <c r="D35" s="414">
        <f>IF($A$19="",0,VLOOKUP(CONCATENATE($B$19,"_",$B35),Tables_concat!$D$2:$G$1561,3,FALSE))</f>
        <v>0</v>
      </c>
      <c r="E35" s="414">
        <f>IF($A$19="",0,VLOOKUP(CONCATENATE($B$19,"_",$B35),Tables_concat!$D$2:$G$1561,4,FALSE))</f>
        <v>0</v>
      </c>
      <c r="F35" s="3"/>
      <c r="G35" s="436"/>
      <c r="H35" s="12">
        <v>13</v>
      </c>
      <c r="I35" s="414">
        <f>IF($G$19="",0,VLOOKUP(CONCATENATE($H$19,"_",$H35),Tables_concat!$D$2:$G$1561,2,FALSE))</f>
        <v>0</v>
      </c>
      <c r="J35" s="414">
        <f>IF($G$19="",0,VLOOKUP(CONCATENATE($H$19,"_",$H35),Tables_concat!$D$2:$G$1561,3,FALSE))</f>
        <v>0</v>
      </c>
      <c r="K35" s="414">
        <f>IF($G$19="",0,VLOOKUP(CONCATENATE($H$19,"_",$H35),Tables_concat!$D$2:$G$1561,4,FALSE))</f>
        <v>0</v>
      </c>
      <c r="M35" s="436"/>
      <c r="N35" s="12">
        <v>13</v>
      </c>
      <c r="O35" s="414">
        <f>IF($M$19="",0,VLOOKUP(CONCATENATE($N$19,"_",$N35),Tables_concat!$D$2:$G$1561,2,FALSE))</f>
        <v>0</v>
      </c>
      <c r="P35" s="414">
        <f>IF($M$19="",0,VLOOKUP(CONCATENATE($N$19,"_",$N35),Tables_concat!$D$2:$G$1561,3,FALSE))</f>
        <v>0</v>
      </c>
      <c r="Q35" s="414">
        <f>IF($M$19="",0,VLOOKUP(CONCATENATE($N$19,"_",$N35),Tables_concat!$D$2:$G$1561,4,FALSE))</f>
        <v>0</v>
      </c>
      <c r="S35" s="436"/>
      <c r="T35" s="12">
        <v>13</v>
      </c>
      <c r="U35" s="414">
        <f>IF($S$19="",0,VLOOKUP(CONCATENATE($T$19,"_",$T35),Tables_concat!$D$2:$G$1561,2,FALSE))</f>
        <v>0</v>
      </c>
      <c r="V35" s="414">
        <f>IF($S$19="",0,VLOOKUP(CONCATENATE($T$19,"_",$T35),Tables_concat!$D$2:$G$1561,3,FALSE))</f>
        <v>0</v>
      </c>
      <c r="W35" s="414">
        <f>IF($S$19="",0,VLOOKUP(CONCATENATE($T$19,"_",$T35),Tables_concat!$D$2:$G$1561,4,FALSE))</f>
        <v>0</v>
      </c>
    </row>
    <row r="36" spans="1:23" x14ac:dyDescent="0.2">
      <c r="A36" s="436"/>
      <c r="B36" s="12">
        <v>14</v>
      </c>
      <c r="C36" s="414">
        <f>IF($A$19="",0,VLOOKUP(CONCATENATE($B$19,"_",$B36),Tables_concat!$D$2:$G$1561,2,FALSE))</f>
        <v>0</v>
      </c>
      <c r="D36" s="414">
        <f>IF($A$19="",0,VLOOKUP(CONCATENATE($B$19,"_",$B36),Tables_concat!$D$2:$G$1561,3,FALSE))</f>
        <v>0</v>
      </c>
      <c r="E36" s="414">
        <f>IF($A$19="",0,VLOOKUP(CONCATENATE($B$19,"_",$B36),Tables_concat!$D$2:$G$1561,4,FALSE))</f>
        <v>0</v>
      </c>
      <c r="F36" s="3"/>
      <c r="G36" s="436"/>
      <c r="H36" s="12">
        <v>14</v>
      </c>
      <c r="I36" s="414">
        <f>IF($G$19="",0,VLOOKUP(CONCATENATE($H$19,"_",$H36),Tables_concat!$D$2:$G$1561,2,FALSE))</f>
        <v>0</v>
      </c>
      <c r="J36" s="414">
        <f>IF($G$19="",0,VLOOKUP(CONCATENATE($H$19,"_",$H36),Tables_concat!$D$2:$G$1561,3,FALSE))</f>
        <v>0</v>
      </c>
      <c r="K36" s="414">
        <f>IF($G$19="",0,VLOOKUP(CONCATENATE($H$19,"_",$H36),Tables_concat!$D$2:$G$1561,4,FALSE))</f>
        <v>0</v>
      </c>
      <c r="M36" s="436"/>
      <c r="N36" s="12">
        <v>14</v>
      </c>
      <c r="O36" s="414">
        <f>IF($M$19="",0,VLOOKUP(CONCATENATE($N$19,"_",$N36),Tables_concat!$D$2:$G$1561,2,FALSE))</f>
        <v>0</v>
      </c>
      <c r="P36" s="414">
        <f>IF($M$19="",0,VLOOKUP(CONCATENATE($N$19,"_",$N36),Tables_concat!$D$2:$G$1561,3,FALSE))</f>
        <v>0</v>
      </c>
      <c r="Q36" s="414">
        <f>IF($M$19="",0,VLOOKUP(CONCATENATE($N$19,"_",$N36),Tables_concat!$D$2:$G$1561,4,FALSE))</f>
        <v>0</v>
      </c>
      <c r="S36" s="436"/>
      <c r="T36" s="12">
        <v>14</v>
      </c>
      <c r="U36" s="414">
        <f>IF($S$19="",0,VLOOKUP(CONCATENATE($T$19,"_",$T36),Tables_concat!$D$2:$G$1561,2,FALSE))</f>
        <v>0</v>
      </c>
      <c r="V36" s="414">
        <f>IF($S$19="",0,VLOOKUP(CONCATENATE($T$19,"_",$T36),Tables_concat!$D$2:$G$1561,3,FALSE))</f>
        <v>0</v>
      </c>
      <c r="W36" s="414">
        <f>IF($S$19="",0,VLOOKUP(CONCATENATE($T$19,"_",$T36),Tables_concat!$D$2:$G$1561,4,FALSE))</f>
        <v>0</v>
      </c>
    </row>
    <row r="37" spans="1:23" x14ac:dyDescent="0.2">
      <c r="A37" s="436"/>
      <c r="B37" s="12">
        <v>15</v>
      </c>
      <c r="C37" s="414">
        <f>IF($A$19="",0,VLOOKUP(CONCATENATE($B$19,"_",$B37),Tables_concat!$D$2:$G$1561,2,FALSE))</f>
        <v>0</v>
      </c>
      <c r="D37" s="414">
        <f>IF($A$19="",0,VLOOKUP(CONCATENATE($B$19,"_",$B37),Tables_concat!$D$2:$G$1561,3,FALSE))</f>
        <v>0</v>
      </c>
      <c r="E37" s="414">
        <f>IF($A$19="",0,VLOOKUP(CONCATENATE($B$19,"_",$B37),Tables_concat!$D$2:$G$1561,4,FALSE))</f>
        <v>0</v>
      </c>
      <c r="F37" s="3"/>
      <c r="G37" s="436"/>
      <c r="H37" s="12">
        <v>15</v>
      </c>
      <c r="I37" s="414">
        <f>IF($G$19="",0,VLOOKUP(CONCATENATE($H$19,"_",$H37),Tables_concat!$D$2:$G$1561,2,FALSE))</f>
        <v>0</v>
      </c>
      <c r="J37" s="414">
        <f>IF($G$19="",0,VLOOKUP(CONCATENATE($H$19,"_",$H37),Tables_concat!$D$2:$G$1561,3,FALSE))</f>
        <v>0</v>
      </c>
      <c r="K37" s="414">
        <f>IF($G$19="",0,VLOOKUP(CONCATENATE($H$19,"_",$H37),Tables_concat!$D$2:$G$1561,4,FALSE))</f>
        <v>0</v>
      </c>
      <c r="M37" s="436"/>
      <c r="N37" s="12">
        <v>15</v>
      </c>
      <c r="O37" s="414">
        <f>IF($M$19="",0,VLOOKUP(CONCATENATE($N$19,"_",$N37),Tables_concat!$D$2:$G$1561,2,FALSE))</f>
        <v>0</v>
      </c>
      <c r="P37" s="414">
        <f>IF($M$19="",0,VLOOKUP(CONCATENATE($N$19,"_",$N37),Tables_concat!$D$2:$G$1561,3,FALSE))</f>
        <v>0</v>
      </c>
      <c r="Q37" s="414">
        <f>IF($M$19="",0,VLOOKUP(CONCATENATE($N$19,"_",$N37),Tables_concat!$D$2:$G$1561,4,FALSE))</f>
        <v>0</v>
      </c>
      <c r="S37" s="436"/>
      <c r="T37" s="12">
        <v>15</v>
      </c>
      <c r="U37" s="414">
        <f>IF($S$19="",0,VLOOKUP(CONCATENATE($T$19,"_",$T37),Tables_concat!$D$2:$G$1561,2,FALSE))</f>
        <v>0</v>
      </c>
      <c r="V37" s="414">
        <f>IF($S$19="",0,VLOOKUP(CONCATENATE($T$19,"_",$T37),Tables_concat!$D$2:$G$1561,3,FALSE))</f>
        <v>0</v>
      </c>
      <c r="W37" s="414">
        <f>IF($S$19="",0,VLOOKUP(CONCATENATE($T$19,"_",$T37),Tables_concat!$D$2:$G$1561,4,FALSE))</f>
        <v>0</v>
      </c>
    </row>
    <row r="38" spans="1:23" x14ac:dyDescent="0.2">
      <c r="A38" s="436"/>
      <c r="B38" s="12">
        <v>16</v>
      </c>
      <c r="C38" s="414">
        <f>IF($A$19="",0,VLOOKUP(CONCATENATE($B$19,"_",$B38),Tables_concat!$D$2:$G$1561,2,FALSE))</f>
        <v>0</v>
      </c>
      <c r="D38" s="414">
        <f>IF($A$19="",0,VLOOKUP(CONCATENATE($B$19,"_",$B38),Tables_concat!$D$2:$G$1561,3,FALSE))</f>
        <v>0</v>
      </c>
      <c r="E38" s="414">
        <f>IF($A$19="",0,VLOOKUP(CONCATENATE($B$19,"_",$B38),Tables_concat!$D$2:$G$1561,4,FALSE))</f>
        <v>0</v>
      </c>
      <c r="F38" s="3"/>
      <c r="G38" s="436"/>
      <c r="H38" s="12">
        <v>16</v>
      </c>
      <c r="I38" s="414">
        <f>IF($G$19="",0,VLOOKUP(CONCATENATE($H$19,"_",$H38),Tables_concat!$D$2:$G$1561,2,FALSE))</f>
        <v>0</v>
      </c>
      <c r="J38" s="414">
        <f>IF($G$19="",0,VLOOKUP(CONCATENATE($H$19,"_",$H38),Tables_concat!$D$2:$G$1561,3,FALSE))</f>
        <v>0</v>
      </c>
      <c r="K38" s="414">
        <f>IF($G$19="",0,VLOOKUP(CONCATENATE($H$19,"_",$H38),Tables_concat!$D$2:$G$1561,4,FALSE))</f>
        <v>0</v>
      </c>
      <c r="M38" s="436"/>
      <c r="N38" s="12">
        <v>16</v>
      </c>
      <c r="O38" s="414">
        <f>IF($M$19="",0,VLOOKUP(CONCATENATE($N$19,"_",$N38),Tables_concat!$D$2:$G$1561,2,FALSE))</f>
        <v>0</v>
      </c>
      <c r="P38" s="414">
        <f>IF($M$19="",0,VLOOKUP(CONCATENATE($N$19,"_",$N38),Tables_concat!$D$2:$G$1561,3,FALSE))</f>
        <v>0</v>
      </c>
      <c r="Q38" s="414">
        <f>IF($M$19="",0,VLOOKUP(CONCATENATE($N$19,"_",$N38),Tables_concat!$D$2:$G$1561,4,FALSE))</f>
        <v>0</v>
      </c>
      <c r="S38" s="436"/>
      <c r="T38" s="12">
        <v>16</v>
      </c>
      <c r="U38" s="414">
        <f>IF($S$19="",0,VLOOKUP(CONCATENATE($T$19,"_",$T38),Tables_concat!$D$2:$G$1561,2,FALSE))</f>
        <v>0</v>
      </c>
      <c r="V38" s="414">
        <f>IF($S$19="",0,VLOOKUP(CONCATENATE($T$19,"_",$T38),Tables_concat!$D$2:$G$1561,3,FALSE))</f>
        <v>0</v>
      </c>
      <c r="W38" s="414">
        <f>IF($S$19="",0,VLOOKUP(CONCATENATE($T$19,"_",$T38),Tables_concat!$D$2:$G$1561,4,FALSE))</f>
        <v>0</v>
      </c>
    </row>
    <row r="39" spans="1:23" x14ac:dyDescent="0.2">
      <c r="A39" s="436"/>
      <c r="B39" s="12">
        <v>17</v>
      </c>
      <c r="C39" s="414">
        <f>IF($A$19="",0,VLOOKUP(CONCATENATE($B$19,"_",$B39),Tables_concat!$D$2:$G$1561,2,FALSE))</f>
        <v>0</v>
      </c>
      <c r="D39" s="414">
        <f>IF($A$19="",0,VLOOKUP(CONCATENATE($B$19,"_",$B39),Tables_concat!$D$2:$G$1561,3,FALSE))</f>
        <v>0</v>
      </c>
      <c r="E39" s="414">
        <f>IF($A$19="",0,VLOOKUP(CONCATENATE($B$19,"_",$B39),Tables_concat!$D$2:$G$1561,4,FALSE))</f>
        <v>0</v>
      </c>
      <c r="F39" s="3"/>
      <c r="G39" s="436"/>
      <c r="H39" s="12">
        <v>17</v>
      </c>
      <c r="I39" s="414">
        <f>IF($G$19="",0,VLOOKUP(CONCATENATE($H$19,"_",$H39),Tables_concat!$D$2:$G$1561,2,FALSE))</f>
        <v>0</v>
      </c>
      <c r="J39" s="414">
        <f>IF($G$19="",0,VLOOKUP(CONCATENATE($H$19,"_",$H39),Tables_concat!$D$2:$G$1561,3,FALSE))</f>
        <v>0</v>
      </c>
      <c r="K39" s="414">
        <f>IF($G$19="",0,VLOOKUP(CONCATENATE($H$19,"_",$H39),Tables_concat!$D$2:$G$1561,4,FALSE))</f>
        <v>0</v>
      </c>
      <c r="M39" s="436"/>
      <c r="N39" s="12">
        <v>17</v>
      </c>
      <c r="O39" s="414">
        <f>IF($M$19="",0,VLOOKUP(CONCATENATE($N$19,"_",$N39),Tables_concat!$D$2:$G$1561,2,FALSE))</f>
        <v>0</v>
      </c>
      <c r="P39" s="414">
        <f>IF($M$19="",0,VLOOKUP(CONCATENATE($N$19,"_",$N39),Tables_concat!$D$2:$G$1561,3,FALSE))</f>
        <v>0</v>
      </c>
      <c r="Q39" s="414">
        <f>IF($M$19="",0,VLOOKUP(CONCATENATE($N$19,"_",$N39),Tables_concat!$D$2:$G$1561,4,FALSE))</f>
        <v>0</v>
      </c>
      <c r="S39" s="436"/>
      <c r="T39" s="12">
        <v>17</v>
      </c>
      <c r="U39" s="414">
        <f>IF($S$19="",0,VLOOKUP(CONCATENATE($T$19,"_",$T39),Tables_concat!$D$2:$G$1561,2,FALSE))</f>
        <v>0</v>
      </c>
      <c r="V39" s="414">
        <f>IF($S$19="",0,VLOOKUP(CONCATENATE($T$19,"_",$T39),Tables_concat!$D$2:$G$1561,3,FALSE))</f>
        <v>0</v>
      </c>
      <c r="W39" s="414">
        <f>IF($S$19="",0,VLOOKUP(CONCATENATE($T$19,"_",$T39),Tables_concat!$D$2:$G$1561,4,FALSE))</f>
        <v>0</v>
      </c>
    </row>
    <row r="40" spans="1:23" x14ac:dyDescent="0.2">
      <c r="A40" s="436"/>
      <c r="B40" s="12">
        <v>18</v>
      </c>
      <c r="C40" s="414">
        <f>IF($A$19="",0,VLOOKUP(CONCATENATE($B$19,"_",$B40),Tables_concat!$D$2:$G$1561,2,FALSE))</f>
        <v>0</v>
      </c>
      <c r="D40" s="414">
        <f>IF($A$19="",0,VLOOKUP(CONCATENATE($B$19,"_",$B40),Tables_concat!$D$2:$G$1561,3,FALSE))</f>
        <v>0</v>
      </c>
      <c r="E40" s="414">
        <f>IF($A$19="",0,VLOOKUP(CONCATENATE($B$19,"_",$B40),Tables_concat!$D$2:$G$1561,4,FALSE))</f>
        <v>0</v>
      </c>
      <c r="F40" s="3"/>
      <c r="G40" s="436"/>
      <c r="H40" s="12">
        <v>18</v>
      </c>
      <c r="I40" s="414">
        <f>IF($G$19="",0,VLOOKUP(CONCATENATE($H$19,"_",$H40),Tables_concat!$D$2:$G$1561,2,FALSE))</f>
        <v>0</v>
      </c>
      <c r="J40" s="414">
        <f>IF($G$19="",0,VLOOKUP(CONCATENATE($H$19,"_",$H40),Tables_concat!$D$2:$G$1561,3,FALSE))</f>
        <v>0</v>
      </c>
      <c r="K40" s="414">
        <f>IF($G$19="",0,VLOOKUP(CONCATENATE($H$19,"_",$H40),Tables_concat!$D$2:$G$1561,4,FALSE))</f>
        <v>0</v>
      </c>
      <c r="M40" s="436"/>
      <c r="N40" s="12">
        <v>18</v>
      </c>
      <c r="O40" s="414">
        <f>IF($M$19="",0,VLOOKUP(CONCATENATE($N$19,"_",$N40),Tables_concat!$D$2:$G$1561,2,FALSE))</f>
        <v>0</v>
      </c>
      <c r="P40" s="414">
        <f>IF($M$19="",0,VLOOKUP(CONCATENATE($N$19,"_",$N40),Tables_concat!$D$2:$G$1561,3,FALSE))</f>
        <v>0</v>
      </c>
      <c r="Q40" s="414">
        <f>IF($M$19="",0,VLOOKUP(CONCATENATE($N$19,"_",$N40),Tables_concat!$D$2:$G$1561,4,FALSE))</f>
        <v>0</v>
      </c>
      <c r="S40" s="436"/>
      <c r="T40" s="12">
        <v>18</v>
      </c>
      <c r="U40" s="414">
        <f>IF($S$19="",0,VLOOKUP(CONCATENATE($T$19,"_",$T40),Tables_concat!$D$2:$G$1561,2,FALSE))</f>
        <v>0</v>
      </c>
      <c r="V40" s="414">
        <f>IF($S$19="",0,VLOOKUP(CONCATENATE($T$19,"_",$T40),Tables_concat!$D$2:$G$1561,3,FALSE))</f>
        <v>0</v>
      </c>
      <c r="W40" s="414">
        <f>IF($S$19="",0,VLOOKUP(CONCATENATE($T$19,"_",$T40),Tables_concat!$D$2:$G$1561,4,FALSE))</f>
        <v>0</v>
      </c>
    </row>
    <row r="41" spans="1:23" x14ac:dyDescent="0.2">
      <c r="A41" s="436"/>
      <c r="B41" s="12">
        <v>19</v>
      </c>
      <c r="C41" s="414">
        <f>IF($A$19="",0,VLOOKUP(CONCATENATE($B$19,"_",$B41),Tables_concat!$D$2:$G$1561,2,FALSE))</f>
        <v>0</v>
      </c>
      <c r="D41" s="414">
        <f>IF($A$19="",0,VLOOKUP(CONCATENATE($B$19,"_",$B41),Tables_concat!$D$2:$G$1561,3,FALSE))</f>
        <v>0</v>
      </c>
      <c r="E41" s="414">
        <f>IF($A$19="",0,VLOOKUP(CONCATENATE($B$19,"_",$B41),Tables_concat!$D$2:$G$1561,4,FALSE))</f>
        <v>0</v>
      </c>
      <c r="F41" s="3"/>
      <c r="G41" s="436"/>
      <c r="H41" s="12">
        <v>19</v>
      </c>
      <c r="I41" s="414">
        <f>IF($G$19="",0,VLOOKUP(CONCATENATE($H$19,"_",$H41),Tables_concat!$D$2:$G$1561,2,FALSE))</f>
        <v>0</v>
      </c>
      <c r="J41" s="414">
        <f>IF($G$19="",0,VLOOKUP(CONCATENATE($H$19,"_",$H41),Tables_concat!$D$2:$G$1561,3,FALSE))</f>
        <v>0</v>
      </c>
      <c r="K41" s="414">
        <f>IF($G$19="",0,VLOOKUP(CONCATENATE($H$19,"_",$H41),Tables_concat!$D$2:$G$1561,4,FALSE))</f>
        <v>0</v>
      </c>
      <c r="M41" s="436"/>
      <c r="N41" s="12">
        <v>19</v>
      </c>
      <c r="O41" s="414">
        <f>IF($M$19="",0,VLOOKUP(CONCATENATE($N$19,"_",$N41),Tables_concat!$D$2:$G$1561,2,FALSE))</f>
        <v>0</v>
      </c>
      <c r="P41" s="414">
        <f>IF($M$19="",0,VLOOKUP(CONCATENATE($N$19,"_",$N41),Tables_concat!$D$2:$G$1561,3,FALSE))</f>
        <v>0</v>
      </c>
      <c r="Q41" s="414">
        <f>IF($M$19="",0,VLOOKUP(CONCATENATE($N$19,"_",$N41),Tables_concat!$D$2:$G$1561,4,FALSE))</f>
        <v>0</v>
      </c>
      <c r="S41" s="436"/>
      <c r="T41" s="12">
        <v>19</v>
      </c>
      <c r="U41" s="414">
        <f>IF($S$19="",0,VLOOKUP(CONCATENATE($T$19,"_",$T41),Tables_concat!$D$2:$G$1561,2,FALSE))</f>
        <v>0</v>
      </c>
      <c r="V41" s="414">
        <f>IF($S$19="",0,VLOOKUP(CONCATENATE($T$19,"_",$T41),Tables_concat!$D$2:$G$1561,3,FALSE))</f>
        <v>0</v>
      </c>
      <c r="W41" s="414">
        <f>IF($S$19="",0,VLOOKUP(CONCATENATE($T$19,"_",$T41),Tables_concat!$D$2:$G$1561,4,FALSE))</f>
        <v>0</v>
      </c>
    </row>
    <row r="42" spans="1:23" x14ac:dyDescent="0.2">
      <c r="A42" s="436"/>
      <c r="B42" s="12">
        <v>20</v>
      </c>
      <c r="C42" s="414">
        <f>IF($A$19="",0,VLOOKUP(CONCATENATE($B$19,"_",$B42),Tables_concat!$D$2:$G$1561,2,FALSE))</f>
        <v>0</v>
      </c>
      <c r="D42" s="414">
        <f>IF($A$19="",0,VLOOKUP(CONCATENATE($B$19,"_",$B42),Tables_concat!$D$2:$G$1561,3,FALSE))</f>
        <v>0</v>
      </c>
      <c r="E42" s="414">
        <f>IF($A$19="",0,VLOOKUP(CONCATENATE($B$19,"_",$B42),Tables_concat!$D$2:$G$1561,4,FALSE))</f>
        <v>0</v>
      </c>
      <c r="F42" s="3"/>
      <c r="G42" s="436"/>
      <c r="H42" s="12">
        <v>20</v>
      </c>
      <c r="I42" s="414">
        <f>IF($G$19="",0,VLOOKUP(CONCATENATE($H$19,"_",$H42),Tables_concat!$D$2:$G$1561,2,FALSE))</f>
        <v>0</v>
      </c>
      <c r="J42" s="414">
        <f>IF($G$19="",0,VLOOKUP(CONCATENATE($H$19,"_",$H42),Tables_concat!$D$2:$G$1561,3,FALSE))</f>
        <v>0</v>
      </c>
      <c r="K42" s="414">
        <f>IF($G$19="",0,VLOOKUP(CONCATENATE($H$19,"_",$H42),Tables_concat!$D$2:$G$1561,4,FALSE))</f>
        <v>0</v>
      </c>
      <c r="M42" s="436"/>
      <c r="N42" s="12">
        <v>20</v>
      </c>
      <c r="O42" s="414">
        <f>IF($M$19="",0,VLOOKUP(CONCATENATE($N$19,"_",$N42),Tables_concat!$D$2:$G$1561,2,FALSE))</f>
        <v>0</v>
      </c>
      <c r="P42" s="414">
        <f>IF($M$19="",0,VLOOKUP(CONCATENATE($N$19,"_",$N42),Tables_concat!$D$2:$G$1561,3,FALSE))</f>
        <v>0</v>
      </c>
      <c r="Q42" s="414">
        <f>IF($M$19="",0,VLOOKUP(CONCATENATE($N$19,"_",$N42),Tables_concat!$D$2:$G$1561,4,FALSE))</f>
        <v>0</v>
      </c>
      <c r="S42" s="436"/>
      <c r="T42" s="12">
        <v>20</v>
      </c>
      <c r="U42" s="414">
        <f>IF($S$19="",0,VLOOKUP(CONCATENATE($T$19,"_",$T42),Tables_concat!$D$2:$G$1561,2,FALSE))</f>
        <v>0</v>
      </c>
      <c r="V42" s="414">
        <f>IF($S$19="",0,VLOOKUP(CONCATENATE($T$19,"_",$T42),Tables_concat!$D$2:$G$1561,3,FALSE))</f>
        <v>0</v>
      </c>
      <c r="W42" s="414">
        <f>IF($S$19="",0,VLOOKUP(CONCATENATE($T$19,"_",$T42),Tables_concat!$D$2:$G$1561,4,FALSE))</f>
        <v>0</v>
      </c>
    </row>
    <row r="43" spans="1:23" x14ac:dyDescent="0.2">
      <c r="A43" s="436"/>
      <c r="B43" s="12">
        <v>21</v>
      </c>
      <c r="C43" s="414">
        <f>IF($A$19="",0,VLOOKUP(CONCATENATE($B$19,"_",$B43),Tables_concat!$D$2:$G$1561,2,FALSE))</f>
        <v>0</v>
      </c>
      <c r="D43" s="414">
        <f>IF($A$19="",0,VLOOKUP(CONCATENATE($B$19,"_",$B43),Tables_concat!$D$2:$G$1561,3,FALSE))</f>
        <v>0</v>
      </c>
      <c r="E43" s="414">
        <f>IF($A$19="",0,VLOOKUP(CONCATENATE($B$19,"_",$B43),Tables_concat!$D$2:$G$1561,4,FALSE))</f>
        <v>0</v>
      </c>
      <c r="F43" s="3"/>
      <c r="G43" s="436"/>
      <c r="H43" s="12">
        <v>21</v>
      </c>
      <c r="I43" s="414">
        <f>IF($G$19="",0,VLOOKUP(CONCATENATE($H$19,"_",$H43),Tables_concat!$D$2:$G$1561,2,FALSE))</f>
        <v>0</v>
      </c>
      <c r="J43" s="414">
        <f>IF($G$19="",0,VLOOKUP(CONCATENATE($H$19,"_",$H43),Tables_concat!$D$2:$G$1561,3,FALSE))</f>
        <v>0</v>
      </c>
      <c r="K43" s="414">
        <f>IF($G$19="",0,VLOOKUP(CONCATENATE($H$19,"_",$H43),Tables_concat!$D$2:$G$1561,4,FALSE))</f>
        <v>0</v>
      </c>
      <c r="M43" s="436"/>
      <c r="N43" s="12">
        <v>21</v>
      </c>
      <c r="O43" s="414">
        <f>IF($M$19="",0,VLOOKUP(CONCATENATE($N$19,"_",$N43),Tables_concat!$D$2:$G$1561,2,FALSE))</f>
        <v>0</v>
      </c>
      <c r="P43" s="414">
        <f>IF($M$19="",0,VLOOKUP(CONCATENATE($N$19,"_",$N43),Tables_concat!$D$2:$G$1561,3,FALSE))</f>
        <v>0</v>
      </c>
      <c r="Q43" s="414">
        <f>IF($M$19="",0,VLOOKUP(CONCATENATE($N$19,"_",$N43),Tables_concat!$D$2:$G$1561,4,FALSE))</f>
        <v>0</v>
      </c>
      <c r="S43" s="436"/>
      <c r="T43" s="12">
        <v>21</v>
      </c>
      <c r="U43" s="414">
        <f>IF($S$19="",0,VLOOKUP(CONCATENATE($T$19,"_",$T43),Tables_concat!$D$2:$G$1561,2,FALSE))</f>
        <v>0</v>
      </c>
      <c r="V43" s="414">
        <f>IF($S$19="",0,VLOOKUP(CONCATENATE($T$19,"_",$T43),Tables_concat!$D$2:$G$1561,3,FALSE))</f>
        <v>0</v>
      </c>
      <c r="W43" s="414">
        <f>IF($S$19="",0,VLOOKUP(CONCATENATE($T$19,"_",$T43),Tables_concat!$D$2:$G$1561,4,FALSE))</f>
        <v>0</v>
      </c>
    </row>
    <row r="44" spans="1:23" x14ac:dyDescent="0.2">
      <c r="A44" s="436"/>
      <c r="B44" s="12">
        <v>22</v>
      </c>
      <c r="C44" s="414">
        <f>IF($A$19="",0,VLOOKUP(CONCATENATE($B$19,"_",$B44),Tables_concat!$D$2:$G$1561,2,FALSE))</f>
        <v>0</v>
      </c>
      <c r="D44" s="414">
        <f>IF($A$19="",0,VLOOKUP(CONCATENATE($B$19,"_",$B44),Tables_concat!$D$2:$G$1561,3,FALSE))</f>
        <v>0</v>
      </c>
      <c r="E44" s="414">
        <f>IF($A$19="",0,VLOOKUP(CONCATENATE($B$19,"_",$B44),Tables_concat!$D$2:$G$1561,4,FALSE))</f>
        <v>0</v>
      </c>
      <c r="F44" s="3"/>
      <c r="G44" s="436"/>
      <c r="H44" s="12">
        <v>22</v>
      </c>
      <c r="I44" s="414">
        <f>IF($G$19="",0,VLOOKUP(CONCATENATE($H$19,"_",$H44),Tables_concat!$D$2:$G$1561,2,FALSE))</f>
        <v>0</v>
      </c>
      <c r="J44" s="414">
        <f>IF($G$19="",0,VLOOKUP(CONCATENATE($H$19,"_",$H44),Tables_concat!$D$2:$G$1561,3,FALSE))</f>
        <v>0</v>
      </c>
      <c r="K44" s="414">
        <f>IF($G$19="",0,VLOOKUP(CONCATENATE($H$19,"_",$H44),Tables_concat!$D$2:$G$1561,4,FALSE))</f>
        <v>0</v>
      </c>
      <c r="M44" s="436"/>
      <c r="N44" s="12">
        <v>22</v>
      </c>
      <c r="O44" s="414">
        <f>IF($M$19="",0,VLOOKUP(CONCATENATE($N$19,"_",$N44),Tables_concat!$D$2:$G$1561,2,FALSE))</f>
        <v>0</v>
      </c>
      <c r="P44" s="414">
        <f>IF($M$19="",0,VLOOKUP(CONCATENATE($N$19,"_",$N44),Tables_concat!$D$2:$G$1561,3,FALSE))</f>
        <v>0</v>
      </c>
      <c r="Q44" s="414">
        <f>IF($M$19="",0,VLOOKUP(CONCATENATE($N$19,"_",$N44),Tables_concat!$D$2:$G$1561,4,FALSE))</f>
        <v>0</v>
      </c>
      <c r="S44" s="436"/>
      <c r="T44" s="12">
        <v>22</v>
      </c>
      <c r="U44" s="414">
        <f>IF($S$19="",0,VLOOKUP(CONCATENATE($T$19,"_",$T44),Tables_concat!$D$2:$G$1561,2,FALSE))</f>
        <v>0</v>
      </c>
      <c r="V44" s="414">
        <f>IF($S$19="",0,VLOOKUP(CONCATENATE($T$19,"_",$T44),Tables_concat!$D$2:$G$1561,3,FALSE))</f>
        <v>0</v>
      </c>
      <c r="W44" s="414">
        <f>IF($S$19="",0,VLOOKUP(CONCATENATE($T$19,"_",$T44),Tables_concat!$D$2:$G$1561,4,FALSE))</f>
        <v>0</v>
      </c>
    </row>
    <row r="45" spans="1:23" x14ac:dyDescent="0.2">
      <c r="A45" s="436"/>
      <c r="B45" s="12">
        <v>23</v>
      </c>
      <c r="C45" s="414">
        <f>IF($A$19="",0,VLOOKUP(CONCATENATE($B$19,"_",$B45),Tables_concat!$D$2:$G$1561,2,FALSE))</f>
        <v>0</v>
      </c>
      <c r="D45" s="414">
        <f>IF($A$19="",0,VLOOKUP(CONCATENATE($B$19,"_",$B45),Tables_concat!$D$2:$G$1561,3,FALSE))</f>
        <v>0</v>
      </c>
      <c r="E45" s="414">
        <f>IF($A$19="",0,VLOOKUP(CONCATENATE($B$19,"_",$B45),Tables_concat!$D$2:$G$1561,4,FALSE))</f>
        <v>0</v>
      </c>
      <c r="F45" s="3"/>
      <c r="G45" s="436"/>
      <c r="H45" s="12">
        <v>23</v>
      </c>
      <c r="I45" s="414">
        <f>IF($G$19="",0,VLOOKUP(CONCATENATE($H$19,"_",$H45),Tables_concat!$D$2:$G$1561,2,FALSE))</f>
        <v>0</v>
      </c>
      <c r="J45" s="414">
        <f>IF($G$19="",0,VLOOKUP(CONCATENATE($H$19,"_",$H45),Tables_concat!$D$2:$G$1561,3,FALSE))</f>
        <v>0</v>
      </c>
      <c r="K45" s="414">
        <f>IF($G$19="",0,VLOOKUP(CONCATENATE($H$19,"_",$H45),Tables_concat!$D$2:$G$1561,4,FALSE))</f>
        <v>0</v>
      </c>
      <c r="M45" s="436"/>
      <c r="N45" s="12">
        <v>23</v>
      </c>
      <c r="O45" s="414">
        <f>IF($M$19="",0,VLOOKUP(CONCATENATE($N$19,"_",$N45),Tables_concat!$D$2:$G$1561,2,FALSE))</f>
        <v>0</v>
      </c>
      <c r="P45" s="414">
        <f>IF($M$19="",0,VLOOKUP(CONCATENATE($N$19,"_",$N45),Tables_concat!$D$2:$G$1561,3,FALSE))</f>
        <v>0</v>
      </c>
      <c r="Q45" s="414">
        <f>IF($M$19="",0,VLOOKUP(CONCATENATE($N$19,"_",$N45),Tables_concat!$D$2:$G$1561,4,FALSE))</f>
        <v>0</v>
      </c>
      <c r="S45" s="436"/>
      <c r="T45" s="12">
        <v>23</v>
      </c>
      <c r="U45" s="414">
        <f>IF($S$19="",0,VLOOKUP(CONCATENATE($T$19,"_",$T45),Tables_concat!$D$2:$G$1561,2,FALSE))</f>
        <v>0</v>
      </c>
      <c r="V45" s="414">
        <f>IF($S$19="",0,VLOOKUP(CONCATENATE($T$19,"_",$T45),Tables_concat!$D$2:$G$1561,3,FALSE))</f>
        <v>0</v>
      </c>
      <c r="W45" s="414">
        <f>IF($S$19="",0,VLOOKUP(CONCATENATE($T$19,"_",$T45),Tables_concat!$D$2:$G$1561,4,FALSE))</f>
        <v>0</v>
      </c>
    </row>
    <row r="46" spans="1:23" x14ac:dyDescent="0.2">
      <c r="A46" s="436"/>
      <c r="B46" s="12">
        <v>24</v>
      </c>
      <c r="C46" s="414">
        <f>IF($A$19="",0,VLOOKUP(CONCATENATE($B$19,"_",$B46),Tables_concat!$D$2:$G$1561,2,FALSE))</f>
        <v>0</v>
      </c>
      <c r="D46" s="414">
        <f>IF($A$19="",0,VLOOKUP(CONCATENATE($B$19,"_",$B46),Tables_concat!$D$2:$G$1561,3,FALSE))</f>
        <v>0</v>
      </c>
      <c r="E46" s="414">
        <f>IF($A$19="",0,VLOOKUP(CONCATENATE($B$19,"_",$B46),Tables_concat!$D$2:$G$1561,4,FALSE))</f>
        <v>0</v>
      </c>
      <c r="F46" s="3"/>
      <c r="G46" s="436"/>
      <c r="H46" s="12">
        <v>24</v>
      </c>
      <c r="I46" s="414">
        <f>IF($G$19="",0,VLOOKUP(CONCATENATE($H$19,"_",$H46),Tables_concat!$D$2:$G$1561,2,FALSE))</f>
        <v>0</v>
      </c>
      <c r="J46" s="414">
        <f>IF($G$19="",0,VLOOKUP(CONCATENATE($H$19,"_",$H46),Tables_concat!$D$2:$G$1561,3,FALSE))</f>
        <v>0</v>
      </c>
      <c r="K46" s="414">
        <f>IF($G$19="",0,VLOOKUP(CONCATENATE($H$19,"_",$H46),Tables_concat!$D$2:$G$1561,4,FALSE))</f>
        <v>0</v>
      </c>
      <c r="M46" s="436"/>
      <c r="N46" s="12">
        <v>24</v>
      </c>
      <c r="O46" s="414">
        <f>IF($M$19="",0,VLOOKUP(CONCATENATE($N$19,"_",$N46),Tables_concat!$D$2:$G$1561,2,FALSE))</f>
        <v>0</v>
      </c>
      <c r="P46" s="414">
        <f>IF($M$19="",0,VLOOKUP(CONCATENATE($N$19,"_",$N46),Tables_concat!$D$2:$G$1561,3,FALSE))</f>
        <v>0</v>
      </c>
      <c r="Q46" s="414">
        <f>IF($M$19="",0,VLOOKUP(CONCATENATE($N$19,"_",$N46),Tables_concat!$D$2:$G$1561,4,FALSE))</f>
        <v>0</v>
      </c>
      <c r="S46" s="436"/>
      <c r="T46" s="12">
        <v>24</v>
      </c>
      <c r="U46" s="414">
        <f>IF($S$19="",0,VLOOKUP(CONCATENATE($T$19,"_",$T46),Tables_concat!$D$2:$G$1561,2,FALSE))</f>
        <v>0</v>
      </c>
      <c r="V46" s="414">
        <f>IF($S$19="",0,VLOOKUP(CONCATENATE($T$19,"_",$T46),Tables_concat!$D$2:$G$1561,3,FALSE))</f>
        <v>0</v>
      </c>
      <c r="W46" s="414">
        <f>IF($S$19="",0,VLOOKUP(CONCATENATE($T$19,"_",$T46),Tables_concat!$D$2:$G$1561,4,FALSE))</f>
        <v>0</v>
      </c>
    </row>
    <row r="47" spans="1:23" x14ac:dyDescent="0.2">
      <c r="A47" s="436"/>
      <c r="B47" s="12">
        <v>25</v>
      </c>
      <c r="C47" s="414">
        <f>IF($A$19="",0,VLOOKUP(CONCATENATE($B$19,"_",$B47),Tables_concat!$D$2:$G$1561,2,FALSE))</f>
        <v>0</v>
      </c>
      <c r="D47" s="414">
        <f>IF($A$19="",0,VLOOKUP(CONCATENATE($B$19,"_",$B47),Tables_concat!$D$2:$G$1561,3,FALSE))</f>
        <v>0</v>
      </c>
      <c r="E47" s="414">
        <f>IF($A$19="",0,VLOOKUP(CONCATENATE($B$19,"_",$B47),Tables_concat!$D$2:$G$1561,4,FALSE))</f>
        <v>0</v>
      </c>
      <c r="F47" s="3"/>
      <c r="G47" s="436"/>
      <c r="H47" s="12">
        <v>25</v>
      </c>
      <c r="I47" s="414">
        <f>IF($G$19="",0,VLOOKUP(CONCATENATE($H$19,"_",$H47),Tables_concat!$D$2:$G$1561,2,FALSE))</f>
        <v>0</v>
      </c>
      <c r="J47" s="414">
        <f>IF($G$19="",0,VLOOKUP(CONCATENATE($H$19,"_",$H47),Tables_concat!$D$2:$G$1561,3,FALSE))</f>
        <v>0</v>
      </c>
      <c r="K47" s="414">
        <f>IF($G$19="",0,VLOOKUP(CONCATENATE($H$19,"_",$H47),Tables_concat!$D$2:$G$1561,4,FALSE))</f>
        <v>0</v>
      </c>
      <c r="M47" s="436"/>
      <c r="N47" s="12">
        <v>25</v>
      </c>
      <c r="O47" s="414">
        <f>IF($M$19="",0,VLOOKUP(CONCATENATE($N$19,"_",$N47),Tables_concat!$D$2:$G$1561,2,FALSE))</f>
        <v>0</v>
      </c>
      <c r="P47" s="414">
        <f>IF($M$19="",0,VLOOKUP(CONCATENATE($N$19,"_",$N47),Tables_concat!$D$2:$G$1561,3,FALSE))</f>
        <v>0</v>
      </c>
      <c r="Q47" s="414">
        <f>IF($M$19="",0,VLOOKUP(CONCATENATE($N$19,"_",$N47),Tables_concat!$D$2:$G$1561,4,FALSE))</f>
        <v>0</v>
      </c>
      <c r="S47" s="436"/>
      <c r="T47" s="12">
        <v>25</v>
      </c>
      <c r="U47" s="414">
        <f>IF($S$19="",0,VLOOKUP(CONCATENATE($T$19,"_",$T47),Tables_concat!$D$2:$G$1561,2,FALSE))</f>
        <v>0</v>
      </c>
      <c r="V47" s="414">
        <f>IF($S$19="",0,VLOOKUP(CONCATENATE($T$19,"_",$T47),Tables_concat!$D$2:$G$1561,3,FALSE))</f>
        <v>0</v>
      </c>
      <c r="W47" s="414">
        <f>IF($S$19="",0,VLOOKUP(CONCATENATE($T$19,"_",$T47),Tables_concat!$D$2:$G$1561,4,FALSE))</f>
        <v>0</v>
      </c>
    </row>
    <row r="48" spans="1:23" x14ac:dyDescent="0.2">
      <c r="A48" s="436"/>
      <c r="B48" s="12">
        <v>26</v>
      </c>
      <c r="C48" s="414">
        <f>IF($A$19="",0,VLOOKUP(CONCATENATE($B$19,"_",$B48),Tables_concat!$D$2:$G$1561,2,FALSE))</f>
        <v>0</v>
      </c>
      <c r="D48" s="414">
        <f>IF($A$19="",0,VLOOKUP(CONCATENATE($B$19,"_",$B48),Tables_concat!$D$2:$G$1561,3,FALSE))</f>
        <v>0</v>
      </c>
      <c r="E48" s="414">
        <f>IF($A$19="",0,VLOOKUP(CONCATENATE($B$19,"_",$B48),Tables_concat!$D$2:$G$1561,4,FALSE))</f>
        <v>0</v>
      </c>
      <c r="F48" s="3"/>
      <c r="G48" s="436"/>
      <c r="H48" s="12">
        <v>26</v>
      </c>
      <c r="I48" s="414">
        <f>IF($G$19="",0,VLOOKUP(CONCATENATE($H$19,"_",$H48),Tables_concat!$D$2:$G$1561,2,FALSE))</f>
        <v>0</v>
      </c>
      <c r="J48" s="414">
        <f>IF($G$19="",0,VLOOKUP(CONCATENATE($H$19,"_",$H48),Tables_concat!$D$2:$G$1561,3,FALSE))</f>
        <v>0</v>
      </c>
      <c r="K48" s="414">
        <f>IF($G$19="",0,VLOOKUP(CONCATENATE($H$19,"_",$H48),Tables_concat!$D$2:$G$1561,4,FALSE))</f>
        <v>0</v>
      </c>
      <c r="M48" s="436"/>
      <c r="N48" s="12">
        <v>26</v>
      </c>
      <c r="O48" s="414">
        <f>IF($M$19="",0,VLOOKUP(CONCATENATE($N$19,"_",$N48),Tables_concat!$D$2:$G$1561,2,FALSE))</f>
        <v>0</v>
      </c>
      <c r="P48" s="414">
        <f>IF($M$19="",0,VLOOKUP(CONCATENATE($N$19,"_",$N48),Tables_concat!$D$2:$G$1561,3,FALSE))</f>
        <v>0</v>
      </c>
      <c r="Q48" s="414">
        <f>IF($M$19="",0,VLOOKUP(CONCATENATE($N$19,"_",$N48),Tables_concat!$D$2:$G$1561,4,FALSE))</f>
        <v>0</v>
      </c>
      <c r="S48" s="436"/>
      <c r="T48" s="12">
        <v>26</v>
      </c>
      <c r="U48" s="414">
        <f>IF($S$19="",0,VLOOKUP(CONCATENATE($T$19,"_",$T48),Tables_concat!$D$2:$G$1561,2,FALSE))</f>
        <v>0</v>
      </c>
      <c r="V48" s="414">
        <f>IF($S$19="",0,VLOOKUP(CONCATENATE($T$19,"_",$T48),Tables_concat!$D$2:$G$1561,3,FALSE))</f>
        <v>0</v>
      </c>
      <c r="W48" s="414">
        <f>IF($S$19="",0,VLOOKUP(CONCATENATE($T$19,"_",$T48),Tables_concat!$D$2:$G$1561,4,FALSE))</f>
        <v>0</v>
      </c>
    </row>
    <row r="49" spans="1:23" x14ac:dyDescent="0.2">
      <c r="A49" s="436"/>
      <c r="B49" s="12">
        <v>27</v>
      </c>
      <c r="C49" s="414">
        <f>IF($A$19="",0,VLOOKUP(CONCATENATE($B$19,"_",$B49),Tables_concat!$D$2:$G$1561,2,FALSE))</f>
        <v>0</v>
      </c>
      <c r="D49" s="414">
        <f>IF($A$19="",0,VLOOKUP(CONCATENATE($B$19,"_",$B49),Tables_concat!$D$2:$G$1561,3,FALSE))</f>
        <v>0</v>
      </c>
      <c r="E49" s="414">
        <f>IF($A$19="",0,VLOOKUP(CONCATENATE($B$19,"_",$B49),Tables_concat!$D$2:$G$1561,4,FALSE))</f>
        <v>0</v>
      </c>
      <c r="F49" s="3"/>
      <c r="G49" s="436"/>
      <c r="H49" s="12">
        <v>27</v>
      </c>
      <c r="I49" s="414">
        <f>IF($G$19="",0,VLOOKUP(CONCATENATE($H$19,"_",$H49),Tables_concat!$D$2:$G$1561,2,FALSE))</f>
        <v>0</v>
      </c>
      <c r="J49" s="414">
        <f>IF($G$19="",0,VLOOKUP(CONCATENATE($H$19,"_",$H49),Tables_concat!$D$2:$G$1561,3,FALSE))</f>
        <v>0</v>
      </c>
      <c r="K49" s="414">
        <f>IF($G$19="",0,VLOOKUP(CONCATENATE($H$19,"_",$H49),Tables_concat!$D$2:$G$1561,4,FALSE))</f>
        <v>0</v>
      </c>
      <c r="M49" s="436"/>
      <c r="N49" s="12">
        <v>27</v>
      </c>
      <c r="O49" s="414">
        <f>IF($M$19="",0,VLOOKUP(CONCATENATE($N$19,"_",$N49),Tables_concat!$D$2:$G$1561,2,FALSE))</f>
        <v>0</v>
      </c>
      <c r="P49" s="414">
        <f>IF($M$19="",0,VLOOKUP(CONCATENATE($N$19,"_",$N49),Tables_concat!$D$2:$G$1561,3,FALSE))</f>
        <v>0</v>
      </c>
      <c r="Q49" s="414">
        <f>IF($M$19="",0,VLOOKUP(CONCATENATE($N$19,"_",$N49),Tables_concat!$D$2:$G$1561,4,FALSE))</f>
        <v>0</v>
      </c>
      <c r="S49" s="436"/>
      <c r="T49" s="12">
        <v>27</v>
      </c>
      <c r="U49" s="414">
        <f>IF($S$19="",0,VLOOKUP(CONCATENATE($T$19,"_",$T49),Tables_concat!$D$2:$G$1561,2,FALSE))</f>
        <v>0</v>
      </c>
      <c r="V49" s="414">
        <f>IF($S$19="",0,VLOOKUP(CONCATENATE($T$19,"_",$T49),Tables_concat!$D$2:$G$1561,3,FALSE))</f>
        <v>0</v>
      </c>
      <c r="W49" s="414">
        <f>IF($S$19="",0,VLOOKUP(CONCATENATE($T$19,"_",$T49),Tables_concat!$D$2:$G$1561,4,FALSE))</f>
        <v>0</v>
      </c>
    </row>
    <row r="50" spans="1:23" x14ac:dyDescent="0.2">
      <c r="A50" s="436"/>
      <c r="B50" s="12">
        <v>28</v>
      </c>
      <c r="C50" s="414">
        <f>IF($A$19="",0,VLOOKUP(CONCATENATE($B$19,"_",$B50),Tables_concat!$D$2:$G$1561,2,FALSE))</f>
        <v>0</v>
      </c>
      <c r="D50" s="414">
        <f>IF($A$19="",0,VLOOKUP(CONCATENATE($B$19,"_",$B50),Tables_concat!$D$2:$G$1561,3,FALSE))</f>
        <v>0</v>
      </c>
      <c r="E50" s="414">
        <f>IF($A$19="",0,VLOOKUP(CONCATENATE($B$19,"_",$B50),Tables_concat!$D$2:$G$1561,4,FALSE))</f>
        <v>0</v>
      </c>
      <c r="F50" s="3"/>
      <c r="G50" s="436"/>
      <c r="H50" s="12">
        <v>28</v>
      </c>
      <c r="I50" s="414">
        <f>IF($G$19="",0,VLOOKUP(CONCATENATE($H$19,"_",$H50),Tables_concat!$D$2:$G$1561,2,FALSE))</f>
        <v>0</v>
      </c>
      <c r="J50" s="414">
        <f>IF($G$19="",0,VLOOKUP(CONCATENATE($H$19,"_",$H50),Tables_concat!$D$2:$G$1561,3,FALSE))</f>
        <v>0</v>
      </c>
      <c r="K50" s="414">
        <f>IF($G$19="",0,VLOOKUP(CONCATENATE($H$19,"_",$H50),Tables_concat!$D$2:$G$1561,4,FALSE))</f>
        <v>0</v>
      </c>
      <c r="M50" s="436"/>
      <c r="N50" s="12">
        <v>28</v>
      </c>
      <c r="O50" s="414">
        <f>IF($M$19="",0,VLOOKUP(CONCATENATE($N$19,"_",$N50),Tables_concat!$D$2:$G$1561,2,FALSE))</f>
        <v>0</v>
      </c>
      <c r="P50" s="414">
        <f>IF($M$19="",0,VLOOKUP(CONCATENATE($N$19,"_",$N50),Tables_concat!$D$2:$G$1561,3,FALSE))</f>
        <v>0</v>
      </c>
      <c r="Q50" s="414">
        <f>IF($M$19="",0,VLOOKUP(CONCATENATE($N$19,"_",$N50),Tables_concat!$D$2:$G$1561,4,FALSE))</f>
        <v>0</v>
      </c>
      <c r="S50" s="436"/>
      <c r="T50" s="12">
        <v>28</v>
      </c>
      <c r="U50" s="414">
        <f>IF($S$19="",0,VLOOKUP(CONCATENATE($T$19,"_",$T50),Tables_concat!$D$2:$G$1561,2,FALSE))</f>
        <v>0</v>
      </c>
      <c r="V50" s="414">
        <f>IF($S$19="",0,VLOOKUP(CONCATENATE($T$19,"_",$T50),Tables_concat!$D$2:$G$1561,3,FALSE))</f>
        <v>0</v>
      </c>
      <c r="W50" s="414">
        <f>IF($S$19="",0,VLOOKUP(CONCATENATE($T$19,"_",$T50),Tables_concat!$D$2:$G$1561,4,FALSE))</f>
        <v>0</v>
      </c>
    </row>
    <row r="51" spans="1:23" x14ac:dyDescent="0.2">
      <c r="A51" s="436"/>
      <c r="B51" s="12">
        <v>29</v>
      </c>
      <c r="C51" s="414">
        <f>IF($A$19="",0,VLOOKUP(CONCATENATE($B$19,"_",$B51),Tables_concat!$D$2:$G$1561,2,FALSE))</f>
        <v>0</v>
      </c>
      <c r="D51" s="414">
        <f>IF($A$19="",0,VLOOKUP(CONCATENATE($B$19,"_",$B51),Tables_concat!$D$2:$G$1561,3,FALSE))</f>
        <v>0</v>
      </c>
      <c r="E51" s="414">
        <f>IF($A$19="",0,VLOOKUP(CONCATENATE($B$19,"_",$B51),Tables_concat!$D$2:$G$1561,4,FALSE))</f>
        <v>0</v>
      </c>
      <c r="F51" s="3"/>
      <c r="G51" s="436"/>
      <c r="H51" s="12">
        <v>29</v>
      </c>
      <c r="I51" s="414">
        <f>IF($G$19="",0,VLOOKUP(CONCATENATE($H$19,"_",$H51),Tables_concat!$D$2:$G$1561,2,FALSE))</f>
        <v>0</v>
      </c>
      <c r="J51" s="414">
        <f>IF($G$19="",0,VLOOKUP(CONCATENATE($H$19,"_",$H51),Tables_concat!$D$2:$G$1561,3,FALSE))</f>
        <v>0</v>
      </c>
      <c r="K51" s="414">
        <f>IF($G$19="",0,VLOOKUP(CONCATENATE($H$19,"_",$H51),Tables_concat!$D$2:$G$1561,4,FALSE))</f>
        <v>0</v>
      </c>
      <c r="M51" s="436"/>
      <c r="N51" s="12">
        <v>29</v>
      </c>
      <c r="O51" s="414">
        <f>IF($M$19="",0,VLOOKUP(CONCATENATE($N$19,"_",$N51),Tables_concat!$D$2:$G$1561,2,FALSE))</f>
        <v>0</v>
      </c>
      <c r="P51" s="414">
        <f>IF($M$19="",0,VLOOKUP(CONCATENATE($N$19,"_",$N51),Tables_concat!$D$2:$G$1561,3,FALSE))</f>
        <v>0</v>
      </c>
      <c r="Q51" s="414">
        <f>IF($M$19="",0,VLOOKUP(CONCATENATE($N$19,"_",$N51),Tables_concat!$D$2:$G$1561,4,FALSE))</f>
        <v>0</v>
      </c>
      <c r="S51" s="436"/>
      <c r="T51" s="12">
        <v>29</v>
      </c>
      <c r="U51" s="414">
        <f>IF($S$19="",0,VLOOKUP(CONCATENATE($T$19,"_",$T51),Tables_concat!$D$2:$G$1561,2,FALSE))</f>
        <v>0</v>
      </c>
      <c r="V51" s="414">
        <f>IF($S$19="",0,VLOOKUP(CONCATENATE($T$19,"_",$T51),Tables_concat!$D$2:$G$1561,3,FALSE))</f>
        <v>0</v>
      </c>
      <c r="W51" s="414">
        <f>IF($S$19="",0,VLOOKUP(CONCATENATE($T$19,"_",$T51),Tables_concat!$D$2:$G$1561,4,FALSE))</f>
        <v>0</v>
      </c>
    </row>
    <row r="52" spans="1:23" x14ac:dyDescent="0.2">
      <c r="A52" s="436"/>
      <c r="B52" s="12">
        <v>30</v>
      </c>
      <c r="C52" s="414">
        <f>IF($A$19="",0,VLOOKUP(CONCATENATE($B$19,"_",$B52),Tables_concat!$D$2:$G$1561,2,FALSE))</f>
        <v>0</v>
      </c>
      <c r="D52" s="414">
        <f>IF($A$19="",0,VLOOKUP(CONCATENATE($B$19,"_",$B52),Tables_concat!$D$2:$G$1561,3,FALSE))</f>
        <v>0</v>
      </c>
      <c r="E52" s="414">
        <f>IF($A$19="",0,VLOOKUP(CONCATENATE($B$19,"_",$B52),Tables_concat!$D$2:$G$1561,4,FALSE))</f>
        <v>0</v>
      </c>
      <c r="F52" s="3"/>
      <c r="G52" s="436"/>
      <c r="H52" s="12">
        <v>30</v>
      </c>
      <c r="I52" s="414">
        <f>IF($G$19="",0,VLOOKUP(CONCATENATE($H$19,"_",$H52),Tables_concat!$D$2:$G$1561,2,FALSE))</f>
        <v>0</v>
      </c>
      <c r="J52" s="414">
        <f>IF($G$19="",0,VLOOKUP(CONCATENATE($H$19,"_",$H52),Tables_concat!$D$2:$G$1561,3,FALSE))</f>
        <v>0</v>
      </c>
      <c r="K52" s="414">
        <f>IF($G$19="",0,VLOOKUP(CONCATENATE($H$19,"_",$H52),Tables_concat!$D$2:$G$1561,4,FALSE))</f>
        <v>0</v>
      </c>
      <c r="M52" s="436"/>
      <c r="N52" s="12">
        <v>30</v>
      </c>
      <c r="O52" s="414">
        <f>IF($M$19="",0,VLOOKUP(CONCATENATE($N$19,"_",$N52),Tables_concat!$D$2:$G$1561,2,FALSE))</f>
        <v>0</v>
      </c>
      <c r="P52" s="414">
        <f>IF($M$19="",0,VLOOKUP(CONCATENATE($N$19,"_",$N52),Tables_concat!$D$2:$G$1561,3,FALSE))</f>
        <v>0</v>
      </c>
      <c r="Q52" s="414">
        <f>IF($M$19="",0,VLOOKUP(CONCATENATE($N$19,"_",$N52),Tables_concat!$D$2:$G$1561,4,FALSE))</f>
        <v>0</v>
      </c>
      <c r="S52" s="436"/>
      <c r="T52" s="12">
        <v>30</v>
      </c>
      <c r="U52" s="414">
        <f>IF($S$19="",0,VLOOKUP(CONCATENATE($T$19,"_",$T52),Tables_concat!$D$2:$G$1561,2,FALSE))</f>
        <v>0</v>
      </c>
      <c r="V52" s="414">
        <f>IF($S$19="",0,VLOOKUP(CONCATENATE($T$19,"_",$T52),Tables_concat!$D$2:$G$1561,3,FALSE))</f>
        <v>0</v>
      </c>
      <c r="W52" s="414">
        <f>IF($S$19="",0,VLOOKUP(CONCATENATE($T$19,"_",$T52),Tables_concat!$D$2:$G$1561,4,FALSE))</f>
        <v>0</v>
      </c>
    </row>
  </sheetData>
  <sheetProtection algorithmName="SHA-512" hashValue="MJLRO43b802xMSiXFAxg2oMNqN950BwGwAwE3+CMKZYPVMQQIzQUn8AhEYsfDX8l1dClic0w85cvnP4FFyQGYQ==" saltValue="HHLahYWq+dl3peksMK64Kg==" spinCount="100000" sheet="1" objects="1" scenarios="1"/>
  <mergeCells count="19">
    <mergeCell ref="A12:W14"/>
    <mergeCell ref="L1:O1"/>
    <mergeCell ref="P1:S1"/>
    <mergeCell ref="M21:M52"/>
    <mergeCell ref="S21:S52"/>
    <mergeCell ref="A1:B3"/>
    <mergeCell ref="A5:B9"/>
    <mergeCell ref="G16:K16"/>
    <mergeCell ref="M16:Q16"/>
    <mergeCell ref="S16:W16"/>
    <mergeCell ref="D1:G1"/>
    <mergeCell ref="H1:K1"/>
    <mergeCell ref="A21:A52"/>
    <mergeCell ref="A16:E16"/>
    <mergeCell ref="G21:G52"/>
    <mergeCell ref="B19:E19"/>
    <mergeCell ref="H19:K19"/>
    <mergeCell ref="N19:Q19"/>
    <mergeCell ref="T19:W19"/>
  </mergeCells>
  <dataValidations count="2">
    <dataValidation type="list" allowBlank="1" showInputMessage="1" showErrorMessage="1" sqref="B19:E19 N19:Q19 T19:W19" xr:uid="{7713496B-E15D-0B49-9172-F1C58CE98102}">
      <formula1>INDIRECT(A19)</formula1>
    </dataValidation>
    <dataValidation type="list" allowBlank="1" showInputMessage="1" showErrorMessage="1" sqref="H19:K19" xr:uid="{B45C054E-38F5-1545-B639-C37DB1F39BC6}">
      <formula1>INDIRECT($G$19)</formula1>
    </dataValidation>
  </dataValidations>
  <pageMargins left="0.7" right="0.7" top="0.75" bottom="0.75" header="0.3" footer="0.3"/>
  <tableParts count="5">
    <tablePart r:id="rId1"/>
    <tablePart r:id="rId2"/>
    <tablePart r:id="rId3"/>
    <tablePart r:id="rId4"/>
    <tablePart r:id="rId5"/>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50"/>
  </sheetPr>
  <dimension ref="A1:BL55"/>
  <sheetViews>
    <sheetView zoomScaleNormal="120" workbookViewId="0">
      <selection activeCell="R16" sqref="R16"/>
    </sheetView>
  </sheetViews>
  <sheetFormatPr baseColWidth="10" defaultColWidth="11.1640625" defaultRowHeight="16" x14ac:dyDescent="0.2"/>
  <cols>
    <col min="1" max="1" width="9.5" style="4" customWidth="1"/>
    <col min="2" max="2" width="17.83203125" style="4" bestFit="1" customWidth="1"/>
    <col min="3" max="3" width="38" style="4" bestFit="1" customWidth="1"/>
    <col min="4" max="4" width="2.83203125" style="4" customWidth="1"/>
    <col min="5" max="5" width="9.33203125" style="4" hidden="1" customWidth="1"/>
    <col min="6" max="6" width="16.6640625" style="4" hidden="1" customWidth="1"/>
    <col min="7" max="7" width="0" style="4" hidden="1" customWidth="1"/>
    <col min="8" max="8" width="3.6640625" style="4" hidden="1" customWidth="1"/>
    <col min="9" max="9" width="14.6640625" style="4" customWidth="1"/>
    <col min="10" max="10" width="13.5" style="4" customWidth="1"/>
    <col min="11" max="11" width="13.83203125" style="4" customWidth="1"/>
    <col min="12" max="12" width="14.6640625" style="4" customWidth="1"/>
    <col min="13" max="13" width="11.33203125" style="4" customWidth="1"/>
    <col min="14" max="14" width="15.83203125" style="4" customWidth="1"/>
    <col min="15" max="15" width="3.6640625" style="4" customWidth="1"/>
    <col min="16" max="16" width="11.1640625" style="4" customWidth="1"/>
    <col min="17" max="17" width="10" style="4" customWidth="1"/>
    <col min="18" max="18" width="15.5" style="4" bestFit="1" customWidth="1"/>
    <col min="19" max="19" width="8.6640625" style="4" customWidth="1"/>
    <col min="20" max="20" width="7.83203125" style="4" customWidth="1"/>
    <col min="21" max="21" width="14.5" style="4" bestFit="1" customWidth="1"/>
    <col min="22" max="22" width="3.6640625" style="4" customWidth="1"/>
    <col min="23" max="23" width="17" style="4" customWidth="1"/>
    <col min="24" max="30" width="11.1640625" style="4"/>
    <col min="31" max="31" width="12.1640625" style="4" customWidth="1"/>
    <col min="32" max="32" width="15" style="4" bestFit="1" customWidth="1"/>
    <col min="33" max="33" width="15.6640625" style="4" customWidth="1"/>
    <col min="34" max="34" width="13.5" style="4" bestFit="1" customWidth="1"/>
    <col min="35" max="35" width="11.1640625" style="4"/>
    <col min="36" max="36" width="13.83203125" style="4" customWidth="1"/>
    <col min="37" max="37" width="13.5" style="4" bestFit="1" customWidth="1"/>
    <col min="38" max="38" width="15.1640625" style="4" bestFit="1" customWidth="1"/>
    <col min="39" max="39" width="12.83203125" style="4" bestFit="1" customWidth="1"/>
    <col min="40" max="40" width="11.1640625" style="4"/>
    <col min="41" max="41" width="19.5" style="4" bestFit="1" customWidth="1"/>
    <col min="42" max="55" width="11.1640625" style="4"/>
    <col min="56" max="56" width="14" style="4" customWidth="1"/>
    <col min="57" max="57" width="11.1640625" style="4"/>
    <col min="58" max="58" width="7.6640625" style="4" customWidth="1"/>
    <col min="59" max="59" width="12.83203125" style="4" bestFit="1" customWidth="1"/>
    <col min="60" max="61" width="10.33203125" style="4" bestFit="1" customWidth="1"/>
    <col min="62" max="62" width="7.83203125" style="4" bestFit="1" customWidth="1"/>
    <col min="63" max="64" width="9.1640625" style="4" bestFit="1" customWidth="1"/>
    <col min="65" max="65" width="12.5" style="4" bestFit="1" customWidth="1"/>
    <col min="66" max="67" width="10.6640625" style="4" bestFit="1" customWidth="1"/>
    <col min="68" max="68" width="12.83203125" style="4" bestFit="1" customWidth="1"/>
    <col min="69" max="69" width="15.6640625" style="4" bestFit="1" customWidth="1"/>
    <col min="70" max="70" width="13.6640625" style="4" customWidth="1"/>
    <col min="71" max="71" width="12.33203125" style="4" customWidth="1"/>
    <col min="72" max="72" width="12.33203125" style="4" bestFit="1" customWidth="1"/>
    <col min="73" max="73" width="12.1640625" style="4" bestFit="1" customWidth="1"/>
    <col min="74" max="74" width="12.33203125" style="4" bestFit="1" customWidth="1"/>
    <col min="75" max="75" width="10.83203125" style="4" bestFit="1" customWidth="1"/>
    <col min="76" max="16384" width="11.1640625" style="4"/>
  </cols>
  <sheetData>
    <row r="1" spans="1:57" ht="16" customHeight="1" x14ac:dyDescent="0.2">
      <c r="A1" s="436" t="s">
        <v>725</v>
      </c>
      <c r="B1" s="4" t="s">
        <v>5</v>
      </c>
      <c r="C1" s="4" t="s">
        <v>12</v>
      </c>
      <c r="E1" s="436" t="s">
        <v>274</v>
      </c>
      <c r="F1" s="4" t="s">
        <v>191</v>
      </c>
      <c r="G1" s="4" t="s">
        <v>0</v>
      </c>
      <c r="I1" s="436" t="s">
        <v>624</v>
      </c>
      <c r="J1" s="4" t="s">
        <v>0</v>
      </c>
      <c r="K1" s="4" t="s">
        <v>738</v>
      </c>
      <c r="L1" s="258" t="s">
        <v>6</v>
      </c>
      <c r="M1" s="4" t="s">
        <v>227</v>
      </c>
      <c r="N1" s="39" t="s">
        <v>92</v>
      </c>
      <c r="P1" s="436" t="s">
        <v>726</v>
      </c>
      <c r="Q1" s="266" t="s">
        <v>8</v>
      </c>
      <c r="R1" s="266" t="s">
        <v>611</v>
      </c>
      <c r="S1" s="266" t="s">
        <v>889</v>
      </c>
      <c r="T1" s="258" t="s">
        <v>289</v>
      </c>
      <c r="U1" s="258" t="s">
        <v>228</v>
      </c>
      <c r="W1" s="436" t="s">
        <v>621</v>
      </c>
      <c r="X1" s="4" t="s">
        <v>0</v>
      </c>
      <c r="Y1" s="4" t="s">
        <v>8</v>
      </c>
      <c r="Z1" s="4" t="s">
        <v>233</v>
      </c>
      <c r="AA1" s="4" t="s">
        <v>193</v>
      </c>
      <c r="AB1" s="4" t="s">
        <v>194</v>
      </c>
      <c r="AC1" s="4" t="s">
        <v>195</v>
      </c>
      <c r="AD1" s="4" t="s">
        <v>196</v>
      </c>
      <c r="AE1" s="4" t="s">
        <v>197</v>
      </c>
      <c r="AF1" s="4" t="s">
        <v>198</v>
      </c>
      <c r="AG1" s="4" t="s">
        <v>199</v>
      </c>
      <c r="AH1" s="4" t="s">
        <v>200</v>
      </c>
      <c r="AI1" s="4" t="s">
        <v>201</v>
      </c>
      <c r="AJ1" s="4" t="s">
        <v>202</v>
      </c>
      <c r="AK1" s="4" t="s">
        <v>203</v>
      </c>
      <c r="AL1" s="4" t="s">
        <v>204</v>
      </c>
      <c r="AM1" s="4" t="s">
        <v>205</v>
      </c>
      <c r="AN1" s="4" t="s">
        <v>206</v>
      </c>
      <c r="AO1" s="4" t="s">
        <v>207</v>
      </c>
      <c r="AP1" s="4" t="s">
        <v>208</v>
      </c>
      <c r="AQ1" s="4" t="s">
        <v>209</v>
      </c>
      <c r="AR1" s="4" t="s">
        <v>210</v>
      </c>
      <c r="AS1" s="4" t="s">
        <v>211</v>
      </c>
      <c r="AT1" s="4" t="s">
        <v>212</v>
      </c>
      <c r="AU1" s="4" t="s">
        <v>213</v>
      </c>
      <c r="AV1" s="4" t="s">
        <v>214</v>
      </c>
      <c r="AW1" s="4" t="s">
        <v>215</v>
      </c>
      <c r="AX1" s="4" t="s">
        <v>216</v>
      </c>
      <c r="AY1" s="4" t="s">
        <v>217</v>
      </c>
      <c r="AZ1" s="4" t="s">
        <v>218</v>
      </c>
      <c r="BA1" s="4" t="s">
        <v>219</v>
      </c>
      <c r="BB1" s="4" t="s">
        <v>220</v>
      </c>
      <c r="BC1" s="4" t="s">
        <v>221</v>
      </c>
      <c r="BD1" s="4" t="s">
        <v>292</v>
      </c>
    </row>
    <row r="2" spans="1:57" x14ac:dyDescent="0.2">
      <c r="A2" s="436"/>
      <c r="B2" s="4" t="s">
        <v>11</v>
      </c>
      <c r="C2" s="4" t="str">
        <f>'1.GLOBAL'!D10</f>
        <v/>
      </c>
      <c r="E2" s="436"/>
      <c r="G2" s="4" t="s">
        <v>180</v>
      </c>
      <c r="I2" s="436"/>
      <c r="J2" s="4" t="s">
        <v>180</v>
      </c>
      <c r="K2" s="4" t="str">
        <f>IF('1.GLOBAL'!D50="","",'1.GLOBAL'!D50)</f>
        <v/>
      </c>
      <c r="L2" s="4" t="str">
        <f>IF(K2="","",VLOOKUP(K2,Tableau221[[type_ppt]:[Traitement]],2,FALSE))</f>
        <v/>
      </c>
      <c r="M2" s="4" t="str">
        <f>IF('1.GLOBAL'!D51="","",'1.GLOBAL'!D51)</f>
        <v/>
      </c>
      <c r="N2" s="304" t="str">
        <f>IF('1.GLOBAL'!D52="","",'1.GLOBAL'!D52)</f>
        <v/>
      </c>
      <c r="P2" s="436"/>
      <c r="Q2" s="22" t="str">
        <f>IF('1.GLOBAL'!B36="","",'1.GLOBAL'!B36)</f>
        <v/>
      </c>
      <c r="R2" s="22" t="str">
        <f>IF(Q2="","",VLOOKUP(Q2,'1.GLOBAL'!$C$22:$G$33,3,FALSE))</f>
        <v/>
      </c>
      <c r="S2" s="59" t="str">
        <f>IF(Q2="","",VLOOKUP(Q2,'1.GLOBAL'!$C$22:$G$33,5,FALSE))</f>
        <v/>
      </c>
      <c r="T2" s="272" t="str">
        <f>IF(Q2="","",MAX(VLOOKUP(Q2,Listes!$U$2:$V$12,2,FALSE),INDEX(Listes!$U$1:$AI$11,MATCH(Q2,Listes!$U$1:$U$11,0),MATCH($C$6,Listes!$U$1:$AI$1,0))))</f>
        <v/>
      </c>
      <c r="U2" s="272" t="str">
        <f>IF(OR(Q2=0,Q2=""),"",IF(VLOOKUP(Q2,Tableau44[[Cat_ess]:[Type_ess]],2,FALSE)="Feuillus","Feuillus","Résineux"))</f>
        <v/>
      </c>
      <c r="W2" s="436"/>
      <c r="X2" s="4" t="s">
        <v>180</v>
      </c>
      <c r="Y2" s="4" t="str">
        <f>IF(OR('2.VOL_INITIAL'!X21=0,'2.VOL_INITIAL'!X21=""),"",'2.VOL_INITIAL'!X21)</f>
        <v/>
      </c>
      <c r="Z2" s="4" t="str">
        <f>CONCATENATE(Tableau15[[#This Row],[Strate]],"_",Tableau15[[#This Row],[Essence]])</f>
        <v>A_</v>
      </c>
      <c r="AA2" s="10">
        <f>IF(OR('2.VOL_INITIAL'!Y21=0,'2.VOL_INITIAL'!Y21=""),0,'2.VOL_INITIAL'!Y21)</f>
        <v>0</v>
      </c>
      <c r="AB2" s="10">
        <f>IF(OR('2.VOL_INITIAL'!Z21=0,'2.VOL_INITIAL'!Z21=""),0,'2.VOL_INITIAL'!Z21)</f>
        <v>0</v>
      </c>
      <c r="AC2" s="10">
        <f>IF(OR('2.VOL_INITIAL'!AA21=0,'2.VOL_INITIAL'!AA21=""),0,'2.VOL_INITIAL'!AA21)</f>
        <v>0</v>
      </c>
      <c r="AD2" s="10">
        <f>IF(OR('2.VOL_INITIAL'!AB21=0,'2.VOL_INITIAL'!AB21=""),0,'2.VOL_INITIAL'!AB21)</f>
        <v>0</v>
      </c>
      <c r="AE2" s="10">
        <f>IF(OR('2.VOL_INITIAL'!AC21=0,'2.VOL_INITIAL'!AC21=""),0,'2.VOL_INITIAL'!AC21)</f>
        <v>0</v>
      </c>
      <c r="AF2" s="10">
        <f>IF(OR('2.VOL_INITIAL'!AD21=0,'2.VOL_INITIAL'!AD21=""),0,'2.VOL_INITIAL'!AD21)</f>
        <v>0</v>
      </c>
      <c r="AG2" s="10">
        <f>IF(OR('2.VOL_INITIAL'!AE21=0,'2.VOL_INITIAL'!AE21=""),0,'2.VOL_INITIAL'!AE21)</f>
        <v>0</v>
      </c>
      <c r="AH2" s="10">
        <f>IF(OR('2.VOL_INITIAL'!AF21=0,'2.VOL_INITIAL'!AF21=""),0,'2.VOL_INITIAL'!AF21)</f>
        <v>0</v>
      </c>
      <c r="AI2" s="10">
        <f>IF(OR('2.VOL_INITIAL'!AG21=0,'2.VOL_INITIAL'!AG21=""),0,'2.VOL_INITIAL'!AG21)</f>
        <v>0</v>
      </c>
      <c r="AJ2" s="10">
        <f>IF(OR('2.VOL_INITIAL'!AH21=0,'2.VOL_INITIAL'!AH21=""),0,'2.VOL_INITIAL'!AH21)</f>
        <v>0</v>
      </c>
      <c r="AK2" s="10">
        <f>IF(OR('2.VOL_INITIAL'!AI21=0,'2.VOL_INITIAL'!AI21=""),0,'2.VOL_INITIAL'!AI21)</f>
        <v>0</v>
      </c>
      <c r="AL2" s="10">
        <f>IF(OR('2.VOL_INITIAL'!AJ21=0,'2.VOL_INITIAL'!AJ21=""),0,'2.VOL_INITIAL'!AJ21)</f>
        <v>0</v>
      </c>
      <c r="AM2" s="10">
        <f>IF(OR('2.VOL_INITIAL'!AK21=0,'2.VOL_INITIAL'!AK21=""),0,'2.VOL_INITIAL'!AK21)</f>
        <v>0</v>
      </c>
      <c r="AN2" s="10">
        <f>IF(OR('2.VOL_INITIAL'!AL21=0,'2.VOL_INITIAL'!AL21=""),0,'2.VOL_INITIAL'!AL21)</f>
        <v>0</v>
      </c>
      <c r="AO2" s="10">
        <f>IF(OR('2.VOL_INITIAL'!AM21=0,'2.VOL_INITIAL'!AM21=""),0,'2.VOL_INITIAL'!AM21)</f>
        <v>0</v>
      </c>
      <c r="AP2" s="10">
        <f>IF(OR('2.VOL_INITIAL'!AN21=0,'2.VOL_INITIAL'!AN21=""),0,'2.VOL_INITIAL'!AN21)</f>
        <v>0</v>
      </c>
      <c r="AQ2" s="10">
        <f>IF(OR('2.VOL_INITIAL'!AO21=0,'2.VOL_INITIAL'!AO21=""),0,'2.VOL_INITIAL'!AO21)</f>
        <v>0</v>
      </c>
      <c r="AR2" s="10">
        <f>IF(OR('2.VOL_INITIAL'!AP21=0,'2.VOL_INITIAL'!AP21=""),0,'2.VOL_INITIAL'!AP21)</f>
        <v>0</v>
      </c>
      <c r="AS2" s="10">
        <f>IF(OR('2.VOL_INITIAL'!AQ21=0,'2.VOL_INITIAL'!AQ21=""),0,'2.VOL_INITIAL'!AQ21)</f>
        <v>0</v>
      </c>
      <c r="AT2" s="10">
        <f>IF(OR('2.VOL_INITIAL'!AR21=0,'2.VOL_INITIAL'!AR21=""),0,'2.VOL_INITIAL'!AR21)</f>
        <v>0</v>
      </c>
      <c r="AU2" s="10">
        <f>IF(OR('2.VOL_INITIAL'!AS21=0,'2.VOL_INITIAL'!AS21=""),0,'2.VOL_INITIAL'!AS21)</f>
        <v>0</v>
      </c>
      <c r="AV2" s="10">
        <f>IF(OR('2.VOL_INITIAL'!AT21=0,'2.VOL_INITIAL'!AT21=""),0,'2.VOL_INITIAL'!AT21)</f>
        <v>0</v>
      </c>
      <c r="AW2" s="10">
        <f>IF(OR('2.VOL_INITIAL'!AU21=0,'2.VOL_INITIAL'!AU21=""),0,'2.VOL_INITIAL'!AU21)</f>
        <v>0</v>
      </c>
      <c r="AX2" s="10">
        <f>IF(OR('2.VOL_INITIAL'!AV21=0,'2.VOL_INITIAL'!AV21=""),0,'2.VOL_INITIAL'!AV21)</f>
        <v>0</v>
      </c>
      <c r="AY2" s="10">
        <f>IF(OR('2.VOL_INITIAL'!AW21=0,'2.VOL_INITIAL'!AW21=""),0,'2.VOL_INITIAL'!AW21)</f>
        <v>0</v>
      </c>
      <c r="AZ2" s="10">
        <f>IF(OR('2.VOL_INITIAL'!AX21=0,'2.VOL_INITIAL'!AX21=""),0,'2.VOL_INITIAL'!AX21)</f>
        <v>0</v>
      </c>
      <c r="BA2" s="10">
        <f>IF(OR('2.VOL_INITIAL'!AY21=0,'2.VOL_INITIAL'!AY21=""),0,'2.VOL_INITIAL'!AY21)</f>
        <v>0</v>
      </c>
      <c r="BB2" s="10">
        <f>IF(OR('2.VOL_INITIAL'!AZ21=0,'2.VOL_INITIAL'!AZ21=""),0,'2.VOL_INITIAL'!AZ21)</f>
        <v>0</v>
      </c>
      <c r="BC2" s="10">
        <f>IF(OR('2.VOL_INITIAL'!BA21=0,'2.VOL_INITIAL'!BA21=""),0,'2.VOL_INITIAL'!BA21)</f>
        <v>0</v>
      </c>
      <c r="BD2" s="10">
        <f>IF(OR('2.VOL_INITIAL'!BB21=0,'2.VOL_INITIAL'!BB21=""),0,'2.VOL_INITIAL'!BB21)</f>
        <v>0</v>
      </c>
      <c r="BE2" s="118"/>
    </row>
    <row r="3" spans="1:57" x14ac:dyDescent="0.2">
      <c r="A3" s="436"/>
      <c r="B3" s="4" t="s">
        <v>718</v>
      </c>
      <c r="C3" s="4" t="str">
        <f>'1.GLOBAL'!D11</f>
        <v/>
      </c>
      <c r="E3" s="436"/>
      <c r="G3" s="4" t="s">
        <v>188</v>
      </c>
      <c r="I3" s="436"/>
      <c r="J3" s="4" t="s">
        <v>188</v>
      </c>
      <c r="K3" s="4" t="str">
        <f>IF('1.GLOBAL'!D58="","",'1.GLOBAL'!D58)</f>
        <v/>
      </c>
      <c r="L3" s="4" t="str">
        <f>IF(K3="","",VLOOKUP(K3,Tableau221[[type_ppt]:[Traitement]],2,FALSE))</f>
        <v/>
      </c>
      <c r="M3" s="4">
        <f>IF('1.GLOBAL'!D59="",0,'1.GLOBAL'!D59)</f>
        <v>0</v>
      </c>
      <c r="N3" s="304" t="str">
        <f>IF('1.GLOBAL'!D60="","",'1.GLOBAL'!D60)</f>
        <v/>
      </c>
      <c r="P3" s="436"/>
      <c r="Q3" s="22" t="str">
        <f>IF('1.GLOBAL'!B37="","",'1.GLOBAL'!B37)</f>
        <v/>
      </c>
      <c r="R3" s="22" t="str">
        <f>IF(Q3="","",VLOOKUP(Q3,'1.GLOBAL'!$C$22:$G$33,3,FALSE))</f>
        <v/>
      </c>
      <c r="S3" s="59" t="str">
        <f>IF(Q3="","",VLOOKUP(Q3,'1.GLOBAL'!$C$22:$G$33,5,FALSE))</f>
        <v/>
      </c>
      <c r="T3" s="272" t="str">
        <f>IF(Q3="","",MAX(VLOOKUP(Q3,Listes!$U$2:$V$12,2,FALSE),INDEX(Listes!$U$1:$AI$11,MATCH(Q3,Listes!$U$1:$U$11,0),MATCH($C$6,Listes!$U$1:$AI$1,0))))</f>
        <v/>
      </c>
      <c r="U3" s="272" t="str">
        <f>IF(OR(Q3=0,Q3=""),"",IF(VLOOKUP(Q3,Tableau44[[Cat_ess]:[Type_ess]],2,FALSE)="Feuillus","Feuillus","Résineux"))</f>
        <v/>
      </c>
      <c r="W3" s="436"/>
      <c r="X3" s="4" t="s">
        <v>180</v>
      </c>
      <c r="Y3" s="4" t="str">
        <f>IF(OR('2.VOL_INITIAL'!X22=0,'2.VOL_INITIAL'!X22=""),"",'2.VOL_INITIAL'!X22)</f>
        <v/>
      </c>
      <c r="Z3" s="4" t="str">
        <f>CONCATENATE(Tableau15[[#This Row],[Strate]],"_",Tableau15[[#This Row],[Essence]])</f>
        <v>A_</v>
      </c>
      <c r="AA3" s="10">
        <f>IF(OR('2.VOL_INITIAL'!Y22=0,'2.VOL_INITIAL'!Y22=""),0,'2.VOL_INITIAL'!Y22)</f>
        <v>0</v>
      </c>
      <c r="AB3" s="118">
        <f>IF(OR('2.VOL_INITIAL'!Z22=0,'2.VOL_INITIAL'!Z22=""),0,'2.VOL_INITIAL'!Z22)</f>
        <v>0</v>
      </c>
      <c r="AC3" s="118">
        <f>IF(OR('2.VOL_INITIAL'!AA22=0,'2.VOL_INITIAL'!AA22=""),0,'2.VOL_INITIAL'!AA22)</f>
        <v>0</v>
      </c>
      <c r="AD3" s="118">
        <f>IF(OR('2.VOL_INITIAL'!AB22=0,'2.VOL_INITIAL'!AB22=""),0,'2.VOL_INITIAL'!AB22)</f>
        <v>0</v>
      </c>
      <c r="AE3" s="118">
        <f>IF(OR('2.VOL_INITIAL'!AC22=0,'2.VOL_INITIAL'!AC22=""),0,'2.VOL_INITIAL'!AC22)</f>
        <v>0</v>
      </c>
      <c r="AF3" s="118">
        <f>IF(OR('2.VOL_INITIAL'!AD22=0,'2.VOL_INITIAL'!AD22=""),0,'2.VOL_INITIAL'!AD22)</f>
        <v>0</v>
      </c>
      <c r="AG3" s="118">
        <f>IF(OR('2.VOL_INITIAL'!AE22=0,'2.VOL_INITIAL'!AE22=""),0,'2.VOL_INITIAL'!AE22)</f>
        <v>0</v>
      </c>
      <c r="AH3" s="118">
        <f>IF(OR('2.VOL_INITIAL'!AF22=0,'2.VOL_INITIAL'!AF22=""),0,'2.VOL_INITIAL'!AF22)</f>
        <v>0</v>
      </c>
      <c r="AI3" s="118">
        <f>IF(OR('2.VOL_INITIAL'!AG22=0,'2.VOL_INITIAL'!AG22=""),0,'2.VOL_INITIAL'!AG22)</f>
        <v>0</v>
      </c>
      <c r="AJ3" s="118">
        <f>IF(OR('2.VOL_INITIAL'!AH22=0,'2.VOL_INITIAL'!AH22=""),0,'2.VOL_INITIAL'!AH22)</f>
        <v>0</v>
      </c>
      <c r="AK3" s="118">
        <f>IF(OR('2.VOL_INITIAL'!AI22=0,'2.VOL_INITIAL'!AI22=""),0,'2.VOL_INITIAL'!AI22)</f>
        <v>0</v>
      </c>
      <c r="AL3" s="118">
        <f>IF(OR('2.VOL_INITIAL'!AJ22=0,'2.VOL_INITIAL'!AJ22=""),0,'2.VOL_INITIAL'!AJ22)</f>
        <v>0</v>
      </c>
      <c r="AM3" s="118">
        <f>IF(OR('2.VOL_INITIAL'!AK22=0,'2.VOL_INITIAL'!AK22=""),0,'2.VOL_INITIAL'!AK22)</f>
        <v>0</v>
      </c>
      <c r="AN3" s="118">
        <f>IF(OR('2.VOL_INITIAL'!AL22=0,'2.VOL_INITIAL'!AL22=""),0,'2.VOL_INITIAL'!AL22)</f>
        <v>0</v>
      </c>
      <c r="AO3" s="118">
        <f>IF(OR('2.VOL_INITIAL'!AM22=0,'2.VOL_INITIAL'!AM22=""),0,'2.VOL_INITIAL'!AM22)</f>
        <v>0</v>
      </c>
      <c r="AP3" s="118">
        <f>IF(OR('2.VOL_INITIAL'!AN22=0,'2.VOL_INITIAL'!AN22=""),0,'2.VOL_INITIAL'!AN22)</f>
        <v>0</v>
      </c>
      <c r="AQ3" s="118">
        <f>IF(OR('2.VOL_INITIAL'!AO22=0,'2.VOL_INITIAL'!AO22=""),0,'2.VOL_INITIAL'!AO22)</f>
        <v>0</v>
      </c>
      <c r="AR3" s="118">
        <f>IF(OR('2.VOL_INITIAL'!AP22=0,'2.VOL_INITIAL'!AP22=""),0,'2.VOL_INITIAL'!AP22)</f>
        <v>0</v>
      </c>
      <c r="AS3" s="118">
        <f>IF(OR('2.VOL_INITIAL'!AQ22=0,'2.VOL_INITIAL'!AQ22=""),0,'2.VOL_INITIAL'!AQ22)</f>
        <v>0</v>
      </c>
      <c r="AT3" s="118">
        <f>IF(OR('2.VOL_INITIAL'!AR22=0,'2.VOL_INITIAL'!AR22=""),0,'2.VOL_INITIAL'!AR22)</f>
        <v>0</v>
      </c>
      <c r="AU3" s="118">
        <f>IF(OR('2.VOL_INITIAL'!AS22=0,'2.VOL_INITIAL'!AS22=""),0,'2.VOL_INITIAL'!AS22)</f>
        <v>0</v>
      </c>
      <c r="AV3" s="118">
        <f>IF(OR('2.VOL_INITIAL'!AT22=0,'2.VOL_INITIAL'!AT22=""),0,'2.VOL_INITIAL'!AT22)</f>
        <v>0</v>
      </c>
      <c r="AW3" s="118">
        <f>IF(OR('2.VOL_INITIAL'!AU22=0,'2.VOL_INITIAL'!AU22=""),0,'2.VOL_INITIAL'!AU22)</f>
        <v>0</v>
      </c>
      <c r="AX3" s="118">
        <f>IF(OR('2.VOL_INITIAL'!AV22=0,'2.VOL_INITIAL'!AV22=""),0,'2.VOL_INITIAL'!AV22)</f>
        <v>0</v>
      </c>
      <c r="AY3" s="118">
        <f>IF(OR('2.VOL_INITIAL'!AW22=0,'2.VOL_INITIAL'!AW22=""),0,'2.VOL_INITIAL'!AW22)</f>
        <v>0</v>
      </c>
      <c r="AZ3" s="118">
        <f>IF(OR('2.VOL_INITIAL'!AX22=0,'2.VOL_INITIAL'!AX22=""),0,'2.VOL_INITIAL'!AX22)</f>
        <v>0</v>
      </c>
      <c r="BA3" s="118">
        <f>IF(OR('2.VOL_INITIAL'!AY22=0,'2.VOL_INITIAL'!AY22=""),0,'2.VOL_INITIAL'!AY22)</f>
        <v>0</v>
      </c>
      <c r="BB3" s="118">
        <f>IF(OR('2.VOL_INITIAL'!AZ22=0,'2.VOL_INITIAL'!AZ22=""),0,'2.VOL_INITIAL'!AZ22)</f>
        <v>0</v>
      </c>
      <c r="BC3" s="118">
        <f>IF(OR('2.VOL_INITIAL'!BA22=0,'2.VOL_INITIAL'!BA22=""),0,'2.VOL_INITIAL'!BA22)</f>
        <v>0</v>
      </c>
      <c r="BD3" s="118">
        <f>IF(OR('2.VOL_INITIAL'!BB22=0,'2.VOL_INITIAL'!BB22=""),0,'2.VOL_INITIAL'!BB22)</f>
        <v>0</v>
      </c>
      <c r="BE3" s="118"/>
    </row>
    <row r="4" spans="1:57" x14ac:dyDescent="0.2">
      <c r="A4" s="436"/>
      <c r="B4" s="4" t="s">
        <v>808</v>
      </c>
      <c r="C4" s="4" t="str">
        <f>'1.GLOBAL'!D12</f>
        <v/>
      </c>
      <c r="E4" s="436"/>
      <c r="G4" s="4" t="s">
        <v>190</v>
      </c>
      <c r="I4" s="436"/>
      <c r="J4" s="4" t="s">
        <v>190</v>
      </c>
      <c r="K4" s="4" t="str">
        <f>IF('1.GLOBAL'!D66="","",'1.GLOBAL'!D66)</f>
        <v/>
      </c>
      <c r="L4" s="4" t="str">
        <f>IF(K4="","",VLOOKUP(K4,Tableau221[[type_ppt]:[Traitement]],2,FALSE))</f>
        <v/>
      </c>
      <c r="M4" s="4">
        <f>IF('1.GLOBAL'!D67="",0,'1.GLOBAL'!D67)</f>
        <v>0</v>
      </c>
      <c r="N4" s="304" t="str">
        <f>IF('1.GLOBAL'!D68="","",'1.GLOBAL'!D68)</f>
        <v/>
      </c>
      <c r="P4" s="436"/>
      <c r="Q4" s="22" t="str">
        <f>IF('1.GLOBAL'!B38="","",'1.GLOBAL'!B38)</f>
        <v/>
      </c>
      <c r="R4" s="22" t="str">
        <f>IF(Q4="","",VLOOKUP(Q4,'1.GLOBAL'!$C$22:$G$33,3,FALSE))</f>
        <v/>
      </c>
      <c r="S4" s="59" t="str">
        <f>IF(Q4="","",VLOOKUP(Q4,'1.GLOBAL'!$C$22:$G$33,5,FALSE))</f>
        <v/>
      </c>
      <c r="T4" s="272" t="str">
        <f>IF(Q4="","",MAX(VLOOKUP(Q4,Listes!$U$2:$V$12,2,FALSE),INDEX(Listes!$U$1:$AI$11,MATCH(Q4,Listes!$U$1:$U$11,0),MATCH($C$6,Listes!$U$1:$AI$1,0))))</f>
        <v/>
      </c>
      <c r="U4" s="272" t="str">
        <f>IF(OR(Q4=0,Q4=""),"",IF(VLOOKUP(Q4,Tableau44[[Cat_ess]:[Type_ess]],2,FALSE)="Feuillus","Feuillus","Résineux"))</f>
        <v/>
      </c>
      <c r="W4" s="436"/>
      <c r="X4" s="4" t="s">
        <v>180</v>
      </c>
      <c r="Y4" s="4" t="str">
        <f>IF(OR('2.VOL_INITIAL'!X23=0,'2.VOL_INITIAL'!X23=""),"",'2.VOL_INITIAL'!X23)</f>
        <v/>
      </c>
      <c r="Z4" s="4" t="str">
        <f>CONCATENATE(Tableau15[[#This Row],[Strate]],"_",Tableau15[[#This Row],[Essence]])</f>
        <v>A_</v>
      </c>
      <c r="AA4" s="10">
        <f>IF(OR('2.VOL_INITIAL'!Y23=0,'2.VOL_INITIAL'!Y23=""),0,'2.VOL_INITIAL'!Y23)</f>
        <v>0</v>
      </c>
      <c r="AB4" s="118">
        <f>IF(OR('2.VOL_INITIAL'!Z23=0,'2.VOL_INITIAL'!Z23=""),0,'2.VOL_INITIAL'!Z23)</f>
        <v>0</v>
      </c>
      <c r="AC4" s="118">
        <f>IF(OR('2.VOL_INITIAL'!AA23=0,'2.VOL_INITIAL'!AA23=""),0,'2.VOL_INITIAL'!AA23)</f>
        <v>0</v>
      </c>
      <c r="AD4" s="118">
        <f>IF(OR('2.VOL_INITIAL'!AB23=0,'2.VOL_INITIAL'!AB23=""),0,'2.VOL_INITIAL'!AB23)</f>
        <v>0</v>
      </c>
      <c r="AE4" s="118">
        <f>IF(OR('2.VOL_INITIAL'!AC23=0,'2.VOL_INITIAL'!AC23=""),0,'2.VOL_INITIAL'!AC23)</f>
        <v>0</v>
      </c>
      <c r="AF4" s="118">
        <f>IF(OR('2.VOL_INITIAL'!AD23=0,'2.VOL_INITIAL'!AD23=""),0,'2.VOL_INITIAL'!AD23)</f>
        <v>0</v>
      </c>
      <c r="AG4" s="118">
        <f>IF(OR('2.VOL_INITIAL'!AE23=0,'2.VOL_INITIAL'!AE23=""),0,'2.VOL_INITIAL'!AE23)</f>
        <v>0</v>
      </c>
      <c r="AH4" s="118">
        <f>IF(OR('2.VOL_INITIAL'!AF23=0,'2.VOL_INITIAL'!AF23=""),0,'2.VOL_INITIAL'!AF23)</f>
        <v>0</v>
      </c>
      <c r="AI4" s="118">
        <f>IF(OR('2.VOL_INITIAL'!AG23=0,'2.VOL_INITIAL'!AG23=""),0,'2.VOL_INITIAL'!AG23)</f>
        <v>0</v>
      </c>
      <c r="AJ4" s="118">
        <f>IF(OR('2.VOL_INITIAL'!AH23=0,'2.VOL_INITIAL'!AH23=""),0,'2.VOL_INITIAL'!AH23)</f>
        <v>0</v>
      </c>
      <c r="AK4" s="118">
        <f>IF(OR('2.VOL_INITIAL'!AI23=0,'2.VOL_INITIAL'!AI23=""),0,'2.VOL_INITIAL'!AI23)</f>
        <v>0</v>
      </c>
      <c r="AL4" s="118">
        <f>IF(OR('2.VOL_INITIAL'!AJ23=0,'2.VOL_INITIAL'!AJ23=""),0,'2.VOL_INITIAL'!AJ23)</f>
        <v>0</v>
      </c>
      <c r="AM4" s="118">
        <f>IF(OR('2.VOL_INITIAL'!AK23=0,'2.VOL_INITIAL'!AK23=""),0,'2.VOL_INITIAL'!AK23)</f>
        <v>0</v>
      </c>
      <c r="AN4" s="118">
        <f>IF(OR('2.VOL_INITIAL'!AL23=0,'2.VOL_INITIAL'!AL23=""),0,'2.VOL_INITIAL'!AL23)</f>
        <v>0</v>
      </c>
      <c r="AO4" s="118">
        <f>IF(OR('2.VOL_INITIAL'!AM23=0,'2.VOL_INITIAL'!AM23=""),0,'2.VOL_INITIAL'!AM23)</f>
        <v>0</v>
      </c>
      <c r="AP4" s="118">
        <f>IF(OR('2.VOL_INITIAL'!AN23=0,'2.VOL_INITIAL'!AN23=""),0,'2.VOL_INITIAL'!AN23)</f>
        <v>0</v>
      </c>
      <c r="AQ4" s="118">
        <f>IF(OR('2.VOL_INITIAL'!AO23=0,'2.VOL_INITIAL'!AO23=""),0,'2.VOL_INITIAL'!AO23)</f>
        <v>0</v>
      </c>
      <c r="AR4" s="118">
        <f>IF(OR('2.VOL_INITIAL'!AP23=0,'2.VOL_INITIAL'!AP23=""),0,'2.VOL_INITIAL'!AP23)</f>
        <v>0</v>
      </c>
      <c r="AS4" s="118">
        <f>IF(OR('2.VOL_INITIAL'!AQ23=0,'2.VOL_INITIAL'!AQ23=""),0,'2.VOL_INITIAL'!AQ23)</f>
        <v>0</v>
      </c>
      <c r="AT4" s="118">
        <f>IF(OR('2.VOL_INITIAL'!AR23=0,'2.VOL_INITIAL'!AR23=""),0,'2.VOL_INITIAL'!AR23)</f>
        <v>0</v>
      </c>
      <c r="AU4" s="118">
        <f>IF(OR('2.VOL_INITIAL'!AS23=0,'2.VOL_INITIAL'!AS23=""),0,'2.VOL_INITIAL'!AS23)</f>
        <v>0</v>
      </c>
      <c r="AV4" s="118">
        <f>IF(OR('2.VOL_INITIAL'!AT23=0,'2.VOL_INITIAL'!AT23=""),0,'2.VOL_INITIAL'!AT23)</f>
        <v>0</v>
      </c>
      <c r="AW4" s="118">
        <f>IF(OR('2.VOL_INITIAL'!AU23=0,'2.VOL_INITIAL'!AU23=""),0,'2.VOL_INITIAL'!AU23)</f>
        <v>0</v>
      </c>
      <c r="AX4" s="118">
        <f>IF(OR('2.VOL_INITIAL'!AV23=0,'2.VOL_INITIAL'!AV23=""),0,'2.VOL_INITIAL'!AV23)</f>
        <v>0</v>
      </c>
      <c r="AY4" s="118">
        <f>IF(OR('2.VOL_INITIAL'!AW23=0,'2.VOL_INITIAL'!AW23=""),0,'2.VOL_INITIAL'!AW23)</f>
        <v>0</v>
      </c>
      <c r="AZ4" s="118">
        <f>IF(OR('2.VOL_INITIAL'!AX23=0,'2.VOL_INITIAL'!AX23=""),0,'2.VOL_INITIAL'!AX23)</f>
        <v>0</v>
      </c>
      <c r="BA4" s="118">
        <f>IF(OR('2.VOL_INITIAL'!AY23=0,'2.VOL_INITIAL'!AY23=""),0,'2.VOL_INITIAL'!AY23)</f>
        <v>0</v>
      </c>
      <c r="BB4" s="118">
        <f>IF(OR('2.VOL_INITIAL'!AZ23=0,'2.VOL_INITIAL'!AZ23=""),0,'2.VOL_INITIAL'!AZ23)</f>
        <v>0</v>
      </c>
      <c r="BC4" s="118">
        <f>IF(OR('2.VOL_INITIAL'!BA23=0,'2.VOL_INITIAL'!BA23=""),0,'2.VOL_INITIAL'!BA23)</f>
        <v>0</v>
      </c>
      <c r="BD4" s="118">
        <f>IF(OR('2.VOL_INITIAL'!BB23=0,'2.VOL_INITIAL'!BB23=""),0,'2.VOL_INITIAL'!BB23)</f>
        <v>0</v>
      </c>
      <c r="BE4" s="118"/>
    </row>
    <row r="5" spans="1:57" x14ac:dyDescent="0.2">
      <c r="A5" s="436"/>
      <c r="B5" s="4" t="s">
        <v>717</v>
      </c>
      <c r="C5" s="4" t="str">
        <f>'1.GLOBAL'!D13</f>
        <v/>
      </c>
      <c r="E5" s="436"/>
      <c r="G5" s="4" t="s">
        <v>192</v>
      </c>
      <c r="I5" s="436"/>
      <c r="J5" s="4" t="s">
        <v>192</v>
      </c>
      <c r="K5" s="4" t="str">
        <f>IF('1.GLOBAL'!D74="","",'1.GLOBAL'!D74)</f>
        <v/>
      </c>
      <c r="L5" s="4" t="str">
        <f>IF(K5="","",VLOOKUP(K5,Tableau221[[type_ppt]:[Traitement]],2,FALSE))</f>
        <v/>
      </c>
      <c r="M5" s="4">
        <f>IF('1.GLOBAL'!D75="",0,'1.GLOBAL'!D75)</f>
        <v>0</v>
      </c>
      <c r="N5" s="304" t="str">
        <f>IF('1.GLOBAL'!D76="","",'1.GLOBAL'!D76)</f>
        <v/>
      </c>
      <c r="P5" s="436"/>
      <c r="Q5" s="22" t="str">
        <f>IF('1.GLOBAL'!B39="","",'1.GLOBAL'!B39)</f>
        <v/>
      </c>
      <c r="R5" s="22" t="str">
        <f>IF(Q5="","",VLOOKUP(Q5,'1.GLOBAL'!$C$22:$G$33,3,FALSE))</f>
        <v/>
      </c>
      <c r="S5" s="59" t="str">
        <f>IF(Q5="","",VLOOKUP(Q5,'1.GLOBAL'!$C$22:$G$33,5,FALSE))</f>
        <v/>
      </c>
      <c r="T5" s="272" t="str">
        <f>IF(Q5="","",MAX(VLOOKUP(Q5,Listes!$U$2:$V$12,2,FALSE),INDEX(Listes!$U$1:$AI$11,MATCH(Q5,Listes!$U$1:$U$11,0),MATCH($C$6,Listes!$U$1:$AI$1,0))))</f>
        <v/>
      </c>
      <c r="U5" s="272" t="str">
        <f>IF(OR(Q5=0,Q5=""),"",IF(VLOOKUP(Q5,Tableau44[[Cat_ess]:[Type_ess]],2,FALSE)="Feuillus","Feuillus","Résineux"))</f>
        <v/>
      </c>
      <c r="W5" s="436"/>
      <c r="X5" s="4" t="s">
        <v>180</v>
      </c>
      <c r="Y5" s="4" t="str">
        <f>IF(OR('2.VOL_INITIAL'!X24=0,'2.VOL_INITIAL'!X24=""),"",'2.VOL_INITIAL'!X24)</f>
        <v/>
      </c>
      <c r="Z5" s="4" t="str">
        <f>CONCATENATE(Tableau15[[#This Row],[Strate]],"_",Tableau15[[#This Row],[Essence]])</f>
        <v>A_</v>
      </c>
      <c r="AA5" s="10">
        <f>IF(OR('2.VOL_INITIAL'!Y24=0,'2.VOL_INITIAL'!Y24=""),0,'2.VOL_INITIAL'!Y24)</f>
        <v>0</v>
      </c>
      <c r="AB5" s="118">
        <f>IF(OR('2.VOL_INITIAL'!Z24=0,'2.VOL_INITIAL'!Z24=""),0,'2.VOL_INITIAL'!Z24)</f>
        <v>0</v>
      </c>
      <c r="AC5" s="118">
        <f>IF(OR('2.VOL_INITIAL'!AA24=0,'2.VOL_INITIAL'!AA24=""),0,'2.VOL_INITIAL'!AA24)</f>
        <v>0</v>
      </c>
      <c r="AD5" s="118">
        <f>IF(OR('2.VOL_INITIAL'!AB24=0,'2.VOL_INITIAL'!AB24=""),0,'2.VOL_INITIAL'!AB24)</f>
        <v>0</v>
      </c>
      <c r="AE5" s="118">
        <f>IF(OR('2.VOL_INITIAL'!AC24=0,'2.VOL_INITIAL'!AC24=""),0,'2.VOL_INITIAL'!AC24)</f>
        <v>0</v>
      </c>
      <c r="AF5" s="118">
        <f>IF(OR('2.VOL_INITIAL'!AD24=0,'2.VOL_INITIAL'!AD24=""),0,'2.VOL_INITIAL'!AD24)</f>
        <v>0</v>
      </c>
      <c r="AG5" s="118">
        <f>IF(OR('2.VOL_INITIAL'!AE24=0,'2.VOL_INITIAL'!AE24=""),0,'2.VOL_INITIAL'!AE24)</f>
        <v>0</v>
      </c>
      <c r="AH5" s="118">
        <f>IF(OR('2.VOL_INITIAL'!AF24=0,'2.VOL_INITIAL'!AF24=""),0,'2.VOL_INITIAL'!AF24)</f>
        <v>0</v>
      </c>
      <c r="AI5" s="118">
        <f>IF(OR('2.VOL_INITIAL'!AG24=0,'2.VOL_INITIAL'!AG24=""),0,'2.VOL_INITIAL'!AG24)</f>
        <v>0</v>
      </c>
      <c r="AJ5" s="118">
        <f>IF(OR('2.VOL_INITIAL'!AH24=0,'2.VOL_INITIAL'!AH24=""),0,'2.VOL_INITIAL'!AH24)</f>
        <v>0</v>
      </c>
      <c r="AK5" s="118">
        <f>IF(OR('2.VOL_INITIAL'!AI24=0,'2.VOL_INITIAL'!AI24=""),0,'2.VOL_INITIAL'!AI24)</f>
        <v>0</v>
      </c>
      <c r="AL5" s="118">
        <f>IF(OR('2.VOL_INITIAL'!AJ24=0,'2.VOL_INITIAL'!AJ24=""),0,'2.VOL_INITIAL'!AJ24)</f>
        <v>0</v>
      </c>
      <c r="AM5" s="118">
        <f>IF(OR('2.VOL_INITIAL'!AK24=0,'2.VOL_INITIAL'!AK24=""),0,'2.VOL_INITIAL'!AK24)</f>
        <v>0</v>
      </c>
      <c r="AN5" s="118">
        <f>IF(OR('2.VOL_INITIAL'!AL24=0,'2.VOL_INITIAL'!AL24=""),0,'2.VOL_INITIAL'!AL24)</f>
        <v>0</v>
      </c>
      <c r="AO5" s="118">
        <f>IF(OR('2.VOL_INITIAL'!AM24=0,'2.VOL_INITIAL'!AM24=""),0,'2.VOL_INITIAL'!AM24)</f>
        <v>0</v>
      </c>
      <c r="AP5" s="118">
        <f>IF(OR('2.VOL_INITIAL'!AN24=0,'2.VOL_INITIAL'!AN24=""),0,'2.VOL_INITIAL'!AN24)</f>
        <v>0</v>
      </c>
      <c r="AQ5" s="118">
        <f>IF(OR('2.VOL_INITIAL'!AO24=0,'2.VOL_INITIAL'!AO24=""),0,'2.VOL_INITIAL'!AO24)</f>
        <v>0</v>
      </c>
      <c r="AR5" s="118">
        <f>IF(OR('2.VOL_INITIAL'!AP24=0,'2.VOL_INITIAL'!AP24=""),0,'2.VOL_INITIAL'!AP24)</f>
        <v>0</v>
      </c>
      <c r="AS5" s="118">
        <f>IF(OR('2.VOL_INITIAL'!AQ24=0,'2.VOL_INITIAL'!AQ24=""),0,'2.VOL_INITIAL'!AQ24)</f>
        <v>0</v>
      </c>
      <c r="AT5" s="118">
        <f>IF(OR('2.VOL_INITIAL'!AR24=0,'2.VOL_INITIAL'!AR24=""),0,'2.VOL_INITIAL'!AR24)</f>
        <v>0</v>
      </c>
      <c r="AU5" s="118">
        <f>IF(OR('2.VOL_INITIAL'!AS24=0,'2.VOL_INITIAL'!AS24=""),0,'2.VOL_INITIAL'!AS24)</f>
        <v>0</v>
      </c>
      <c r="AV5" s="118">
        <f>IF(OR('2.VOL_INITIAL'!AT24=0,'2.VOL_INITIAL'!AT24=""),0,'2.VOL_INITIAL'!AT24)</f>
        <v>0</v>
      </c>
      <c r="AW5" s="118">
        <f>IF(OR('2.VOL_INITIAL'!AU24=0,'2.VOL_INITIAL'!AU24=""),0,'2.VOL_INITIAL'!AU24)</f>
        <v>0</v>
      </c>
      <c r="AX5" s="118">
        <f>IF(OR('2.VOL_INITIAL'!AV24=0,'2.VOL_INITIAL'!AV24=""),0,'2.VOL_INITIAL'!AV24)</f>
        <v>0</v>
      </c>
      <c r="AY5" s="118">
        <f>IF(OR('2.VOL_INITIAL'!AW24=0,'2.VOL_INITIAL'!AW24=""),0,'2.VOL_INITIAL'!AW24)</f>
        <v>0</v>
      </c>
      <c r="AZ5" s="118">
        <f>IF(OR('2.VOL_INITIAL'!AX24=0,'2.VOL_INITIAL'!AX24=""),0,'2.VOL_INITIAL'!AX24)</f>
        <v>0</v>
      </c>
      <c r="BA5" s="118">
        <f>IF(OR('2.VOL_INITIAL'!AY24=0,'2.VOL_INITIAL'!AY24=""),0,'2.VOL_INITIAL'!AY24)</f>
        <v>0</v>
      </c>
      <c r="BB5" s="118">
        <f>IF(OR('2.VOL_INITIAL'!AZ24=0,'2.VOL_INITIAL'!AZ24=""),0,'2.VOL_INITIAL'!AZ24)</f>
        <v>0</v>
      </c>
      <c r="BC5" s="118">
        <f>IF(OR('2.VOL_INITIAL'!BA24=0,'2.VOL_INITIAL'!BA24=""),0,'2.VOL_INITIAL'!BA24)</f>
        <v>0</v>
      </c>
      <c r="BD5" s="118">
        <f>IF(OR('2.VOL_INITIAL'!BB24=0,'2.VOL_INITIAL'!BB24=""),0,'2.VOL_INITIAL'!BB24)</f>
        <v>0</v>
      </c>
      <c r="BE5" s="118"/>
    </row>
    <row r="6" spans="1:57" x14ac:dyDescent="0.2">
      <c r="A6" s="436"/>
      <c r="B6" s="4" t="s">
        <v>716</v>
      </c>
      <c r="C6" s="4" t="str">
        <f>'1.GLOBAL'!D14</f>
        <v/>
      </c>
      <c r="P6" s="436"/>
      <c r="Q6" s="22" t="str">
        <f>IF('1.GLOBAL'!B40="","",'1.GLOBAL'!B40)</f>
        <v/>
      </c>
      <c r="R6" s="22" t="str">
        <f>IF(Q6="","",VLOOKUP(Q6,'1.GLOBAL'!$C$22:$G$33,3,FALSE))</f>
        <v/>
      </c>
      <c r="S6" s="59" t="str">
        <f>IF(Q6="","",VLOOKUP(Q6,'1.GLOBAL'!$C$22:$G$33,5,FALSE))</f>
        <v/>
      </c>
      <c r="T6" s="272" t="str">
        <f>IF(Q6="","",MAX(VLOOKUP(Q6,Listes!$U$2:$V$12,2,FALSE),INDEX(Listes!$U$1:$AI$11,MATCH(Q6,Listes!$U$1:$U$11,0),MATCH($C$6,Listes!$U$1:$AI$1,0))))</f>
        <v/>
      </c>
      <c r="U6" s="272" t="str">
        <f>IF(OR(Q6=0,Q6=""),"",IF(VLOOKUP(Q6,Tableau44[[Cat_ess]:[Type_ess]],2,FALSE)="Feuillus","Feuillus","Résineux"))</f>
        <v/>
      </c>
      <c r="W6" s="436"/>
      <c r="X6" s="4" t="s">
        <v>188</v>
      </c>
      <c r="Y6" s="4" t="str">
        <f>IF(OR('2.VOL_INITIAL'!X25=0,'2.VOL_INITIAL'!X25=""),"",'2.VOL_INITIAL'!X25)</f>
        <v/>
      </c>
      <c r="Z6" s="4" t="str">
        <f>CONCATENATE(Tableau15[[#This Row],[Strate]],"_",Tableau15[[#This Row],[Essence]])</f>
        <v>B_</v>
      </c>
      <c r="AA6" s="10">
        <f>IF(OR('2.VOL_INITIAL'!Y25=0,'2.VOL_INITIAL'!Y25=""),0,'2.VOL_INITIAL'!Y25)</f>
        <v>0</v>
      </c>
      <c r="AB6" s="118">
        <f>IF(OR('2.VOL_INITIAL'!Z25=0,'2.VOL_INITIAL'!Z25=""),0,'2.VOL_INITIAL'!Z25)</f>
        <v>0</v>
      </c>
      <c r="AC6" s="118">
        <f>IF(OR('2.VOL_INITIAL'!AA25=0,'2.VOL_INITIAL'!AA25=""),0,'2.VOL_INITIAL'!AA25)</f>
        <v>0</v>
      </c>
      <c r="AD6" s="118">
        <f>IF(OR('2.VOL_INITIAL'!AB25=0,'2.VOL_INITIAL'!AB25=""),0,'2.VOL_INITIAL'!AB25)</f>
        <v>0</v>
      </c>
      <c r="AE6" s="118">
        <f>IF(OR('2.VOL_INITIAL'!AC25=0,'2.VOL_INITIAL'!AC25=""),0,'2.VOL_INITIAL'!AC25)</f>
        <v>0</v>
      </c>
      <c r="AF6" s="118">
        <f>IF(OR('2.VOL_INITIAL'!AD25=0,'2.VOL_INITIAL'!AD25=""),0,'2.VOL_INITIAL'!AD25)</f>
        <v>0</v>
      </c>
      <c r="AG6" s="118">
        <f>IF(OR('2.VOL_INITIAL'!AE25=0,'2.VOL_INITIAL'!AE25=""),0,'2.VOL_INITIAL'!AE25)</f>
        <v>0</v>
      </c>
      <c r="AH6" s="118">
        <f>IF(OR('2.VOL_INITIAL'!AF25=0,'2.VOL_INITIAL'!AF25=""),0,'2.VOL_INITIAL'!AF25)</f>
        <v>0</v>
      </c>
      <c r="AI6" s="118">
        <f>IF(OR('2.VOL_INITIAL'!AG25=0,'2.VOL_INITIAL'!AG25=""),0,'2.VOL_INITIAL'!AG25)</f>
        <v>0</v>
      </c>
      <c r="AJ6" s="118">
        <f>IF(OR('2.VOL_INITIAL'!AH25=0,'2.VOL_INITIAL'!AH25=""),0,'2.VOL_INITIAL'!AH25)</f>
        <v>0</v>
      </c>
      <c r="AK6" s="118">
        <f>IF(OR('2.VOL_INITIAL'!AI25=0,'2.VOL_INITIAL'!AI25=""),0,'2.VOL_INITIAL'!AI25)</f>
        <v>0</v>
      </c>
      <c r="AL6" s="118">
        <f>IF(OR('2.VOL_INITIAL'!AJ25=0,'2.VOL_INITIAL'!AJ25=""),0,'2.VOL_INITIAL'!AJ25)</f>
        <v>0</v>
      </c>
      <c r="AM6" s="118">
        <f>IF(OR('2.VOL_INITIAL'!AK25=0,'2.VOL_INITIAL'!AK25=""),0,'2.VOL_INITIAL'!AK25)</f>
        <v>0</v>
      </c>
      <c r="AN6" s="118">
        <f>IF(OR('2.VOL_INITIAL'!AL25=0,'2.VOL_INITIAL'!AL25=""),0,'2.VOL_INITIAL'!AL25)</f>
        <v>0</v>
      </c>
      <c r="AO6" s="118">
        <f>IF(OR('2.VOL_INITIAL'!AM25=0,'2.VOL_INITIAL'!AM25=""),0,'2.VOL_INITIAL'!AM25)</f>
        <v>0</v>
      </c>
      <c r="AP6" s="118">
        <f>IF(OR('2.VOL_INITIAL'!AN25=0,'2.VOL_INITIAL'!AN25=""),0,'2.VOL_INITIAL'!AN25)</f>
        <v>0</v>
      </c>
      <c r="AQ6" s="118">
        <f>IF(OR('2.VOL_INITIAL'!AO25=0,'2.VOL_INITIAL'!AO25=""),0,'2.VOL_INITIAL'!AO25)</f>
        <v>0</v>
      </c>
      <c r="AR6" s="118">
        <f>IF(OR('2.VOL_INITIAL'!AP25=0,'2.VOL_INITIAL'!AP25=""),0,'2.VOL_INITIAL'!AP25)</f>
        <v>0</v>
      </c>
      <c r="AS6" s="118">
        <f>IF(OR('2.VOL_INITIAL'!AQ25=0,'2.VOL_INITIAL'!AQ25=""),0,'2.VOL_INITIAL'!AQ25)</f>
        <v>0</v>
      </c>
      <c r="AT6" s="118">
        <f>IF(OR('2.VOL_INITIAL'!AR25=0,'2.VOL_INITIAL'!AR25=""),0,'2.VOL_INITIAL'!AR25)</f>
        <v>0</v>
      </c>
      <c r="AU6" s="118">
        <f>IF(OR('2.VOL_INITIAL'!AS25=0,'2.VOL_INITIAL'!AS25=""),0,'2.VOL_INITIAL'!AS25)</f>
        <v>0</v>
      </c>
      <c r="AV6" s="118">
        <f>IF(OR('2.VOL_INITIAL'!AT25=0,'2.VOL_INITIAL'!AT25=""),0,'2.VOL_INITIAL'!AT25)</f>
        <v>0</v>
      </c>
      <c r="AW6" s="118">
        <f>IF(OR('2.VOL_INITIAL'!AU25=0,'2.VOL_INITIAL'!AU25=""),0,'2.VOL_INITIAL'!AU25)</f>
        <v>0</v>
      </c>
      <c r="AX6" s="118">
        <f>IF(OR('2.VOL_INITIAL'!AV25=0,'2.VOL_INITIAL'!AV25=""),0,'2.VOL_INITIAL'!AV25)</f>
        <v>0</v>
      </c>
      <c r="AY6" s="118">
        <f>IF(OR('2.VOL_INITIAL'!AW25=0,'2.VOL_INITIAL'!AW25=""),0,'2.VOL_INITIAL'!AW25)</f>
        <v>0</v>
      </c>
      <c r="AZ6" s="118">
        <f>IF(OR('2.VOL_INITIAL'!AX25=0,'2.VOL_INITIAL'!AX25=""),0,'2.VOL_INITIAL'!AX25)</f>
        <v>0</v>
      </c>
      <c r="BA6" s="118">
        <f>IF(OR('2.VOL_INITIAL'!AY25=0,'2.VOL_INITIAL'!AY25=""),0,'2.VOL_INITIAL'!AY25)</f>
        <v>0</v>
      </c>
      <c r="BB6" s="118">
        <f>IF(OR('2.VOL_INITIAL'!AZ25=0,'2.VOL_INITIAL'!AZ25=""),0,'2.VOL_INITIAL'!AZ25)</f>
        <v>0</v>
      </c>
      <c r="BC6" s="118">
        <f>IF(OR('2.VOL_INITIAL'!BA25=0,'2.VOL_INITIAL'!BA25=""),0,'2.VOL_INITIAL'!BA25)</f>
        <v>0</v>
      </c>
      <c r="BD6" s="118">
        <f>IF(OR('2.VOL_INITIAL'!BB25=0,'2.VOL_INITIAL'!BB25=""),0,'2.VOL_INITIAL'!BB25)</f>
        <v>0</v>
      </c>
      <c r="BE6" s="118"/>
    </row>
    <row r="7" spans="1:57" x14ac:dyDescent="0.2">
      <c r="A7" s="436"/>
      <c r="B7" s="4" t="s">
        <v>715</v>
      </c>
      <c r="C7" s="4" t="str">
        <f>'1.GLOBAL'!D15</f>
        <v/>
      </c>
      <c r="P7" s="436"/>
      <c r="Q7" s="22" t="str">
        <f>IF('1.GLOBAL'!B41="","",'1.GLOBAL'!B41)</f>
        <v/>
      </c>
      <c r="R7" s="22" t="str">
        <f>IF(Q7="","",VLOOKUP(Q7,'1.GLOBAL'!$C$22:$G$33,3,FALSE))</f>
        <v/>
      </c>
      <c r="S7" s="59" t="str">
        <f>IF(Q7="","",VLOOKUP(Q7,'1.GLOBAL'!$C$22:$G$33,5,FALSE))</f>
        <v/>
      </c>
      <c r="T7" s="272" t="str">
        <f>IF(Q7="","",MAX(VLOOKUP(Q7,Listes!$U$2:$V$12,2,FALSE),INDEX(Listes!$U$1:$AI$11,MATCH(Q7,Listes!$U$1:$U$11,0),MATCH($C$6,Listes!$U$1:$AI$1,0))))</f>
        <v/>
      </c>
      <c r="U7" s="272" t="str">
        <f>IF(OR(Q7=0,Q7=""),"",IF(VLOOKUP(Q7,Tableau44[[Cat_ess]:[Type_ess]],2,FALSE)="Feuillus","Feuillus","Résineux"))</f>
        <v/>
      </c>
      <c r="W7" s="436"/>
      <c r="X7" s="4" t="s">
        <v>188</v>
      </c>
      <c r="Y7" s="4" t="str">
        <f>IF(OR('2.VOL_INITIAL'!X26=0,'2.VOL_INITIAL'!X26=""),"",'2.VOL_INITIAL'!X26)</f>
        <v/>
      </c>
      <c r="Z7" s="4" t="str">
        <f>CONCATENATE(Tableau15[[#This Row],[Strate]],"_",Tableau15[[#This Row],[Essence]])</f>
        <v>B_</v>
      </c>
      <c r="AA7" s="10">
        <f>IF(OR('2.VOL_INITIAL'!Y26=0,'2.VOL_INITIAL'!Y26=""),0,'2.VOL_INITIAL'!Y26)</f>
        <v>0</v>
      </c>
      <c r="AB7" s="118">
        <f>IF(OR('2.VOL_INITIAL'!Z26=0,'2.VOL_INITIAL'!Z26=""),0,'2.VOL_INITIAL'!Z26)</f>
        <v>0</v>
      </c>
      <c r="AC7" s="118">
        <f>IF(OR('2.VOL_INITIAL'!AA26=0,'2.VOL_INITIAL'!AA26=""),0,'2.VOL_INITIAL'!AA26)</f>
        <v>0</v>
      </c>
      <c r="AD7" s="118">
        <f>IF(OR('2.VOL_INITIAL'!AB26=0,'2.VOL_INITIAL'!AB26=""),0,'2.VOL_INITIAL'!AB26)</f>
        <v>0</v>
      </c>
      <c r="AE7" s="118">
        <f>IF(OR('2.VOL_INITIAL'!AC26=0,'2.VOL_INITIAL'!AC26=""),0,'2.VOL_INITIAL'!AC26)</f>
        <v>0</v>
      </c>
      <c r="AF7" s="118">
        <f>IF(OR('2.VOL_INITIAL'!AD26=0,'2.VOL_INITIAL'!AD26=""),0,'2.VOL_INITIAL'!AD26)</f>
        <v>0</v>
      </c>
      <c r="AG7" s="118">
        <f>IF(OR('2.VOL_INITIAL'!AE26=0,'2.VOL_INITIAL'!AE26=""),0,'2.VOL_INITIAL'!AE26)</f>
        <v>0</v>
      </c>
      <c r="AH7" s="118">
        <f>IF(OR('2.VOL_INITIAL'!AF26=0,'2.VOL_INITIAL'!AF26=""),0,'2.VOL_INITIAL'!AF26)</f>
        <v>0</v>
      </c>
      <c r="AI7" s="118">
        <f>IF(OR('2.VOL_INITIAL'!AG26=0,'2.VOL_INITIAL'!AG26=""),0,'2.VOL_INITIAL'!AG26)</f>
        <v>0</v>
      </c>
      <c r="AJ7" s="118">
        <f>IF(OR('2.VOL_INITIAL'!AH26=0,'2.VOL_INITIAL'!AH26=""),0,'2.VOL_INITIAL'!AH26)</f>
        <v>0</v>
      </c>
      <c r="AK7" s="118">
        <f>IF(OR('2.VOL_INITIAL'!AI26=0,'2.VOL_INITIAL'!AI26=""),0,'2.VOL_INITIAL'!AI26)</f>
        <v>0</v>
      </c>
      <c r="AL7" s="118">
        <f>IF(OR('2.VOL_INITIAL'!AJ26=0,'2.VOL_INITIAL'!AJ26=""),0,'2.VOL_INITIAL'!AJ26)</f>
        <v>0</v>
      </c>
      <c r="AM7" s="118">
        <f>IF(OR('2.VOL_INITIAL'!AK26=0,'2.VOL_INITIAL'!AK26=""),0,'2.VOL_INITIAL'!AK26)</f>
        <v>0</v>
      </c>
      <c r="AN7" s="118">
        <f>IF(OR('2.VOL_INITIAL'!AL26=0,'2.VOL_INITIAL'!AL26=""),0,'2.VOL_INITIAL'!AL26)</f>
        <v>0</v>
      </c>
      <c r="AO7" s="118">
        <f>IF(OR('2.VOL_INITIAL'!AM26=0,'2.VOL_INITIAL'!AM26=""),0,'2.VOL_INITIAL'!AM26)</f>
        <v>0</v>
      </c>
      <c r="AP7" s="118">
        <f>IF(OR('2.VOL_INITIAL'!AN26=0,'2.VOL_INITIAL'!AN26=""),0,'2.VOL_INITIAL'!AN26)</f>
        <v>0</v>
      </c>
      <c r="AQ7" s="118">
        <f>IF(OR('2.VOL_INITIAL'!AO26=0,'2.VOL_INITIAL'!AO26=""),0,'2.VOL_INITIAL'!AO26)</f>
        <v>0</v>
      </c>
      <c r="AR7" s="118">
        <f>IF(OR('2.VOL_INITIAL'!AP26=0,'2.VOL_INITIAL'!AP26=""),0,'2.VOL_INITIAL'!AP26)</f>
        <v>0</v>
      </c>
      <c r="AS7" s="118">
        <f>IF(OR('2.VOL_INITIAL'!AQ26=0,'2.VOL_INITIAL'!AQ26=""),0,'2.VOL_INITIAL'!AQ26)</f>
        <v>0</v>
      </c>
      <c r="AT7" s="118">
        <f>IF(OR('2.VOL_INITIAL'!AR26=0,'2.VOL_INITIAL'!AR26=""),0,'2.VOL_INITIAL'!AR26)</f>
        <v>0</v>
      </c>
      <c r="AU7" s="118">
        <f>IF(OR('2.VOL_INITIAL'!AS26=0,'2.VOL_INITIAL'!AS26=""),0,'2.VOL_INITIAL'!AS26)</f>
        <v>0</v>
      </c>
      <c r="AV7" s="118">
        <f>IF(OR('2.VOL_INITIAL'!AT26=0,'2.VOL_INITIAL'!AT26=""),0,'2.VOL_INITIAL'!AT26)</f>
        <v>0</v>
      </c>
      <c r="AW7" s="118">
        <f>IF(OR('2.VOL_INITIAL'!AU26=0,'2.VOL_INITIAL'!AU26=""),0,'2.VOL_INITIAL'!AU26)</f>
        <v>0</v>
      </c>
      <c r="AX7" s="118">
        <f>IF(OR('2.VOL_INITIAL'!AV26=0,'2.VOL_INITIAL'!AV26=""),0,'2.VOL_INITIAL'!AV26)</f>
        <v>0</v>
      </c>
      <c r="AY7" s="118">
        <f>IF(OR('2.VOL_INITIAL'!AW26=0,'2.VOL_INITIAL'!AW26=""),0,'2.VOL_INITIAL'!AW26)</f>
        <v>0</v>
      </c>
      <c r="AZ7" s="118">
        <f>IF(OR('2.VOL_INITIAL'!AX26=0,'2.VOL_INITIAL'!AX26=""),0,'2.VOL_INITIAL'!AX26)</f>
        <v>0</v>
      </c>
      <c r="BA7" s="118">
        <f>IF(OR('2.VOL_INITIAL'!AY26=0,'2.VOL_INITIAL'!AY26=""),0,'2.VOL_INITIAL'!AY26)</f>
        <v>0</v>
      </c>
      <c r="BB7" s="118">
        <f>IF(OR('2.VOL_INITIAL'!AZ26=0,'2.VOL_INITIAL'!AZ26=""),0,'2.VOL_INITIAL'!AZ26)</f>
        <v>0</v>
      </c>
      <c r="BC7" s="118">
        <f>IF(OR('2.VOL_INITIAL'!BA26=0,'2.VOL_INITIAL'!BA26=""),0,'2.VOL_INITIAL'!BA26)</f>
        <v>0</v>
      </c>
      <c r="BD7" s="118">
        <f>IF(OR('2.VOL_INITIAL'!BB26=0,'2.VOL_INITIAL'!BB26=""),0,'2.VOL_INITIAL'!BB26)</f>
        <v>0</v>
      </c>
      <c r="BE7" s="118"/>
    </row>
    <row r="8" spans="1:57" ht="16" customHeight="1" x14ac:dyDescent="0.2">
      <c r="A8" s="436"/>
      <c r="B8" s="4" t="s">
        <v>273</v>
      </c>
      <c r="C8" s="22" t="str">
        <f>'1.GLOBAL'!D17</f>
        <v/>
      </c>
      <c r="I8" s="436" t="s">
        <v>751</v>
      </c>
      <c r="J8" s="4" t="s">
        <v>752</v>
      </c>
      <c r="K8" s="4" t="s">
        <v>6</v>
      </c>
      <c r="L8" s="4" t="s">
        <v>753</v>
      </c>
      <c r="M8" s="4" t="s">
        <v>754</v>
      </c>
      <c r="N8" s="4" t="s">
        <v>755</v>
      </c>
      <c r="P8" s="436"/>
      <c r="Q8" s="22" t="str">
        <f>IF('1.GLOBAL'!B42="","",'1.GLOBAL'!B42)</f>
        <v/>
      </c>
      <c r="R8" s="22" t="str">
        <f>IF(Q8="","",VLOOKUP(Q8,'1.GLOBAL'!$C$22:$G$33,3,FALSE))</f>
        <v/>
      </c>
      <c r="S8" s="59" t="str">
        <f>IF(Q8="","",VLOOKUP(Q8,'1.GLOBAL'!$C$22:$G$33,5,FALSE))</f>
        <v/>
      </c>
      <c r="T8" s="272" t="str">
        <f>IF(Q8="","",MAX(VLOOKUP(Q8,Listes!$U$2:$V$12,2,FALSE),INDEX(Listes!$U$1:$AI$11,MATCH(Q8,Listes!$U$1:$U$11,0),MATCH($C$6,Listes!$U$1:$AI$1,0))))</f>
        <v/>
      </c>
      <c r="U8" s="272" t="str">
        <f>IF(OR(Q8=0,Q8=""),"",IF(VLOOKUP(Q8,Tableau44[[Cat_ess]:[Type_ess]],2,FALSE)="Feuillus","Feuillus","Résineux"))</f>
        <v/>
      </c>
      <c r="W8" s="436"/>
      <c r="X8" s="4" t="s">
        <v>188</v>
      </c>
      <c r="Y8" s="4" t="str">
        <f>IF(OR('2.VOL_INITIAL'!X27=0,'2.VOL_INITIAL'!X27=""),"",'2.VOL_INITIAL'!X27)</f>
        <v/>
      </c>
      <c r="Z8" s="4" t="str">
        <f>CONCATENATE(Tableau15[[#This Row],[Strate]],"_",Tableau15[[#This Row],[Essence]])</f>
        <v>B_</v>
      </c>
      <c r="AA8" s="10">
        <f>IF(OR('2.VOL_INITIAL'!Y27=0,'2.VOL_INITIAL'!Y27=""),0,'2.VOL_INITIAL'!Y27)</f>
        <v>0</v>
      </c>
      <c r="AB8" s="118">
        <f>IF(OR('2.VOL_INITIAL'!Z27=0,'2.VOL_INITIAL'!Z27=""),0,'2.VOL_INITIAL'!Z27)</f>
        <v>0</v>
      </c>
      <c r="AC8" s="118">
        <f>IF(OR('2.VOL_INITIAL'!AA27=0,'2.VOL_INITIAL'!AA27=""),0,'2.VOL_INITIAL'!AA27)</f>
        <v>0</v>
      </c>
      <c r="AD8" s="118">
        <f>IF(OR('2.VOL_INITIAL'!AB27=0,'2.VOL_INITIAL'!AB27=""),0,'2.VOL_INITIAL'!AB27)</f>
        <v>0</v>
      </c>
      <c r="AE8" s="118">
        <f>IF(OR('2.VOL_INITIAL'!AC27=0,'2.VOL_INITIAL'!AC27=""),0,'2.VOL_INITIAL'!AC27)</f>
        <v>0</v>
      </c>
      <c r="AF8" s="118">
        <f>IF(OR('2.VOL_INITIAL'!AD27=0,'2.VOL_INITIAL'!AD27=""),0,'2.VOL_INITIAL'!AD27)</f>
        <v>0</v>
      </c>
      <c r="AG8" s="118">
        <f>IF(OR('2.VOL_INITIAL'!AE27=0,'2.VOL_INITIAL'!AE27=""),0,'2.VOL_INITIAL'!AE27)</f>
        <v>0</v>
      </c>
      <c r="AH8" s="118">
        <f>IF(OR('2.VOL_INITIAL'!AF27=0,'2.VOL_INITIAL'!AF27=""),0,'2.VOL_INITIAL'!AF27)</f>
        <v>0</v>
      </c>
      <c r="AI8" s="118">
        <f>IF(OR('2.VOL_INITIAL'!AG27=0,'2.VOL_INITIAL'!AG27=""),0,'2.VOL_INITIAL'!AG27)</f>
        <v>0</v>
      </c>
      <c r="AJ8" s="118">
        <f>IF(OR('2.VOL_INITIAL'!AH27=0,'2.VOL_INITIAL'!AH27=""),0,'2.VOL_INITIAL'!AH27)</f>
        <v>0</v>
      </c>
      <c r="AK8" s="118">
        <f>IF(OR('2.VOL_INITIAL'!AI27=0,'2.VOL_INITIAL'!AI27=""),0,'2.VOL_INITIAL'!AI27)</f>
        <v>0</v>
      </c>
      <c r="AL8" s="118">
        <f>IF(OR('2.VOL_INITIAL'!AJ27=0,'2.VOL_INITIAL'!AJ27=""),0,'2.VOL_INITIAL'!AJ27)</f>
        <v>0</v>
      </c>
      <c r="AM8" s="118">
        <f>IF(OR('2.VOL_INITIAL'!AK27=0,'2.VOL_INITIAL'!AK27=""),0,'2.VOL_INITIAL'!AK27)</f>
        <v>0</v>
      </c>
      <c r="AN8" s="118">
        <f>IF(OR('2.VOL_INITIAL'!AL27=0,'2.VOL_INITIAL'!AL27=""),0,'2.VOL_INITIAL'!AL27)</f>
        <v>0</v>
      </c>
      <c r="AO8" s="118">
        <f>IF(OR('2.VOL_INITIAL'!AM27=0,'2.VOL_INITIAL'!AM27=""),0,'2.VOL_INITIAL'!AM27)</f>
        <v>0</v>
      </c>
      <c r="AP8" s="118">
        <f>IF(OR('2.VOL_INITIAL'!AN27=0,'2.VOL_INITIAL'!AN27=""),0,'2.VOL_INITIAL'!AN27)</f>
        <v>0</v>
      </c>
      <c r="AQ8" s="118">
        <f>IF(OR('2.VOL_INITIAL'!AO27=0,'2.VOL_INITIAL'!AO27=""),0,'2.VOL_INITIAL'!AO27)</f>
        <v>0</v>
      </c>
      <c r="AR8" s="118">
        <f>IF(OR('2.VOL_INITIAL'!AP27=0,'2.VOL_INITIAL'!AP27=""),0,'2.VOL_INITIAL'!AP27)</f>
        <v>0</v>
      </c>
      <c r="AS8" s="118">
        <f>IF(OR('2.VOL_INITIAL'!AQ27=0,'2.VOL_INITIAL'!AQ27=""),0,'2.VOL_INITIAL'!AQ27)</f>
        <v>0</v>
      </c>
      <c r="AT8" s="118">
        <f>IF(OR('2.VOL_INITIAL'!AR27=0,'2.VOL_INITIAL'!AR27=""),0,'2.VOL_INITIAL'!AR27)</f>
        <v>0</v>
      </c>
      <c r="AU8" s="118">
        <f>IF(OR('2.VOL_INITIAL'!AS27=0,'2.VOL_INITIAL'!AS27=""),0,'2.VOL_INITIAL'!AS27)</f>
        <v>0</v>
      </c>
      <c r="AV8" s="118">
        <f>IF(OR('2.VOL_INITIAL'!AT27=0,'2.VOL_INITIAL'!AT27=""),0,'2.VOL_INITIAL'!AT27)</f>
        <v>0</v>
      </c>
      <c r="AW8" s="118">
        <f>IF(OR('2.VOL_INITIAL'!AU27=0,'2.VOL_INITIAL'!AU27=""),0,'2.VOL_INITIAL'!AU27)</f>
        <v>0</v>
      </c>
      <c r="AX8" s="118">
        <f>IF(OR('2.VOL_INITIAL'!AV27=0,'2.VOL_INITIAL'!AV27=""),0,'2.VOL_INITIAL'!AV27)</f>
        <v>0</v>
      </c>
      <c r="AY8" s="118">
        <f>IF(OR('2.VOL_INITIAL'!AW27=0,'2.VOL_INITIAL'!AW27=""),0,'2.VOL_INITIAL'!AW27)</f>
        <v>0</v>
      </c>
      <c r="AZ8" s="118">
        <f>IF(OR('2.VOL_INITIAL'!AX27=0,'2.VOL_INITIAL'!AX27=""),0,'2.VOL_INITIAL'!AX27)</f>
        <v>0</v>
      </c>
      <c r="BA8" s="118">
        <f>IF(OR('2.VOL_INITIAL'!AY27=0,'2.VOL_INITIAL'!AY27=""),0,'2.VOL_INITIAL'!AY27)</f>
        <v>0</v>
      </c>
      <c r="BB8" s="118">
        <f>IF(OR('2.VOL_INITIAL'!AZ27=0,'2.VOL_INITIAL'!AZ27=""),0,'2.VOL_INITIAL'!AZ27)</f>
        <v>0</v>
      </c>
      <c r="BC8" s="118">
        <f>IF(OR('2.VOL_INITIAL'!BA27=0,'2.VOL_INITIAL'!BA27=""),0,'2.VOL_INITIAL'!BA27)</f>
        <v>0</v>
      </c>
      <c r="BD8" s="118">
        <f>IF(OR('2.VOL_INITIAL'!BB27=0,'2.VOL_INITIAL'!BB27=""),0,'2.VOL_INITIAL'!BB27)</f>
        <v>0</v>
      </c>
      <c r="BE8" s="118"/>
    </row>
    <row r="9" spans="1:57" ht="16" customHeight="1" x14ac:dyDescent="0.2">
      <c r="A9" s="436"/>
      <c r="B9" s="4" t="s">
        <v>7</v>
      </c>
      <c r="C9" s="4" t="s">
        <v>10</v>
      </c>
      <c r="I9" s="436"/>
      <c r="J9" s="4" t="s">
        <v>180</v>
      </c>
      <c r="K9" s="4" t="str">
        <f>L2</f>
        <v/>
      </c>
      <c r="L9" s="4" t="str">
        <f>IF(OR(K9="REG",K9="RASE"),"oui","non")</f>
        <v>non</v>
      </c>
      <c r="M9" s="38" t="str">
        <f>M2</f>
        <v/>
      </c>
      <c r="N9" s="259" t="str">
        <f>IF(L9="non","",M9/SUMIF($L$9:$L$12,"oui",$M$9:$M$12))</f>
        <v/>
      </c>
      <c r="P9" s="436"/>
      <c r="Q9" s="22" t="str">
        <f>IF('1.GLOBAL'!B43="","",'1.GLOBAL'!B43)</f>
        <v/>
      </c>
      <c r="R9" s="22" t="str">
        <f>IF(Q9="","",VLOOKUP(Q9,'1.GLOBAL'!$C$22:$G$33,3,FALSE))</f>
        <v/>
      </c>
      <c r="S9" s="59" t="str">
        <f>IF(Q9="","",VLOOKUP(Q9,'1.GLOBAL'!$C$22:$G$33,5,FALSE))</f>
        <v/>
      </c>
      <c r="T9" s="272" t="str">
        <f>IF(Q9="","",MAX(VLOOKUP(Q9,Listes!$U$2:$V$12,2,FALSE),INDEX(Listes!$U$1:$AI$11,MATCH(Q9,Listes!$U$1:$U$11,0),MATCH($C$6,Listes!$U$1:$AI$1,0))))</f>
        <v/>
      </c>
      <c r="U9" s="272" t="str">
        <f>IF(OR(Q9=0,Q9=""),"",IF(VLOOKUP(Q9,Tableau44[[Cat_ess]:[Type_ess]],2,FALSE)="Feuillus","Feuillus","Résineux"))</f>
        <v/>
      </c>
      <c r="W9" s="436"/>
      <c r="X9" s="4" t="s">
        <v>188</v>
      </c>
      <c r="Y9" s="4" t="str">
        <f>IF(OR('2.VOL_INITIAL'!X28=0,'2.VOL_INITIAL'!X28=""),"",'2.VOL_INITIAL'!X28)</f>
        <v/>
      </c>
      <c r="Z9" s="4" t="str">
        <f>CONCATENATE(Tableau15[[#This Row],[Strate]],"_",Tableau15[[#This Row],[Essence]])</f>
        <v>B_</v>
      </c>
      <c r="AA9" s="10">
        <f>IF(OR('2.VOL_INITIAL'!Y28=0,'2.VOL_INITIAL'!Y28=""),0,'2.VOL_INITIAL'!Y28)</f>
        <v>0</v>
      </c>
      <c r="AB9" s="118">
        <f>IF(OR('2.VOL_INITIAL'!Z28=0,'2.VOL_INITIAL'!Z28=""),0,'2.VOL_INITIAL'!Z28)</f>
        <v>0</v>
      </c>
      <c r="AC9" s="118">
        <f>IF(OR('2.VOL_INITIAL'!AA28=0,'2.VOL_INITIAL'!AA28=""),0,'2.VOL_INITIAL'!AA28)</f>
        <v>0</v>
      </c>
      <c r="AD9" s="118">
        <f>IF(OR('2.VOL_INITIAL'!AB28=0,'2.VOL_INITIAL'!AB28=""),0,'2.VOL_INITIAL'!AB28)</f>
        <v>0</v>
      </c>
      <c r="AE9" s="118">
        <f>IF(OR('2.VOL_INITIAL'!AC28=0,'2.VOL_INITIAL'!AC28=""),0,'2.VOL_INITIAL'!AC28)</f>
        <v>0</v>
      </c>
      <c r="AF9" s="118">
        <f>IF(OR('2.VOL_INITIAL'!AD28=0,'2.VOL_INITIAL'!AD28=""),0,'2.VOL_INITIAL'!AD28)</f>
        <v>0</v>
      </c>
      <c r="AG9" s="118">
        <f>IF(OR('2.VOL_INITIAL'!AE28=0,'2.VOL_INITIAL'!AE28=""),0,'2.VOL_INITIAL'!AE28)</f>
        <v>0</v>
      </c>
      <c r="AH9" s="118">
        <f>IF(OR('2.VOL_INITIAL'!AF28=0,'2.VOL_INITIAL'!AF28=""),0,'2.VOL_INITIAL'!AF28)</f>
        <v>0</v>
      </c>
      <c r="AI9" s="118">
        <f>IF(OR('2.VOL_INITIAL'!AG28=0,'2.VOL_INITIAL'!AG28=""),0,'2.VOL_INITIAL'!AG28)</f>
        <v>0</v>
      </c>
      <c r="AJ9" s="118">
        <f>IF(OR('2.VOL_INITIAL'!AH28=0,'2.VOL_INITIAL'!AH28=""),0,'2.VOL_INITIAL'!AH28)</f>
        <v>0</v>
      </c>
      <c r="AK9" s="118">
        <f>IF(OR('2.VOL_INITIAL'!AI28=0,'2.VOL_INITIAL'!AI28=""),0,'2.VOL_INITIAL'!AI28)</f>
        <v>0</v>
      </c>
      <c r="AL9" s="118">
        <f>IF(OR('2.VOL_INITIAL'!AJ28=0,'2.VOL_INITIAL'!AJ28=""),0,'2.VOL_INITIAL'!AJ28)</f>
        <v>0</v>
      </c>
      <c r="AM9" s="118">
        <f>IF(OR('2.VOL_INITIAL'!AK28=0,'2.VOL_INITIAL'!AK28=""),0,'2.VOL_INITIAL'!AK28)</f>
        <v>0</v>
      </c>
      <c r="AN9" s="118">
        <f>IF(OR('2.VOL_INITIAL'!AL28=0,'2.VOL_INITIAL'!AL28=""),0,'2.VOL_INITIAL'!AL28)</f>
        <v>0</v>
      </c>
      <c r="AO9" s="118">
        <f>IF(OR('2.VOL_INITIAL'!AM28=0,'2.VOL_INITIAL'!AM28=""),0,'2.VOL_INITIAL'!AM28)</f>
        <v>0</v>
      </c>
      <c r="AP9" s="118">
        <f>IF(OR('2.VOL_INITIAL'!AN28=0,'2.VOL_INITIAL'!AN28=""),0,'2.VOL_INITIAL'!AN28)</f>
        <v>0</v>
      </c>
      <c r="AQ9" s="118">
        <f>IF(OR('2.VOL_INITIAL'!AO28=0,'2.VOL_INITIAL'!AO28=""),0,'2.VOL_INITIAL'!AO28)</f>
        <v>0</v>
      </c>
      <c r="AR9" s="118">
        <f>IF(OR('2.VOL_INITIAL'!AP28=0,'2.VOL_INITIAL'!AP28=""),0,'2.VOL_INITIAL'!AP28)</f>
        <v>0</v>
      </c>
      <c r="AS9" s="118">
        <f>IF(OR('2.VOL_INITIAL'!AQ28=0,'2.VOL_INITIAL'!AQ28=""),0,'2.VOL_INITIAL'!AQ28)</f>
        <v>0</v>
      </c>
      <c r="AT9" s="118">
        <f>IF(OR('2.VOL_INITIAL'!AR28=0,'2.VOL_INITIAL'!AR28=""),0,'2.VOL_INITIAL'!AR28)</f>
        <v>0</v>
      </c>
      <c r="AU9" s="118">
        <f>IF(OR('2.VOL_INITIAL'!AS28=0,'2.VOL_INITIAL'!AS28=""),0,'2.VOL_INITIAL'!AS28)</f>
        <v>0</v>
      </c>
      <c r="AV9" s="118">
        <f>IF(OR('2.VOL_INITIAL'!AT28=0,'2.VOL_INITIAL'!AT28=""),0,'2.VOL_INITIAL'!AT28)</f>
        <v>0</v>
      </c>
      <c r="AW9" s="118">
        <f>IF(OR('2.VOL_INITIAL'!AU28=0,'2.VOL_INITIAL'!AU28=""),0,'2.VOL_INITIAL'!AU28)</f>
        <v>0</v>
      </c>
      <c r="AX9" s="118">
        <f>IF(OR('2.VOL_INITIAL'!AV28=0,'2.VOL_INITIAL'!AV28=""),0,'2.VOL_INITIAL'!AV28)</f>
        <v>0</v>
      </c>
      <c r="AY9" s="118">
        <f>IF(OR('2.VOL_INITIAL'!AW28=0,'2.VOL_INITIAL'!AW28=""),0,'2.VOL_INITIAL'!AW28)</f>
        <v>0</v>
      </c>
      <c r="AZ9" s="118">
        <f>IF(OR('2.VOL_INITIAL'!AX28=0,'2.VOL_INITIAL'!AX28=""),0,'2.VOL_INITIAL'!AX28)</f>
        <v>0</v>
      </c>
      <c r="BA9" s="118">
        <f>IF(OR('2.VOL_INITIAL'!AY28=0,'2.VOL_INITIAL'!AY28=""),0,'2.VOL_INITIAL'!AY28)</f>
        <v>0</v>
      </c>
      <c r="BB9" s="118">
        <f>IF(OR('2.VOL_INITIAL'!AZ28=0,'2.VOL_INITIAL'!AZ28=""),0,'2.VOL_INITIAL'!AZ28)</f>
        <v>0</v>
      </c>
      <c r="BC9" s="118">
        <f>IF(OR('2.VOL_INITIAL'!BA28=0,'2.VOL_INITIAL'!BA28=""),0,'2.VOL_INITIAL'!BA28)</f>
        <v>0</v>
      </c>
      <c r="BD9" s="118">
        <f>IF(OR('2.VOL_INITIAL'!BB28=0,'2.VOL_INITIAL'!BB28=""),0,'2.VOL_INITIAL'!BB28)</f>
        <v>0</v>
      </c>
      <c r="BE9" s="118"/>
    </row>
    <row r="10" spans="1:57" ht="17" x14ac:dyDescent="0.2">
      <c r="I10" s="436"/>
      <c r="J10" s="4" t="s">
        <v>188</v>
      </c>
      <c r="K10" s="4" t="str">
        <f>L3</f>
        <v/>
      </c>
      <c r="L10" s="4" t="str">
        <f t="shared" ref="L10:L12" si="0">IF(OR(K10="REG",K10="RASE"),"oui","non")</f>
        <v>non</v>
      </c>
      <c r="M10" s="38">
        <f>M3</f>
        <v>0</v>
      </c>
      <c r="N10" s="259" t="str">
        <f>IF(L10="non","",M10/SUMIF($L$9:$L$12,"oui",$M$9:$M$12))</f>
        <v/>
      </c>
      <c r="P10" s="436"/>
      <c r="Q10" s="22" t="str">
        <f>IF('1.GLOBAL'!B44="","",'1.GLOBAL'!B44)</f>
        <v/>
      </c>
      <c r="R10" s="22" t="str">
        <f>IF(Q10="","",VLOOKUP(Q10,'1.GLOBAL'!$C$22:$G$33,3,FALSE))</f>
        <v/>
      </c>
      <c r="S10" s="59" t="str">
        <f>IF(Q10="","",VLOOKUP(Q10,'1.GLOBAL'!$C$22:$G$33,5,FALSE))</f>
        <v/>
      </c>
      <c r="T10" s="272" t="str">
        <f>IF(Q10="","",MAX(VLOOKUP(Q10,Listes!$U$2:$V$12,2,FALSE),INDEX(Listes!$U$1:$AI$11,MATCH(Q10,Listes!$U$1:$U$11,0),MATCH($C$6,Listes!$U$1:$AI$1,0))))</f>
        <v/>
      </c>
      <c r="U10" s="272" t="str">
        <f>IF(OR(Q10=0,Q10=""),"",IF(VLOOKUP(Q10,Tableau44[[Cat_ess]:[Type_ess]],2,FALSE)="Feuillus","Feuillus","Résineux"))</f>
        <v/>
      </c>
      <c r="W10" s="436"/>
      <c r="X10" s="4" t="s">
        <v>190</v>
      </c>
      <c r="Y10" s="4" t="str">
        <f>IF(OR('2.VOL_INITIAL'!X29=0,'2.VOL_INITIAL'!X29=""),"",'2.VOL_INITIAL'!X29)</f>
        <v/>
      </c>
      <c r="Z10" s="4" t="str">
        <f>CONCATENATE(Tableau15[[#This Row],[Strate]],"_",Tableau15[[#This Row],[Essence]])</f>
        <v>C_</v>
      </c>
      <c r="AA10" s="10">
        <f>IF(OR('2.VOL_INITIAL'!Y29=0,'2.VOL_INITIAL'!Y29=""),0,'2.VOL_INITIAL'!Y29)</f>
        <v>0</v>
      </c>
      <c r="AB10" s="118">
        <f>IF(OR('2.VOL_INITIAL'!Z29=0,'2.VOL_INITIAL'!Z29=""),0,'2.VOL_INITIAL'!Z29)</f>
        <v>0</v>
      </c>
      <c r="AC10" s="118">
        <f>IF(OR('2.VOL_INITIAL'!AA29=0,'2.VOL_INITIAL'!AA29=""),0,'2.VOL_INITIAL'!AA29)</f>
        <v>0</v>
      </c>
      <c r="AD10" s="118">
        <f>IF(OR('2.VOL_INITIAL'!AB29=0,'2.VOL_INITIAL'!AB29=""),0,'2.VOL_INITIAL'!AB29)</f>
        <v>0</v>
      </c>
      <c r="AE10" s="118">
        <f>IF(OR('2.VOL_INITIAL'!AC29=0,'2.VOL_INITIAL'!AC29=""),0,'2.VOL_INITIAL'!AC29)</f>
        <v>0</v>
      </c>
      <c r="AF10" s="118">
        <f>IF(OR('2.VOL_INITIAL'!AD29=0,'2.VOL_INITIAL'!AD29=""),0,'2.VOL_INITIAL'!AD29)</f>
        <v>0</v>
      </c>
      <c r="AG10" s="118">
        <f>IF(OR('2.VOL_INITIAL'!AE29=0,'2.VOL_INITIAL'!AE29=""),0,'2.VOL_INITIAL'!AE29)</f>
        <v>0</v>
      </c>
      <c r="AH10" s="118">
        <f>IF(OR('2.VOL_INITIAL'!AF29=0,'2.VOL_INITIAL'!AF29=""),0,'2.VOL_INITIAL'!AF29)</f>
        <v>0</v>
      </c>
      <c r="AI10" s="118">
        <f>IF(OR('2.VOL_INITIAL'!AG29=0,'2.VOL_INITIAL'!AG29=""),0,'2.VOL_INITIAL'!AG29)</f>
        <v>0</v>
      </c>
      <c r="AJ10" s="118">
        <f>IF(OR('2.VOL_INITIAL'!AH29=0,'2.VOL_INITIAL'!AH29=""),0,'2.VOL_INITIAL'!AH29)</f>
        <v>0</v>
      </c>
      <c r="AK10" s="118">
        <f>IF(OR('2.VOL_INITIAL'!AI29=0,'2.VOL_INITIAL'!AI29=""),0,'2.VOL_INITIAL'!AI29)</f>
        <v>0</v>
      </c>
      <c r="AL10" s="118">
        <f>IF(OR('2.VOL_INITIAL'!AJ29=0,'2.VOL_INITIAL'!AJ29=""),0,'2.VOL_INITIAL'!AJ29)</f>
        <v>0</v>
      </c>
      <c r="AM10" s="118">
        <f>IF(OR('2.VOL_INITIAL'!AK29=0,'2.VOL_INITIAL'!AK29=""),0,'2.VOL_INITIAL'!AK29)</f>
        <v>0</v>
      </c>
      <c r="AN10" s="118">
        <f>IF(OR('2.VOL_INITIAL'!AL29=0,'2.VOL_INITIAL'!AL29=""),0,'2.VOL_INITIAL'!AL29)</f>
        <v>0</v>
      </c>
      <c r="AO10" s="118">
        <f>IF(OR('2.VOL_INITIAL'!AM29=0,'2.VOL_INITIAL'!AM29=""),0,'2.VOL_INITIAL'!AM29)</f>
        <v>0</v>
      </c>
      <c r="AP10" s="118">
        <f>IF(OR('2.VOL_INITIAL'!AN29=0,'2.VOL_INITIAL'!AN29=""),0,'2.VOL_INITIAL'!AN29)</f>
        <v>0</v>
      </c>
      <c r="AQ10" s="118">
        <f>IF(OR('2.VOL_INITIAL'!AO29=0,'2.VOL_INITIAL'!AO29=""),0,'2.VOL_INITIAL'!AO29)</f>
        <v>0</v>
      </c>
      <c r="AR10" s="118">
        <f>IF(OR('2.VOL_INITIAL'!AP29=0,'2.VOL_INITIAL'!AP29=""),0,'2.VOL_INITIAL'!AP29)</f>
        <v>0</v>
      </c>
      <c r="AS10" s="118">
        <f>IF(OR('2.VOL_INITIAL'!AQ29=0,'2.VOL_INITIAL'!AQ29=""),0,'2.VOL_INITIAL'!AQ29)</f>
        <v>0</v>
      </c>
      <c r="AT10" s="118">
        <f>IF(OR('2.VOL_INITIAL'!AR29=0,'2.VOL_INITIAL'!AR29=""),0,'2.VOL_INITIAL'!AR29)</f>
        <v>0</v>
      </c>
      <c r="AU10" s="118">
        <f>IF(OR('2.VOL_INITIAL'!AS29=0,'2.VOL_INITIAL'!AS29=""),0,'2.VOL_INITIAL'!AS29)</f>
        <v>0</v>
      </c>
      <c r="AV10" s="118">
        <f>IF(OR('2.VOL_INITIAL'!AT29=0,'2.VOL_INITIAL'!AT29=""),0,'2.VOL_INITIAL'!AT29)</f>
        <v>0</v>
      </c>
      <c r="AW10" s="118">
        <f>IF(OR('2.VOL_INITIAL'!AU29=0,'2.VOL_INITIAL'!AU29=""),0,'2.VOL_INITIAL'!AU29)</f>
        <v>0</v>
      </c>
      <c r="AX10" s="118">
        <f>IF(OR('2.VOL_INITIAL'!AV29=0,'2.VOL_INITIAL'!AV29=""),0,'2.VOL_INITIAL'!AV29)</f>
        <v>0</v>
      </c>
      <c r="AY10" s="118">
        <f>IF(OR('2.VOL_INITIAL'!AW29=0,'2.VOL_INITIAL'!AW29=""),0,'2.VOL_INITIAL'!AW29)</f>
        <v>0</v>
      </c>
      <c r="AZ10" s="118">
        <f>IF(OR('2.VOL_INITIAL'!AX29=0,'2.VOL_INITIAL'!AX29=""),0,'2.VOL_INITIAL'!AX29)</f>
        <v>0</v>
      </c>
      <c r="BA10" s="118">
        <f>IF(OR('2.VOL_INITIAL'!AY29=0,'2.VOL_INITIAL'!AY29=""),0,'2.VOL_INITIAL'!AY29)</f>
        <v>0</v>
      </c>
      <c r="BB10" s="118">
        <f>IF(OR('2.VOL_INITIAL'!AZ29=0,'2.VOL_INITIAL'!AZ29=""),0,'2.VOL_INITIAL'!AZ29)</f>
        <v>0</v>
      </c>
      <c r="BC10" s="118">
        <f>IF(OR('2.VOL_INITIAL'!BA29=0,'2.VOL_INITIAL'!BA29=""),0,'2.VOL_INITIAL'!BA29)</f>
        <v>0</v>
      </c>
      <c r="BD10" s="118">
        <f>IF(OR('2.VOL_INITIAL'!BB29=0,'2.VOL_INITIAL'!BB29=""),0,'2.VOL_INITIAL'!BB29)</f>
        <v>0</v>
      </c>
      <c r="BE10" s="118"/>
    </row>
    <row r="11" spans="1:57" ht="17" x14ac:dyDescent="0.2">
      <c r="I11" s="436"/>
      <c r="J11" s="260" t="s">
        <v>190</v>
      </c>
      <c r="K11" s="4" t="str">
        <f>L4</f>
        <v/>
      </c>
      <c r="L11" s="4" t="str">
        <f t="shared" si="0"/>
        <v>non</v>
      </c>
      <c r="M11" s="38">
        <f>M4</f>
        <v>0</v>
      </c>
      <c r="N11" s="259" t="str">
        <f>IF(L11="non","",M11/SUMIF($L$9:$L$12,"oui",$M$9:$M$12))</f>
        <v/>
      </c>
      <c r="P11" s="436"/>
      <c r="Q11" s="22" t="str">
        <f>IF('1.GLOBAL'!B45="","",'1.GLOBAL'!B45)</f>
        <v/>
      </c>
      <c r="R11" s="22" t="str">
        <f>IF(Q11="","",VLOOKUP(Q11,'1.GLOBAL'!$C$22:$G$33,3,FALSE))</f>
        <v/>
      </c>
      <c r="S11" s="59" t="str">
        <f>IF(Q11="","",VLOOKUP(Q11,'1.GLOBAL'!$C$22:$G$33,5,FALSE))</f>
        <v/>
      </c>
      <c r="T11" s="272" t="str">
        <f>IF(Q11="","",MAX(VLOOKUP(Q11,Listes!$U$2:$V$12,2,FALSE),INDEX(Listes!$U$1:$AI$11,MATCH(Q11,Listes!$U$1:$U$11,0),MATCH($C$6,Listes!$U$1:$AI$1,0))))</f>
        <v/>
      </c>
      <c r="U11" s="272" t="str">
        <f>IF(OR(Q11=0,Q11=""),"",IF(VLOOKUP(Q11,Tableau44[[Cat_ess]:[Type_ess]],2,FALSE)="Feuillus","Feuillus","Résineux"))</f>
        <v/>
      </c>
      <c r="W11" s="436"/>
      <c r="X11" s="4" t="s">
        <v>190</v>
      </c>
      <c r="Y11" s="4" t="str">
        <f>IF(OR('2.VOL_INITIAL'!X30=0,'2.VOL_INITIAL'!X30=""),"",'2.VOL_INITIAL'!X30)</f>
        <v/>
      </c>
      <c r="Z11" s="4" t="str">
        <f>CONCATENATE(Tableau15[[#This Row],[Strate]],"_",Tableau15[[#This Row],[Essence]])</f>
        <v>C_</v>
      </c>
      <c r="AA11" s="10">
        <f>IF(OR('2.VOL_INITIAL'!Y30=0,'2.VOL_INITIAL'!Y30=""),0,'2.VOL_INITIAL'!Y30)</f>
        <v>0</v>
      </c>
      <c r="AB11" s="118">
        <f>IF(OR('2.VOL_INITIAL'!Z30=0,'2.VOL_INITIAL'!Z30=""),0,'2.VOL_INITIAL'!Z30)</f>
        <v>0</v>
      </c>
      <c r="AC11" s="118">
        <f>IF(OR('2.VOL_INITIAL'!AA30=0,'2.VOL_INITIAL'!AA30=""),0,'2.VOL_INITIAL'!AA30)</f>
        <v>0</v>
      </c>
      <c r="AD11" s="118">
        <f>IF(OR('2.VOL_INITIAL'!AB30=0,'2.VOL_INITIAL'!AB30=""),0,'2.VOL_INITIAL'!AB30)</f>
        <v>0</v>
      </c>
      <c r="AE11" s="118">
        <f>IF(OR('2.VOL_INITIAL'!AC30=0,'2.VOL_INITIAL'!AC30=""),0,'2.VOL_INITIAL'!AC30)</f>
        <v>0</v>
      </c>
      <c r="AF11" s="118">
        <f>IF(OR('2.VOL_INITIAL'!AD30=0,'2.VOL_INITIAL'!AD30=""),0,'2.VOL_INITIAL'!AD30)</f>
        <v>0</v>
      </c>
      <c r="AG11" s="118">
        <f>IF(OR('2.VOL_INITIAL'!AE30=0,'2.VOL_INITIAL'!AE30=""),0,'2.VOL_INITIAL'!AE30)</f>
        <v>0</v>
      </c>
      <c r="AH11" s="118">
        <f>IF(OR('2.VOL_INITIAL'!AF30=0,'2.VOL_INITIAL'!AF30=""),0,'2.VOL_INITIAL'!AF30)</f>
        <v>0</v>
      </c>
      <c r="AI11" s="118">
        <f>IF(OR('2.VOL_INITIAL'!AG30=0,'2.VOL_INITIAL'!AG30=""),0,'2.VOL_INITIAL'!AG30)</f>
        <v>0</v>
      </c>
      <c r="AJ11" s="118">
        <f>IF(OR('2.VOL_INITIAL'!AH30=0,'2.VOL_INITIAL'!AH30=""),0,'2.VOL_INITIAL'!AH30)</f>
        <v>0</v>
      </c>
      <c r="AK11" s="118">
        <f>IF(OR('2.VOL_INITIAL'!AI30=0,'2.VOL_INITIAL'!AI30=""),0,'2.VOL_INITIAL'!AI30)</f>
        <v>0</v>
      </c>
      <c r="AL11" s="118">
        <f>IF(OR('2.VOL_INITIAL'!AJ30=0,'2.VOL_INITIAL'!AJ30=""),0,'2.VOL_INITIAL'!AJ30)</f>
        <v>0</v>
      </c>
      <c r="AM11" s="118">
        <f>IF(OR('2.VOL_INITIAL'!AK30=0,'2.VOL_INITIAL'!AK30=""),0,'2.VOL_INITIAL'!AK30)</f>
        <v>0</v>
      </c>
      <c r="AN11" s="118">
        <f>IF(OR('2.VOL_INITIAL'!AL30=0,'2.VOL_INITIAL'!AL30=""),0,'2.VOL_INITIAL'!AL30)</f>
        <v>0</v>
      </c>
      <c r="AO11" s="118">
        <f>IF(OR('2.VOL_INITIAL'!AM30=0,'2.VOL_INITIAL'!AM30=""),0,'2.VOL_INITIAL'!AM30)</f>
        <v>0</v>
      </c>
      <c r="AP11" s="118">
        <f>IF(OR('2.VOL_INITIAL'!AN30=0,'2.VOL_INITIAL'!AN30=""),0,'2.VOL_INITIAL'!AN30)</f>
        <v>0</v>
      </c>
      <c r="AQ11" s="118">
        <f>IF(OR('2.VOL_INITIAL'!AO30=0,'2.VOL_INITIAL'!AO30=""),0,'2.VOL_INITIAL'!AO30)</f>
        <v>0</v>
      </c>
      <c r="AR11" s="118">
        <f>IF(OR('2.VOL_INITIAL'!AP30=0,'2.VOL_INITIAL'!AP30=""),0,'2.VOL_INITIAL'!AP30)</f>
        <v>0</v>
      </c>
      <c r="AS11" s="118">
        <f>IF(OR('2.VOL_INITIAL'!AQ30=0,'2.VOL_INITIAL'!AQ30=""),0,'2.VOL_INITIAL'!AQ30)</f>
        <v>0</v>
      </c>
      <c r="AT11" s="118">
        <f>IF(OR('2.VOL_INITIAL'!AR30=0,'2.VOL_INITIAL'!AR30=""),0,'2.VOL_INITIAL'!AR30)</f>
        <v>0</v>
      </c>
      <c r="AU11" s="118">
        <f>IF(OR('2.VOL_INITIAL'!AS30=0,'2.VOL_INITIAL'!AS30=""),0,'2.VOL_INITIAL'!AS30)</f>
        <v>0</v>
      </c>
      <c r="AV11" s="118">
        <f>IF(OR('2.VOL_INITIAL'!AT30=0,'2.VOL_INITIAL'!AT30=""),0,'2.VOL_INITIAL'!AT30)</f>
        <v>0</v>
      </c>
      <c r="AW11" s="118">
        <f>IF(OR('2.VOL_INITIAL'!AU30=0,'2.VOL_INITIAL'!AU30=""),0,'2.VOL_INITIAL'!AU30)</f>
        <v>0</v>
      </c>
      <c r="AX11" s="118">
        <f>IF(OR('2.VOL_INITIAL'!AV30=0,'2.VOL_INITIAL'!AV30=""),0,'2.VOL_INITIAL'!AV30)</f>
        <v>0</v>
      </c>
      <c r="AY11" s="118">
        <f>IF(OR('2.VOL_INITIAL'!AW30=0,'2.VOL_INITIAL'!AW30=""),0,'2.VOL_INITIAL'!AW30)</f>
        <v>0</v>
      </c>
      <c r="AZ11" s="118">
        <f>IF(OR('2.VOL_INITIAL'!AX30=0,'2.VOL_INITIAL'!AX30=""),0,'2.VOL_INITIAL'!AX30)</f>
        <v>0</v>
      </c>
      <c r="BA11" s="118">
        <f>IF(OR('2.VOL_INITIAL'!AY30=0,'2.VOL_INITIAL'!AY30=""),0,'2.VOL_INITIAL'!AY30)</f>
        <v>0</v>
      </c>
      <c r="BB11" s="118">
        <f>IF(OR('2.VOL_INITIAL'!AZ30=0,'2.VOL_INITIAL'!AZ30=""),0,'2.VOL_INITIAL'!AZ30)</f>
        <v>0</v>
      </c>
      <c r="BC11" s="118">
        <f>IF(OR('2.VOL_INITIAL'!BA30=0,'2.VOL_INITIAL'!BA30=""),0,'2.VOL_INITIAL'!BA30)</f>
        <v>0</v>
      </c>
      <c r="BD11" s="118">
        <f>IF(OR('2.VOL_INITIAL'!BB30=0,'2.VOL_INITIAL'!BB30=""),0,'2.VOL_INITIAL'!BB30)</f>
        <v>0</v>
      </c>
      <c r="BE11" s="118"/>
    </row>
    <row r="12" spans="1:57" ht="17" customHeight="1" x14ac:dyDescent="0.2">
      <c r="A12" s="459" t="s">
        <v>265</v>
      </c>
      <c r="B12" s="338" t="s">
        <v>896</v>
      </c>
      <c r="C12" s="355">
        <v>0.1</v>
      </c>
      <c r="I12" s="436"/>
      <c r="J12" s="4" t="s">
        <v>192</v>
      </c>
      <c r="K12" s="4" t="str">
        <f>L5</f>
        <v/>
      </c>
      <c r="L12" s="4" t="str">
        <f t="shared" si="0"/>
        <v>non</v>
      </c>
      <c r="M12" s="38">
        <f>M5</f>
        <v>0</v>
      </c>
      <c r="N12" s="259" t="str">
        <f>IF(L12="non","",M12/SUMIF($L$9:$L$12,"oui",$M$9:$M$12))</f>
        <v/>
      </c>
      <c r="P12" s="436"/>
      <c r="Q12" s="22" t="str">
        <f>IF('1.GLOBAL'!B46="","",'1.GLOBAL'!B46)</f>
        <v/>
      </c>
      <c r="R12" s="22" t="str">
        <f>IF(Q12="","",VLOOKUP(Q12,'1.GLOBAL'!$C$22:$G$33,3,FALSE))</f>
        <v/>
      </c>
      <c r="S12" s="59" t="str">
        <f>IF(Q12="","",VLOOKUP(Q12,'1.GLOBAL'!$C$22:$G$33,5,FALSE))</f>
        <v/>
      </c>
      <c r="T12" s="272" t="str">
        <f>IF(Q12="","",MAX(VLOOKUP(Q12,Listes!$U$2:$V$12,2,FALSE),INDEX(Listes!$U$1:$AI$11,MATCH(Q12,Listes!$U$1:$U$11,0),MATCH($C$6,Listes!$U$1:$AI$1,0))))</f>
        <v/>
      </c>
      <c r="U12" s="272" t="str">
        <f>IF(OR(Q12=0,Q12=""),"",IF(VLOOKUP(Q12,Tableau44[[Cat_ess]:[Type_ess]],2,FALSE)="Feuillus","Feuillus","Résineux"))</f>
        <v/>
      </c>
      <c r="W12" s="436"/>
      <c r="X12" s="4" t="s">
        <v>190</v>
      </c>
      <c r="Y12" s="4" t="str">
        <f>IF(OR('2.VOL_INITIAL'!X31=0,'2.VOL_INITIAL'!X31=""),"",'2.VOL_INITIAL'!X31)</f>
        <v/>
      </c>
      <c r="Z12" s="4" t="str">
        <f>CONCATENATE(Tableau15[[#This Row],[Strate]],"_",Tableau15[[#This Row],[Essence]])</f>
        <v>C_</v>
      </c>
      <c r="AA12" s="10">
        <f>IF(OR('2.VOL_INITIAL'!Y31=0,'2.VOL_INITIAL'!Y31=""),0,'2.VOL_INITIAL'!Y31)</f>
        <v>0</v>
      </c>
      <c r="AB12" s="118">
        <f>IF(OR('2.VOL_INITIAL'!Z31=0,'2.VOL_INITIAL'!Z31=""),0,'2.VOL_INITIAL'!Z31)</f>
        <v>0</v>
      </c>
      <c r="AC12" s="118">
        <f>IF(OR('2.VOL_INITIAL'!AA31=0,'2.VOL_INITIAL'!AA31=""),0,'2.VOL_INITIAL'!AA31)</f>
        <v>0</v>
      </c>
      <c r="AD12" s="118">
        <f>IF(OR('2.VOL_INITIAL'!AB31=0,'2.VOL_INITIAL'!AB31=""),0,'2.VOL_INITIAL'!AB31)</f>
        <v>0</v>
      </c>
      <c r="AE12" s="118">
        <f>IF(OR('2.VOL_INITIAL'!AC31=0,'2.VOL_INITIAL'!AC31=""),0,'2.VOL_INITIAL'!AC31)</f>
        <v>0</v>
      </c>
      <c r="AF12" s="118">
        <f>IF(OR('2.VOL_INITIAL'!AD31=0,'2.VOL_INITIAL'!AD31=""),0,'2.VOL_INITIAL'!AD31)</f>
        <v>0</v>
      </c>
      <c r="AG12" s="118">
        <f>IF(OR('2.VOL_INITIAL'!AE31=0,'2.VOL_INITIAL'!AE31=""),0,'2.VOL_INITIAL'!AE31)</f>
        <v>0</v>
      </c>
      <c r="AH12" s="118">
        <f>IF(OR('2.VOL_INITIAL'!AF31=0,'2.VOL_INITIAL'!AF31=""),0,'2.VOL_INITIAL'!AF31)</f>
        <v>0</v>
      </c>
      <c r="AI12" s="118">
        <f>IF(OR('2.VOL_INITIAL'!AG31=0,'2.VOL_INITIAL'!AG31=""),0,'2.VOL_INITIAL'!AG31)</f>
        <v>0</v>
      </c>
      <c r="AJ12" s="118">
        <f>IF(OR('2.VOL_INITIAL'!AH31=0,'2.VOL_INITIAL'!AH31=""),0,'2.VOL_INITIAL'!AH31)</f>
        <v>0</v>
      </c>
      <c r="AK12" s="118">
        <f>IF(OR('2.VOL_INITIAL'!AI31=0,'2.VOL_INITIAL'!AI31=""),0,'2.VOL_INITIAL'!AI31)</f>
        <v>0</v>
      </c>
      <c r="AL12" s="118">
        <f>IF(OR('2.VOL_INITIAL'!AJ31=0,'2.VOL_INITIAL'!AJ31=""),0,'2.VOL_INITIAL'!AJ31)</f>
        <v>0</v>
      </c>
      <c r="AM12" s="118">
        <f>IF(OR('2.VOL_INITIAL'!AK31=0,'2.VOL_INITIAL'!AK31=""),0,'2.VOL_INITIAL'!AK31)</f>
        <v>0</v>
      </c>
      <c r="AN12" s="118">
        <f>IF(OR('2.VOL_INITIAL'!AL31=0,'2.VOL_INITIAL'!AL31=""),0,'2.VOL_INITIAL'!AL31)</f>
        <v>0</v>
      </c>
      <c r="AO12" s="118">
        <f>IF(OR('2.VOL_INITIAL'!AM31=0,'2.VOL_INITIAL'!AM31=""),0,'2.VOL_INITIAL'!AM31)</f>
        <v>0</v>
      </c>
      <c r="AP12" s="118">
        <f>IF(OR('2.VOL_INITIAL'!AN31=0,'2.VOL_INITIAL'!AN31=""),0,'2.VOL_INITIAL'!AN31)</f>
        <v>0</v>
      </c>
      <c r="AQ12" s="118">
        <f>IF(OR('2.VOL_INITIAL'!AO31=0,'2.VOL_INITIAL'!AO31=""),0,'2.VOL_INITIAL'!AO31)</f>
        <v>0</v>
      </c>
      <c r="AR12" s="118">
        <f>IF(OR('2.VOL_INITIAL'!AP31=0,'2.VOL_INITIAL'!AP31=""),0,'2.VOL_INITIAL'!AP31)</f>
        <v>0</v>
      </c>
      <c r="AS12" s="118">
        <f>IF(OR('2.VOL_INITIAL'!AQ31=0,'2.VOL_INITIAL'!AQ31=""),0,'2.VOL_INITIAL'!AQ31)</f>
        <v>0</v>
      </c>
      <c r="AT12" s="118">
        <f>IF(OR('2.VOL_INITIAL'!AR31=0,'2.VOL_INITIAL'!AR31=""),0,'2.VOL_INITIAL'!AR31)</f>
        <v>0</v>
      </c>
      <c r="AU12" s="118">
        <f>IF(OR('2.VOL_INITIAL'!AS31=0,'2.VOL_INITIAL'!AS31=""),0,'2.VOL_INITIAL'!AS31)</f>
        <v>0</v>
      </c>
      <c r="AV12" s="118">
        <f>IF(OR('2.VOL_INITIAL'!AT31=0,'2.VOL_INITIAL'!AT31=""),0,'2.VOL_INITIAL'!AT31)</f>
        <v>0</v>
      </c>
      <c r="AW12" s="118">
        <f>IF(OR('2.VOL_INITIAL'!AU31=0,'2.VOL_INITIAL'!AU31=""),0,'2.VOL_INITIAL'!AU31)</f>
        <v>0</v>
      </c>
      <c r="AX12" s="118">
        <f>IF(OR('2.VOL_INITIAL'!AV31=0,'2.VOL_INITIAL'!AV31=""),0,'2.VOL_INITIAL'!AV31)</f>
        <v>0</v>
      </c>
      <c r="AY12" s="118">
        <f>IF(OR('2.VOL_INITIAL'!AW31=0,'2.VOL_INITIAL'!AW31=""),0,'2.VOL_INITIAL'!AW31)</f>
        <v>0</v>
      </c>
      <c r="AZ12" s="118">
        <f>IF(OR('2.VOL_INITIAL'!AX31=0,'2.VOL_INITIAL'!AX31=""),0,'2.VOL_INITIAL'!AX31)</f>
        <v>0</v>
      </c>
      <c r="BA12" s="118">
        <f>IF(OR('2.VOL_INITIAL'!AY31=0,'2.VOL_INITIAL'!AY31=""),0,'2.VOL_INITIAL'!AY31)</f>
        <v>0</v>
      </c>
      <c r="BB12" s="118">
        <f>IF(OR('2.VOL_INITIAL'!AZ31=0,'2.VOL_INITIAL'!AZ31=""),0,'2.VOL_INITIAL'!AZ31)</f>
        <v>0</v>
      </c>
      <c r="BC12" s="118">
        <f>IF(OR('2.VOL_INITIAL'!BA31=0,'2.VOL_INITIAL'!BA31=""),0,'2.VOL_INITIAL'!BA31)</f>
        <v>0</v>
      </c>
      <c r="BD12" s="118">
        <f>IF(OR('2.VOL_INITIAL'!BB31=0,'2.VOL_INITIAL'!BB31=""),0,'2.VOL_INITIAL'!BB31)</f>
        <v>0</v>
      </c>
      <c r="BE12" s="118"/>
    </row>
    <row r="13" spans="1:57" x14ac:dyDescent="0.2">
      <c r="A13" s="459"/>
      <c r="B13" s="356" t="s">
        <v>264</v>
      </c>
      <c r="C13" s="357" t="str">
        <f>'1.GLOBAL'!D19</f>
        <v/>
      </c>
      <c r="I13" s="101"/>
      <c r="L13" s="261"/>
      <c r="M13" s="261"/>
      <c r="N13" s="261"/>
      <c r="P13" s="436"/>
      <c r="Q13" s="22" t="str">
        <f>IF('1.GLOBAL'!B47="","",'1.GLOBAL'!B47)</f>
        <v/>
      </c>
      <c r="R13" s="22" t="str">
        <f>IF(Q13="","",VLOOKUP(Q13,'1.GLOBAL'!$C$22:$G$33,3,FALSE))</f>
        <v/>
      </c>
      <c r="S13" s="59" t="str">
        <f>IF(Q13="","",VLOOKUP(Q13,'1.GLOBAL'!$C$22:$G$33,5,FALSE))</f>
        <v/>
      </c>
      <c r="T13" s="272" t="str">
        <f>IF(Q13="","",MAX(VLOOKUP(Q13,Listes!$U$2:$V$12,2,FALSE),INDEX(Listes!$U$1:$AI$11,MATCH(Q13,Listes!$U$1:$U$11,0),MATCH($C$6,Listes!$U$1:$AI$1,0))))</f>
        <v/>
      </c>
      <c r="U13" s="272" t="str">
        <f>IF(OR(Q13=0,Q13=""),"",IF(VLOOKUP(Q13,Tableau44[[Cat_ess]:[Type_ess]],2,FALSE)="Feuillus","Feuillus","Résineux"))</f>
        <v/>
      </c>
      <c r="W13" s="436"/>
      <c r="X13" s="4" t="s">
        <v>190</v>
      </c>
      <c r="Y13" s="4" t="str">
        <f>IF(OR('2.VOL_INITIAL'!X32=0,'2.VOL_INITIAL'!X32=""),"",'2.VOL_INITIAL'!X32)</f>
        <v/>
      </c>
      <c r="Z13" s="4" t="str">
        <f>CONCATENATE(Tableau15[[#This Row],[Strate]],"_",Tableau15[[#This Row],[Essence]])</f>
        <v>C_</v>
      </c>
      <c r="AA13" s="10">
        <f>IF(OR('2.VOL_INITIAL'!Y32=0,'2.VOL_INITIAL'!Y32=""),0,'2.VOL_INITIAL'!Y32)</f>
        <v>0</v>
      </c>
      <c r="AB13" s="118">
        <f>IF(OR('2.VOL_INITIAL'!Z32=0,'2.VOL_INITIAL'!Z32=""),0,'2.VOL_INITIAL'!Z32)</f>
        <v>0</v>
      </c>
      <c r="AC13" s="118">
        <f>IF(OR('2.VOL_INITIAL'!AA32=0,'2.VOL_INITIAL'!AA32=""),0,'2.VOL_INITIAL'!AA32)</f>
        <v>0</v>
      </c>
      <c r="AD13" s="118">
        <f>IF(OR('2.VOL_INITIAL'!AB32=0,'2.VOL_INITIAL'!AB32=""),0,'2.VOL_INITIAL'!AB32)</f>
        <v>0</v>
      </c>
      <c r="AE13" s="118">
        <f>IF(OR('2.VOL_INITIAL'!AC32=0,'2.VOL_INITIAL'!AC32=""),0,'2.VOL_INITIAL'!AC32)</f>
        <v>0</v>
      </c>
      <c r="AF13" s="118">
        <f>IF(OR('2.VOL_INITIAL'!AD32=0,'2.VOL_INITIAL'!AD32=""),0,'2.VOL_INITIAL'!AD32)</f>
        <v>0</v>
      </c>
      <c r="AG13" s="118">
        <f>IF(OR('2.VOL_INITIAL'!AE32=0,'2.VOL_INITIAL'!AE32=""),0,'2.VOL_INITIAL'!AE32)</f>
        <v>0</v>
      </c>
      <c r="AH13" s="118">
        <f>IF(OR('2.VOL_INITIAL'!AF32=0,'2.VOL_INITIAL'!AF32=""),0,'2.VOL_INITIAL'!AF32)</f>
        <v>0</v>
      </c>
      <c r="AI13" s="118">
        <f>IF(OR('2.VOL_INITIAL'!AG32=0,'2.VOL_INITIAL'!AG32=""),0,'2.VOL_INITIAL'!AG32)</f>
        <v>0</v>
      </c>
      <c r="AJ13" s="118">
        <f>IF(OR('2.VOL_INITIAL'!AH32=0,'2.VOL_INITIAL'!AH32=""),0,'2.VOL_INITIAL'!AH32)</f>
        <v>0</v>
      </c>
      <c r="AK13" s="118">
        <f>IF(OR('2.VOL_INITIAL'!AI32=0,'2.VOL_INITIAL'!AI32=""),0,'2.VOL_INITIAL'!AI32)</f>
        <v>0</v>
      </c>
      <c r="AL13" s="118">
        <f>IF(OR('2.VOL_INITIAL'!AJ32=0,'2.VOL_INITIAL'!AJ32=""),0,'2.VOL_INITIAL'!AJ32)</f>
        <v>0</v>
      </c>
      <c r="AM13" s="118">
        <f>IF(OR('2.VOL_INITIAL'!AK32=0,'2.VOL_INITIAL'!AK32=""),0,'2.VOL_INITIAL'!AK32)</f>
        <v>0</v>
      </c>
      <c r="AN13" s="118">
        <f>IF(OR('2.VOL_INITIAL'!AL32=0,'2.VOL_INITIAL'!AL32=""),0,'2.VOL_INITIAL'!AL32)</f>
        <v>0</v>
      </c>
      <c r="AO13" s="118">
        <f>IF(OR('2.VOL_INITIAL'!AM32=0,'2.VOL_INITIAL'!AM32=""),0,'2.VOL_INITIAL'!AM32)</f>
        <v>0</v>
      </c>
      <c r="AP13" s="118">
        <f>IF(OR('2.VOL_INITIAL'!AN32=0,'2.VOL_INITIAL'!AN32=""),0,'2.VOL_INITIAL'!AN32)</f>
        <v>0</v>
      </c>
      <c r="AQ13" s="118">
        <f>IF(OR('2.VOL_INITIAL'!AO32=0,'2.VOL_INITIAL'!AO32=""),0,'2.VOL_INITIAL'!AO32)</f>
        <v>0</v>
      </c>
      <c r="AR13" s="118">
        <f>IF(OR('2.VOL_INITIAL'!AP32=0,'2.VOL_INITIAL'!AP32=""),0,'2.VOL_INITIAL'!AP32)</f>
        <v>0</v>
      </c>
      <c r="AS13" s="118">
        <f>IF(OR('2.VOL_INITIAL'!AQ32=0,'2.VOL_INITIAL'!AQ32=""),0,'2.VOL_INITIAL'!AQ32)</f>
        <v>0</v>
      </c>
      <c r="AT13" s="118">
        <f>IF(OR('2.VOL_INITIAL'!AR32=0,'2.VOL_INITIAL'!AR32=""),0,'2.VOL_INITIAL'!AR32)</f>
        <v>0</v>
      </c>
      <c r="AU13" s="118">
        <f>IF(OR('2.VOL_INITIAL'!AS32=0,'2.VOL_INITIAL'!AS32=""),0,'2.VOL_INITIAL'!AS32)</f>
        <v>0</v>
      </c>
      <c r="AV13" s="118">
        <f>IF(OR('2.VOL_INITIAL'!AT32=0,'2.VOL_INITIAL'!AT32=""),0,'2.VOL_INITIAL'!AT32)</f>
        <v>0</v>
      </c>
      <c r="AW13" s="118">
        <f>IF(OR('2.VOL_INITIAL'!AU32=0,'2.VOL_INITIAL'!AU32=""),0,'2.VOL_INITIAL'!AU32)</f>
        <v>0</v>
      </c>
      <c r="AX13" s="118">
        <f>IF(OR('2.VOL_INITIAL'!AV32=0,'2.VOL_INITIAL'!AV32=""),0,'2.VOL_INITIAL'!AV32)</f>
        <v>0</v>
      </c>
      <c r="AY13" s="118">
        <f>IF(OR('2.VOL_INITIAL'!AW32=0,'2.VOL_INITIAL'!AW32=""),0,'2.VOL_INITIAL'!AW32)</f>
        <v>0</v>
      </c>
      <c r="AZ13" s="118">
        <f>IF(OR('2.VOL_INITIAL'!AX32=0,'2.VOL_INITIAL'!AX32=""),0,'2.VOL_INITIAL'!AX32)</f>
        <v>0</v>
      </c>
      <c r="BA13" s="118">
        <f>IF(OR('2.VOL_INITIAL'!AY32=0,'2.VOL_INITIAL'!AY32=""),0,'2.VOL_INITIAL'!AY32)</f>
        <v>0</v>
      </c>
      <c r="BB13" s="118">
        <f>IF(OR('2.VOL_INITIAL'!AZ32=0,'2.VOL_INITIAL'!AZ32=""),0,'2.VOL_INITIAL'!AZ32)</f>
        <v>0</v>
      </c>
      <c r="BC13" s="118">
        <f>IF(OR('2.VOL_INITIAL'!BA32=0,'2.VOL_INITIAL'!BA32=""),0,'2.VOL_INITIAL'!BA32)</f>
        <v>0</v>
      </c>
      <c r="BD13" s="118">
        <f>IF(OR('2.VOL_INITIAL'!BB32=0,'2.VOL_INITIAL'!BB32=""),0,'2.VOL_INITIAL'!BB32)</f>
        <v>0</v>
      </c>
      <c r="BE13" s="118"/>
    </row>
    <row r="14" spans="1:57" x14ac:dyDescent="0.2">
      <c r="A14" s="158"/>
      <c r="I14" s="101"/>
      <c r="J14" s="83"/>
      <c r="K14" s="83"/>
      <c r="L14" s="83"/>
      <c r="M14" s="83"/>
      <c r="N14" s="83"/>
      <c r="W14" s="436"/>
      <c r="X14" s="4" t="s">
        <v>192</v>
      </c>
      <c r="Y14" s="4" t="str">
        <f>IF(OR('2.VOL_INITIAL'!X33=0,'2.VOL_INITIAL'!X33=""),"",'2.VOL_INITIAL'!X33)</f>
        <v/>
      </c>
      <c r="Z14" s="4" t="str">
        <f>CONCATENATE(Tableau15[[#This Row],[Strate]],"_",Tableau15[[#This Row],[Essence]])</f>
        <v>D_</v>
      </c>
      <c r="AA14" s="10">
        <f>IF(OR('2.VOL_INITIAL'!Y33=0,'2.VOL_INITIAL'!Y33=""),0,'2.VOL_INITIAL'!Y33)</f>
        <v>0</v>
      </c>
      <c r="AB14" s="118">
        <f>IF(OR('2.VOL_INITIAL'!Z33=0,'2.VOL_INITIAL'!Z33=""),0,'2.VOL_INITIAL'!Z33)</f>
        <v>0</v>
      </c>
      <c r="AC14" s="118">
        <f>IF(OR('2.VOL_INITIAL'!AA33=0,'2.VOL_INITIAL'!AA33=""),0,'2.VOL_INITIAL'!AA33)</f>
        <v>0</v>
      </c>
      <c r="AD14" s="118">
        <f>IF(OR('2.VOL_INITIAL'!AB33=0,'2.VOL_INITIAL'!AB33=""),0,'2.VOL_INITIAL'!AB33)</f>
        <v>0</v>
      </c>
      <c r="AE14" s="118">
        <f>IF(OR('2.VOL_INITIAL'!AC33=0,'2.VOL_INITIAL'!AC33=""),0,'2.VOL_INITIAL'!AC33)</f>
        <v>0</v>
      </c>
      <c r="AF14" s="118">
        <f>IF(OR('2.VOL_INITIAL'!AD33=0,'2.VOL_INITIAL'!AD33=""),0,'2.VOL_INITIAL'!AD33)</f>
        <v>0</v>
      </c>
      <c r="AG14" s="118">
        <f>IF(OR('2.VOL_INITIAL'!AE33=0,'2.VOL_INITIAL'!AE33=""),0,'2.VOL_INITIAL'!AE33)</f>
        <v>0</v>
      </c>
      <c r="AH14" s="118">
        <f>IF(OR('2.VOL_INITIAL'!AF33=0,'2.VOL_INITIAL'!AF33=""),0,'2.VOL_INITIAL'!AF33)</f>
        <v>0</v>
      </c>
      <c r="AI14" s="118">
        <f>IF(OR('2.VOL_INITIAL'!AG33=0,'2.VOL_INITIAL'!AG33=""),0,'2.VOL_INITIAL'!AG33)</f>
        <v>0</v>
      </c>
      <c r="AJ14" s="118">
        <f>IF(OR('2.VOL_INITIAL'!AH33=0,'2.VOL_INITIAL'!AH33=""),0,'2.VOL_INITIAL'!AH33)</f>
        <v>0</v>
      </c>
      <c r="AK14" s="118">
        <f>IF(OR('2.VOL_INITIAL'!AI33=0,'2.VOL_INITIAL'!AI33=""),0,'2.VOL_INITIAL'!AI33)</f>
        <v>0</v>
      </c>
      <c r="AL14" s="118">
        <f>IF(OR('2.VOL_INITIAL'!AJ33=0,'2.VOL_INITIAL'!AJ33=""),0,'2.VOL_INITIAL'!AJ33)</f>
        <v>0</v>
      </c>
      <c r="AM14" s="118">
        <f>IF(OR('2.VOL_INITIAL'!AK33=0,'2.VOL_INITIAL'!AK33=""),0,'2.VOL_INITIAL'!AK33)</f>
        <v>0</v>
      </c>
      <c r="AN14" s="118">
        <f>IF(OR('2.VOL_INITIAL'!AL33=0,'2.VOL_INITIAL'!AL33=""),0,'2.VOL_INITIAL'!AL33)</f>
        <v>0</v>
      </c>
      <c r="AO14" s="118">
        <f>IF(OR('2.VOL_INITIAL'!AM33=0,'2.VOL_INITIAL'!AM33=""),0,'2.VOL_INITIAL'!AM33)</f>
        <v>0</v>
      </c>
      <c r="AP14" s="118">
        <f>IF(OR('2.VOL_INITIAL'!AN33=0,'2.VOL_INITIAL'!AN33=""),0,'2.VOL_INITIAL'!AN33)</f>
        <v>0</v>
      </c>
      <c r="AQ14" s="118">
        <f>IF(OR('2.VOL_INITIAL'!AO33=0,'2.VOL_INITIAL'!AO33=""),0,'2.VOL_INITIAL'!AO33)</f>
        <v>0</v>
      </c>
      <c r="AR14" s="118">
        <f>IF(OR('2.VOL_INITIAL'!AP33=0,'2.VOL_INITIAL'!AP33=""),0,'2.VOL_INITIAL'!AP33)</f>
        <v>0</v>
      </c>
      <c r="AS14" s="118">
        <f>IF(OR('2.VOL_INITIAL'!AQ33=0,'2.VOL_INITIAL'!AQ33=""),0,'2.VOL_INITIAL'!AQ33)</f>
        <v>0</v>
      </c>
      <c r="AT14" s="118">
        <f>IF(OR('2.VOL_INITIAL'!AR33=0,'2.VOL_INITIAL'!AR33=""),0,'2.VOL_INITIAL'!AR33)</f>
        <v>0</v>
      </c>
      <c r="AU14" s="118">
        <f>IF(OR('2.VOL_INITIAL'!AS33=0,'2.VOL_INITIAL'!AS33=""),0,'2.VOL_INITIAL'!AS33)</f>
        <v>0</v>
      </c>
      <c r="AV14" s="118">
        <f>IF(OR('2.VOL_INITIAL'!AT33=0,'2.VOL_INITIAL'!AT33=""),0,'2.VOL_INITIAL'!AT33)</f>
        <v>0</v>
      </c>
      <c r="AW14" s="118">
        <f>IF(OR('2.VOL_INITIAL'!AU33=0,'2.VOL_INITIAL'!AU33=""),0,'2.VOL_INITIAL'!AU33)</f>
        <v>0</v>
      </c>
      <c r="AX14" s="118">
        <f>IF(OR('2.VOL_INITIAL'!AV33=0,'2.VOL_INITIAL'!AV33=""),0,'2.VOL_INITIAL'!AV33)</f>
        <v>0</v>
      </c>
      <c r="AY14" s="118">
        <f>IF(OR('2.VOL_INITIAL'!AW33=0,'2.VOL_INITIAL'!AW33=""),0,'2.VOL_INITIAL'!AW33)</f>
        <v>0</v>
      </c>
      <c r="AZ14" s="118">
        <f>IF(OR('2.VOL_INITIAL'!AX33=0,'2.VOL_INITIAL'!AX33=""),0,'2.VOL_INITIAL'!AX33)</f>
        <v>0</v>
      </c>
      <c r="BA14" s="118">
        <f>IF(OR('2.VOL_INITIAL'!AY33=0,'2.VOL_INITIAL'!AY33=""),0,'2.VOL_INITIAL'!AY33)</f>
        <v>0</v>
      </c>
      <c r="BB14" s="118">
        <f>IF(OR('2.VOL_INITIAL'!AZ33=0,'2.VOL_INITIAL'!AZ33=""),0,'2.VOL_INITIAL'!AZ33)</f>
        <v>0</v>
      </c>
      <c r="BC14" s="118">
        <f>IF(OR('2.VOL_INITIAL'!BA33=0,'2.VOL_INITIAL'!BA33=""),0,'2.VOL_INITIAL'!BA33)</f>
        <v>0</v>
      </c>
      <c r="BD14" s="118">
        <f>IF(OR('2.VOL_INITIAL'!BB33=0,'2.VOL_INITIAL'!BB33=""),0,'2.VOL_INITIAL'!BB33)</f>
        <v>0</v>
      </c>
      <c r="BE14" s="118"/>
    </row>
    <row r="15" spans="1:57" x14ac:dyDescent="0.2">
      <c r="A15" s="262"/>
      <c r="B15" s="262"/>
      <c r="C15" s="264"/>
      <c r="I15" s="348" t="s">
        <v>796</v>
      </c>
      <c r="J15" s="349" t="str">
        <f>Surface_tot</f>
        <v/>
      </c>
      <c r="K15" s="350" t="s">
        <v>797</v>
      </c>
      <c r="L15" s="350"/>
      <c r="M15" s="262"/>
      <c r="N15" s="263"/>
      <c r="W15" s="436"/>
      <c r="X15" s="4" t="s">
        <v>192</v>
      </c>
      <c r="Y15" s="4" t="str">
        <f>IF(OR('2.VOL_INITIAL'!X34=0,'2.VOL_INITIAL'!X34=""),"",'2.VOL_INITIAL'!X34)</f>
        <v/>
      </c>
      <c r="Z15" s="4" t="str">
        <f>CONCATENATE(Tableau15[[#This Row],[Strate]],"_",Tableau15[[#This Row],[Essence]])</f>
        <v>D_</v>
      </c>
      <c r="AA15" s="10">
        <f>IF(OR('2.VOL_INITIAL'!Y34=0,'2.VOL_INITIAL'!Y34=""),0,'2.VOL_INITIAL'!Y34)</f>
        <v>0</v>
      </c>
      <c r="AB15" s="118">
        <f>IF(OR('2.VOL_INITIAL'!Z34=0,'2.VOL_INITIAL'!Z34=""),0,'2.VOL_INITIAL'!Z34)</f>
        <v>0</v>
      </c>
      <c r="AC15" s="118">
        <f>IF(OR('2.VOL_INITIAL'!AA34=0,'2.VOL_INITIAL'!AA34=""),0,'2.VOL_INITIAL'!AA34)</f>
        <v>0</v>
      </c>
      <c r="AD15" s="118">
        <f>IF(OR('2.VOL_INITIAL'!AB34=0,'2.VOL_INITIAL'!AB34=""),0,'2.VOL_INITIAL'!AB34)</f>
        <v>0</v>
      </c>
      <c r="AE15" s="118">
        <f>IF(OR('2.VOL_INITIAL'!AC34=0,'2.VOL_INITIAL'!AC34=""),0,'2.VOL_INITIAL'!AC34)</f>
        <v>0</v>
      </c>
      <c r="AF15" s="118">
        <f>IF(OR('2.VOL_INITIAL'!AD34=0,'2.VOL_INITIAL'!AD34=""),0,'2.VOL_INITIAL'!AD34)</f>
        <v>0</v>
      </c>
      <c r="AG15" s="118">
        <f>IF(OR('2.VOL_INITIAL'!AE34=0,'2.VOL_INITIAL'!AE34=""),0,'2.VOL_INITIAL'!AE34)</f>
        <v>0</v>
      </c>
      <c r="AH15" s="118">
        <f>IF(OR('2.VOL_INITIAL'!AF34=0,'2.VOL_INITIAL'!AF34=""),0,'2.VOL_INITIAL'!AF34)</f>
        <v>0</v>
      </c>
      <c r="AI15" s="118">
        <f>IF(OR('2.VOL_INITIAL'!AG34=0,'2.VOL_INITIAL'!AG34=""),0,'2.VOL_INITIAL'!AG34)</f>
        <v>0</v>
      </c>
      <c r="AJ15" s="118">
        <f>IF(OR('2.VOL_INITIAL'!AH34=0,'2.VOL_INITIAL'!AH34=""),0,'2.VOL_INITIAL'!AH34)</f>
        <v>0</v>
      </c>
      <c r="AK15" s="118">
        <f>IF(OR('2.VOL_INITIAL'!AI34=0,'2.VOL_INITIAL'!AI34=""),0,'2.VOL_INITIAL'!AI34)</f>
        <v>0</v>
      </c>
      <c r="AL15" s="118">
        <f>IF(OR('2.VOL_INITIAL'!AJ34=0,'2.VOL_INITIAL'!AJ34=""),0,'2.VOL_INITIAL'!AJ34)</f>
        <v>0</v>
      </c>
      <c r="AM15" s="118">
        <f>IF(OR('2.VOL_INITIAL'!AK34=0,'2.VOL_INITIAL'!AK34=""),0,'2.VOL_INITIAL'!AK34)</f>
        <v>0</v>
      </c>
      <c r="AN15" s="118">
        <f>IF(OR('2.VOL_INITIAL'!AL34=0,'2.VOL_INITIAL'!AL34=""),0,'2.VOL_INITIAL'!AL34)</f>
        <v>0</v>
      </c>
      <c r="AO15" s="118">
        <f>IF(OR('2.VOL_INITIAL'!AM34=0,'2.VOL_INITIAL'!AM34=""),0,'2.VOL_INITIAL'!AM34)</f>
        <v>0</v>
      </c>
      <c r="AP15" s="118">
        <f>IF(OR('2.VOL_INITIAL'!AN34=0,'2.VOL_INITIAL'!AN34=""),0,'2.VOL_INITIAL'!AN34)</f>
        <v>0</v>
      </c>
      <c r="AQ15" s="118">
        <f>IF(OR('2.VOL_INITIAL'!AO34=0,'2.VOL_INITIAL'!AO34=""),0,'2.VOL_INITIAL'!AO34)</f>
        <v>0</v>
      </c>
      <c r="AR15" s="118">
        <f>IF(OR('2.VOL_INITIAL'!AP34=0,'2.VOL_INITIAL'!AP34=""),0,'2.VOL_INITIAL'!AP34)</f>
        <v>0</v>
      </c>
      <c r="AS15" s="118">
        <f>IF(OR('2.VOL_INITIAL'!AQ34=0,'2.VOL_INITIAL'!AQ34=""),0,'2.VOL_INITIAL'!AQ34)</f>
        <v>0</v>
      </c>
      <c r="AT15" s="118">
        <f>IF(OR('2.VOL_INITIAL'!AR34=0,'2.VOL_INITIAL'!AR34=""),0,'2.VOL_INITIAL'!AR34)</f>
        <v>0</v>
      </c>
      <c r="AU15" s="118">
        <f>IF(OR('2.VOL_INITIAL'!AS34=0,'2.VOL_INITIAL'!AS34=""),0,'2.VOL_INITIAL'!AS34)</f>
        <v>0</v>
      </c>
      <c r="AV15" s="118">
        <f>IF(OR('2.VOL_INITIAL'!AT34=0,'2.VOL_INITIAL'!AT34=""),0,'2.VOL_INITIAL'!AT34)</f>
        <v>0</v>
      </c>
      <c r="AW15" s="118">
        <f>IF(OR('2.VOL_INITIAL'!AU34=0,'2.VOL_INITIAL'!AU34=""),0,'2.VOL_INITIAL'!AU34)</f>
        <v>0</v>
      </c>
      <c r="AX15" s="118">
        <f>IF(OR('2.VOL_INITIAL'!AV34=0,'2.VOL_INITIAL'!AV34=""),0,'2.VOL_INITIAL'!AV34)</f>
        <v>0</v>
      </c>
      <c r="AY15" s="118">
        <f>IF(OR('2.VOL_INITIAL'!AW34=0,'2.VOL_INITIAL'!AW34=""),0,'2.VOL_INITIAL'!AW34)</f>
        <v>0</v>
      </c>
      <c r="AZ15" s="118">
        <f>IF(OR('2.VOL_INITIAL'!AX34=0,'2.VOL_INITIAL'!AX34=""),0,'2.VOL_INITIAL'!AX34)</f>
        <v>0</v>
      </c>
      <c r="BA15" s="118">
        <f>IF(OR('2.VOL_INITIAL'!AY34=0,'2.VOL_INITIAL'!AY34=""),0,'2.VOL_INITIAL'!AY34)</f>
        <v>0</v>
      </c>
      <c r="BB15" s="118">
        <f>IF(OR('2.VOL_INITIAL'!AZ34=0,'2.VOL_INITIAL'!AZ34=""),0,'2.VOL_INITIAL'!AZ34)</f>
        <v>0</v>
      </c>
      <c r="BC15" s="118">
        <f>IF(OR('2.VOL_INITIAL'!BA34=0,'2.VOL_INITIAL'!BA34=""),0,'2.VOL_INITIAL'!BA34)</f>
        <v>0</v>
      </c>
      <c r="BD15" s="118">
        <f>IF(OR('2.VOL_INITIAL'!BB34=0,'2.VOL_INITIAL'!BB34=""),0,'2.VOL_INITIAL'!BB34)</f>
        <v>0</v>
      </c>
      <c r="BE15" s="118"/>
    </row>
    <row r="16" spans="1:57" x14ac:dyDescent="0.2">
      <c r="I16" s="351" t="s">
        <v>898</v>
      </c>
      <c r="J16" s="352">
        <f>SUMIF(Tableau619[Traitement],"REG",Tableau619[Surf_éli])+SUMIF(Tableau619[Traitement],"RASE",Tableau619[Surf_éli])</f>
        <v>0</v>
      </c>
      <c r="K16" s="350" t="s">
        <v>797</v>
      </c>
      <c r="L16" s="350"/>
      <c r="M16" s="263"/>
      <c r="N16" s="263"/>
      <c r="W16" s="436"/>
      <c r="X16" s="4" t="s">
        <v>192</v>
      </c>
      <c r="Y16" s="4" t="str">
        <f>IF(OR('2.VOL_INITIAL'!X35=0,'2.VOL_INITIAL'!X35=""),"",'2.VOL_INITIAL'!X35)</f>
        <v/>
      </c>
      <c r="Z16" s="4" t="str">
        <f>CONCATENATE(Tableau15[[#This Row],[Strate]],"_",Tableau15[[#This Row],[Essence]])</f>
        <v>D_</v>
      </c>
      <c r="AA16" s="10">
        <f>IF(OR('2.VOL_INITIAL'!Y35=0,'2.VOL_INITIAL'!Y35=""),0,'2.VOL_INITIAL'!Y35)</f>
        <v>0</v>
      </c>
      <c r="AB16" s="118">
        <f>IF(OR('2.VOL_INITIAL'!Z35=0,'2.VOL_INITIAL'!Z35=""),0,'2.VOL_INITIAL'!Z35)</f>
        <v>0</v>
      </c>
      <c r="AC16" s="118">
        <f>IF(OR('2.VOL_INITIAL'!AA35=0,'2.VOL_INITIAL'!AA35=""),0,'2.VOL_INITIAL'!AA35)</f>
        <v>0</v>
      </c>
      <c r="AD16" s="118">
        <f>IF(OR('2.VOL_INITIAL'!AB35=0,'2.VOL_INITIAL'!AB35=""),0,'2.VOL_INITIAL'!AB35)</f>
        <v>0</v>
      </c>
      <c r="AE16" s="118">
        <f>IF(OR('2.VOL_INITIAL'!AC35=0,'2.VOL_INITIAL'!AC35=""),0,'2.VOL_INITIAL'!AC35)</f>
        <v>0</v>
      </c>
      <c r="AF16" s="118">
        <f>IF(OR('2.VOL_INITIAL'!AD35=0,'2.VOL_INITIAL'!AD35=""),0,'2.VOL_INITIAL'!AD35)</f>
        <v>0</v>
      </c>
      <c r="AG16" s="118">
        <f>IF(OR('2.VOL_INITIAL'!AE35=0,'2.VOL_INITIAL'!AE35=""),0,'2.VOL_INITIAL'!AE35)</f>
        <v>0</v>
      </c>
      <c r="AH16" s="118">
        <f>IF(OR('2.VOL_INITIAL'!AF35=0,'2.VOL_INITIAL'!AF35=""),0,'2.VOL_INITIAL'!AF35)</f>
        <v>0</v>
      </c>
      <c r="AI16" s="118">
        <f>IF(OR('2.VOL_INITIAL'!AG35=0,'2.VOL_INITIAL'!AG35=""),0,'2.VOL_INITIAL'!AG35)</f>
        <v>0</v>
      </c>
      <c r="AJ16" s="118">
        <f>IF(OR('2.VOL_INITIAL'!AH35=0,'2.VOL_INITIAL'!AH35=""),0,'2.VOL_INITIAL'!AH35)</f>
        <v>0</v>
      </c>
      <c r="AK16" s="118">
        <f>IF(OR('2.VOL_INITIAL'!AI35=0,'2.VOL_INITIAL'!AI35=""),0,'2.VOL_INITIAL'!AI35)</f>
        <v>0</v>
      </c>
      <c r="AL16" s="118">
        <f>IF(OR('2.VOL_INITIAL'!AJ35=0,'2.VOL_INITIAL'!AJ35=""),0,'2.VOL_INITIAL'!AJ35)</f>
        <v>0</v>
      </c>
      <c r="AM16" s="118">
        <f>IF(OR('2.VOL_INITIAL'!AK35=0,'2.VOL_INITIAL'!AK35=""),0,'2.VOL_INITIAL'!AK35)</f>
        <v>0</v>
      </c>
      <c r="AN16" s="118">
        <f>IF(OR('2.VOL_INITIAL'!AL35=0,'2.VOL_INITIAL'!AL35=""),0,'2.VOL_INITIAL'!AL35)</f>
        <v>0</v>
      </c>
      <c r="AO16" s="118">
        <f>IF(OR('2.VOL_INITIAL'!AM35=0,'2.VOL_INITIAL'!AM35=""),0,'2.VOL_INITIAL'!AM35)</f>
        <v>0</v>
      </c>
      <c r="AP16" s="118">
        <f>IF(OR('2.VOL_INITIAL'!AN35=0,'2.VOL_INITIAL'!AN35=""),0,'2.VOL_INITIAL'!AN35)</f>
        <v>0</v>
      </c>
      <c r="AQ16" s="118">
        <f>IF(OR('2.VOL_INITIAL'!AO35=0,'2.VOL_INITIAL'!AO35=""),0,'2.VOL_INITIAL'!AO35)</f>
        <v>0</v>
      </c>
      <c r="AR16" s="118">
        <f>IF(OR('2.VOL_INITIAL'!AP35=0,'2.VOL_INITIAL'!AP35=""),0,'2.VOL_INITIAL'!AP35)</f>
        <v>0</v>
      </c>
      <c r="AS16" s="118">
        <f>IF(OR('2.VOL_INITIAL'!AQ35=0,'2.VOL_INITIAL'!AQ35=""),0,'2.VOL_INITIAL'!AQ35)</f>
        <v>0</v>
      </c>
      <c r="AT16" s="118">
        <f>IF(OR('2.VOL_INITIAL'!AR35=0,'2.VOL_INITIAL'!AR35=""),0,'2.VOL_INITIAL'!AR35)</f>
        <v>0</v>
      </c>
      <c r="AU16" s="118">
        <f>IF(OR('2.VOL_INITIAL'!AS35=0,'2.VOL_INITIAL'!AS35=""),0,'2.VOL_INITIAL'!AS35)</f>
        <v>0</v>
      </c>
      <c r="AV16" s="118">
        <f>IF(OR('2.VOL_INITIAL'!AT35=0,'2.VOL_INITIAL'!AT35=""),0,'2.VOL_INITIAL'!AT35)</f>
        <v>0</v>
      </c>
      <c r="AW16" s="118">
        <f>IF(OR('2.VOL_INITIAL'!AU35=0,'2.VOL_INITIAL'!AU35=""),0,'2.VOL_INITIAL'!AU35)</f>
        <v>0</v>
      </c>
      <c r="AX16" s="118">
        <f>IF(OR('2.VOL_INITIAL'!AV35=0,'2.VOL_INITIAL'!AV35=""),0,'2.VOL_INITIAL'!AV35)</f>
        <v>0</v>
      </c>
      <c r="AY16" s="118">
        <f>IF(OR('2.VOL_INITIAL'!AW35=0,'2.VOL_INITIAL'!AW35=""),0,'2.VOL_INITIAL'!AW35)</f>
        <v>0</v>
      </c>
      <c r="AZ16" s="118">
        <f>IF(OR('2.VOL_INITIAL'!AX35=0,'2.VOL_INITIAL'!AX35=""),0,'2.VOL_INITIAL'!AX35)</f>
        <v>0</v>
      </c>
      <c r="BA16" s="118">
        <f>IF(OR('2.VOL_INITIAL'!AY35=0,'2.VOL_INITIAL'!AY35=""),0,'2.VOL_INITIAL'!AY35)</f>
        <v>0</v>
      </c>
      <c r="BB16" s="118">
        <f>IF(OR('2.VOL_INITIAL'!AZ35=0,'2.VOL_INITIAL'!AZ35=""),0,'2.VOL_INITIAL'!AZ35)</f>
        <v>0</v>
      </c>
      <c r="BC16" s="118">
        <f>IF(OR('2.VOL_INITIAL'!BA35=0,'2.VOL_INITIAL'!BA35=""),0,'2.VOL_INITIAL'!BA35)</f>
        <v>0</v>
      </c>
      <c r="BD16" s="118">
        <f>IF(OR('2.VOL_INITIAL'!BB35=0,'2.VOL_INITIAL'!BB35=""),0,'2.VOL_INITIAL'!BB35)</f>
        <v>0</v>
      </c>
      <c r="BE16" s="118"/>
    </row>
    <row r="17" spans="4:64" x14ac:dyDescent="0.2">
      <c r="I17" s="351" t="s">
        <v>798</v>
      </c>
      <c r="J17" s="353">
        <f>IF(Surface_tot&lt;200,50%,IF(AND(Surface_tot&gt;=200,Surface_tot&lt;500),40%,IF(AND(Surface_tot&gt;=500,Surface_tot&lt;1000),35%,IF(AND(Surface_tot&gt;=1000,Surface_tot&lt;2000),30%,IF(AND(Surface_tot&gt;=2000,Surface_tot&lt;4000),25%,20%)))))</f>
        <v>0.2</v>
      </c>
      <c r="K17" s="354" t="e">
        <f>J17*J15</f>
        <v>#VALUE!</v>
      </c>
      <c r="L17" s="350" t="s">
        <v>804</v>
      </c>
      <c r="M17" s="263"/>
      <c r="N17" s="263"/>
      <c r="W17" s="436"/>
      <c r="X17" s="4" t="s">
        <v>192</v>
      </c>
      <c r="Y17" s="4" t="str">
        <f>IF(OR('2.VOL_INITIAL'!X36=0,'2.VOL_INITIAL'!X36=""),"",'2.VOL_INITIAL'!X36)</f>
        <v/>
      </c>
      <c r="Z17" s="4" t="str">
        <f>CONCATENATE(Tableau15[[#This Row],[Strate]],"_",Tableau15[[#This Row],[Essence]])</f>
        <v>D_</v>
      </c>
      <c r="AA17" s="10">
        <f>IF(OR('2.VOL_INITIAL'!Y36=0,'2.VOL_INITIAL'!Y36=""),0,'2.VOL_INITIAL'!Y36)</f>
        <v>0</v>
      </c>
      <c r="AB17" s="118">
        <f>IF(OR('2.VOL_INITIAL'!Z36=0,'2.VOL_INITIAL'!Z36=""),0,'2.VOL_INITIAL'!Z36)</f>
        <v>0</v>
      </c>
      <c r="AC17" s="118">
        <f>IF(OR('2.VOL_INITIAL'!AA36=0,'2.VOL_INITIAL'!AA36=""),0,'2.VOL_INITIAL'!AA36)</f>
        <v>0</v>
      </c>
      <c r="AD17" s="118">
        <f>IF(OR('2.VOL_INITIAL'!AB36=0,'2.VOL_INITIAL'!AB36=""),0,'2.VOL_INITIAL'!AB36)</f>
        <v>0</v>
      </c>
      <c r="AE17" s="118">
        <f>IF(OR('2.VOL_INITIAL'!AC36=0,'2.VOL_INITIAL'!AC36=""),0,'2.VOL_INITIAL'!AC36)</f>
        <v>0</v>
      </c>
      <c r="AF17" s="118">
        <f>IF(OR('2.VOL_INITIAL'!AD36=0,'2.VOL_INITIAL'!AD36=""),0,'2.VOL_INITIAL'!AD36)</f>
        <v>0</v>
      </c>
      <c r="AG17" s="118">
        <f>IF(OR('2.VOL_INITIAL'!AE36=0,'2.VOL_INITIAL'!AE36=""),0,'2.VOL_INITIAL'!AE36)</f>
        <v>0</v>
      </c>
      <c r="AH17" s="118">
        <f>IF(OR('2.VOL_INITIAL'!AF36=0,'2.VOL_INITIAL'!AF36=""),0,'2.VOL_INITIAL'!AF36)</f>
        <v>0</v>
      </c>
      <c r="AI17" s="118">
        <f>IF(OR('2.VOL_INITIAL'!AG36=0,'2.VOL_INITIAL'!AG36=""),0,'2.VOL_INITIAL'!AG36)</f>
        <v>0</v>
      </c>
      <c r="AJ17" s="118">
        <f>IF(OR('2.VOL_INITIAL'!AH36=0,'2.VOL_INITIAL'!AH36=""),0,'2.VOL_INITIAL'!AH36)</f>
        <v>0</v>
      </c>
      <c r="AK17" s="118">
        <f>IF(OR('2.VOL_INITIAL'!AI36=0,'2.VOL_INITIAL'!AI36=""),0,'2.VOL_INITIAL'!AI36)</f>
        <v>0</v>
      </c>
      <c r="AL17" s="118">
        <f>IF(OR('2.VOL_INITIAL'!AJ36=0,'2.VOL_INITIAL'!AJ36=""),0,'2.VOL_INITIAL'!AJ36)</f>
        <v>0</v>
      </c>
      <c r="AM17" s="118">
        <f>IF(OR('2.VOL_INITIAL'!AK36=0,'2.VOL_INITIAL'!AK36=""),0,'2.VOL_INITIAL'!AK36)</f>
        <v>0</v>
      </c>
      <c r="AN17" s="118">
        <f>IF(OR('2.VOL_INITIAL'!AL36=0,'2.VOL_INITIAL'!AL36=""),0,'2.VOL_INITIAL'!AL36)</f>
        <v>0</v>
      </c>
      <c r="AO17" s="118">
        <f>IF(OR('2.VOL_INITIAL'!AM36=0,'2.VOL_INITIAL'!AM36=""),0,'2.VOL_INITIAL'!AM36)</f>
        <v>0</v>
      </c>
      <c r="AP17" s="118">
        <f>IF(OR('2.VOL_INITIAL'!AN36=0,'2.VOL_INITIAL'!AN36=""),0,'2.VOL_INITIAL'!AN36)</f>
        <v>0</v>
      </c>
      <c r="AQ17" s="118">
        <f>IF(OR('2.VOL_INITIAL'!AO36=0,'2.VOL_INITIAL'!AO36=""),0,'2.VOL_INITIAL'!AO36)</f>
        <v>0</v>
      </c>
      <c r="AR17" s="118">
        <f>IF(OR('2.VOL_INITIAL'!AP36=0,'2.VOL_INITIAL'!AP36=""),0,'2.VOL_INITIAL'!AP36)</f>
        <v>0</v>
      </c>
      <c r="AS17" s="118">
        <f>IF(OR('2.VOL_INITIAL'!AQ36=0,'2.VOL_INITIAL'!AQ36=""),0,'2.VOL_INITIAL'!AQ36)</f>
        <v>0</v>
      </c>
      <c r="AT17" s="118">
        <f>IF(OR('2.VOL_INITIAL'!AR36=0,'2.VOL_INITIAL'!AR36=""),0,'2.VOL_INITIAL'!AR36)</f>
        <v>0</v>
      </c>
      <c r="AU17" s="118">
        <f>IF(OR('2.VOL_INITIAL'!AS36=0,'2.VOL_INITIAL'!AS36=""),0,'2.VOL_INITIAL'!AS36)</f>
        <v>0</v>
      </c>
      <c r="AV17" s="118">
        <f>IF(OR('2.VOL_INITIAL'!AT36=0,'2.VOL_INITIAL'!AT36=""),0,'2.VOL_INITIAL'!AT36)</f>
        <v>0</v>
      </c>
      <c r="AW17" s="118">
        <f>IF(OR('2.VOL_INITIAL'!AU36=0,'2.VOL_INITIAL'!AU36=""),0,'2.VOL_INITIAL'!AU36)</f>
        <v>0</v>
      </c>
      <c r="AX17" s="118">
        <f>IF(OR('2.VOL_INITIAL'!AV36=0,'2.VOL_INITIAL'!AV36=""),0,'2.VOL_INITIAL'!AV36)</f>
        <v>0</v>
      </c>
      <c r="AY17" s="118">
        <f>IF(OR('2.VOL_INITIAL'!AW36=0,'2.VOL_INITIAL'!AW36=""),0,'2.VOL_INITIAL'!AW36)</f>
        <v>0</v>
      </c>
      <c r="AZ17" s="118">
        <f>IF(OR('2.VOL_INITIAL'!AX36=0,'2.VOL_INITIAL'!AX36=""),0,'2.VOL_INITIAL'!AX36)</f>
        <v>0</v>
      </c>
      <c r="BA17" s="118">
        <f>IF(OR('2.VOL_INITIAL'!AY36=0,'2.VOL_INITIAL'!AY36=""),0,'2.VOL_INITIAL'!AY36)</f>
        <v>0</v>
      </c>
      <c r="BB17" s="118">
        <f>IF(OR('2.VOL_INITIAL'!AZ36=0,'2.VOL_INITIAL'!AZ36=""),0,'2.VOL_INITIAL'!AZ36)</f>
        <v>0</v>
      </c>
      <c r="BC17" s="118">
        <f>IF(OR('2.VOL_INITIAL'!BA36=0,'2.VOL_INITIAL'!BA36=""),0,'2.VOL_INITIAL'!BA36)</f>
        <v>0</v>
      </c>
      <c r="BD17" s="118">
        <f>IF(OR('2.VOL_INITIAL'!BB36=0,'2.VOL_INITIAL'!BB36=""),0,'2.VOL_INITIAL'!BB36)</f>
        <v>0</v>
      </c>
      <c r="BE17" s="118"/>
    </row>
    <row r="18" spans="4:64" x14ac:dyDescent="0.2">
      <c r="I18" s="275"/>
      <c r="J18" s="222"/>
      <c r="K18" s="276"/>
      <c r="L18" s="277"/>
      <c r="M18" s="263"/>
      <c r="N18" s="263"/>
      <c r="W18" s="265"/>
    </row>
    <row r="19" spans="4:64" x14ac:dyDescent="0.2">
      <c r="I19" s="278"/>
      <c r="J19" s="222"/>
      <c r="K19" s="276"/>
      <c r="L19" s="277"/>
      <c r="M19" s="262"/>
      <c r="N19" s="262"/>
      <c r="W19" s="265"/>
    </row>
    <row r="20" spans="4:64" ht="16" customHeight="1" x14ac:dyDescent="0.2">
      <c r="I20" s="436" t="s">
        <v>750</v>
      </c>
      <c r="J20" s="258" t="s">
        <v>94</v>
      </c>
      <c r="K20" s="258" t="s">
        <v>799</v>
      </c>
      <c r="L20" s="277"/>
      <c r="M20" s="262"/>
      <c r="N20" s="262"/>
      <c r="W20" s="436" t="s">
        <v>622</v>
      </c>
      <c r="X20" s="258" t="s">
        <v>0</v>
      </c>
      <c r="Y20" s="258" t="s">
        <v>8</v>
      </c>
      <c r="Z20" s="258" t="s">
        <v>233</v>
      </c>
      <c r="AA20" s="258" t="s">
        <v>193</v>
      </c>
      <c r="AB20" s="258" t="s">
        <v>194</v>
      </c>
      <c r="AC20" s="258" t="s">
        <v>195</v>
      </c>
      <c r="AD20" s="258" t="s">
        <v>196</v>
      </c>
      <c r="AE20" s="258" t="s">
        <v>197</v>
      </c>
      <c r="AF20" s="258" t="s">
        <v>198</v>
      </c>
      <c r="AG20" s="258" t="s">
        <v>199</v>
      </c>
      <c r="AH20" s="258" t="s">
        <v>200</v>
      </c>
      <c r="AI20" s="258" t="s">
        <v>201</v>
      </c>
      <c r="AJ20" s="258" t="s">
        <v>202</v>
      </c>
      <c r="AK20" s="258" t="s">
        <v>203</v>
      </c>
      <c r="AL20" s="258" t="s">
        <v>204</v>
      </c>
      <c r="AM20" s="258" t="s">
        <v>205</v>
      </c>
      <c r="AN20" s="258" t="s">
        <v>206</v>
      </c>
      <c r="AO20" s="258" t="s">
        <v>207</v>
      </c>
      <c r="AP20" s="258" t="s">
        <v>208</v>
      </c>
      <c r="AQ20" s="258" t="s">
        <v>209</v>
      </c>
      <c r="AR20" s="258" t="s">
        <v>210</v>
      </c>
      <c r="AS20" s="258" t="s">
        <v>211</v>
      </c>
      <c r="AT20" s="258" t="s">
        <v>212</v>
      </c>
      <c r="AU20" s="258" t="s">
        <v>213</v>
      </c>
      <c r="AV20" s="258" t="s">
        <v>214</v>
      </c>
      <c r="AW20" s="258" t="s">
        <v>215</v>
      </c>
      <c r="AX20" s="258" t="s">
        <v>216</v>
      </c>
      <c r="AY20" s="258" t="s">
        <v>217</v>
      </c>
      <c r="AZ20" s="258" t="s">
        <v>218</v>
      </c>
      <c r="BA20" s="258" t="s">
        <v>219</v>
      </c>
      <c r="BB20" s="258" t="s">
        <v>220</v>
      </c>
      <c r="BC20" s="258" t="s">
        <v>221</v>
      </c>
    </row>
    <row r="21" spans="4:64" ht="16" customHeight="1" x14ac:dyDescent="0.2">
      <c r="I21" s="436"/>
      <c r="J21" s="4">
        <v>1</v>
      </c>
      <c r="K21" s="4">
        <f>IF($J$16=0,0,IF(J21=1,MIN($J$15*$J$17/20,$J$16/20),IF(SUM(K20:K$21)=$J$16,0,IF(SUM(K20:K$21)+MIN($J$15*$J$17/20,$J$16/20)&gt;$J$16,$J$16-SUM(K20:K$21),MIN($J$15*$J$17/20,$J$16/20)))))</f>
        <v>0</v>
      </c>
      <c r="L21" s="262"/>
      <c r="M21" s="262"/>
      <c r="N21" s="262"/>
      <c r="W21" s="436"/>
      <c r="X21" s="4" t="str">
        <f>X2</f>
        <v>A</v>
      </c>
      <c r="Y21" s="4" t="str">
        <f t="shared" ref="Y21:Y36" si="1">IF(Y2="","",Y2)</f>
        <v/>
      </c>
      <c r="Z21" s="4" t="str">
        <f>CONCATENATE(Tableau66[[#This Row],[Strate]],"_",Tableau66[[#This Row],[Essence]])</f>
        <v>A_</v>
      </c>
      <c r="AA21" s="103">
        <f>IF(Tableau66[[#Headers],[V010]]="V010",0,IF(Tableau66[[#Headers],[V010]]="V015",$AB2,AA2+Z21))</f>
        <v>0</v>
      </c>
      <c r="AB21" s="103">
        <f>IF(Tableau66[[#Headers],[V015]]="V010",0,IF(Tableau66[[#Headers],[V015]]="V015",$AA2,AA2+AA21))</f>
        <v>0</v>
      </c>
      <c r="AC21" s="103">
        <f>IF(Tableau66[[#Headers],[V020]]="V010",0,IF(Tableau66[[#Headers],[V020]]="V015",$AA2,AB2+AB21))</f>
        <v>0</v>
      </c>
      <c r="AD21" s="103">
        <f>IF(Tableau66[[#Headers],[V025]]="V010",0,IF(Tableau66[[#Headers],[V025]]="V015",$AA2,AC2+AC21))</f>
        <v>0</v>
      </c>
      <c r="AE21" s="103">
        <f>IF(Tableau66[[#Headers],[V030]]="V010",0,IF(Tableau66[[#Headers],[V030]]="V015",$AA2,AD2+AD21))</f>
        <v>0</v>
      </c>
      <c r="AF21" s="103">
        <f>IF(Tableau66[[#Headers],[V035]]="V010",0,IF(Tableau66[[#Headers],[V035]]="V015",$AA2,AE2+AE21))</f>
        <v>0</v>
      </c>
      <c r="AG21" s="103">
        <f>IF(Tableau66[[#Headers],[V040]]="V010",0,IF(Tableau66[[#Headers],[V040]]="V015",$AA2,AF2+AF21))</f>
        <v>0</v>
      </c>
      <c r="AH21" s="103">
        <f>IF(Tableau66[[#Headers],[V045]]="V010",0,IF(Tableau66[[#Headers],[V045]]="V015",$AA2,AG2+AG21))</f>
        <v>0</v>
      </c>
      <c r="AI21" s="103">
        <f>IF(Tableau66[[#Headers],[V050]]="V010",0,IF(Tableau66[[#Headers],[V050]]="V015",$AA2,AH2+AH21))</f>
        <v>0</v>
      </c>
      <c r="AJ21" s="103">
        <f>IF(Tableau66[[#Headers],[V055]]="V010",0,IF(Tableau66[[#Headers],[V055]]="V015",$AA2,AI2+AI21))</f>
        <v>0</v>
      </c>
      <c r="AK21" s="103">
        <f>IF(Tableau66[[#Headers],[V060]]="V010",0,IF(Tableau66[[#Headers],[V060]]="V015",$AA2,AJ2+AJ21))</f>
        <v>0</v>
      </c>
      <c r="AL21" s="103">
        <f>IF(Tableau66[[#Headers],[V065]]="V010",0,IF(Tableau66[[#Headers],[V065]]="V015",$AA2,AK2+AK21))</f>
        <v>0</v>
      </c>
      <c r="AM21" s="103">
        <f>IF(Tableau66[[#Headers],[V020]]="V010",0,IF(Tableau66[[#Headers],[V020]]="V015",$AA2,AL2+AL21))</f>
        <v>0</v>
      </c>
      <c r="AN21" s="103">
        <f>IF(Tableau66[[#Headers],[V025]]="V010",0,IF(Tableau66[[#Headers],[V025]]="V015",$AA2,AM2+AM21))</f>
        <v>0</v>
      </c>
      <c r="AO21" s="103">
        <f>IF(Tableau66[[#Headers],[V030]]="V010",0,IF(Tableau66[[#Headers],[V030]]="V015",$AA2,AN2+AN21))</f>
        <v>0</v>
      </c>
      <c r="AP21" s="103">
        <f>IF(Tableau66[[#Headers],[V035]]="V010",0,IF(Tableau66[[#Headers],[V035]]="V015",$AA2,AO2+AO21))</f>
        <v>0</v>
      </c>
      <c r="AQ21" s="103">
        <f>IF(Tableau66[[#Headers],[V040]]="V010",0,IF(Tableau66[[#Headers],[V040]]="V015",$AA2,AP2+AP21))</f>
        <v>0</v>
      </c>
      <c r="AR21" s="103">
        <f>IF(Tableau66[[#Headers],[V020]]="V010",0,IF(Tableau66[[#Headers],[V020]]="V015",$AA2,AQ2+AQ21))</f>
        <v>0</v>
      </c>
      <c r="AS21" s="103">
        <f>IF(Tableau66[[#Headers],[V025]]="V010",0,IF(Tableau66[[#Headers],[V025]]="V015",$AA2,AR2+AR21))</f>
        <v>0</v>
      </c>
      <c r="AT21" s="103">
        <f>IF(Tableau66[[#Headers],[V030]]="V010",0,IF(Tableau66[[#Headers],[V030]]="V015",$AA2,AS2+AS21))</f>
        <v>0</v>
      </c>
      <c r="AU21" s="103">
        <f>IF(Tableau66[[#Headers],[V035]]="V010",0,IF(Tableau66[[#Headers],[V035]]="V015",$AA2,AT2+AT21))</f>
        <v>0</v>
      </c>
      <c r="AV21" s="103">
        <f>IF(Tableau66[[#Headers],[V040]]="V010",0,IF(Tableau66[[#Headers],[V040]]="V015",$AA2,AU2+AU21))</f>
        <v>0</v>
      </c>
      <c r="AW21" s="103">
        <f>IF(Tableau66[[#Headers],[V020]]="V010",0,IF(Tableau66[[#Headers],[V020]]="V015",$AA2,AV2+AV21))</f>
        <v>0</v>
      </c>
      <c r="AX21" s="103">
        <f>IF(Tableau66[[#Headers],[V020]]="V010",0,IF(Tableau66[[#Headers],[V020]]="V015",$AA2,AW2+AW21))</f>
        <v>0</v>
      </c>
      <c r="AY21" s="103">
        <f>IF(Tableau66[[#Headers],[V025]]="V010",0,IF(Tableau66[[#Headers],[V025]]="V015",$AA2,AX2+AX21))</f>
        <v>0</v>
      </c>
      <c r="AZ21" s="103">
        <f>IF(Tableau66[[#Headers],[V030]]="V010",0,IF(Tableau66[[#Headers],[V030]]="V015",$AA2,AY2+AY21))</f>
        <v>0</v>
      </c>
      <c r="BA21" s="103">
        <f>IF(Tableau66[[#Headers],[V035]]="V010",0,IF(Tableau66[[#Headers],[V035]]="V015",$AA2,AZ2+AZ21))</f>
        <v>0</v>
      </c>
      <c r="BB21" s="103">
        <f>IF(Tableau66[[#Headers],[V040]]="V010",0,IF(Tableau66[[#Headers],[V040]]="V015",$AA2,BA2+BA21))</f>
        <v>0</v>
      </c>
      <c r="BC21" s="103">
        <f>IF(Tableau66[[#Headers],[V045]]="V010",0,IF(Tableau66[[#Headers],[V045]]="V015",$AA2,BB2+BB21))</f>
        <v>0</v>
      </c>
    </row>
    <row r="22" spans="4:64" x14ac:dyDescent="0.2">
      <c r="I22" s="436"/>
      <c r="J22" s="4">
        <v>2</v>
      </c>
      <c r="K22" s="4">
        <f>IF($J$16=0,0,IF(J22=1,MIN($J$15*$J$17/20,$J$16/20),IF(SUM(K21:K$21)=$J$16,0,IF(SUM(K21:K$21)+MIN($J$15*$J$17/20,$J$16/20)&gt;$J$16,$J$16-SUM(K21:K$21),MIN($J$15*$J$17/20,$J$16/20)))))</f>
        <v>0</v>
      </c>
      <c r="L22" s="262"/>
      <c r="M22" s="262"/>
      <c r="N22" s="262"/>
      <c r="W22" s="436"/>
      <c r="X22" s="4" t="str">
        <f t="shared" ref="X22:X36" si="2">X3</f>
        <v>A</v>
      </c>
      <c r="Y22" s="4" t="str">
        <f t="shared" si="1"/>
        <v/>
      </c>
      <c r="Z22" s="4" t="str">
        <f>CONCATENATE(Tableau66[[#This Row],[Strate]],"_",Tableau66[[#This Row],[Essence]])</f>
        <v>A_</v>
      </c>
      <c r="AA22" s="103">
        <f>IF(Tableau66[[#Headers],[V010]]="V010",0,IF(Tableau66[[#Headers],[V010]]="V015",$AB3,AA3+Z22))</f>
        <v>0</v>
      </c>
      <c r="AB22" s="103">
        <f>IF(Tableau66[[#Headers],[V015]]="V010",0,IF(Tableau66[[#Headers],[V015]]="V015",$AA3,AA3+AA22))</f>
        <v>0</v>
      </c>
      <c r="AC22" s="103">
        <f>IF(Tableau66[[#Headers],[V020]]="V010",0,IF(Tableau66[[#Headers],[V020]]="V015",$AA3,AB3+AB22))</f>
        <v>0</v>
      </c>
      <c r="AD22" s="103">
        <f>IF(Tableau66[[#Headers],[V025]]="V010",0,IF(Tableau66[[#Headers],[V025]]="V015",$AA3,AC3+AC22))</f>
        <v>0</v>
      </c>
      <c r="AE22" s="103">
        <f>IF(Tableau66[[#Headers],[V030]]="V010",0,IF(Tableau66[[#Headers],[V030]]="V015",$AA3,AD3+AD22))</f>
        <v>0</v>
      </c>
      <c r="AF22" s="103">
        <f>IF(Tableau66[[#Headers],[V035]]="V010",0,IF(Tableau66[[#Headers],[V035]]="V015",$AA3,AE3+AE22))</f>
        <v>0</v>
      </c>
      <c r="AG22" s="103">
        <f>IF(Tableau66[[#Headers],[V040]]="V010",0,IF(Tableau66[[#Headers],[V040]]="V015",$AA3,AF3+AF22))</f>
        <v>0</v>
      </c>
      <c r="AH22" s="103">
        <f>IF(Tableau66[[#Headers],[V045]]="V010",0,IF(Tableau66[[#Headers],[V045]]="V015",$AA3,AG3+AG22))</f>
        <v>0</v>
      </c>
      <c r="AI22" s="103">
        <f>IF(Tableau66[[#Headers],[V050]]="V010",0,IF(Tableau66[[#Headers],[V050]]="V015",$AA3,AH3+AH22))</f>
        <v>0</v>
      </c>
      <c r="AJ22" s="103">
        <f>IF(Tableau66[[#Headers],[V055]]="V010",0,IF(Tableau66[[#Headers],[V055]]="V015",$AA3,AI3+AI22))</f>
        <v>0</v>
      </c>
      <c r="AK22" s="103">
        <f>IF(Tableau66[[#Headers],[V060]]="V010",0,IF(Tableau66[[#Headers],[V060]]="V015",$AA3,AJ3+AJ22))</f>
        <v>0</v>
      </c>
      <c r="AL22" s="103">
        <f>IF(Tableau66[[#Headers],[V065]]="V010",0,IF(Tableau66[[#Headers],[V065]]="V015",$AA3,AK3+AK22))</f>
        <v>0</v>
      </c>
      <c r="AM22" s="103">
        <f>IF(Tableau66[[#Headers],[V020]]="V010",0,IF(Tableau66[[#Headers],[V020]]="V015",$AA3,AL3+AL22))</f>
        <v>0</v>
      </c>
      <c r="AN22" s="103">
        <f>IF(Tableau66[[#Headers],[V025]]="V010",0,IF(Tableau66[[#Headers],[V025]]="V015",$AA3,AM3+AM22))</f>
        <v>0</v>
      </c>
      <c r="AO22" s="103">
        <f>IF(Tableau66[[#Headers],[V030]]="V010",0,IF(Tableau66[[#Headers],[V030]]="V015",$AA3,AN3+AN22))</f>
        <v>0</v>
      </c>
      <c r="AP22" s="103">
        <f>IF(Tableau66[[#Headers],[V035]]="V010",0,IF(Tableau66[[#Headers],[V035]]="V015",$AA3,AO3+AO22))</f>
        <v>0</v>
      </c>
      <c r="AQ22" s="103">
        <f>IF(Tableau66[[#Headers],[V040]]="V010",0,IF(Tableau66[[#Headers],[V040]]="V015",$AA3,AP3+AP22))</f>
        <v>0</v>
      </c>
      <c r="AR22" s="103">
        <f>IF(Tableau66[[#Headers],[V020]]="V010",0,IF(Tableau66[[#Headers],[V020]]="V015",$AA3,AQ3+AQ22))</f>
        <v>0</v>
      </c>
      <c r="AS22" s="103">
        <f>IF(Tableau66[[#Headers],[V025]]="V010",0,IF(Tableau66[[#Headers],[V025]]="V015",$AA3,AR3+AR22))</f>
        <v>0</v>
      </c>
      <c r="AT22" s="103">
        <f>IF(Tableau66[[#Headers],[V030]]="V010",0,IF(Tableau66[[#Headers],[V030]]="V015",$AA3,AS3+AS22))</f>
        <v>0</v>
      </c>
      <c r="AU22" s="103">
        <f>IF(Tableau66[[#Headers],[V035]]="V010",0,IF(Tableau66[[#Headers],[V035]]="V015",$AA3,AT3+AT22))</f>
        <v>0</v>
      </c>
      <c r="AV22" s="103">
        <f>IF(Tableau66[[#Headers],[V040]]="V010",0,IF(Tableau66[[#Headers],[V040]]="V015",$AA3,AU3+AU22))</f>
        <v>0</v>
      </c>
      <c r="AW22" s="103">
        <f>IF(Tableau66[[#Headers],[V020]]="V010",0,IF(Tableau66[[#Headers],[V020]]="V015",$AA3,AV3+AV22))</f>
        <v>0</v>
      </c>
      <c r="AX22" s="103">
        <f>IF(Tableau66[[#Headers],[V020]]="V010",0,IF(Tableau66[[#Headers],[V020]]="V015",$AA3,AW3+AW22))</f>
        <v>0</v>
      </c>
      <c r="AY22" s="103">
        <f>IF(Tableau66[[#Headers],[V025]]="V010",0,IF(Tableau66[[#Headers],[V025]]="V015",$AA3,AX3+AX22))</f>
        <v>0</v>
      </c>
      <c r="AZ22" s="103">
        <f>IF(Tableau66[[#Headers],[V030]]="V010",0,IF(Tableau66[[#Headers],[V030]]="V015",$AA3,AY3+AY22))</f>
        <v>0</v>
      </c>
      <c r="BA22" s="103">
        <f>IF(Tableau66[[#Headers],[V035]]="V010",0,IF(Tableau66[[#Headers],[V035]]="V015",$AA3,AZ3+AZ22))</f>
        <v>0</v>
      </c>
      <c r="BB22" s="103">
        <f>IF(Tableau66[[#Headers],[V040]]="V010",0,IF(Tableau66[[#Headers],[V040]]="V015",$AA3,BA3+BA22))</f>
        <v>0</v>
      </c>
      <c r="BC22" s="103">
        <f>IF(Tableau66[[#Headers],[V045]]="V010",0,IF(Tableau66[[#Headers],[V045]]="V015",$AA3,BB3+BB22))</f>
        <v>0</v>
      </c>
    </row>
    <row r="23" spans="4:64" x14ac:dyDescent="0.2">
      <c r="I23" s="436"/>
      <c r="J23" s="4">
        <v>3</v>
      </c>
      <c r="K23" s="4">
        <f>IF($J$16=0,0,IF(J23=1,MIN($J$15*$J$17/20,$J$16/20),IF(SUM(K$21:K22)=$J$16,0,IF(SUM(K$21:K22)+MIN($J$15*$J$17/20,$J$16/20)&gt;$J$16,$J$16-SUM(K$21:K22),MIN($J$15*$J$17/20,$J$16/20)))))</f>
        <v>0</v>
      </c>
      <c r="L23" s="258"/>
      <c r="M23" s="262"/>
      <c r="N23" s="262"/>
      <c r="W23" s="436"/>
      <c r="X23" s="4" t="str">
        <f t="shared" si="2"/>
        <v>A</v>
      </c>
      <c r="Y23" s="4" t="str">
        <f t="shared" si="1"/>
        <v/>
      </c>
      <c r="Z23" s="4" t="str">
        <f>CONCATENATE(Tableau66[[#This Row],[Strate]],"_",Tableau66[[#This Row],[Essence]])</f>
        <v>A_</v>
      </c>
      <c r="AA23" s="103">
        <f>IF(Tableau66[[#Headers],[V010]]="V010",0,IF(Tableau66[[#Headers],[V010]]="V015",$AB4,AA4+Z23))</f>
        <v>0</v>
      </c>
      <c r="AB23" s="103">
        <f>IF(Tableau66[[#Headers],[V015]]="V010",0,IF(Tableau66[[#Headers],[V015]]="V015",$AA4,AA4+AA23))</f>
        <v>0</v>
      </c>
      <c r="AC23" s="103">
        <f>IF(Tableau66[[#Headers],[V020]]="V010",0,IF(Tableau66[[#Headers],[V020]]="V015",$AA4,AB4+AB23))</f>
        <v>0</v>
      </c>
      <c r="AD23" s="103">
        <f>IF(Tableau66[[#Headers],[V025]]="V010",0,IF(Tableau66[[#Headers],[V025]]="V015",$AA4,AC4+AC23))</f>
        <v>0</v>
      </c>
      <c r="AE23" s="103">
        <f>IF(Tableau66[[#Headers],[V030]]="V010",0,IF(Tableau66[[#Headers],[V030]]="V015",$AA4,AD4+AD23))</f>
        <v>0</v>
      </c>
      <c r="AF23" s="103">
        <f>IF(Tableau66[[#Headers],[V035]]="V010",0,IF(Tableau66[[#Headers],[V035]]="V015",$AA4,AE4+AE23))</f>
        <v>0</v>
      </c>
      <c r="AG23" s="103">
        <f>IF(Tableau66[[#Headers],[V040]]="V010",0,IF(Tableau66[[#Headers],[V040]]="V015",$AA4,AF4+AF23))</f>
        <v>0</v>
      </c>
      <c r="AH23" s="103">
        <f>IF(Tableau66[[#Headers],[V045]]="V010",0,IF(Tableau66[[#Headers],[V045]]="V015",$AA4,AG4+AG23))</f>
        <v>0</v>
      </c>
      <c r="AI23" s="103">
        <f>IF(Tableau66[[#Headers],[V050]]="V010",0,IF(Tableau66[[#Headers],[V050]]="V015",$AA4,AH4+AH23))</f>
        <v>0</v>
      </c>
      <c r="AJ23" s="103">
        <f>IF(Tableau66[[#Headers],[V055]]="V010",0,IF(Tableau66[[#Headers],[V055]]="V015",$AA4,AI4+AI23))</f>
        <v>0</v>
      </c>
      <c r="AK23" s="103">
        <f>IF(Tableau66[[#Headers],[V060]]="V010",0,IF(Tableau66[[#Headers],[V060]]="V015",$AA4,AJ4+AJ23))</f>
        <v>0</v>
      </c>
      <c r="AL23" s="103">
        <f>IF(Tableau66[[#Headers],[V065]]="V010",0,IF(Tableau66[[#Headers],[V065]]="V015",$AA4,AK4+AK23))</f>
        <v>0</v>
      </c>
      <c r="AM23" s="103">
        <f>IF(Tableau66[[#Headers],[V020]]="V010",0,IF(Tableau66[[#Headers],[V020]]="V015",$AA4,AL4+AL23))</f>
        <v>0</v>
      </c>
      <c r="AN23" s="103">
        <f>IF(Tableau66[[#Headers],[V025]]="V010",0,IF(Tableau66[[#Headers],[V025]]="V015",$AA4,AM4+AM23))</f>
        <v>0</v>
      </c>
      <c r="AO23" s="103">
        <f>IF(Tableau66[[#Headers],[V030]]="V010",0,IF(Tableau66[[#Headers],[V030]]="V015",$AA4,AN4+AN23))</f>
        <v>0</v>
      </c>
      <c r="AP23" s="103">
        <f>IF(Tableau66[[#Headers],[V035]]="V010",0,IF(Tableau66[[#Headers],[V035]]="V015",$AA4,AO4+AO23))</f>
        <v>0</v>
      </c>
      <c r="AQ23" s="103">
        <f>IF(Tableau66[[#Headers],[V040]]="V010",0,IF(Tableau66[[#Headers],[V040]]="V015",$AA4,AP4+AP23))</f>
        <v>0</v>
      </c>
      <c r="AR23" s="103">
        <f>IF(Tableau66[[#Headers],[V020]]="V010",0,IF(Tableau66[[#Headers],[V020]]="V015",$AA4,AQ4+AQ23))</f>
        <v>0</v>
      </c>
      <c r="AS23" s="103">
        <f>IF(Tableau66[[#Headers],[V025]]="V010",0,IF(Tableau66[[#Headers],[V025]]="V015",$AA4,AR4+AR23))</f>
        <v>0</v>
      </c>
      <c r="AT23" s="103">
        <f>IF(Tableau66[[#Headers],[V030]]="V010",0,IF(Tableau66[[#Headers],[V030]]="V015",$AA4,AS4+AS23))</f>
        <v>0</v>
      </c>
      <c r="AU23" s="103">
        <f>IF(Tableau66[[#Headers],[V035]]="V010",0,IF(Tableau66[[#Headers],[V035]]="V015",$AA4,AT4+AT23))</f>
        <v>0</v>
      </c>
      <c r="AV23" s="103">
        <f>IF(Tableau66[[#Headers],[V040]]="V010",0,IF(Tableau66[[#Headers],[V040]]="V015",$AA4,AU4+AU23))</f>
        <v>0</v>
      </c>
      <c r="AW23" s="103">
        <f>IF(Tableau66[[#Headers],[V020]]="V010",0,IF(Tableau66[[#Headers],[V020]]="V015",$AA4,AV4+AV23))</f>
        <v>0</v>
      </c>
      <c r="AX23" s="103">
        <f>IF(Tableau66[[#Headers],[V020]]="V010",0,IF(Tableau66[[#Headers],[V020]]="V015",$AA4,AW4+AW23))</f>
        <v>0</v>
      </c>
      <c r="AY23" s="103">
        <f>IF(Tableau66[[#Headers],[V025]]="V010",0,IF(Tableau66[[#Headers],[V025]]="V015",$AA4,AX4+AX23))</f>
        <v>0</v>
      </c>
      <c r="AZ23" s="103">
        <f>IF(Tableau66[[#Headers],[V030]]="V010",0,IF(Tableau66[[#Headers],[V030]]="V015",$AA4,AY4+AY23))</f>
        <v>0</v>
      </c>
      <c r="BA23" s="103">
        <f>IF(Tableau66[[#Headers],[V035]]="V010",0,IF(Tableau66[[#Headers],[V035]]="V015",$AA4,AZ4+AZ23))</f>
        <v>0</v>
      </c>
      <c r="BB23" s="103">
        <f>IF(Tableau66[[#Headers],[V040]]="V010",0,IF(Tableau66[[#Headers],[V040]]="V015",$AA4,BA4+BA23))</f>
        <v>0</v>
      </c>
      <c r="BC23" s="103">
        <f>IF(Tableau66[[#Headers],[V045]]="V010",0,IF(Tableau66[[#Headers],[V045]]="V015",$AA4,BB4+BB23))</f>
        <v>0</v>
      </c>
    </row>
    <row r="24" spans="4:64" x14ac:dyDescent="0.2">
      <c r="I24" s="436"/>
      <c r="J24" s="4">
        <v>4</v>
      </c>
      <c r="K24" s="4">
        <f>IF($J$16=0,0,IF(J24=1,MIN($J$15*$J$17/20,$J$16/20),IF(SUM(K$21:K23)=$J$16,0,IF(SUM(K$21:K23)+MIN($J$15*$J$17/20,$J$16/20)&gt;$J$16,$J$16-SUM(K$21:K23),MIN($J$15*$J$17/20,$J$16/20)))))</f>
        <v>0</v>
      </c>
      <c r="L24" s="262"/>
      <c r="M24" s="262"/>
      <c r="N24" s="262"/>
      <c r="W24" s="436"/>
      <c r="X24" s="4" t="str">
        <f t="shared" si="2"/>
        <v>A</v>
      </c>
      <c r="Y24" s="4" t="str">
        <f t="shared" si="1"/>
        <v/>
      </c>
      <c r="Z24" s="4" t="str">
        <f>CONCATENATE(Tableau66[[#This Row],[Strate]],"_",Tableau66[[#This Row],[Essence]])</f>
        <v>A_</v>
      </c>
      <c r="AA24" s="103">
        <f>IF(Tableau66[[#Headers],[V010]]="V010",0,IF(Tableau66[[#Headers],[V010]]="V015",$AB5,AA5+Z24))</f>
        <v>0</v>
      </c>
      <c r="AB24" s="103">
        <f>IF(Tableau66[[#Headers],[V015]]="V010",0,IF(Tableau66[[#Headers],[V015]]="V015",$AA5,AA5+AA24))</f>
        <v>0</v>
      </c>
      <c r="AC24" s="103">
        <f>IF(Tableau66[[#Headers],[V020]]="V010",0,IF(Tableau66[[#Headers],[V020]]="V015",$AA5,AB5+AB24))</f>
        <v>0</v>
      </c>
      <c r="AD24" s="103">
        <f>IF(Tableau66[[#Headers],[V025]]="V010",0,IF(Tableau66[[#Headers],[V025]]="V015",$AA5,AC5+AC24))</f>
        <v>0</v>
      </c>
      <c r="AE24" s="103">
        <f>IF(Tableau66[[#Headers],[V030]]="V010",0,IF(Tableau66[[#Headers],[V030]]="V015",$AA5,AD5+AD24))</f>
        <v>0</v>
      </c>
      <c r="AF24" s="103">
        <f>IF(Tableau66[[#Headers],[V035]]="V010",0,IF(Tableau66[[#Headers],[V035]]="V015",$AA5,AE5+AE24))</f>
        <v>0</v>
      </c>
      <c r="AG24" s="103">
        <f>IF(Tableau66[[#Headers],[V040]]="V010",0,IF(Tableau66[[#Headers],[V040]]="V015",$AA5,AF5+AF24))</f>
        <v>0</v>
      </c>
      <c r="AH24" s="103">
        <f>IF(Tableau66[[#Headers],[V045]]="V010",0,IF(Tableau66[[#Headers],[V045]]="V015",$AA5,AG5+AG24))</f>
        <v>0</v>
      </c>
      <c r="AI24" s="103">
        <f>IF(Tableau66[[#Headers],[V050]]="V010",0,IF(Tableau66[[#Headers],[V050]]="V015",$AA5,AH5+AH24))</f>
        <v>0</v>
      </c>
      <c r="AJ24" s="103">
        <f>IF(Tableau66[[#Headers],[V055]]="V010",0,IF(Tableau66[[#Headers],[V055]]="V015",$AA5,AI5+AI24))</f>
        <v>0</v>
      </c>
      <c r="AK24" s="103">
        <f>IF(Tableau66[[#Headers],[V060]]="V010",0,IF(Tableau66[[#Headers],[V060]]="V015",$AA5,AJ5+AJ24))</f>
        <v>0</v>
      </c>
      <c r="AL24" s="103">
        <f>IF(Tableau66[[#Headers],[V065]]="V010",0,IF(Tableau66[[#Headers],[V065]]="V015",$AA5,AK5+AK24))</f>
        <v>0</v>
      </c>
      <c r="AM24" s="103">
        <f>IF(Tableau66[[#Headers],[V020]]="V010",0,IF(Tableau66[[#Headers],[V020]]="V015",$AA5,AL5+AL24))</f>
        <v>0</v>
      </c>
      <c r="AN24" s="103">
        <f>IF(Tableau66[[#Headers],[V025]]="V010",0,IF(Tableau66[[#Headers],[V025]]="V015",$AA5,AM5+AM24))</f>
        <v>0</v>
      </c>
      <c r="AO24" s="103">
        <f>IF(Tableau66[[#Headers],[V030]]="V010",0,IF(Tableau66[[#Headers],[V030]]="V015",$AA5,AN5+AN24))</f>
        <v>0</v>
      </c>
      <c r="AP24" s="103">
        <f>IF(Tableau66[[#Headers],[V035]]="V010",0,IF(Tableau66[[#Headers],[V035]]="V015",$AA5,AO5+AO24))</f>
        <v>0</v>
      </c>
      <c r="AQ24" s="103">
        <f>IF(Tableau66[[#Headers],[V040]]="V010",0,IF(Tableau66[[#Headers],[V040]]="V015",$AA5,AP5+AP24))</f>
        <v>0</v>
      </c>
      <c r="AR24" s="103">
        <f>IF(Tableau66[[#Headers],[V020]]="V010",0,IF(Tableau66[[#Headers],[V020]]="V015",$AA5,AQ5+AQ24))</f>
        <v>0</v>
      </c>
      <c r="AS24" s="103">
        <f>IF(Tableau66[[#Headers],[V025]]="V010",0,IF(Tableau66[[#Headers],[V025]]="V015",$AA5,AR5+AR24))</f>
        <v>0</v>
      </c>
      <c r="AT24" s="103">
        <f>IF(Tableau66[[#Headers],[V030]]="V010",0,IF(Tableau66[[#Headers],[V030]]="V015",$AA5,AS5+AS24))</f>
        <v>0</v>
      </c>
      <c r="AU24" s="103">
        <f>IF(Tableau66[[#Headers],[V035]]="V010",0,IF(Tableau66[[#Headers],[V035]]="V015",$AA5,AT5+AT24))</f>
        <v>0</v>
      </c>
      <c r="AV24" s="103">
        <f>IF(Tableau66[[#Headers],[V040]]="V010",0,IF(Tableau66[[#Headers],[V040]]="V015",$AA5,AU5+AU24))</f>
        <v>0</v>
      </c>
      <c r="AW24" s="103">
        <f>IF(Tableau66[[#Headers],[V020]]="V010",0,IF(Tableau66[[#Headers],[V020]]="V015",$AA5,AV5+AV24))</f>
        <v>0</v>
      </c>
      <c r="AX24" s="103">
        <f>IF(Tableau66[[#Headers],[V020]]="V010",0,IF(Tableau66[[#Headers],[V020]]="V015",$AA5,AW5+AW24))</f>
        <v>0</v>
      </c>
      <c r="AY24" s="103">
        <f>IF(Tableau66[[#Headers],[V025]]="V010",0,IF(Tableau66[[#Headers],[V025]]="V015",$AA5,AX5+AX24))</f>
        <v>0</v>
      </c>
      <c r="AZ24" s="103">
        <f>IF(Tableau66[[#Headers],[V030]]="V010",0,IF(Tableau66[[#Headers],[V030]]="V015",$AA5,AY5+AY24))</f>
        <v>0</v>
      </c>
      <c r="BA24" s="103">
        <f>IF(Tableau66[[#Headers],[V035]]="V010",0,IF(Tableau66[[#Headers],[V035]]="V015",$AA5,AZ5+AZ24))</f>
        <v>0</v>
      </c>
      <c r="BB24" s="103">
        <f>IF(Tableau66[[#Headers],[V040]]="V010",0,IF(Tableau66[[#Headers],[V040]]="V015",$AA5,BA5+BA24))</f>
        <v>0</v>
      </c>
      <c r="BC24" s="103">
        <f>IF(Tableau66[[#Headers],[V045]]="V010",0,IF(Tableau66[[#Headers],[V045]]="V015",$AA5,BB5+BB24))</f>
        <v>0</v>
      </c>
    </row>
    <row r="25" spans="4:64" x14ac:dyDescent="0.2">
      <c r="D25" s="265"/>
      <c r="I25" s="436"/>
      <c r="J25" s="4">
        <v>5</v>
      </c>
      <c r="K25" s="4">
        <f>IF($J$16=0,0,IF(J25=1,MIN($J$15*$J$17/20,$J$16/20),IF(SUM(K$21:K24)=$J$16,0,IF(SUM(K$21:K24)+MIN($J$15*$J$17/20,$J$16/20)&gt;$J$16,$J$16-SUM(K$21:K24),MIN($J$15*$J$17/20,$J$16/20)))))</f>
        <v>0</v>
      </c>
      <c r="L25" s="262"/>
      <c r="M25" s="262"/>
      <c r="N25" s="262"/>
      <c r="W25" s="436"/>
      <c r="X25" s="4" t="str">
        <f t="shared" si="2"/>
        <v>B</v>
      </c>
      <c r="Y25" s="4" t="str">
        <f t="shared" si="1"/>
        <v/>
      </c>
      <c r="Z25" s="4" t="str">
        <f>CONCATENATE(Tableau66[[#This Row],[Strate]],"_",Tableau66[[#This Row],[Essence]])</f>
        <v>B_</v>
      </c>
      <c r="AA25" s="103">
        <f>IF(Tableau66[[#Headers],[V010]]="V010",0,IF(Tableau66[[#Headers],[V010]]="V015",$AB6,AA6+Z25))</f>
        <v>0</v>
      </c>
      <c r="AB25" s="103">
        <f>IF(Tableau66[[#Headers],[V015]]="V010",0,IF(Tableau66[[#Headers],[V015]]="V015",$AA6,AA6+AA25))</f>
        <v>0</v>
      </c>
      <c r="AC25" s="103">
        <f>IF(Tableau66[[#Headers],[V020]]="V010",0,IF(Tableau66[[#Headers],[V020]]="V015",$AA6,AB6+AB25))</f>
        <v>0</v>
      </c>
      <c r="AD25" s="103">
        <f>IF(Tableau66[[#Headers],[V025]]="V010",0,IF(Tableau66[[#Headers],[V025]]="V015",$AA6,AC6+AC25))</f>
        <v>0</v>
      </c>
      <c r="AE25" s="103">
        <f>IF(Tableau66[[#Headers],[V030]]="V010",0,IF(Tableau66[[#Headers],[V030]]="V015",$AA6,AD6+AD25))</f>
        <v>0</v>
      </c>
      <c r="AF25" s="103">
        <f>IF(Tableau66[[#Headers],[V035]]="V010",0,IF(Tableau66[[#Headers],[V035]]="V015",$AA6,AE6+AE25))</f>
        <v>0</v>
      </c>
      <c r="AG25" s="103">
        <f>IF(Tableau66[[#Headers],[V040]]="V010",0,IF(Tableau66[[#Headers],[V040]]="V015",$AA6,AF6+AF25))</f>
        <v>0</v>
      </c>
      <c r="AH25" s="103">
        <f>IF(Tableau66[[#Headers],[V045]]="V010",0,IF(Tableau66[[#Headers],[V045]]="V015",$AA6,AG6+AG25))</f>
        <v>0</v>
      </c>
      <c r="AI25" s="103">
        <f>IF(Tableau66[[#Headers],[V050]]="V010",0,IF(Tableau66[[#Headers],[V050]]="V015",$AA6,AH6+AH25))</f>
        <v>0</v>
      </c>
      <c r="AJ25" s="103">
        <f>IF(Tableau66[[#Headers],[V055]]="V010",0,IF(Tableau66[[#Headers],[V055]]="V015",$AA6,AI6+AI25))</f>
        <v>0</v>
      </c>
      <c r="AK25" s="103">
        <f>IF(Tableau66[[#Headers],[V060]]="V010",0,IF(Tableau66[[#Headers],[V060]]="V015",$AA6,AJ6+AJ25))</f>
        <v>0</v>
      </c>
      <c r="AL25" s="103">
        <f>IF(Tableau66[[#Headers],[V065]]="V010",0,IF(Tableau66[[#Headers],[V065]]="V015",$AA6,AK6+AK25))</f>
        <v>0</v>
      </c>
      <c r="AM25" s="103">
        <f>IF(Tableau66[[#Headers],[V020]]="V010",0,IF(Tableau66[[#Headers],[V020]]="V015",$AA6,AL6+AL25))</f>
        <v>0</v>
      </c>
      <c r="AN25" s="103">
        <f>IF(Tableau66[[#Headers],[V025]]="V010",0,IF(Tableau66[[#Headers],[V025]]="V015",$AA6,AM6+AM25))</f>
        <v>0</v>
      </c>
      <c r="AO25" s="103">
        <f>IF(Tableau66[[#Headers],[V030]]="V010",0,IF(Tableau66[[#Headers],[V030]]="V015",$AA6,AN6+AN25))</f>
        <v>0</v>
      </c>
      <c r="AP25" s="103">
        <f>IF(Tableau66[[#Headers],[V035]]="V010",0,IF(Tableau66[[#Headers],[V035]]="V015",$AA6,AO6+AO25))</f>
        <v>0</v>
      </c>
      <c r="AQ25" s="103">
        <f>IF(Tableau66[[#Headers],[V040]]="V010",0,IF(Tableau66[[#Headers],[V040]]="V015",$AA6,AP6+AP25))</f>
        <v>0</v>
      </c>
      <c r="AR25" s="103">
        <f>IF(Tableau66[[#Headers],[V020]]="V010",0,IF(Tableau66[[#Headers],[V020]]="V015",$AA6,AQ6+AQ25))</f>
        <v>0</v>
      </c>
      <c r="AS25" s="103">
        <f>IF(Tableau66[[#Headers],[V025]]="V010",0,IF(Tableau66[[#Headers],[V025]]="V015",$AA6,AR6+AR25))</f>
        <v>0</v>
      </c>
      <c r="AT25" s="103">
        <f>IF(Tableau66[[#Headers],[V030]]="V010",0,IF(Tableau66[[#Headers],[V030]]="V015",$AA6,AS6+AS25))</f>
        <v>0</v>
      </c>
      <c r="AU25" s="103">
        <f>IF(Tableau66[[#Headers],[V035]]="V010",0,IF(Tableau66[[#Headers],[V035]]="V015",$AA6,AT6+AT25))</f>
        <v>0</v>
      </c>
      <c r="AV25" s="103">
        <f>IF(Tableau66[[#Headers],[V040]]="V010",0,IF(Tableau66[[#Headers],[V040]]="V015",$AA6,AU6+AU25))</f>
        <v>0</v>
      </c>
      <c r="AW25" s="103">
        <f>IF(Tableau66[[#Headers],[V020]]="V010",0,IF(Tableau66[[#Headers],[V020]]="V015",$AA6,AV6+AV25))</f>
        <v>0</v>
      </c>
      <c r="AX25" s="103">
        <f>IF(Tableau66[[#Headers],[V020]]="V010",0,IF(Tableau66[[#Headers],[V020]]="V015",$AA6,AW6+AW25))</f>
        <v>0</v>
      </c>
      <c r="AY25" s="103">
        <f>IF(Tableau66[[#Headers],[V025]]="V010",0,IF(Tableau66[[#Headers],[V025]]="V015",$AA6,AX6+AX25))</f>
        <v>0</v>
      </c>
      <c r="AZ25" s="103">
        <f>IF(Tableau66[[#Headers],[V030]]="V010",0,IF(Tableau66[[#Headers],[V030]]="V015",$AA6,AY6+AY25))</f>
        <v>0</v>
      </c>
      <c r="BA25" s="103">
        <f>IF(Tableau66[[#Headers],[V035]]="V010",0,IF(Tableau66[[#Headers],[V035]]="V015",$AA6,AZ6+AZ25))</f>
        <v>0</v>
      </c>
      <c r="BB25" s="103">
        <f>IF(Tableau66[[#Headers],[V040]]="V010",0,IF(Tableau66[[#Headers],[V040]]="V015",$AA6,BA6+BA25))</f>
        <v>0</v>
      </c>
      <c r="BC25" s="103">
        <f>IF(Tableau66[[#Headers],[V045]]="V010",0,IF(Tableau66[[#Headers],[V045]]="V015",$AA6,BB6+BB25))</f>
        <v>0</v>
      </c>
    </row>
    <row r="26" spans="4:64" x14ac:dyDescent="0.2">
      <c r="I26" s="436"/>
      <c r="J26" s="4">
        <v>6</v>
      </c>
      <c r="K26" s="4">
        <f>IF($J$16=0,0,IF(J26=1,MIN($J$15*$J$17/20,$J$16/20),IF(SUM(K$21:K25)=$J$16,0,IF(SUM(K$21:K25)+MIN($J$15*$J$17/20,$J$16/20)&gt;$J$16,$J$16-SUM(K$21:K25),MIN($J$15*$J$17/20,$J$16/20)))))</f>
        <v>0</v>
      </c>
      <c r="L26" s="262"/>
      <c r="M26" s="262"/>
      <c r="N26" s="262"/>
      <c r="W26" s="436"/>
      <c r="X26" s="4" t="str">
        <f t="shared" si="2"/>
        <v>B</v>
      </c>
      <c r="Y26" s="4" t="str">
        <f t="shared" si="1"/>
        <v/>
      </c>
      <c r="Z26" s="4" t="str">
        <f>CONCATENATE(Tableau66[[#This Row],[Strate]],"_",Tableau66[[#This Row],[Essence]])</f>
        <v>B_</v>
      </c>
      <c r="AA26" s="103">
        <f>IF(Tableau66[[#Headers],[V010]]="V010",0,IF(Tableau66[[#Headers],[V010]]="V015",$AB7,AA7+Z26))</f>
        <v>0</v>
      </c>
      <c r="AB26" s="103">
        <f>IF(Tableau66[[#Headers],[V015]]="V010",0,IF(Tableau66[[#Headers],[V015]]="V015",$AA7,AA7+AA26))</f>
        <v>0</v>
      </c>
      <c r="AC26" s="103">
        <f>IF(Tableau66[[#Headers],[V020]]="V010",0,IF(Tableau66[[#Headers],[V020]]="V015",$AA7,AB7+AB26))</f>
        <v>0</v>
      </c>
      <c r="AD26" s="103">
        <f>IF(Tableau66[[#Headers],[V025]]="V010",0,IF(Tableau66[[#Headers],[V025]]="V015",$AA7,AC7+AC26))</f>
        <v>0</v>
      </c>
      <c r="AE26" s="103">
        <f>IF(Tableau66[[#Headers],[V030]]="V010",0,IF(Tableau66[[#Headers],[V030]]="V015",$AA7,AD7+AD26))</f>
        <v>0</v>
      </c>
      <c r="AF26" s="103">
        <f>IF(Tableau66[[#Headers],[V035]]="V010",0,IF(Tableau66[[#Headers],[V035]]="V015",$AA7,AE7+AE26))</f>
        <v>0</v>
      </c>
      <c r="AG26" s="103">
        <f>IF(Tableau66[[#Headers],[V040]]="V010",0,IF(Tableau66[[#Headers],[V040]]="V015",$AA7,AF7+AF26))</f>
        <v>0</v>
      </c>
      <c r="AH26" s="103">
        <f>IF(Tableau66[[#Headers],[V045]]="V010",0,IF(Tableau66[[#Headers],[V045]]="V015",$AA7,AG7+AG26))</f>
        <v>0</v>
      </c>
      <c r="AI26" s="103">
        <f>IF(Tableau66[[#Headers],[V050]]="V010",0,IF(Tableau66[[#Headers],[V050]]="V015",$AA7,AH7+AH26))</f>
        <v>0</v>
      </c>
      <c r="AJ26" s="103">
        <f>IF(Tableau66[[#Headers],[V055]]="V010",0,IF(Tableau66[[#Headers],[V055]]="V015",$AA7,AI7+AI26))</f>
        <v>0</v>
      </c>
      <c r="AK26" s="103">
        <f>IF(Tableau66[[#Headers],[V060]]="V010",0,IF(Tableau66[[#Headers],[V060]]="V015",$AA7,AJ7+AJ26))</f>
        <v>0</v>
      </c>
      <c r="AL26" s="103">
        <f>IF(Tableau66[[#Headers],[V065]]="V010",0,IF(Tableau66[[#Headers],[V065]]="V015",$AA7,AK7+AK26))</f>
        <v>0</v>
      </c>
      <c r="AM26" s="103">
        <f>IF(Tableau66[[#Headers],[V020]]="V010",0,IF(Tableau66[[#Headers],[V020]]="V015",$AA7,AL7+AL26))</f>
        <v>0</v>
      </c>
      <c r="AN26" s="103">
        <f>IF(Tableau66[[#Headers],[V025]]="V010",0,IF(Tableau66[[#Headers],[V025]]="V015",$AA7,AM7+AM26))</f>
        <v>0</v>
      </c>
      <c r="AO26" s="103">
        <f>IF(Tableau66[[#Headers],[V030]]="V010",0,IF(Tableau66[[#Headers],[V030]]="V015",$AA7,AN7+AN26))</f>
        <v>0</v>
      </c>
      <c r="AP26" s="103">
        <f>IF(Tableau66[[#Headers],[V035]]="V010",0,IF(Tableau66[[#Headers],[V035]]="V015",$AA7,AO7+AO26))</f>
        <v>0</v>
      </c>
      <c r="AQ26" s="103">
        <f>IF(Tableau66[[#Headers],[V040]]="V010",0,IF(Tableau66[[#Headers],[V040]]="V015",$AA7,AP7+AP26))</f>
        <v>0</v>
      </c>
      <c r="AR26" s="103">
        <f>IF(Tableau66[[#Headers],[V020]]="V010",0,IF(Tableau66[[#Headers],[V020]]="V015",$AA7,AQ7+AQ26))</f>
        <v>0</v>
      </c>
      <c r="AS26" s="103">
        <f>IF(Tableau66[[#Headers],[V025]]="V010",0,IF(Tableau66[[#Headers],[V025]]="V015",$AA7,AR7+AR26))</f>
        <v>0</v>
      </c>
      <c r="AT26" s="103">
        <f>IF(Tableau66[[#Headers],[V030]]="V010",0,IF(Tableau66[[#Headers],[V030]]="V015",$AA7,AS7+AS26))</f>
        <v>0</v>
      </c>
      <c r="AU26" s="103">
        <f>IF(Tableau66[[#Headers],[V035]]="V010",0,IF(Tableau66[[#Headers],[V035]]="V015",$AA7,AT7+AT26))</f>
        <v>0</v>
      </c>
      <c r="AV26" s="103">
        <f>IF(Tableau66[[#Headers],[V040]]="V010",0,IF(Tableau66[[#Headers],[V040]]="V015",$AA7,AU7+AU26))</f>
        <v>0</v>
      </c>
      <c r="AW26" s="103">
        <f>IF(Tableau66[[#Headers],[V020]]="V010",0,IF(Tableau66[[#Headers],[V020]]="V015",$AA7,AV7+AV26))</f>
        <v>0</v>
      </c>
      <c r="AX26" s="103">
        <f>IF(Tableau66[[#Headers],[V020]]="V010",0,IF(Tableau66[[#Headers],[V020]]="V015",$AA7,AW7+AW26))</f>
        <v>0</v>
      </c>
      <c r="AY26" s="103">
        <f>IF(Tableau66[[#Headers],[V025]]="V010",0,IF(Tableau66[[#Headers],[V025]]="V015",$AA7,AX7+AX26))</f>
        <v>0</v>
      </c>
      <c r="AZ26" s="103">
        <f>IF(Tableau66[[#Headers],[V030]]="V010",0,IF(Tableau66[[#Headers],[V030]]="V015",$AA7,AY7+AY26))</f>
        <v>0</v>
      </c>
      <c r="BA26" s="103">
        <f>IF(Tableau66[[#Headers],[V035]]="V010",0,IF(Tableau66[[#Headers],[V035]]="V015",$AA7,AZ7+AZ26))</f>
        <v>0</v>
      </c>
      <c r="BB26" s="103">
        <f>IF(Tableau66[[#Headers],[V040]]="V010",0,IF(Tableau66[[#Headers],[V040]]="V015",$AA7,BA7+BA26))</f>
        <v>0</v>
      </c>
      <c r="BC26" s="103">
        <f>IF(Tableau66[[#Headers],[V045]]="V010",0,IF(Tableau66[[#Headers],[V045]]="V015",$AA7,BB7+BB26))</f>
        <v>0</v>
      </c>
    </row>
    <row r="27" spans="4:64" x14ac:dyDescent="0.2">
      <c r="I27" s="436"/>
      <c r="J27" s="4">
        <v>7</v>
      </c>
      <c r="K27" s="4">
        <f>IF($J$16=0,0,IF(J27=1,MIN($J$15*$J$17/20,$J$16/20),IF(SUM(K$21:K26)=$J$16,0,IF(SUM(K$21:K26)+MIN($J$15*$J$17/20,$J$16/20)&gt;$J$16,$J$16-SUM(K$21:K26),MIN($J$15*$J$17/20,$J$16/20)))))</f>
        <v>0</v>
      </c>
      <c r="L27" s="262"/>
      <c r="M27" s="262"/>
      <c r="N27" s="262"/>
      <c r="W27" s="436"/>
      <c r="X27" s="4" t="str">
        <f t="shared" si="2"/>
        <v>B</v>
      </c>
      <c r="Y27" s="4" t="str">
        <f t="shared" si="1"/>
        <v/>
      </c>
      <c r="Z27" s="4" t="str">
        <f>CONCATENATE(Tableau66[[#This Row],[Strate]],"_",Tableau66[[#This Row],[Essence]])</f>
        <v>B_</v>
      </c>
      <c r="AA27" s="103">
        <f>IF(Tableau66[[#Headers],[V010]]="V010",0,IF(Tableau66[[#Headers],[V010]]="V015",$AB8,AA8+Z27))</f>
        <v>0</v>
      </c>
      <c r="AB27" s="103">
        <f>IF(Tableau66[[#Headers],[V015]]="V010",0,IF(Tableau66[[#Headers],[V015]]="V015",$AA8,AA8+AA27))</f>
        <v>0</v>
      </c>
      <c r="AC27" s="103">
        <f>IF(Tableau66[[#Headers],[V020]]="V010",0,IF(Tableau66[[#Headers],[V020]]="V015",$AA8,AB8+AB27))</f>
        <v>0</v>
      </c>
      <c r="AD27" s="103">
        <f>IF(Tableau66[[#Headers],[V025]]="V010",0,IF(Tableau66[[#Headers],[V025]]="V015",$AA8,AC8+AC27))</f>
        <v>0</v>
      </c>
      <c r="AE27" s="103">
        <f>IF(Tableau66[[#Headers],[V030]]="V010",0,IF(Tableau66[[#Headers],[V030]]="V015",$AA8,AD8+AD27))</f>
        <v>0</v>
      </c>
      <c r="AF27" s="103">
        <f>IF(Tableau66[[#Headers],[V035]]="V010",0,IF(Tableau66[[#Headers],[V035]]="V015",$AA8,AE8+AE27))</f>
        <v>0</v>
      </c>
      <c r="AG27" s="103">
        <f>IF(Tableau66[[#Headers],[V040]]="V010",0,IF(Tableau66[[#Headers],[V040]]="V015",$AA8,AF8+AF27))</f>
        <v>0</v>
      </c>
      <c r="AH27" s="103">
        <f>IF(Tableau66[[#Headers],[V045]]="V010",0,IF(Tableau66[[#Headers],[V045]]="V015",$AA8,AG8+AG27))</f>
        <v>0</v>
      </c>
      <c r="AI27" s="103">
        <f>IF(Tableau66[[#Headers],[V050]]="V010",0,IF(Tableau66[[#Headers],[V050]]="V015",$AA8,AH8+AH27))</f>
        <v>0</v>
      </c>
      <c r="AJ27" s="103">
        <f>IF(Tableau66[[#Headers],[V055]]="V010",0,IF(Tableau66[[#Headers],[V055]]="V015",$AA8,AI8+AI27))</f>
        <v>0</v>
      </c>
      <c r="AK27" s="103">
        <f>IF(Tableau66[[#Headers],[V060]]="V010",0,IF(Tableau66[[#Headers],[V060]]="V015",$AA8,AJ8+AJ27))</f>
        <v>0</v>
      </c>
      <c r="AL27" s="103">
        <f>IF(Tableau66[[#Headers],[V065]]="V010",0,IF(Tableau66[[#Headers],[V065]]="V015",$AA8,AK8+AK27))</f>
        <v>0</v>
      </c>
      <c r="AM27" s="103">
        <f>IF(Tableau66[[#Headers],[V020]]="V010",0,IF(Tableau66[[#Headers],[V020]]="V015",$AA8,AL8+AL27))</f>
        <v>0</v>
      </c>
      <c r="AN27" s="103">
        <f>IF(Tableau66[[#Headers],[V025]]="V010",0,IF(Tableau66[[#Headers],[V025]]="V015",$AA8,AM8+AM27))</f>
        <v>0</v>
      </c>
      <c r="AO27" s="103">
        <f>IF(Tableau66[[#Headers],[V030]]="V010",0,IF(Tableau66[[#Headers],[V030]]="V015",$AA8,AN8+AN27))</f>
        <v>0</v>
      </c>
      <c r="AP27" s="103">
        <f>IF(Tableau66[[#Headers],[V035]]="V010",0,IF(Tableau66[[#Headers],[V035]]="V015",$AA8,AO8+AO27))</f>
        <v>0</v>
      </c>
      <c r="AQ27" s="103">
        <f>IF(Tableau66[[#Headers],[V040]]="V010",0,IF(Tableau66[[#Headers],[V040]]="V015",$AA8,AP8+AP27))</f>
        <v>0</v>
      </c>
      <c r="AR27" s="103">
        <f>IF(Tableau66[[#Headers],[V020]]="V010",0,IF(Tableau66[[#Headers],[V020]]="V015",$AA8,AQ8+AQ27))</f>
        <v>0</v>
      </c>
      <c r="AS27" s="103">
        <f>IF(Tableau66[[#Headers],[V025]]="V010",0,IF(Tableau66[[#Headers],[V025]]="V015",$AA8,AR8+AR27))</f>
        <v>0</v>
      </c>
      <c r="AT27" s="103">
        <f>IF(Tableau66[[#Headers],[V030]]="V010",0,IF(Tableau66[[#Headers],[V030]]="V015",$AA8,AS8+AS27))</f>
        <v>0</v>
      </c>
      <c r="AU27" s="103">
        <f>IF(Tableau66[[#Headers],[V035]]="V010",0,IF(Tableau66[[#Headers],[V035]]="V015",$AA8,AT8+AT27))</f>
        <v>0</v>
      </c>
      <c r="AV27" s="103">
        <f>IF(Tableau66[[#Headers],[V040]]="V010",0,IF(Tableau66[[#Headers],[V040]]="V015",$AA8,AU8+AU27))</f>
        <v>0</v>
      </c>
      <c r="AW27" s="103">
        <f>IF(Tableau66[[#Headers],[V020]]="V010",0,IF(Tableau66[[#Headers],[V020]]="V015",$AA8,AV8+AV27))</f>
        <v>0</v>
      </c>
      <c r="AX27" s="103">
        <f>IF(Tableau66[[#Headers],[V020]]="V010",0,IF(Tableau66[[#Headers],[V020]]="V015",$AA8,AW8+AW27))</f>
        <v>0</v>
      </c>
      <c r="AY27" s="103">
        <f>IF(Tableau66[[#Headers],[V025]]="V010",0,IF(Tableau66[[#Headers],[V025]]="V015",$AA8,AX8+AX27))</f>
        <v>0</v>
      </c>
      <c r="AZ27" s="103">
        <f>IF(Tableau66[[#Headers],[V030]]="V010",0,IF(Tableau66[[#Headers],[V030]]="V015",$AA8,AY8+AY27))</f>
        <v>0</v>
      </c>
      <c r="BA27" s="103">
        <f>IF(Tableau66[[#Headers],[V035]]="V010",0,IF(Tableau66[[#Headers],[V035]]="V015",$AA8,AZ8+AZ27))</f>
        <v>0</v>
      </c>
      <c r="BB27" s="103">
        <f>IF(Tableau66[[#Headers],[V040]]="V010",0,IF(Tableau66[[#Headers],[V040]]="V015",$AA8,BA8+BA27))</f>
        <v>0</v>
      </c>
      <c r="BC27" s="103">
        <f>IF(Tableau66[[#Headers],[V045]]="V010",0,IF(Tableau66[[#Headers],[V045]]="V015",$AA8,BB8+BB27))</f>
        <v>0</v>
      </c>
      <c r="BK27" s="103"/>
    </row>
    <row r="28" spans="4:64" x14ac:dyDescent="0.2">
      <c r="I28" s="436"/>
      <c r="J28" s="4">
        <v>8</v>
      </c>
      <c r="K28" s="4">
        <f>IF($J$16=0,0,IF(J28=1,MIN($J$15*$J$17/20,$J$16/20),IF(SUM(K$21:K27)=$J$16,0,IF(SUM(K$21:K27)+MIN($J$15*$J$17/20,$J$16/20)&gt;$J$16,$J$16-SUM(K$21:K27),MIN($J$15*$J$17/20,$J$16/20)))))</f>
        <v>0</v>
      </c>
      <c r="L28" s="262"/>
      <c r="M28" s="262"/>
      <c r="N28" s="262"/>
      <c r="W28" s="436"/>
      <c r="X28" s="4" t="str">
        <f t="shared" si="2"/>
        <v>B</v>
      </c>
      <c r="Y28" s="4" t="str">
        <f t="shared" si="1"/>
        <v/>
      </c>
      <c r="Z28" s="4" t="str">
        <f>CONCATENATE(Tableau66[[#This Row],[Strate]],"_",Tableau66[[#This Row],[Essence]])</f>
        <v>B_</v>
      </c>
      <c r="AA28" s="103">
        <f>IF(Tableau66[[#Headers],[V010]]="V010",0,IF(Tableau66[[#Headers],[V010]]="V015",$AB9,AA9+Z28))</f>
        <v>0</v>
      </c>
      <c r="AB28" s="103">
        <f>IF(Tableau66[[#Headers],[V015]]="V010",0,IF(Tableau66[[#Headers],[V015]]="V015",$AA9,AA9+AA28))</f>
        <v>0</v>
      </c>
      <c r="AC28" s="103">
        <f>IF(Tableau66[[#Headers],[V020]]="V010",0,IF(Tableau66[[#Headers],[V020]]="V015",$AA9,AB9+AB28))</f>
        <v>0</v>
      </c>
      <c r="AD28" s="103">
        <f>IF(Tableau66[[#Headers],[V025]]="V010",0,IF(Tableau66[[#Headers],[V025]]="V015",$AA9,AC9+AC28))</f>
        <v>0</v>
      </c>
      <c r="AE28" s="103">
        <f>IF(Tableau66[[#Headers],[V030]]="V010",0,IF(Tableau66[[#Headers],[V030]]="V015",$AA9,AD9+AD28))</f>
        <v>0</v>
      </c>
      <c r="AF28" s="103">
        <f>IF(Tableau66[[#Headers],[V035]]="V010",0,IF(Tableau66[[#Headers],[V035]]="V015",$AA9,AE9+AE28))</f>
        <v>0</v>
      </c>
      <c r="AG28" s="103">
        <f>IF(Tableau66[[#Headers],[V040]]="V010",0,IF(Tableau66[[#Headers],[V040]]="V015",$AA9,AF9+AF28))</f>
        <v>0</v>
      </c>
      <c r="AH28" s="103">
        <f>IF(Tableau66[[#Headers],[V045]]="V010",0,IF(Tableau66[[#Headers],[V045]]="V015",$AA9,AG9+AG28))</f>
        <v>0</v>
      </c>
      <c r="AI28" s="103">
        <f>IF(Tableau66[[#Headers],[V050]]="V010",0,IF(Tableau66[[#Headers],[V050]]="V015",$AA9,AH9+AH28))</f>
        <v>0</v>
      </c>
      <c r="AJ28" s="103">
        <f>IF(Tableau66[[#Headers],[V055]]="V010",0,IF(Tableau66[[#Headers],[V055]]="V015",$AA9,AI9+AI28))</f>
        <v>0</v>
      </c>
      <c r="AK28" s="103">
        <f>IF(Tableau66[[#Headers],[V060]]="V010",0,IF(Tableau66[[#Headers],[V060]]="V015",$AA9,AJ9+AJ28))</f>
        <v>0</v>
      </c>
      <c r="AL28" s="103">
        <f>IF(Tableau66[[#Headers],[V065]]="V010",0,IF(Tableau66[[#Headers],[V065]]="V015",$AA9,AK9+AK28))</f>
        <v>0</v>
      </c>
      <c r="AM28" s="103">
        <f>IF(Tableau66[[#Headers],[V020]]="V010",0,IF(Tableau66[[#Headers],[V020]]="V015",$AA9,AL9+AL28))</f>
        <v>0</v>
      </c>
      <c r="AN28" s="103">
        <f>IF(Tableau66[[#Headers],[V025]]="V010",0,IF(Tableau66[[#Headers],[V025]]="V015",$AA9,AM9+AM28))</f>
        <v>0</v>
      </c>
      <c r="AO28" s="103">
        <f>IF(Tableau66[[#Headers],[V030]]="V010",0,IF(Tableau66[[#Headers],[V030]]="V015",$AA9,AN9+AN28))</f>
        <v>0</v>
      </c>
      <c r="AP28" s="103">
        <f>IF(Tableau66[[#Headers],[V035]]="V010",0,IF(Tableau66[[#Headers],[V035]]="V015",$AA9,AO9+AO28))</f>
        <v>0</v>
      </c>
      <c r="AQ28" s="103">
        <f>IF(Tableau66[[#Headers],[V040]]="V010",0,IF(Tableau66[[#Headers],[V040]]="V015",$AA9,AP9+AP28))</f>
        <v>0</v>
      </c>
      <c r="AR28" s="103">
        <f>IF(Tableau66[[#Headers],[V020]]="V010",0,IF(Tableau66[[#Headers],[V020]]="V015",$AA9,AQ9+AQ28))</f>
        <v>0</v>
      </c>
      <c r="AS28" s="103">
        <f>IF(Tableau66[[#Headers],[V025]]="V010",0,IF(Tableau66[[#Headers],[V025]]="V015",$AA9,AR9+AR28))</f>
        <v>0</v>
      </c>
      <c r="AT28" s="103">
        <f>IF(Tableau66[[#Headers],[V030]]="V010",0,IF(Tableau66[[#Headers],[V030]]="V015",$AA9,AS9+AS28))</f>
        <v>0</v>
      </c>
      <c r="AU28" s="103">
        <f>IF(Tableau66[[#Headers],[V035]]="V010",0,IF(Tableau66[[#Headers],[V035]]="V015",$AA9,AT9+AT28))</f>
        <v>0</v>
      </c>
      <c r="AV28" s="103">
        <f>IF(Tableau66[[#Headers],[V040]]="V010",0,IF(Tableau66[[#Headers],[V040]]="V015",$AA9,AU9+AU28))</f>
        <v>0</v>
      </c>
      <c r="AW28" s="103">
        <f>IF(Tableau66[[#Headers],[V020]]="V010",0,IF(Tableau66[[#Headers],[V020]]="V015",$AA9,AV9+AV28))</f>
        <v>0</v>
      </c>
      <c r="AX28" s="103">
        <f>IF(Tableau66[[#Headers],[V020]]="V010",0,IF(Tableau66[[#Headers],[V020]]="V015",$AA9,AW9+AW28))</f>
        <v>0</v>
      </c>
      <c r="AY28" s="103">
        <f>IF(Tableau66[[#Headers],[V025]]="V010",0,IF(Tableau66[[#Headers],[V025]]="V015",$AA9,AX9+AX28))</f>
        <v>0</v>
      </c>
      <c r="AZ28" s="103">
        <f>IF(Tableau66[[#Headers],[V030]]="V010",0,IF(Tableau66[[#Headers],[V030]]="V015",$AA9,AY9+AY28))</f>
        <v>0</v>
      </c>
      <c r="BA28" s="103">
        <f>IF(Tableau66[[#Headers],[V035]]="V010",0,IF(Tableau66[[#Headers],[V035]]="V015",$AA9,AZ9+AZ28))</f>
        <v>0</v>
      </c>
      <c r="BB28" s="103">
        <f>IF(Tableau66[[#Headers],[V040]]="V010",0,IF(Tableau66[[#Headers],[V040]]="V015",$AA9,BA9+BA28))</f>
        <v>0</v>
      </c>
      <c r="BC28" s="103">
        <f>IF(Tableau66[[#Headers],[V045]]="V010",0,IF(Tableau66[[#Headers],[V045]]="V015",$AA9,BB9+BB28))</f>
        <v>0</v>
      </c>
    </row>
    <row r="29" spans="4:64" x14ac:dyDescent="0.2">
      <c r="D29" s="265"/>
      <c r="I29" s="436"/>
      <c r="J29" s="4">
        <v>9</v>
      </c>
      <c r="K29" s="4">
        <f>IF($J$16=0,0,IF(J29=1,MIN($J$15*$J$17/20,$J$16/20),IF(SUM(K$21:K28)=$J$16,0,IF(SUM(K$21:K28)+MIN($J$15*$J$17/20,$J$16/20)&gt;$J$16,$J$16-SUM(K$21:K28),MIN($J$15*$J$17/20,$J$16/20)))))</f>
        <v>0</v>
      </c>
      <c r="L29" s="262"/>
      <c r="M29" s="262"/>
      <c r="N29" s="262"/>
      <c r="W29" s="436"/>
      <c r="X29" s="4" t="str">
        <f t="shared" si="2"/>
        <v>C</v>
      </c>
      <c r="Y29" s="4" t="str">
        <f t="shared" si="1"/>
        <v/>
      </c>
      <c r="Z29" s="4" t="str">
        <f>CONCATENATE(Tableau66[[#This Row],[Strate]],"_",Tableau66[[#This Row],[Essence]])</f>
        <v>C_</v>
      </c>
      <c r="AA29" s="103">
        <f>IF(Tableau66[[#Headers],[V010]]="V010",0,IF(Tableau66[[#Headers],[V010]]="V015",$AB10,AA10+Z29))</f>
        <v>0</v>
      </c>
      <c r="AB29" s="103">
        <f>IF(Tableau66[[#Headers],[V015]]="V010",0,IF(Tableau66[[#Headers],[V015]]="V015",$AA10,AA10+AA29))</f>
        <v>0</v>
      </c>
      <c r="AC29" s="103">
        <f>IF(Tableau66[[#Headers],[V020]]="V010",0,IF(Tableau66[[#Headers],[V020]]="V015",$AA10,AB10+AB29))</f>
        <v>0</v>
      </c>
      <c r="AD29" s="103">
        <f>IF(Tableau66[[#Headers],[V025]]="V010",0,IF(Tableau66[[#Headers],[V025]]="V015",$AA10,AC10+AC29))</f>
        <v>0</v>
      </c>
      <c r="AE29" s="103">
        <f>IF(Tableau66[[#Headers],[V030]]="V010",0,IF(Tableau66[[#Headers],[V030]]="V015",$AA10,AD10+AD29))</f>
        <v>0</v>
      </c>
      <c r="AF29" s="103">
        <f>IF(Tableau66[[#Headers],[V035]]="V010",0,IF(Tableau66[[#Headers],[V035]]="V015",$AA10,AE10+AE29))</f>
        <v>0</v>
      </c>
      <c r="AG29" s="103">
        <f>IF(Tableau66[[#Headers],[V040]]="V010",0,IF(Tableau66[[#Headers],[V040]]="V015",$AA10,AF10+AF29))</f>
        <v>0</v>
      </c>
      <c r="AH29" s="103">
        <f>IF(Tableau66[[#Headers],[V045]]="V010",0,IF(Tableau66[[#Headers],[V045]]="V015",$AA10,AG10+AG29))</f>
        <v>0</v>
      </c>
      <c r="AI29" s="103">
        <f>IF(Tableau66[[#Headers],[V050]]="V010",0,IF(Tableau66[[#Headers],[V050]]="V015",$AA10,AH10+AH29))</f>
        <v>0</v>
      </c>
      <c r="AJ29" s="103">
        <f>IF(Tableau66[[#Headers],[V055]]="V010",0,IF(Tableau66[[#Headers],[V055]]="V015",$AA10,AI10+AI29))</f>
        <v>0</v>
      </c>
      <c r="AK29" s="103">
        <f>IF(Tableau66[[#Headers],[V060]]="V010",0,IF(Tableau66[[#Headers],[V060]]="V015",$AA10,AJ10+AJ29))</f>
        <v>0</v>
      </c>
      <c r="AL29" s="103">
        <f>IF(Tableau66[[#Headers],[V065]]="V010",0,IF(Tableau66[[#Headers],[V065]]="V015",$AA10,AK10+AK29))</f>
        <v>0</v>
      </c>
      <c r="AM29" s="103">
        <f>IF(Tableau66[[#Headers],[V020]]="V010",0,IF(Tableau66[[#Headers],[V020]]="V015",$AA10,AL10+AL29))</f>
        <v>0</v>
      </c>
      <c r="AN29" s="103">
        <f>IF(Tableau66[[#Headers],[V025]]="V010",0,IF(Tableau66[[#Headers],[V025]]="V015",$AA10,AM10+AM29))</f>
        <v>0</v>
      </c>
      <c r="AO29" s="103">
        <f>IF(Tableau66[[#Headers],[V030]]="V010",0,IF(Tableau66[[#Headers],[V030]]="V015",$AA10,AN10+AN29))</f>
        <v>0</v>
      </c>
      <c r="AP29" s="103">
        <f>IF(Tableau66[[#Headers],[V035]]="V010",0,IF(Tableau66[[#Headers],[V035]]="V015",$AA10,AO10+AO29))</f>
        <v>0</v>
      </c>
      <c r="AQ29" s="103">
        <f>IF(Tableau66[[#Headers],[V040]]="V010",0,IF(Tableau66[[#Headers],[V040]]="V015",$AA10,AP10+AP29))</f>
        <v>0</v>
      </c>
      <c r="AR29" s="103">
        <f>IF(Tableau66[[#Headers],[V020]]="V010",0,IF(Tableau66[[#Headers],[V020]]="V015",$AA10,AQ10+AQ29))</f>
        <v>0</v>
      </c>
      <c r="AS29" s="103">
        <f>IF(Tableau66[[#Headers],[V025]]="V010",0,IF(Tableau66[[#Headers],[V025]]="V015",$AA10,AR10+AR29))</f>
        <v>0</v>
      </c>
      <c r="AT29" s="103">
        <f>IF(Tableau66[[#Headers],[V030]]="V010",0,IF(Tableau66[[#Headers],[V030]]="V015",$AA10,AS10+AS29))</f>
        <v>0</v>
      </c>
      <c r="AU29" s="103">
        <f>IF(Tableau66[[#Headers],[V035]]="V010",0,IF(Tableau66[[#Headers],[V035]]="V015",$AA10,AT10+AT29))</f>
        <v>0</v>
      </c>
      <c r="AV29" s="103">
        <f>IF(Tableau66[[#Headers],[V040]]="V010",0,IF(Tableau66[[#Headers],[V040]]="V015",$AA10,AU10+AU29))</f>
        <v>0</v>
      </c>
      <c r="AW29" s="103">
        <f>IF(Tableau66[[#Headers],[V020]]="V010",0,IF(Tableau66[[#Headers],[V020]]="V015",$AA10,AV10+AV29))</f>
        <v>0</v>
      </c>
      <c r="AX29" s="103">
        <f>IF(Tableau66[[#Headers],[V020]]="V010",0,IF(Tableau66[[#Headers],[V020]]="V015",$AA10,AW10+AW29))</f>
        <v>0</v>
      </c>
      <c r="AY29" s="103">
        <f>IF(Tableau66[[#Headers],[V025]]="V010",0,IF(Tableau66[[#Headers],[V025]]="V015",$AA10,AX10+AX29))</f>
        <v>0</v>
      </c>
      <c r="AZ29" s="103">
        <f>IF(Tableau66[[#Headers],[V030]]="V010",0,IF(Tableau66[[#Headers],[V030]]="V015",$AA10,AY10+AY29))</f>
        <v>0</v>
      </c>
      <c r="BA29" s="103">
        <f>IF(Tableau66[[#Headers],[V035]]="V010",0,IF(Tableau66[[#Headers],[V035]]="V015",$AA10,AZ10+AZ29))</f>
        <v>0</v>
      </c>
      <c r="BB29" s="103">
        <f>IF(Tableau66[[#Headers],[V040]]="V010",0,IF(Tableau66[[#Headers],[V040]]="V015",$AA10,BA10+BA29))</f>
        <v>0</v>
      </c>
      <c r="BC29" s="103">
        <f>IF(Tableau66[[#Headers],[V045]]="V010",0,IF(Tableau66[[#Headers],[V045]]="V015",$AA10,BB10+BB29))</f>
        <v>0</v>
      </c>
      <c r="BK29" s="103"/>
    </row>
    <row r="30" spans="4:64" x14ac:dyDescent="0.2">
      <c r="I30" s="436"/>
      <c r="J30" s="4">
        <v>10</v>
      </c>
      <c r="K30" s="4">
        <f>IF($J$16=0,0,IF(J30=1,MIN($J$15*$J$17/20,$J$16/20),IF(SUM(K$21:K29)=$J$16,0,IF(SUM(K$21:K29)+MIN($J$15*$J$17/20,$J$16/20)&gt;$J$16,$J$16-SUM(K$21:K29),MIN($J$15*$J$17/20,$J$16/20)))))</f>
        <v>0</v>
      </c>
      <c r="L30" s="262"/>
      <c r="M30" s="262"/>
      <c r="N30" s="262"/>
      <c r="W30" s="436"/>
      <c r="X30" s="4" t="str">
        <f t="shared" si="2"/>
        <v>C</v>
      </c>
      <c r="Y30" s="4" t="str">
        <f t="shared" si="1"/>
        <v/>
      </c>
      <c r="Z30" s="4" t="str">
        <f>CONCATENATE(Tableau66[[#This Row],[Strate]],"_",Tableau66[[#This Row],[Essence]])</f>
        <v>C_</v>
      </c>
      <c r="AA30" s="103">
        <f>IF(Tableau66[[#Headers],[V010]]="V010",0,IF(Tableau66[[#Headers],[V010]]="V015",$AB11,AA11+Z30))</f>
        <v>0</v>
      </c>
      <c r="AB30" s="103">
        <f>IF(Tableau66[[#Headers],[V015]]="V010",0,IF(Tableau66[[#Headers],[V015]]="V015",$AA11,AA11+AA30))</f>
        <v>0</v>
      </c>
      <c r="AC30" s="103">
        <f>IF(Tableau66[[#Headers],[V020]]="V010",0,IF(Tableau66[[#Headers],[V020]]="V015",$AA11,AB11+AB30))</f>
        <v>0</v>
      </c>
      <c r="AD30" s="103">
        <f>IF(Tableau66[[#Headers],[V025]]="V010",0,IF(Tableau66[[#Headers],[V025]]="V015",$AA11,AC11+AC30))</f>
        <v>0</v>
      </c>
      <c r="AE30" s="103">
        <f>IF(Tableau66[[#Headers],[V030]]="V010",0,IF(Tableau66[[#Headers],[V030]]="V015",$AA11,AD11+AD30))</f>
        <v>0</v>
      </c>
      <c r="AF30" s="103">
        <f>IF(Tableau66[[#Headers],[V035]]="V010",0,IF(Tableau66[[#Headers],[V035]]="V015",$AA11,AE11+AE30))</f>
        <v>0</v>
      </c>
      <c r="AG30" s="103">
        <f>IF(Tableau66[[#Headers],[V040]]="V010",0,IF(Tableau66[[#Headers],[V040]]="V015",$AA11,AF11+AF30))</f>
        <v>0</v>
      </c>
      <c r="AH30" s="103">
        <f>IF(Tableau66[[#Headers],[V045]]="V010",0,IF(Tableau66[[#Headers],[V045]]="V015",$AA11,AG11+AG30))</f>
        <v>0</v>
      </c>
      <c r="AI30" s="103">
        <f>IF(Tableau66[[#Headers],[V050]]="V010",0,IF(Tableau66[[#Headers],[V050]]="V015",$AA11,AH11+AH30))</f>
        <v>0</v>
      </c>
      <c r="AJ30" s="103">
        <f>IF(Tableau66[[#Headers],[V055]]="V010",0,IF(Tableau66[[#Headers],[V055]]="V015",$AA11,AI11+AI30))</f>
        <v>0</v>
      </c>
      <c r="AK30" s="103">
        <f>IF(Tableau66[[#Headers],[V060]]="V010",0,IF(Tableau66[[#Headers],[V060]]="V015",$AA11,AJ11+AJ30))</f>
        <v>0</v>
      </c>
      <c r="AL30" s="103">
        <f>IF(Tableau66[[#Headers],[V065]]="V010",0,IF(Tableau66[[#Headers],[V065]]="V015",$AA11,AK11+AK30))</f>
        <v>0</v>
      </c>
      <c r="AM30" s="103">
        <f>IF(Tableau66[[#Headers],[V020]]="V010",0,IF(Tableau66[[#Headers],[V020]]="V015",$AA11,AL11+AL30))</f>
        <v>0</v>
      </c>
      <c r="AN30" s="103">
        <f>IF(Tableau66[[#Headers],[V025]]="V010",0,IF(Tableau66[[#Headers],[V025]]="V015",$AA11,AM11+AM30))</f>
        <v>0</v>
      </c>
      <c r="AO30" s="103">
        <f>IF(Tableau66[[#Headers],[V030]]="V010",0,IF(Tableau66[[#Headers],[V030]]="V015",$AA11,AN11+AN30))</f>
        <v>0</v>
      </c>
      <c r="AP30" s="103">
        <f>IF(Tableau66[[#Headers],[V035]]="V010",0,IF(Tableau66[[#Headers],[V035]]="V015",$AA11,AO11+AO30))</f>
        <v>0</v>
      </c>
      <c r="AQ30" s="103">
        <f>IF(Tableau66[[#Headers],[V040]]="V010",0,IF(Tableau66[[#Headers],[V040]]="V015",$AA11,AP11+AP30))</f>
        <v>0</v>
      </c>
      <c r="AR30" s="103">
        <f>IF(Tableau66[[#Headers],[V020]]="V010",0,IF(Tableau66[[#Headers],[V020]]="V015",$AA11,AQ11+AQ30))</f>
        <v>0</v>
      </c>
      <c r="AS30" s="103">
        <f>IF(Tableau66[[#Headers],[V025]]="V010",0,IF(Tableau66[[#Headers],[V025]]="V015",$AA11,AR11+AR30))</f>
        <v>0</v>
      </c>
      <c r="AT30" s="103">
        <f>IF(Tableau66[[#Headers],[V030]]="V010",0,IF(Tableau66[[#Headers],[V030]]="V015",$AA11,AS11+AS30))</f>
        <v>0</v>
      </c>
      <c r="AU30" s="103">
        <f>IF(Tableau66[[#Headers],[V035]]="V010",0,IF(Tableau66[[#Headers],[V035]]="V015",$AA11,AT11+AT30))</f>
        <v>0</v>
      </c>
      <c r="AV30" s="103">
        <f>IF(Tableau66[[#Headers],[V040]]="V010",0,IF(Tableau66[[#Headers],[V040]]="V015",$AA11,AU11+AU30))</f>
        <v>0</v>
      </c>
      <c r="AW30" s="103">
        <f>IF(Tableau66[[#Headers],[V020]]="V010",0,IF(Tableau66[[#Headers],[V020]]="V015",$AA11,AV11+AV30))</f>
        <v>0</v>
      </c>
      <c r="AX30" s="103">
        <f>IF(Tableau66[[#Headers],[V020]]="V010",0,IF(Tableau66[[#Headers],[V020]]="V015",$AA11,AW11+AW30))</f>
        <v>0</v>
      </c>
      <c r="AY30" s="103">
        <f>IF(Tableau66[[#Headers],[V025]]="V010",0,IF(Tableau66[[#Headers],[V025]]="V015",$AA11,AX11+AX30))</f>
        <v>0</v>
      </c>
      <c r="AZ30" s="103">
        <f>IF(Tableau66[[#Headers],[V030]]="V010",0,IF(Tableau66[[#Headers],[V030]]="V015",$AA11,AY11+AY30))</f>
        <v>0</v>
      </c>
      <c r="BA30" s="103">
        <f>IF(Tableau66[[#Headers],[V035]]="V010",0,IF(Tableau66[[#Headers],[V035]]="V015",$AA11,AZ11+AZ30))</f>
        <v>0</v>
      </c>
      <c r="BB30" s="103">
        <f>IF(Tableau66[[#Headers],[V040]]="V010",0,IF(Tableau66[[#Headers],[V040]]="V015",$AA11,BA11+BA30))</f>
        <v>0</v>
      </c>
      <c r="BC30" s="103">
        <f>IF(Tableau66[[#Headers],[V045]]="V010",0,IF(Tableau66[[#Headers],[V045]]="V015",$AA11,BB11+BB30))</f>
        <v>0</v>
      </c>
      <c r="BK30" s="262"/>
      <c r="BL30" s="262"/>
    </row>
    <row r="31" spans="4:64" x14ac:dyDescent="0.2">
      <c r="I31" s="436"/>
      <c r="J31" s="4">
        <v>11</v>
      </c>
      <c r="K31" s="4">
        <f>IF($J$16=0,0,IF(J31=1,MIN($J$15*$J$17/20,$J$16/20),IF(SUM(K$21:K30)=$J$16,0,IF(SUM(K$21:K30)+MIN($J$15*$J$17/20,$J$16/20)&gt;$J$16,$J$16-SUM(K$21:K30),MIN($J$15*$J$17/20,$J$16/20)))))</f>
        <v>0</v>
      </c>
      <c r="L31" s="262"/>
      <c r="M31" s="262"/>
      <c r="N31" s="262"/>
      <c r="W31" s="436"/>
      <c r="X31" s="4" t="str">
        <f t="shared" si="2"/>
        <v>C</v>
      </c>
      <c r="Y31" s="4" t="str">
        <f t="shared" si="1"/>
        <v/>
      </c>
      <c r="Z31" s="4" t="str">
        <f>CONCATENATE(Tableau66[[#This Row],[Strate]],"_",Tableau66[[#This Row],[Essence]])</f>
        <v>C_</v>
      </c>
      <c r="AA31" s="103">
        <f>IF(Tableau66[[#Headers],[V010]]="V010",0,IF(Tableau66[[#Headers],[V010]]="V015",$AB12,AA12+Z31))</f>
        <v>0</v>
      </c>
      <c r="AB31" s="103">
        <f>IF(Tableau66[[#Headers],[V015]]="V010",0,IF(Tableau66[[#Headers],[V015]]="V015",$AA12,AA12+AA31))</f>
        <v>0</v>
      </c>
      <c r="AC31" s="103">
        <f>IF(Tableau66[[#Headers],[V020]]="V010",0,IF(Tableau66[[#Headers],[V020]]="V015",$AA12,AB12+AB31))</f>
        <v>0</v>
      </c>
      <c r="AD31" s="103">
        <f>IF(Tableau66[[#Headers],[V025]]="V010",0,IF(Tableau66[[#Headers],[V025]]="V015",$AA12,AC12+AC31))</f>
        <v>0</v>
      </c>
      <c r="AE31" s="103">
        <f>IF(Tableau66[[#Headers],[V030]]="V010",0,IF(Tableau66[[#Headers],[V030]]="V015",$AA12,AD12+AD31))</f>
        <v>0</v>
      </c>
      <c r="AF31" s="103">
        <f>IF(Tableau66[[#Headers],[V035]]="V010",0,IF(Tableau66[[#Headers],[V035]]="V015",$AA12,AE12+AE31))</f>
        <v>0</v>
      </c>
      <c r="AG31" s="103">
        <f>IF(Tableau66[[#Headers],[V040]]="V010",0,IF(Tableau66[[#Headers],[V040]]="V015",$AA12,AF12+AF31))</f>
        <v>0</v>
      </c>
      <c r="AH31" s="103">
        <f>IF(Tableau66[[#Headers],[V045]]="V010",0,IF(Tableau66[[#Headers],[V045]]="V015",$AA12,AG12+AG31))</f>
        <v>0</v>
      </c>
      <c r="AI31" s="103">
        <f>IF(Tableau66[[#Headers],[V050]]="V010",0,IF(Tableau66[[#Headers],[V050]]="V015",$AA12,AH12+AH31))</f>
        <v>0</v>
      </c>
      <c r="AJ31" s="103">
        <f>IF(Tableau66[[#Headers],[V055]]="V010",0,IF(Tableau66[[#Headers],[V055]]="V015",$AA12,AI12+AI31))</f>
        <v>0</v>
      </c>
      <c r="AK31" s="103">
        <f>IF(Tableau66[[#Headers],[V060]]="V010",0,IF(Tableau66[[#Headers],[V060]]="V015",$AA12,AJ12+AJ31))</f>
        <v>0</v>
      </c>
      <c r="AL31" s="103">
        <f>IF(Tableau66[[#Headers],[V065]]="V010",0,IF(Tableau66[[#Headers],[V065]]="V015",$AA12,AK12+AK31))</f>
        <v>0</v>
      </c>
      <c r="AM31" s="103">
        <f>IF(Tableau66[[#Headers],[V020]]="V010",0,IF(Tableau66[[#Headers],[V020]]="V015",$AA12,AL12+AL31))</f>
        <v>0</v>
      </c>
      <c r="AN31" s="103">
        <f>IF(Tableau66[[#Headers],[V025]]="V010",0,IF(Tableau66[[#Headers],[V025]]="V015",$AA12,AM12+AM31))</f>
        <v>0</v>
      </c>
      <c r="AO31" s="103">
        <f>IF(Tableau66[[#Headers],[V030]]="V010",0,IF(Tableau66[[#Headers],[V030]]="V015",$AA12,AN12+AN31))</f>
        <v>0</v>
      </c>
      <c r="AP31" s="103">
        <f>IF(Tableau66[[#Headers],[V035]]="V010",0,IF(Tableau66[[#Headers],[V035]]="V015",$AA12,AO12+AO31))</f>
        <v>0</v>
      </c>
      <c r="AQ31" s="103">
        <f>IF(Tableau66[[#Headers],[V040]]="V010",0,IF(Tableau66[[#Headers],[V040]]="V015",$AA12,AP12+AP31))</f>
        <v>0</v>
      </c>
      <c r="AR31" s="103">
        <f>IF(Tableau66[[#Headers],[V020]]="V010",0,IF(Tableau66[[#Headers],[V020]]="V015",$AA12,AQ12+AQ31))</f>
        <v>0</v>
      </c>
      <c r="AS31" s="103">
        <f>IF(Tableau66[[#Headers],[V025]]="V010",0,IF(Tableau66[[#Headers],[V025]]="V015",$AA12,AR12+AR31))</f>
        <v>0</v>
      </c>
      <c r="AT31" s="103">
        <f>IF(Tableau66[[#Headers],[V030]]="V010",0,IF(Tableau66[[#Headers],[V030]]="V015",$AA12,AS12+AS31))</f>
        <v>0</v>
      </c>
      <c r="AU31" s="103">
        <f>IF(Tableau66[[#Headers],[V035]]="V010",0,IF(Tableau66[[#Headers],[V035]]="V015",$AA12,AT12+AT31))</f>
        <v>0</v>
      </c>
      <c r="AV31" s="103">
        <f>IF(Tableau66[[#Headers],[V040]]="V010",0,IF(Tableau66[[#Headers],[V040]]="V015",$AA12,AU12+AU31))</f>
        <v>0</v>
      </c>
      <c r="AW31" s="103">
        <f>IF(Tableau66[[#Headers],[V020]]="V010",0,IF(Tableau66[[#Headers],[V020]]="V015",$AA12,AV12+AV31))</f>
        <v>0</v>
      </c>
      <c r="AX31" s="103">
        <f>IF(Tableau66[[#Headers],[V020]]="V010",0,IF(Tableau66[[#Headers],[V020]]="V015",$AA12,AW12+AW31))</f>
        <v>0</v>
      </c>
      <c r="AY31" s="103">
        <f>IF(Tableau66[[#Headers],[V025]]="V010",0,IF(Tableau66[[#Headers],[V025]]="V015",$AA12,AX12+AX31))</f>
        <v>0</v>
      </c>
      <c r="AZ31" s="103">
        <f>IF(Tableau66[[#Headers],[V030]]="V010",0,IF(Tableau66[[#Headers],[V030]]="V015",$AA12,AY12+AY31))</f>
        <v>0</v>
      </c>
      <c r="BA31" s="103">
        <f>IF(Tableau66[[#Headers],[V035]]="V010",0,IF(Tableau66[[#Headers],[V035]]="V015",$AA12,AZ12+AZ31))</f>
        <v>0</v>
      </c>
      <c r="BB31" s="103">
        <f>IF(Tableau66[[#Headers],[V040]]="V010",0,IF(Tableau66[[#Headers],[V040]]="V015",$AA12,BA12+BA31))</f>
        <v>0</v>
      </c>
      <c r="BC31" s="103">
        <f>IF(Tableau66[[#Headers],[V045]]="V010",0,IF(Tableau66[[#Headers],[V045]]="V015",$AA12,BB12+BB31))</f>
        <v>0</v>
      </c>
      <c r="BK31" s="262"/>
    </row>
    <row r="32" spans="4:64" x14ac:dyDescent="0.2">
      <c r="I32" s="436"/>
      <c r="J32" s="4">
        <v>12</v>
      </c>
      <c r="K32" s="4">
        <f>IF($J$16=0,0,IF(J32=1,MIN($J$15*$J$17/20,$J$16/20),IF(SUM(K$21:K31)=$J$16,0,IF(SUM(K$21:K31)+MIN($J$15*$J$17/20,$J$16/20)&gt;$J$16,$J$16-SUM(K$21:K31),MIN($J$15*$J$17/20,$J$16/20)))))</f>
        <v>0</v>
      </c>
      <c r="L32" s="262"/>
      <c r="M32" s="262"/>
      <c r="N32" s="262"/>
      <c r="W32" s="436"/>
      <c r="X32" s="4" t="str">
        <f t="shared" si="2"/>
        <v>C</v>
      </c>
      <c r="Y32" s="4" t="str">
        <f t="shared" si="1"/>
        <v/>
      </c>
      <c r="Z32" s="4" t="str">
        <f>CONCATENATE(Tableau66[[#This Row],[Strate]],"_",Tableau66[[#This Row],[Essence]])</f>
        <v>C_</v>
      </c>
      <c r="AA32" s="103">
        <f>IF(Tableau66[[#Headers],[V010]]="V010",0,IF(Tableau66[[#Headers],[V010]]="V015",$AB13,AA13+Z32))</f>
        <v>0</v>
      </c>
      <c r="AB32" s="103">
        <f>IF(Tableau66[[#Headers],[V015]]="V010",0,IF(Tableau66[[#Headers],[V015]]="V015",$AA13,AA13+AA32))</f>
        <v>0</v>
      </c>
      <c r="AC32" s="103">
        <f>IF(Tableau66[[#Headers],[V020]]="V010",0,IF(Tableau66[[#Headers],[V020]]="V015",$AA13,AB13+AB32))</f>
        <v>0</v>
      </c>
      <c r="AD32" s="103">
        <f>IF(Tableau66[[#Headers],[V025]]="V010",0,IF(Tableau66[[#Headers],[V025]]="V015",$AA13,AC13+AC32))</f>
        <v>0</v>
      </c>
      <c r="AE32" s="103">
        <f>IF(Tableau66[[#Headers],[V030]]="V010",0,IF(Tableau66[[#Headers],[V030]]="V015",$AA13,AD13+AD32))</f>
        <v>0</v>
      </c>
      <c r="AF32" s="103">
        <f>IF(Tableau66[[#Headers],[V035]]="V010",0,IF(Tableau66[[#Headers],[V035]]="V015",$AA13,AE13+AE32))</f>
        <v>0</v>
      </c>
      <c r="AG32" s="103">
        <f>IF(Tableau66[[#Headers],[V040]]="V010",0,IF(Tableau66[[#Headers],[V040]]="V015",$AA13,AF13+AF32))</f>
        <v>0</v>
      </c>
      <c r="AH32" s="103">
        <f>IF(Tableau66[[#Headers],[V045]]="V010",0,IF(Tableau66[[#Headers],[V045]]="V015",$AA13,AG13+AG32))</f>
        <v>0</v>
      </c>
      <c r="AI32" s="103">
        <f>IF(Tableau66[[#Headers],[V050]]="V010",0,IF(Tableau66[[#Headers],[V050]]="V015",$AA13,AH13+AH32))</f>
        <v>0</v>
      </c>
      <c r="AJ32" s="103">
        <f>IF(Tableau66[[#Headers],[V055]]="V010",0,IF(Tableau66[[#Headers],[V055]]="V015",$AA13,AI13+AI32))</f>
        <v>0</v>
      </c>
      <c r="AK32" s="103">
        <f>IF(Tableau66[[#Headers],[V060]]="V010",0,IF(Tableau66[[#Headers],[V060]]="V015",$AA13,AJ13+AJ32))</f>
        <v>0</v>
      </c>
      <c r="AL32" s="103">
        <f>IF(Tableau66[[#Headers],[V065]]="V010",0,IF(Tableau66[[#Headers],[V065]]="V015",$AA13,AK13+AK32))</f>
        <v>0</v>
      </c>
      <c r="AM32" s="103">
        <f>IF(Tableau66[[#Headers],[V020]]="V010",0,IF(Tableau66[[#Headers],[V020]]="V015",$AA13,AL13+AL32))</f>
        <v>0</v>
      </c>
      <c r="AN32" s="103">
        <f>IF(Tableau66[[#Headers],[V025]]="V010",0,IF(Tableau66[[#Headers],[V025]]="V015",$AA13,AM13+AM32))</f>
        <v>0</v>
      </c>
      <c r="AO32" s="103">
        <f>IF(Tableau66[[#Headers],[V030]]="V010",0,IF(Tableau66[[#Headers],[V030]]="V015",$AA13,AN13+AN32))</f>
        <v>0</v>
      </c>
      <c r="AP32" s="103">
        <f>IF(Tableau66[[#Headers],[V035]]="V010",0,IF(Tableau66[[#Headers],[V035]]="V015",$AA13,AO13+AO32))</f>
        <v>0</v>
      </c>
      <c r="AQ32" s="103">
        <f>IF(Tableau66[[#Headers],[V040]]="V010",0,IF(Tableau66[[#Headers],[V040]]="V015",$AA13,AP13+AP32))</f>
        <v>0</v>
      </c>
      <c r="AR32" s="103">
        <f>IF(Tableau66[[#Headers],[V020]]="V010",0,IF(Tableau66[[#Headers],[V020]]="V015",$AA13,AQ13+AQ32))</f>
        <v>0</v>
      </c>
      <c r="AS32" s="103">
        <f>IF(Tableau66[[#Headers],[V025]]="V010",0,IF(Tableau66[[#Headers],[V025]]="V015",$AA13,AR13+AR32))</f>
        <v>0</v>
      </c>
      <c r="AT32" s="103">
        <f>IF(Tableau66[[#Headers],[V030]]="V010",0,IF(Tableau66[[#Headers],[V030]]="V015",$AA13,AS13+AS32))</f>
        <v>0</v>
      </c>
      <c r="AU32" s="103">
        <f>IF(Tableau66[[#Headers],[V035]]="V010",0,IF(Tableau66[[#Headers],[V035]]="V015",$AA13,AT13+AT32))</f>
        <v>0</v>
      </c>
      <c r="AV32" s="103">
        <f>IF(Tableau66[[#Headers],[V040]]="V010",0,IF(Tableau66[[#Headers],[V040]]="V015",$AA13,AU13+AU32))</f>
        <v>0</v>
      </c>
      <c r="AW32" s="103">
        <f>IF(Tableau66[[#Headers],[V020]]="V010",0,IF(Tableau66[[#Headers],[V020]]="V015",$AA13,AV13+AV32))</f>
        <v>0</v>
      </c>
      <c r="AX32" s="103">
        <f>IF(Tableau66[[#Headers],[V020]]="V010",0,IF(Tableau66[[#Headers],[V020]]="V015",$AA13,AW13+AW32))</f>
        <v>0</v>
      </c>
      <c r="AY32" s="103">
        <f>IF(Tableau66[[#Headers],[V025]]="V010",0,IF(Tableau66[[#Headers],[V025]]="V015",$AA13,AX13+AX32))</f>
        <v>0</v>
      </c>
      <c r="AZ32" s="103">
        <f>IF(Tableau66[[#Headers],[V030]]="V010",0,IF(Tableau66[[#Headers],[V030]]="V015",$AA13,AY13+AY32))</f>
        <v>0</v>
      </c>
      <c r="BA32" s="103">
        <f>IF(Tableau66[[#Headers],[V035]]="V010",0,IF(Tableau66[[#Headers],[V035]]="V015",$AA13,AZ13+AZ32))</f>
        <v>0</v>
      </c>
      <c r="BB32" s="103">
        <f>IF(Tableau66[[#Headers],[V040]]="V010",0,IF(Tableau66[[#Headers],[V040]]="V015",$AA13,BA13+BA32))</f>
        <v>0</v>
      </c>
      <c r="BC32" s="103">
        <f>IF(Tableau66[[#Headers],[V045]]="V010",0,IF(Tableau66[[#Headers],[V045]]="V015",$AA13,BB13+BB32))</f>
        <v>0</v>
      </c>
      <c r="BK32" s="262"/>
    </row>
    <row r="33" spans="4:55" x14ac:dyDescent="0.2">
      <c r="I33" s="436"/>
      <c r="J33" s="4">
        <v>13</v>
      </c>
      <c r="K33" s="4">
        <f>IF($J$16=0,0,IF(J33=1,MIN($J$15*$J$17/20,$J$16/20),IF(SUM(K$21:K32)=$J$16,0,IF(SUM(K$21:K32)+MIN($J$15*$J$17/20,$J$16/20)&gt;$J$16,$J$16-SUM(K$21:K32),MIN($J$15*$J$17/20,$J$16/20)))))</f>
        <v>0</v>
      </c>
      <c r="L33" s="262"/>
      <c r="M33" s="262"/>
      <c r="N33" s="262"/>
      <c r="W33" s="436"/>
      <c r="X33" s="4" t="str">
        <f t="shared" si="2"/>
        <v>D</v>
      </c>
      <c r="Y33" s="4" t="str">
        <f t="shared" si="1"/>
        <v/>
      </c>
      <c r="Z33" s="4" t="str">
        <f>CONCATENATE(Tableau66[[#This Row],[Strate]],"_",Tableau66[[#This Row],[Essence]])</f>
        <v>D_</v>
      </c>
      <c r="AA33" s="103">
        <f>IF(Tableau66[[#Headers],[V010]]="V010",0,IF(Tableau66[[#Headers],[V010]]="V015",$AB14,AA14+Z33))</f>
        <v>0</v>
      </c>
      <c r="AB33" s="103">
        <f>IF(Tableau66[[#Headers],[V015]]="V010",0,IF(Tableau66[[#Headers],[V015]]="V015",$AA14,AA14+AA33))</f>
        <v>0</v>
      </c>
      <c r="AC33" s="103">
        <f>IF(Tableau66[[#Headers],[V020]]="V010",0,IF(Tableau66[[#Headers],[V020]]="V015",$AA14,AB14+AB33))</f>
        <v>0</v>
      </c>
      <c r="AD33" s="103">
        <f>IF(Tableau66[[#Headers],[V025]]="V010",0,IF(Tableau66[[#Headers],[V025]]="V015",$AA14,AC14+AC33))</f>
        <v>0</v>
      </c>
      <c r="AE33" s="103">
        <f>IF(Tableau66[[#Headers],[V030]]="V010",0,IF(Tableau66[[#Headers],[V030]]="V015",$AA14,AD14+AD33))</f>
        <v>0</v>
      </c>
      <c r="AF33" s="103">
        <f>IF(Tableau66[[#Headers],[V035]]="V010",0,IF(Tableau66[[#Headers],[V035]]="V015",$AA14,AE14+AE33))</f>
        <v>0</v>
      </c>
      <c r="AG33" s="103">
        <f>IF(Tableau66[[#Headers],[V040]]="V010",0,IF(Tableau66[[#Headers],[V040]]="V015",$AA14,AF14+AF33))</f>
        <v>0</v>
      </c>
      <c r="AH33" s="103">
        <f>IF(Tableau66[[#Headers],[V045]]="V010",0,IF(Tableau66[[#Headers],[V045]]="V015",$AA14,AG14+AG33))</f>
        <v>0</v>
      </c>
      <c r="AI33" s="103">
        <f>IF(Tableau66[[#Headers],[V050]]="V010",0,IF(Tableau66[[#Headers],[V050]]="V015",$AA14,AH14+AH33))</f>
        <v>0</v>
      </c>
      <c r="AJ33" s="103">
        <f>IF(Tableau66[[#Headers],[V055]]="V010",0,IF(Tableau66[[#Headers],[V055]]="V015",$AA14,AI14+AI33))</f>
        <v>0</v>
      </c>
      <c r="AK33" s="103">
        <f>IF(Tableau66[[#Headers],[V060]]="V010",0,IF(Tableau66[[#Headers],[V060]]="V015",$AA14,AJ14+AJ33))</f>
        <v>0</v>
      </c>
      <c r="AL33" s="103">
        <f>IF(Tableau66[[#Headers],[V065]]="V010",0,IF(Tableau66[[#Headers],[V065]]="V015",$AA14,AK14+AK33))</f>
        <v>0</v>
      </c>
      <c r="AM33" s="103">
        <f>IF(Tableau66[[#Headers],[V020]]="V010",0,IF(Tableau66[[#Headers],[V020]]="V015",$AA14,AL14+AL33))</f>
        <v>0</v>
      </c>
      <c r="AN33" s="103">
        <f>IF(Tableau66[[#Headers],[V025]]="V010",0,IF(Tableau66[[#Headers],[V025]]="V015",$AA14,AM14+AM33))</f>
        <v>0</v>
      </c>
      <c r="AO33" s="103">
        <f>IF(Tableau66[[#Headers],[V030]]="V010",0,IF(Tableau66[[#Headers],[V030]]="V015",$AA14,AN14+AN33))</f>
        <v>0</v>
      </c>
      <c r="AP33" s="103">
        <f>IF(Tableau66[[#Headers],[V035]]="V010",0,IF(Tableau66[[#Headers],[V035]]="V015",$AA14,AO14+AO33))</f>
        <v>0</v>
      </c>
      <c r="AQ33" s="103">
        <f>IF(Tableau66[[#Headers],[V040]]="V010",0,IF(Tableau66[[#Headers],[V040]]="V015",$AA14,AP14+AP33))</f>
        <v>0</v>
      </c>
      <c r="AR33" s="103">
        <f>IF(Tableau66[[#Headers],[V020]]="V010",0,IF(Tableau66[[#Headers],[V020]]="V015",$AA14,AQ14+AQ33))</f>
        <v>0</v>
      </c>
      <c r="AS33" s="103">
        <f>IF(Tableau66[[#Headers],[V025]]="V010",0,IF(Tableau66[[#Headers],[V025]]="V015",$AA14,AR14+AR33))</f>
        <v>0</v>
      </c>
      <c r="AT33" s="103">
        <f>IF(Tableau66[[#Headers],[V030]]="V010",0,IF(Tableau66[[#Headers],[V030]]="V015",$AA14,AS14+AS33))</f>
        <v>0</v>
      </c>
      <c r="AU33" s="103">
        <f>IF(Tableau66[[#Headers],[V035]]="V010",0,IF(Tableau66[[#Headers],[V035]]="V015",$AA14,AT14+AT33))</f>
        <v>0</v>
      </c>
      <c r="AV33" s="103">
        <f>IF(Tableau66[[#Headers],[V040]]="V010",0,IF(Tableau66[[#Headers],[V040]]="V015",$AA14,AU14+AU33))</f>
        <v>0</v>
      </c>
      <c r="AW33" s="103">
        <f>IF(Tableau66[[#Headers],[V020]]="V010",0,IF(Tableau66[[#Headers],[V020]]="V015",$AA14,AV14+AV33))</f>
        <v>0</v>
      </c>
      <c r="AX33" s="103">
        <f>IF(Tableau66[[#Headers],[V020]]="V010",0,IF(Tableau66[[#Headers],[V020]]="V015",$AA14,AW14+AW33))</f>
        <v>0</v>
      </c>
      <c r="AY33" s="103">
        <f>IF(Tableau66[[#Headers],[V025]]="V010",0,IF(Tableau66[[#Headers],[V025]]="V015",$AA14,AX14+AX33))</f>
        <v>0</v>
      </c>
      <c r="AZ33" s="103">
        <f>IF(Tableau66[[#Headers],[V030]]="V010",0,IF(Tableau66[[#Headers],[V030]]="V015",$AA14,AY14+AY33))</f>
        <v>0</v>
      </c>
      <c r="BA33" s="103">
        <f>IF(Tableau66[[#Headers],[V035]]="V010",0,IF(Tableau66[[#Headers],[V035]]="V015",$AA14,AZ14+AZ33))</f>
        <v>0</v>
      </c>
      <c r="BB33" s="103">
        <f>IF(Tableau66[[#Headers],[V040]]="V010",0,IF(Tableau66[[#Headers],[V040]]="V015",$AA14,BA14+BA33))</f>
        <v>0</v>
      </c>
      <c r="BC33" s="103">
        <f>IF(Tableau66[[#Headers],[V045]]="V010",0,IF(Tableau66[[#Headers],[V045]]="V015",$AA14,BB14+BB33))</f>
        <v>0</v>
      </c>
    </row>
    <row r="34" spans="4:55" x14ac:dyDescent="0.2">
      <c r="D34" s="265"/>
      <c r="I34" s="436"/>
      <c r="J34" s="4">
        <v>14</v>
      </c>
      <c r="K34" s="4">
        <f>IF($J$16=0,0,IF(J34=1,MIN($J$15*$J$17/20,$J$16/20),IF(SUM(K$21:K33)=$J$16,0,IF(SUM(K$21:K33)+MIN($J$15*$J$17/20,$J$16/20)&gt;$J$16,$J$16-SUM(K$21:K33),MIN($J$15*$J$17/20,$J$16/20)))))</f>
        <v>0</v>
      </c>
      <c r="L34" s="262"/>
      <c r="M34" s="262"/>
      <c r="N34" s="262"/>
      <c r="W34" s="436"/>
      <c r="X34" s="4" t="str">
        <f t="shared" si="2"/>
        <v>D</v>
      </c>
      <c r="Y34" s="4" t="str">
        <f t="shared" si="1"/>
        <v/>
      </c>
      <c r="Z34" s="4" t="str">
        <f>CONCATENATE(Tableau66[[#This Row],[Strate]],"_",Tableau66[[#This Row],[Essence]])</f>
        <v>D_</v>
      </c>
      <c r="AA34" s="103">
        <f>IF(Tableau66[[#Headers],[V010]]="V010",0,IF(Tableau66[[#Headers],[V010]]="V015",$AB15,AA15+Z34))</f>
        <v>0</v>
      </c>
      <c r="AB34" s="103">
        <f>IF(Tableau66[[#Headers],[V015]]="V010",0,IF(Tableau66[[#Headers],[V015]]="V015",$AA15,AA15+AA34))</f>
        <v>0</v>
      </c>
      <c r="AC34" s="103">
        <f>IF(Tableau66[[#Headers],[V020]]="V010",0,IF(Tableau66[[#Headers],[V020]]="V015",$AA15,AB15+AB34))</f>
        <v>0</v>
      </c>
      <c r="AD34" s="103">
        <f>IF(Tableau66[[#Headers],[V025]]="V010",0,IF(Tableau66[[#Headers],[V025]]="V015",$AA15,AC15+AC34))</f>
        <v>0</v>
      </c>
      <c r="AE34" s="103">
        <f>IF(Tableau66[[#Headers],[V030]]="V010",0,IF(Tableau66[[#Headers],[V030]]="V015",$AA15,AD15+AD34))</f>
        <v>0</v>
      </c>
      <c r="AF34" s="103">
        <f>IF(Tableau66[[#Headers],[V035]]="V010",0,IF(Tableau66[[#Headers],[V035]]="V015",$AA15,AE15+AE34))</f>
        <v>0</v>
      </c>
      <c r="AG34" s="103">
        <f>IF(Tableau66[[#Headers],[V040]]="V010",0,IF(Tableau66[[#Headers],[V040]]="V015",$AA15,AF15+AF34))</f>
        <v>0</v>
      </c>
      <c r="AH34" s="103">
        <f>IF(Tableau66[[#Headers],[V045]]="V010",0,IF(Tableau66[[#Headers],[V045]]="V015",$AA15,AG15+AG34))</f>
        <v>0</v>
      </c>
      <c r="AI34" s="103">
        <f>IF(Tableau66[[#Headers],[V050]]="V010",0,IF(Tableau66[[#Headers],[V050]]="V015",$AA15,AH15+AH34))</f>
        <v>0</v>
      </c>
      <c r="AJ34" s="103">
        <f>IF(Tableau66[[#Headers],[V055]]="V010",0,IF(Tableau66[[#Headers],[V055]]="V015",$AA15,AI15+AI34))</f>
        <v>0</v>
      </c>
      <c r="AK34" s="103">
        <f>IF(Tableau66[[#Headers],[V060]]="V010",0,IF(Tableau66[[#Headers],[V060]]="V015",$AA15,AJ15+AJ34))</f>
        <v>0</v>
      </c>
      <c r="AL34" s="103">
        <f>IF(Tableau66[[#Headers],[V065]]="V010",0,IF(Tableau66[[#Headers],[V065]]="V015",$AA15,AK15+AK34))</f>
        <v>0</v>
      </c>
      <c r="AM34" s="103">
        <f>IF(Tableau66[[#Headers],[V020]]="V010",0,IF(Tableau66[[#Headers],[V020]]="V015",$AA15,AL15+AL34))</f>
        <v>0</v>
      </c>
      <c r="AN34" s="103">
        <f>IF(Tableau66[[#Headers],[V025]]="V010",0,IF(Tableau66[[#Headers],[V025]]="V015",$AA15,AM15+AM34))</f>
        <v>0</v>
      </c>
      <c r="AO34" s="103">
        <f>IF(Tableau66[[#Headers],[V030]]="V010",0,IF(Tableau66[[#Headers],[V030]]="V015",$AA15,AN15+AN34))</f>
        <v>0</v>
      </c>
      <c r="AP34" s="103">
        <f>IF(Tableau66[[#Headers],[V035]]="V010",0,IF(Tableau66[[#Headers],[V035]]="V015",$AA15,AO15+AO34))</f>
        <v>0</v>
      </c>
      <c r="AQ34" s="103">
        <f>IF(Tableau66[[#Headers],[V040]]="V010",0,IF(Tableau66[[#Headers],[V040]]="V015",$AA15,AP15+AP34))</f>
        <v>0</v>
      </c>
      <c r="AR34" s="103">
        <f>IF(Tableau66[[#Headers],[V020]]="V010",0,IF(Tableau66[[#Headers],[V020]]="V015",$AA15,AQ15+AQ34))</f>
        <v>0</v>
      </c>
      <c r="AS34" s="103">
        <f>IF(Tableau66[[#Headers],[V025]]="V010",0,IF(Tableau66[[#Headers],[V025]]="V015",$AA15,AR15+AR34))</f>
        <v>0</v>
      </c>
      <c r="AT34" s="103">
        <f>IF(Tableau66[[#Headers],[V030]]="V010",0,IF(Tableau66[[#Headers],[V030]]="V015",$AA15,AS15+AS34))</f>
        <v>0</v>
      </c>
      <c r="AU34" s="103">
        <f>IF(Tableau66[[#Headers],[V035]]="V010",0,IF(Tableau66[[#Headers],[V035]]="V015",$AA15,AT15+AT34))</f>
        <v>0</v>
      </c>
      <c r="AV34" s="103">
        <f>IF(Tableau66[[#Headers],[V040]]="V010",0,IF(Tableau66[[#Headers],[V040]]="V015",$AA15,AU15+AU34))</f>
        <v>0</v>
      </c>
      <c r="AW34" s="103">
        <f>IF(Tableau66[[#Headers],[V020]]="V010",0,IF(Tableau66[[#Headers],[V020]]="V015",$AA15,AV15+AV34))</f>
        <v>0</v>
      </c>
      <c r="AX34" s="103">
        <f>IF(Tableau66[[#Headers],[V020]]="V010",0,IF(Tableau66[[#Headers],[V020]]="V015",$AA15,AW15+AW34))</f>
        <v>0</v>
      </c>
      <c r="AY34" s="103">
        <f>IF(Tableau66[[#Headers],[V025]]="V010",0,IF(Tableau66[[#Headers],[V025]]="V015",$AA15,AX15+AX34))</f>
        <v>0</v>
      </c>
      <c r="AZ34" s="103">
        <f>IF(Tableau66[[#Headers],[V030]]="V010",0,IF(Tableau66[[#Headers],[V030]]="V015",$AA15,AY15+AY34))</f>
        <v>0</v>
      </c>
      <c r="BA34" s="103">
        <f>IF(Tableau66[[#Headers],[V035]]="V010",0,IF(Tableau66[[#Headers],[V035]]="V015",$AA15,AZ15+AZ34))</f>
        <v>0</v>
      </c>
      <c r="BB34" s="103">
        <f>IF(Tableau66[[#Headers],[V040]]="V010",0,IF(Tableau66[[#Headers],[V040]]="V015",$AA15,BA15+BA34))</f>
        <v>0</v>
      </c>
      <c r="BC34" s="103">
        <f>IF(Tableau66[[#Headers],[V045]]="V010",0,IF(Tableau66[[#Headers],[V045]]="V015",$AA15,BB15+BB34))</f>
        <v>0</v>
      </c>
    </row>
    <row r="35" spans="4:55" x14ac:dyDescent="0.2">
      <c r="I35" s="436"/>
      <c r="J35" s="4">
        <v>15</v>
      </c>
      <c r="K35" s="4">
        <f>IF($J$16=0,0,IF(J35=1,MIN($J$15*$J$17/20,$J$16/20),IF(SUM(K$21:K34)=$J$16,0,IF(SUM(K$21:K34)+MIN($J$15*$J$17/20,$J$16/20)&gt;$J$16,$J$16-SUM(K$21:K34),MIN($J$15*$J$17/20,$J$16/20)))))</f>
        <v>0</v>
      </c>
      <c r="L35" s="262"/>
      <c r="M35" s="262"/>
      <c r="N35" s="262"/>
      <c r="W35" s="436"/>
      <c r="X35" s="4" t="str">
        <f t="shared" si="2"/>
        <v>D</v>
      </c>
      <c r="Y35" s="4" t="str">
        <f t="shared" si="1"/>
        <v/>
      </c>
      <c r="Z35" s="4" t="str">
        <f>CONCATENATE(Tableau66[[#This Row],[Strate]],"_",Tableau66[[#This Row],[Essence]])</f>
        <v>D_</v>
      </c>
      <c r="AA35" s="103">
        <f>IF(Tableau66[[#Headers],[V010]]="V010",0,IF(Tableau66[[#Headers],[V010]]="V015",$AB16,AA16+Z35))</f>
        <v>0</v>
      </c>
      <c r="AB35" s="103">
        <f>IF(Tableau66[[#Headers],[V015]]="V010",0,IF(Tableau66[[#Headers],[V015]]="V015",$AA16,AA16+AA35))</f>
        <v>0</v>
      </c>
      <c r="AC35" s="103">
        <f>IF(Tableau66[[#Headers],[V020]]="V010",0,IF(Tableau66[[#Headers],[V020]]="V015",$AA16,AB16+AB35))</f>
        <v>0</v>
      </c>
      <c r="AD35" s="103">
        <f>IF(Tableau66[[#Headers],[V025]]="V010",0,IF(Tableau66[[#Headers],[V025]]="V015",$AA16,AC16+AC35))</f>
        <v>0</v>
      </c>
      <c r="AE35" s="103">
        <f>IF(Tableau66[[#Headers],[V030]]="V010",0,IF(Tableau66[[#Headers],[V030]]="V015",$AA16,AD16+AD35))</f>
        <v>0</v>
      </c>
      <c r="AF35" s="103">
        <f>IF(Tableau66[[#Headers],[V035]]="V010",0,IF(Tableau66[[#Headers],[V035]]="V015",$AA16,AE16+AE35))</f>
        <v>0</v>
      </c>
      <c r="AG35" s="103">
        <f>IF(Tableau66[[#Headers],[V040]]="V010",0,IF(Tableau66[[#Headers],[V040]]="V015",$AA16,AF16+AF35))</f>
        <v>0</v>
      </c>
      <c r="AH35" s="103">
        <f>IF(Tableau66[[#Headers],[V045]]="V010",0,IF(Tableau66[[#Headers],[V045]]="V015",$AA16,AG16+AG35))</f>
        <v>0</v>
      </c>
      <c r="AI35" s="103">
        <f>IF(Tableau66[[#Headers],[V050]]="V010",0,IF(Tableau66[[#Headers],[V050]]="V015",$AA16,AH16+AH35))</f>
        <v>0</v>
      </c>
      <c r="AJ35" s="103">
        <f>IF(Tableau66[[#Headers],[V055]]="V010",0,IF(Tableau66[[#Headers],[V055]]="V015",$AA16,AI16+AI35))</f>
        <v>0</v>
      </c>
      <c r="AK35" s="103">
        <f>IF(Tableau66[[#Headers],[V060]]="V010",0,IF(Tableau66[[#Headers],[V060]]="V015",$AA16,AJ16+AJ35))</f>
        <v>0</v>
      </c>
      <c r="AL35" s="103">
        <f>IF(Tableau66[[#Headers],[V065]]="V010",0,IF(Tableau66[[#Headers],[V065]]="V015",$AA16,AK16+AK35))</f>
        <v>0</v>
      </c>
      <c r="AM35" s="103">
        <f>IF(Tableau66[[#Headers],[V020]]="V010",0,IF(Tableau66[[#Headers],[V020]]="V015",$AA16,AL16+AL35))</f>
        <v>0</v>
      </c>
      <c r="AN35" s="103">
        <f>IF(Tableau66[[#Headers],[V025]]="V010",0,IF(Tableau66[[#Headers],[V025]]="V015",$AA16,AM16+AM35))</f>
        <v>0</v>
      </c>
      <c r="AO35" s="103">
        <f>IF(Tableau66[[#Headers],[V030]]="V010",0,IF(Tableau66[[#Headers],[V030]]="V015",$AA16,AN16+AN35))</f>
        <v>0</v>
      </c>
      <c r="AP35" s="103">
        <f>IF(Tableau66[[#Headers],[V035]]="V010",0,IF(Tableau66[[#Headers],[V035]]="V015",$AA16,AO16+AO35))</f>
        <v>0</v>
      </c>
      <c r="AQ35" s="103">
        <f>IF(Tableau66[[#Headers],[V040]]="V010",0,IF(Tableau66[[#Headers],[V040]]="V015",$AA16,AP16+AP35))</f>
        <v>0</v>
      </c>
      <c r="AR35" s="103">
        <f>IF(Tableau66[[#Headers],[V020]]="V010",0,IF(Tableau66[[#Headers],[V020]]="V015",$AA16,AQ16+AQ35))</f>
        <v>0</v>
      </c>
      <c r="AS35" s="103">
        <f>IF(Tableau66[[#Headers],[V025]]="V010",0,IF(Tableau66[[#Headers],[V025]]="V015",$AA16,AR16+AR35))</f>
        <v>0</v>
      </c>
      <c r="AT35" s="103">
        <f>IF(Tableau66[[#Headers],[V030]]="V010",0,IF(Tableau66[[#Headers],[V030]]="V015",$AA16,AS16+AS35))</f>
        <v>0</v>
      </c>
      <c r="AU35" s="103">
        <f>IF(Tableau66[[#Headers],[V035]]="V010",0,IF(Tableau66[[#Headers],[V035]]="V015",$AA16,AT16+AT35))</f>
        <v>0</v>
      </c>
      <c r="AV35" s="103">
        <f>IF(Tableau66[[#Headers],[V040]]="V010",0,IF(Tableau66[[#Headers],[V040]]="V015",$AA16,AU16+AU35))</f>
        <v>0</v>
      </c>
      <c r="AW35" s="103">
        <f>IF(Tableau66[[#Headers],[V020]]="V010",0,IF(Tableau66[[#Headers],[V020]]="V015",$AA16,AV16+AV35))</f>
        <v>0</v>
      </c>
      <c r="AX35" s="103">
        <f>IF(Tableau66[[#Headers],[V020]]="V010",0,IF(Tableau66[[#Headers],[V020]]="V015",$AA16,AW16+AW35))</f>
        <v>0</v>
      </c>
      <c r="AY35" s="103">
        <f>IF(Tableau66[[#Headers],[V025]]="V010",0,IF(Tableau66[[#Headers],[V025]]="V015",$AA16,AX16+AX35))</f>
        <v>0</v>
      </c>
      <c r="AZ35" s="103">
        <f>IF(Tableau66[[#Headers],[V030]]="V010",0,IF(Tableau66[[#Headers],[V030]]="V015",$AA16,AY16+AY35))</f>
        <v>0</v>
      </c>
      <c r="BA35" s="103">
        <f>IF(Tableau66[[#Headers],[V035]]="V010",0,IF(Tableau66[[#Headers],[V035]]="V015",$AA16,AZ16+AZ35))</f>
        <v>0</v>
      </c>
      <c r="BB35" s="103">
        <f>IF(Tableau66[[#Headers],[V040]]="V010",0,IF(Tableau66[[#Headers],[V040]]="V015",$AA16,BA16+BA35))</f>
        <v>0</v>
      </c>
      <c r="BC35" s="103">
        <f>IF(Tableau66[[#Headers],[V045]]="V010",0,IF(Tableau66[[#Headers],[V045]]="V015",$AA16,BB16+BB35))</f>
        <v>0</v>
      </c>
    </row>
    <row r="36" spans="4:55" x14ac:dyDescent="0.2">
      <c r="I36" s="436"/>
      <c r="J36" s="4">
        <v>16</v>
      </c>
      <c r="K36" s="4">
        <f>IF($J$16=0,0,IF(J36=1,MIN($J$15*$J$17/20,$J$16/20),IF(SUM(K$21:K35)=$J$16,0,IF(SUM(K$21:K35)+MIN($J$15*$J$17/20,$J$16/20)&gt;$J$16,$J$16-SUM(K$21:K35),MIN($J$15*$J$17/20,$J$16/20)))))</f>
        <v>0</v>
      </c>
      <c r="L36" s="262"/>
      <c r="M36" s="262"/>
      <c r="N36" s="262"/>
      <c r="W36" s="436"/>
      <c r="X36" s="4" t="str">
        <f t="shared" si="2"/>
        <v>D</v>
      </c>
      <c r="Y36" s="4" t="str">
        <f t="shared" si="1"/>
        <v/>
      </c>
      <c r="Z36" s="4" t="str">
        <f>CONCATENATE(Tableau66[[#This Row],[Strate]],"_",Tableau66[[#This Row],[Essence]])</f>
        <v>D_</v>
      </c>
      <c r="AA36" s="103">
        <f>IF(Tableau66[[#Headers],[V010]]="V010",0,IF(Tableau66[[#Headers],[V010]]="V015",$AB17,AA17+Z36))</f>
        <v>0</v>
      </c>
      <c r="AB36" s="103">
        <f>IF(Tableau66[[#Headers],[V015]]="V010",0,IF(Tableau66[[#Headers],[V015]]="V015",$AA17,AA17+AA36))</f>
        <v>0</v>
      </c>
      <c r="AC36" s="103">
        <f>IF(Tableau66[[#Headers],[V020]]="V010",0,IF(Tableau66[[#Headers],[V020]]="V015",$AA17,AB17+AB36))</f>
        <v>0</v>
      </c>
      <c r="AD36" s="103">
        <f>IF(Tableau66[[#Headers],[V025]]="V010",0,IF(Tableau66[[#Headers],[V025]]="V015",$AA17,AC17+AC36))</f>
        <v>0</v>
      </c>
      <c r="AE36" s="103">
        <f>IF(Tableau66[[#Headers],[V030]]="V010",0,IF(Tableau66[[#Headers],[V030]]="V015",$AA17,AD17+AD36))</f>
        <v>0</v>
      </c>
      <c r="AF36" s="103">
        <f>IF(Tableau66[[#Headers],[V035]]="V010",0,IF(Tableau66[[#Headers],[V035]]="V015",$AA17,AE17+AE36))</f>
        <v>0</v>
      </c>
      <c r="AG36" s="103">
        <f>IF(Tableau66[[#Headers],[V040]]="V010",0,IF(Tableau66[[#Headers],[V040]]="V015",$AA17,AF17+AF36))</f>
        <v>0</v>
      </c>
      <c r="AH36" s="103">
        <f>IF(Tableau66[[#Headers],[V045]]="V010",0,IF(Tableau66[[#Headers],[V045]]="V015",$AA17,AG17+AG36))</f>
        <v>0</v>
      </c>
      <c r="AI36" s="103">
        <f>IF(Tableau66[[#Headers],[V050]]="V010",0,IF(Tableau66[[#Headers],[V050]]="V015",$AA17,AH17+AH36))</f>
        <v>0</v>
      </c>
      <c r="AJ36" s="103">
        <f>IF(Tableau66[[#Headers],[V055]]="V010",0,IF(Tableau66[[#Headers],[V055]]="V015",$AA17,AI17+AI36))</f>
        <v>0</v>
      </c>
      <c r="AK36" s="103">
        <f>IF(Tableau66[[#Headers],[V060]]="V010",0,IF(Tableau66[[#Headers],[V060]]="V015",$AA17,AJ17+AJ36))</f>
        <v>0</v>
      </c>
      <c r="AL36" s="103">
        <f>IF(Tableau66[[#Headers],[V065]]="V010",0,IF(Tableau66[[#Headers],[V065]]="V015",$AA17,AK17+AK36))</f>
        <v>0</v>
      </c>
      <c r="AM36" s="103">
        <f>IF(Tableau66[[#Headers],[V020]]="V010",0,IF(Tableau66[[#Headers],[V020]]="V015",$AA17,AL17+AL36))</f>
        <v>0</v>
      </c>
      <c r="AN36" s="103">
        <f>IF(Tableau66[[#Headers],[V025]]="V010",0,IF(Tableau66[[#Headers],[V025]]="V015",$AA17,AM17+AM36))</f>
        <v>0</v>
      </c>
      <c r="AO36" s="103">
        <f>IF(Tableau66[[#Headers],[V030]]="V010",0,IF(Tableau66[[#Headers],[V030]]="V015",$AA17,AN17+AN36))</f>
        <v>0</v>
      </c>
      <c r="AP36" s="103">
        <f>IF(Tableau66[[#Headers],[V035]]="V010",0,IF(Tableau66[[#Headers],[V035]]="V015",$AA17,AO17+AO36))</f>
        <v>0</v>
      </c>
      <c r="AQ36" s="103">
        <f>IF(Tableau66[[#Headers],[V040]]="V010",0,IF(Tableau66[[#Headers],[V040]]="V015",$AA17,AP17+AP36))</f>
        <v>0</v>
      </c>
      <c r="AR36" s="103">
        <f>IF(Tableau66[[#Headers],[V020]]="V010",0,IF(Tableau66[[#Headers],[V020]]="V015",$AA17,AQ17+AQ36))</f>
        <v>0</v>
      </c>
      <c r="AS36" s="103">
        <f>IF(Tableau66[[#Headers],[V025]]="V010",0,IF(Tableau66[[#Headers],[V025]]="V015",$AA17,AR17+AR36))</f>
        <v>0</v>
      </c>
      <c r="AT36" s="103">
        <f>IF(Tableau66[[#Headers],[V030]]="V010",0,IF(Tableau66[[#Headers],[V030]]="V015",$AA17,AS17+AS36))</f>
        <v>0</v>
      </c>
      <c r="AU36" s="103">
        <f>IF(Tableau66[[#Headers],[V035]]="V010",0,IF(Tableau66[[#Headers],[V035]]="V015",$AA17,AT17+AT36))</f>
        <v>0</v>
      </c>
      <c r="AV36" s="103">
        <f>IF(Tableau66[[#Headers],[V040]]="V010",0,IF(Tableau66[[#Headers],[V040]]="V015",$AA17,AU17+AU36))</f>
        <v>0</v>
      </c>
      <c r="AW36" s="103">
        <f>IF(Tableau66[[#Headers],[V020]]="V010",0,IF(Tableau66[[#Headers],[V020]]="V015",$AA17,AV17+AV36))</f>
        <v>0</v>
      </c>
      <c r="AX36" s="103">
        <f>IF(Tableau66[[#Headers],[V020]]="V010",0,IF(Tableau66[[#Headers],[V020]]="V015",$AA17,AW17+AW36))</f>
        <v>0</v>
      </c>
      <c r="AY36" s="103">
        <f>IF(Tableau66[[#Headers],[V025]]="V010",0,IF(Tableau66[[#Headers],[V025]]="V015",$AA17,AX17+AX36))</f>
        <v>0</v>
      </c>
      <c r="AZ36" s="103">
        <f>IF(Tableau66[[#Headers],[V030]]="V010",0,IF(Tableau66[[#Headers],[V030]]="V015",$AA17,AY17+AY36))</f>
        <v>0</v>
      </c>
      <c r="BA36" s="103">
        <f>IF(Tableau66[[#Headers],[V035]]="V010",0,IF(Tableau66[[#Headers],[V035]]="V015",$AA17,AZ17+AZ36))</f>
        <v>0</v>
      </c>
      <c r="BB36" s="103">
        <f>IF(Tableau66[[#Headers],[V040]]="V010",0,IF(Tableau66[[#Headers],[V040]]="V015",$AA17,BA17+BA36))</f>
        <v>0</v>
      </c>
      <c r="BC36" s="103">
        <f>IF(Tableau66[[#Headers],[V045]]="V010",0,IF(Tableau66[[#Headers],[V045]]="V015",$AA17,BB17+BB36))</f>
        <v>0</v>
      </c>
    </row>
    <row r="37" spans="4:55" x14ac:dyDescent="0.2">
      <c r="I37" s="436"/>
      <c r="J37" s="4">
        <v>17</v>
      </c>
      <c r="K37" s="4">
        <f>IF($J$16=0,0,IF(J37=1,MIN($J$15*$J$17/20,$J$16/20),IF(SUM(K$21:K36)=$J$16,0,IF(SUM(K$21:K36)+MIN($J$15*$J$17/20,$J$16/20)&gt;$J$16,$J$16-SUM(K$21:K36),MIN($J$15*$J$17/20,$J$16/20)))))</f>
        <v>0</v>
      </c>
      <c r="L37" s="262"/>
      <c r="M37" s="262"/>
      <c r="N37" s="262"/>
    </row>
    <row r="38" spans="4:55" x14ac:dyDescent="0.2">
      <c r="I38" s="436"/>
      <c r="J38" s="4">
        <v>18</v>
      </c>
      <c r="K38" s="4">
        <f>IF($J$16=0,0,IF(J38=1,MIN($J$15*$J$17/20,$J$16/20),IF(SUM(K$21:K37)=$J$16,0,IF(SUM(K$21:K37)+MIN($J$15*$J$17/20,$J$16/20)&gt;$J$16,$J$16-SUM(K$21:K37),MIN($J$15*$J$17/20,$J$16/20)))))</f>
        <v>0</v>
      </c>
      <c r="L38" s="262"/>
      <c r="M38" s="262"/>
      <c r="N38" s="262"/>
      <c r="AL38" s="4" t="s">
        <v>682</v>
      </c>
    </row>
    <row r="39" spans="4:55" x14ac:dyDescent="0.2">
      <c r="I39" s="436"/>
      <c r="J39" s="4">
        <v>19</v>
      </c>
      <c r="K39" s="4">
        <f>IF($J$16=0,0,IF(J39=1,MIN($J$15*$J$17/20,$J$16/20),IF(SUM(K$21:K38)=$J$16,0,IF(SUM(K$21:K38)+MIN($J$15*$J$17/20,$J$16/20)&gt;$J$16,$J$16-SUM(K$21:K38),MIN($J$15*$J$17/20,$J$16/20)))))</f>
        <v>0</v>
      </c>
      <c r="L39" s="262"/>
      <c r="M39" s="262"/>
      <c r="N39" s="262"/>
      <c r="W39" s="436" t="s">
        <v>623</v>
      </c>
      <c r="X39" s="266" t="s">
        <v>0</v>
      </c>
      <c r="Y39" s="266" t="s">
        <v>6</v>
      </c>
      <c r="Z39" s="266" t="s">
        <v>260</v>
      </c>
      <c r="AA39" s="266" t="s">
        <v>8</v>
      </c>
      <c r="AB39" s="266" t="s">
        <v>233</v>
      </c>
      <c r="AC39" s="266" t="s">
        <v>228</v>
      </c>
      <c r="AD39" s="266" t="s">
        <v>810</v>
      </c>
      <c r="AE39" s="266" t="s">
        <v>289</v>
      </c>
      <c r="AF39" s="266" t="s">
        <v>292</v>
      </c>
      <c r="AG39" s="266" t="s">
        <v>780</v>
      </c>
      <c r="AH39" s="266" t="s">
        <v>781</v>
      </c>
      <c r="AI39" s="266" t="s">
        <v>290</v>
      </c>
      <c r="AJ39" s="266" t="s">
        <v>291</v>
      </c>
      <c r="AK39" s="266" t="s">
        <v>782</v>
      </c>
      <c r="AL39" s="266" t="s">
        <v>787</v>
      </c>
      <c r="AM39" s="266" t="s">
        <v>783</v>
      </c>
      <c r="AN39" s="266" t="s">
        <v>784</v>
      </c>
      <c r="AO39" s="266" t="s">
        <v>828</v>
      </c>
      <c r="AP39" s="266" t="s">
        <v>5</v>
      </c>
      <c r="AQ39" s="266" t="s">
        <v>12</v>
      </c>
      <c r="AU39" s="4" t="s">
        <v>785</v>
      </c>
      <c r="AV39" s="4" t="s">
        <v>786</v>
      </c>
    </row>
    <row r="40" spans="4:55" x14ac:dyDescent="0.2">
      <c r="D40" s="265"/>
      <c r="I40" s="436"/>
      <c r="J40" s="4">
        <v>20</v>
      </c>
      <c r="K40" s="4">
        <f>IF($J$16=0,0,IF(J40=1,MIN($J$15*$J$17/20,$J$16/20),IF(SUM(K$21:K39)=$J$16,0,IF(SUM(K$21:K39)+MIN($J$15*$J$17/20,$J$16/20)&gt;$J$16,$J$16-SUM(K$21:K39),MIN($J$15*$J$17/20,$J$16/20)))))</f>
        <v>0</v>
      </c>
      <c r="L40" s="262"/>
      <c r="M40" s="262"/>
      <c r="N40" s="262"/>
      <c r="W40" s="436"/>
      <c r="X40" s="4" t="str">
        <f t="shared" ref="X40:X55" si="3">X2</f>
        <v>A</v>
      </c>
      <c r="Y40" s="4" t="str">
        <f>VLOOKUP(X40,Tableau619[],3,FALSE)</f>
        <v/>
      </c>
      <c r="Z40" s="4" t="str">
        <f>VLOOKUP(X40,Tableau619[],4,FALSE)</f>
        <v/>
      </c>
      <c r="AA40" s="4" t="str">
        <f t="shared" ref="AA40:AA55" si="4">IF(OR(Y2="",Y2=0),"",Y2)</f>
        <v/>
      </c>
      <c r="AB40" s="4" t="str">
        <f t="shared" ref="AB40:AB55" si="5">CONCATENATE(X40,"_",AA40)</f>
        <v>A_</v>
      </c>
      <c r="AC40" s="267" t="str">
        <f t="shared" ref="AC40:AC55" si="6">IF(OR(AA40="",AA40=0),"",VLOOKUP(AA40,$Q$2:$U$13,5,FALSE))</f>
        <v/>
      </c>
      <c r="AD40" s="268">
        <f t="shared" ref="AD40:AD55" si="7">IF(AC40="",0,IF(AC40="Feuillus",1,0.1))</f>
        <v>0</v>
      </c>
      <c r="AE40" s="269" t="str">
        <f t="shared" ref="AE40:AE55" si="8">IF(OR($AA40="",$AA40=0),"",VLOOKUP($AA40,$Q$2:$U$13,4,FALSE))</f>
        <v/>
      </c>
      <c r="AF40" s="270">
        <f t="shared" ref="AF40:AF55" si="9">IF(OR(AA40=0,AA40=""),0,$BD2)</f>
        <v>0</v>
      </c>
      <c r="AG40" s="270">
        <f>IF(Tableau45194[[#This Row],[Vtot]]=0,0,Tableau45194[[#This Row],[Vtot]]*IF(VLOOKUP(Tableau45194[[#This Row],[Essence]],$Q$2:$R$13,2,FALSE)&gt;50%,0,VLOOKUP(Tableau45194[[#This Row],[Essence]],$Q$2:$R$13,2,FALSE)))</f>
        <v>0</v>
      </c>
      <c r="AH40" s="103" cm="1">
        <f t="array" ref="AH40">IF(OR(AA40=0,AA40=""),0,IF($Y40="IRR",$AF40-INDEX($AA$21:$BC$36,MATCH(CONCATENATE(X40,"_",AA40),$Z$21:$Z$36,0),VLOOKUP(AE40,Tableau63[],2,FALSE)),$AF40))</f>
        <v>0</v>
      </c>
      <c r="AI40" s="267" t="str">
        <f t="shared" ref="AI40:AI55" si="10">IF(AH40=0,"",AH40/$AF40)</f>
        <v/>
      </c>
      <c r="AJ40" s="267" t="str">
        <f>IF(SUM(AH$40:AH$43)=0,"",SUMPRODUCT(AH$40:AH$43,AI$40:AI$43)/SUM(AH$40:AH$43))</f>
        <v/>
      </c>
      <c r="AK40" s="270">
        <f t="shared" ref="AK40:AK55" si="11">IF(OR($AH40="",$AH40=0,$AG40=0),0,(AF40-AG40)*AI40)</f>
        <v>0</v>
      </c>
      <c r="AL40" s="270" t="e">
        <f>AK40*Niv_engt</f>
        <v>#VALUE!</v>
      </c>
      <c r="AM40" s="270">
        <f>IF(Y40="IRR",IF(INT(SUM(AD$40:AD$43))=SUM(AD$40:$AD$43),MIN((50%)*(AF40-AG40),AK40),IF(SUM(AD$40:AD$43)&lt;=0.4,MIN((62%)*(AF40-AG40),AK40),MIN((50%)*(AF40-AG40),AK40))),AK40)</f>
        <v>0</v>
      </c>
      <c r="AN40" s="270">
        <f>(AF40-AG40)-AM40</f>
        <v>0</v>
      </c>
      <c r="AO40" s="270">
        <f>IF(Y40="IRR",AM40,IF(AM40=0,0,StrateA!M4-StrateA!O4))</f>
        <v>0</v>
      </c>
      <c r="AP40" s="103"/>
      <c r="AQ40" s="103"/>
      <c r="AT40" s="103"/>
      <c r="AU40" s="103">
        <f t="shared" ref="AU40:AU55" si="12">AF40-AG40</f>
        <v>0</v>
      </c>
      <c r="AV40" s="103">
        <f>AM40+AN40</f>
        <v>0</v>
      </c>
    </row>
    <row r="41" spans="4:55" x14ac:dyDescent="0.2">
      <c r="L41" s="262"/>
      <c r="M41" s="262"/>
      <c r="N41" s="262"/>
      <c r="W41" s="436"/>
      <c r="X41" s="4" t="str">
        <f t="shared" si="3"/>
        <v>A</v>
      </c>
      <c r="Y41" s="4" t="str">
        <f>VLOOKUP(X41,Tableau619[],3,FALSE)</f>
        <v/>
      </c>
      <c r="Z41" s="4" t="str">
        <f>VLOOKUP(X41,Tableau619[],4,FALSE)</f>
        <v/>
      </c>
      <c r="AA41" s="4" t="str">
        <f t="shared" si="4"/>
        <v/>
      </c>
      <c r="AB41" s="4" t="str">
        <f t="shared" si="5"/>
        <v>A_</v>
      </c>
      <c r="AC41" s="267" t="str">
        <f t="shared" si="6"/>
        <v/>
      </c>
      <c r="AD41" s="268">
        <f t="shared" si="7"/>
        <v>0</v>
      </c>
      <c r="AE41" s="4" t="str">
        <f t="shared" si="8"/>
        <v/>
      </c>
      <c r="AF41" s="270">
        <f t="shared" si="9"/>
        <v>0</v>
      </c>
      <c r="AG41" s="103">
        <f>IF(Tableau45194[[#This Row],[Vtot]]=0,0,Tableau45194[[#This Row],[Vtot]]*IF(VLOOKUP(Tableau45194[[#This Row],[Essence]],$Q$2:$R$13,2,FALSE)&gt;50%,0,VLOOKUP(Tableau45194[[#This Row],[Essence]],$Q$2:$R$13,2,FALSE)))</f>
        <v>0</v>
      </c>
      <c r="AH41" s="103" cm="1">
        <f t="array" ref="AH41">IF(OR(AA41=0,AA41=""),0,IF($Y41="IRR",$AF41-INDEX($AA$21:$BC$36,MATCH(CONCATENATE(X41,"_",AA41),$Z$21:$Z$36,0),VLOOKUP(AE41,Tableau63[],2,FALSE)),$AF41))</f>
        <v>0</v>
      </c>
      <c r="AI41" s="267" t="str">
        <f t="shared" si="10"/>
        <v/>
      </c>
      <c r="AJ41" s="267" t="str">
        <f>IF(SUM(AH$40:AH$43)=0,"",SUMPRODUCT(AH$40:AH$43,AI$40:AI$43)/SUM(AH$40:AH$43))</f>
        <v/>
      </c>
      <c r="AK41" s="270">
        <f t="shared" si="11"/>
        <v>0</v>
      </c>
      <c r="AL41" s="270" t="e">
        <f>AK41*Niv_engt</f>
        <v>#VALUE!</v>
      </c>
      <c r="AM41" s="270">
        <f>IF(Y41="IRR",IF(INT(SUM(AD$40:AD$43))=SUM(AD$40:$AD$43),MIN((50%)*(AF41-AG41),AK41),IF(SUM(AD$40:AD$43)&lt;=0.4,MIN((62%)*(AF41-AG41),AK41),MIN((50%)*(AF41-AG41),AK41))),AK41)</f>
        <v>0</v>
      </c>
      <c r="AN41" s="270">
        <f t="shared" ref="AN41:AN55" si="13">(AF41-AG41)-AM41</f>
        <v>0</v>
      </c>
      <c r="AO41" s="270">
        <f>IF(Y41="IRR",AM41,IF(AM41=0,0,StrateA!M5-StrateA!O5))</f>
        <v>0</v>
      </c>
      <c r="AP41" s="103"/>
      <c r="AQ41" s="103"/>
      <c r="AT41" s="118"/>
      <c r="AU41" s="103">
        <f t="shared" si="12"/>
        <v>0</v>
      </c>
      <c r="AV41" s="103">
        <f t="shared" ref="AV41:AV55" si="14">AM41+AN41</f>
        <v>0</v>
      </c>
    </row>
    <row r="42" spans="4:55" x14ac:dyDescent="0.2">
      <c r="L42" s="262"/>
      <c r="W42" s="436"/>
      <c r="X42" s="4" t="str">
        <f t="shared" si="3"/>
        <v>A</v>
      </c>
      <c r="Y42" s="4" t="str">
        <f>VLOOKUP(X42,Tableau619[],3,FALSE)</f>
        <v/>
      </c>
      <c r="Z42" s="4" t="str">
        <f>VLOOKUP(X42,Tableau619[],4,FALSE)</f>
        <v/>
      </c>
      <c r="AA42" s="4" t="str">
        <f t="shared" si="4"/>
        <v/>
      </c>
      <c r="AB42" s="4" t="str">
        <f t="shared" si="5"/>
        <v>A_</v>
      </c>
      <c r="AC42" s="267" t="str">
        <f t="shared" si="6"/>
        <v/>
      </c>
      <c r="AD42" s="268">
        <f t="shared" si="7"/>
        <v>0</v>
      </c>
      <c r="AE42" s="4" t="str">
        <f t="shared" si="8"/>
        <v/>
      </c>
      <c r="AF42" s="270">
        <f t="shared" si="9"/>
        <v>0</v>
      </c>
      <c r="AG42" s="103">
        <f>IF(Tableau45194[[#This Row],[Vtot]]=0,0,Tableau45194[[#This Row],[Vtot]]*IF(VLOOKUP(Tableau45194[[#This Row],[Essence]],$Q$2:$R$13,2,FALSE)&gt;50%,0,VLOOKUP(Tableau45194[[#This Row],[Essence]],$Q$2:$R$13,2,FALSE)))</f>
        <v>0</v>
      </c>
      <c r="AH42" s="103" cm="1">
        <f t="array" ref="AH42">IF(OR(AA42=0,AA42=""),0,IF($Y42="IRR",$AF42-INDEX($AA$21:$BC$36,MATCH(CONCATENATE(X42,"_",AA42),$Z$21:$Z$36,0),VLOOKUP(AE42,Tableau63[],2,FALSE)),$AF42))</f>
        <v>0</v>
      </c>
      <c r="AI42" s="267" t="str">
        <f t="shared" si="10"/>
        <v/>
      </c>
      <c r="AJ42" s="267" t="str">
        <f>IF(SUM(AH$40:AH$43)=0,"",SUMPRODUCT(AH$40:AH$43,AI$40:AI$43)/SUM(AH$40:AH$43))</f>
        <v/>
      </c>
      <c r="AK42" s="270">
        <f t="shared" si="11"/>
        <v>0</v>
      </c>
      <c r="AL42" s="270" t="e">
        <f t="shared" ref="AL42:AL55" si="15">AK42*Niv_engt</f>
        <v>#VALUE!</v>
      </c>
      <c r="AM42" s="270">
        <f>IF(Y42="IRR",IF(INT(SUM(AD$40:AD$43))=SUM(AD$40:$AD$43),MIN((50%)*(AF42-AG42),AK42),IF(SUM(AD$40:AD$43)&lt;=0.4,MIN((62%)*(AF42-AG42),AK42),MIN((50%)*(AF42-AG42),AK42))),AK42)</f>
        <v>0</v>
      </c>
      <c r="AN42" s="270">
        <f t="shared" si="13"/>
        <v>0</v>
      </c>
      <c r="AO42" s="270">
        <f>IF(Y42="IRR",AM42,IF(AM42=0,0,StrateA!M6-StrateA!O6))</f>
        <v>0</v>
      </c>
      <c r="AP42" s="103"/>
      <c r="AQ42" s="103"/>
      <c r="AT42" s="118"/>
      <c r="AU42" s="103">
        <f t="shared" si="12"/>
        <v>0</v>
      </c>
      <c r="AV42" s="103">
        <f t="shared" si="14"/>
        <v>0</v>
      </c>
    </row>
    <row r="43" spans="4:55" x14ac:dyDescent="0.2">
      <c r="L43" s="262"/>
      <c r="W43" s="436"/>
      <c r="X43" s="4" t="str">
        <f t="shared" si="3"/>
        <v>A</v>
      </c>
      <c r="Y43" s="4" t="str">
        <f>VLOOKUP(X43,Tableau619[],3,FALSE)</f>
        <v/>
      </c>
      <c r="Z43" s="4" t="str">
        <f>VLOOKUP(X43,Tableau619[],4,FALSE)</f>
        <v/>
      </c>
      <c r="AA43" s="4" t="str">
        <f t="shared" si="4"/>
        <v/>
      </c>
      <c r="AB43" s="4" t="str">
        <f t="shared" si="5"/>
        <v>A_</v>
      </c>
      <c r="AC43" s="267" t="str">
        <f t="shared" si="6"/>
        <v/>
      </c>
      <c r="AD43" s="268">
        <f t="shared" si="7"/>
        <v>0</v>
      </c>
      <c r="AE43" s="4" t="str">
        <f t="shared" si="8"/>
        <v/>
      </c>
      <c r="AF43" s="270">
        <f t="shared" si="9"/>
        <v>0</v>
      </c>
      <c r="AG43" s="103">
        <f>IF(Tableau45194[[#This Row],[Vtot]]=0,0,Tableau45194[[#This Row],[Vtot]]*IF(VLOOKUP(Tableau45194[[#This Row],[Essence]],$Q$2:$R$13,2,FALSE)&gt;50%,0,VLOOKUP(Tableau45194[[#This Row],[Essence]],$Q$2:$R$13,2,FALSE)))</f>
        <v>0</v>
      </c>
      <c r="AH43" s="103" cm="1">
        <f t="array" ref="AH43">IF(OR(AA43=0,AA43=""),0,IF($Y43="IRR",$AF43-INDEX($AA$21:$BC$36,MATCH(CONCATENATE(X43,"_",AA43),$Z$21:$Z$36,0),VLOOKUP(AE43,Tableau63[],2,FALSE)),$AF43))</f>
        <v>0</v>
      </c>
      <c r="AI43" s="267" t="str">
        <f t="shared" si="10"/>
        <v/>
      </c>
      <c r="AJ43" s="267" t="str">
        <f>IF(SUM(AH$40:AH$43)=0,"",SUMPRODUCT(AH$40:AH$43,AI$40:AI$43)/SUM(AH$40:AH$43))</f>
        <v/>
      </c>
      <c r="AK43" s="270">
        <f t="shared" si="11"/>
        <v>0</v>
      </c>
      <c r="AL43" s="270" t="e">
        <f t="shared" si="15"/>
        <v>#VALUE!</v>
      </c>
      <c r="AM43" s="270">
        <f>IF(Y43="IRR",IF(INT(SUM(AD$40:AD$43))=SUM(AD$40:$AD$43),MIN((50%)*(AF43-AG43),AK43),IF(SUM(AD$40:AD$43)&lt;=0.4,MIN((62%)*(AF43-AG43),AK43),MIN((50%)*(AF43-AG43),AK43))),AK43)</f>
        <v>0</v>
      </c>
      <c r="AN43" s="270">
        <f t="shared" si="13"/>
        <v>0</v>
      </c>
      <c r="AO43" s="270">
        <f>IF(Y43="IRR",AM43,IF(AM43=0,0,StrateA!M7-StrateA!O7))</f>
        <v>0</v>
      </c>
      <c r="AP43" s="103"/>
      <c r="AQ43" s="103"/>
      <c r="AT43" s="118"/>
      <c r="AU43" s="103">
        <f t="shared" si="12"/>
        <v>0</v>
      </c>
      <c r="AV43" s="103">
        <f t="shared" si="14"/>
        <v>0</v>
      </c>
    </row>
    <row r="44" spans="4:55" x14ac:dyDescent="0.2">
      <c r="W44" s="436"/>
      <c r="X44" s="4" t="str">
        <f t="shared" si="3"/>
        <v>B</v>
      </c>
      <c r="Y44" s="4" t="str">
        <f>VLOOKUP(X44,Tableau619[],3,FALSE)</f>
        <v/>
      </c>
      <c r="Z44" s="4">
        <f>VLOOKUP(X44,Tableau619[],4,FALSE)</f>
        <v>0</v>
      </c>
      <c r="AA44" s="4" t="str">
        <f t="shared" si="4"/>
        <v/>
      </c>
      <c r="AB44" s="4" t="str">
        <f t="shared" si="5"/>
        <v>B_</v>
      </c>
      <c r="AC44" s="267" t="str">
        <f t="shared" si="6"/>
        <v/>
      </c>
      <c r="AD44" s="268">
        <f t="shared" si="7"/>
        <v>0</v>
      </c>
      <c r="AE44" s="4" t="str">
        <f t="shared" si="8"/>
        <v/>
      </c>
      <c r="AF44" s="270">
        <f t="shared" si="9"/>
        <v>0</v>
      </c>
      <c r="AG44" s="103">
        <f>IF(Tableau45194[[#This Row],[Vtot]]=0,0,Tableau45194[[#This Row],[Vtot]]*IF(VLOOKUP(Tableau45194[[#This Row],[Essence]],$Q$2:$R$13,2,FALSE)&gt;50%,0,VLOOKUP(Tableau45194[[#This Row],[Essence]],$Q$2:$R$13,2,FALSE)))</f>
        <v>0</v>
      </c>
      <c r="AH44" s="103" cm="1">
        <f t="array" ref="AH44">IF(OR(AA44=0,AA44=""),0,IF($Y44="IRR",$AF44-INDEX($AA$21:$BC$36,MATCH(CONCATENATE(X44,"_",AA44),$Z$21:$Z$36,0),VLOOKUP(AE44,Tableau63[],2,FALSE)),$AF44))</f>
        <v>0</v>
      </c>
      <c r="AI44" s="267" t="str">
        <f t="shared" si="10"/>
        <v/>
      </c>
      <c r="AJ44" s="267" t="str">
        <f>IF(SUM(AH$44:AH$47)=0,"",SUMPRODUCT(AH$44:AH$47,AI$44:AI$47)/SUM(AH$44:AH$47))</f>
        <v/>
      </c>
      <c r="AK44" s="270">
        <f t="shared" si="11"/>
        <v>0</v>
      </c>
      <c r="AL44" s="270" t="e">
        <f t="shared" si="15"/>
        <v>#VALUE!</v>
      </c>
      <c r="AM44" s="270">
        <f>IF(Y44="IRR",IF(INT(SUM(AD$44:AD$47))=SUM(AD$44:$AD$47),MIN((50%)*(AF44-AG44),AK44),IF(SUM(AD$44:AD$47)&lt;=0.4,MIN((62%)*(AF44-AG44),AK44),MIN((50%)*(AF44-AG44),AK44))),AK44)</f>
        <v>0</v>
      </c>
      <c r="AN44" s="270">
        <f t="shared" si="13"/>
        <v>0</v>
      </c>
      <c r="AO44" s="270">
        <f>IF(Y44="IRR",AM44,IF(AM44=0,0,StrateB!M4-StrateB!O4))</f>
        <v>0</v>
      </c>
      <c r="AP44" s="103"/>
      <c r="AQ44" s="103"/>
      <c r="AT44" s="118"/>
      <c r="AU44" s="103">
        <f t="shared" si="12"/>
        <v>0</v>
      </c>
      <c r="AV44" s="103">
        <f t="shared" si="14"/>
        <v>0</v>
      </c>
    </row>
    <row r="45" spans="4:55" x14ac:dyDescent="0.2">
      <c r="W45" s="436"/>
      <c r="X45" s="4" t="str">
        <f t="shared" si="3"/>
        <v>B</v>
      </c>
      <c r="Y45" s="4" t="str">
        <f>VLOOKUP(X45,Tableau619[],3,FALSE)</f>
        <v/>
      </c>
      <c r="Z45" s="4">
        <f>VLOOKUP(X45,Tableau619[],4,FALSE)</f>
        <v>0</v>
      </c>
      <c r="AA45" s="4" t="str">
        <f t="shared" si="4"/>
        <v/>
      </c>
      <c r="AB45" s="4" t="str">
        <f t="shared" si="5"/>
        <v>B_</v>
      </c>
      <c r="AC45" s="267" t="str">
        <f t="shared" si="6"/>
        <v/>
      </c>
      <c r="AD45" s="268">
        <f t="shared" si="7"/>
        <v>0</v>
      </c>
      <c r="AE45" s="271" t="str">
        <f t="shared" si="8"/>
        <v/>
      </c>
      <c r="AF45" s="270">
        <f t="shared" si="9"/>
        <v>0</v>
      </c>
      <c r="AG45" s="271">
        <f>IF(Tableau45194[[#This Row],[Vtot]]=0,0,Tableau45194[[#This Row],[Vtot]]*IF(VLOOKUP(Tableau45194[[#This Row],[Essence]],$Q$2:$R$13,2,FALSE)&gt;50%,0,VLOOKUP(Tableau45194[[#This Row],[Essence]],$Q$2:$R$13,2,FALSE)))</f>
        <v>0</v>
      </c>
      <c r="AH45" s="103" cm="1">
        <f t="array" ref="AH45">IF(OR(AA45=0,AA45=""),0,IF($Y45="IRR",$AF45-INDEX($AA$21:$BC$36,MATCH(CONCATENATE(X45,"_",AA45),$Z$21:$Z$36,0),VLOOKUP(AE45,Tableau63[],2,FALSE)),$AF45))</f>
        <v>0</v>
      </c>
      <c r="AI45" s="267" t="str">
        <f t="shared" si="10"/>
        <v/>
      </c>
      <c r="AJ45" s="267" t="str">
        <f>IF(SUM(AH$44:AH$47)=0,"",SUMPRODUCT(AH$44:AH$47,AI$44:AI$47)/SUM(AH$44:AH$47))</f>
        <v/>
      </c>
      <c r="AK45" s="270">
        <f t="shared" si="11"/>
        <v>0</v>
      </c>
      <c r="AL45" s="270" t="e">
        <f t="shared" si="15"/>
        <v>#VALUE!</v>
      </c>
      <c r="AM45" s="270">
        <f>IF(Y45="IRR",IF(INT(SUM(AD$44:AD$47))=SUM(AD$44:$AD$47),MIN((50%)*(AF45-AG45),AK45),IF(SUM(AD$44:AD$47)&lt;=0.4,MIN((62%)*(AF45-AG45),AK45),MIN((50%)*(AF45-AG45),AK45))),AK45)</f>
        <v>0</v>
      </c>
      <c r="AN45" s="270">
        <f t="shared" si="13"/>
        <v>0</v>
      </c>
      <c r="AO45" s="270">
        <f>IF(Y45="IRR",AM45,IF(AM45=0,0,StrateB!M5-StrateB!O5))</f>
        <v>0</v>
      </c>
      <c r="AP45" s="103"/>
      <c r="AQ45" s="103"/>
      <c r="AT45" s="118"/>
      <c r="AU45" s="103">
        <f t="shared" si="12"/>
        <v>0</v>
      </c>
      <c r="AV45" s="103">
        <f t="shared" si="14"/>
        <v>0</v>
      </c>
    </row>
    <row r="46" spans="4:55" x14ac:dyDescent="0.2">
      <c r="D46" s="265"/>
      <c r="W46" s="436"/>
      <c r="X46" s="4" t="str">
        <f t="shared" si="3"/>
        <v>B</v>
      </c>
      <c r="Y46" s="4" t="str">
        <f>VLOOKUP(X46,Tableau619[],3,FALSE)</f>
        <v/>
      </c>
      <c r="Z46" s="4">
        <f>VLOOKUP(X46,Tableau619[],4,FALSE)</f>
        <v>0</v>
      </c>
      <c r="AA46" s="4" t="str">
        <f t="shared" si="4"/>
        <v/>
      </c>
      <c r="AB46" s="4" t="str">
        <f t="shared" si="5"/>
        <v>B_</v>
      </c>
      <c r="AC46" s="267" t="str">
        <f t="shared" si="6"/>
        <v/>
      </c>
      <c r="AD46" s="268">
        <f t="shared" si="7"/>
        <v>0</v>
      </c>
      <c r="AE46" s="271" t="str">
        <f t="shared" si="8"/>
        <v/>
      </c>
      <c r="AF46" s="270">
        <f t="shared" si="9"/>
        <v>0</v>
      </c>
      <c r="AG46" s="271">
        <f>IF(Tableau45194[[#This Row],[Vtot]]=0,0,Tableau45194[[#This Row],[Vtot]]*IF(VLOOKUP(Tableau45194[[#This Row],[Essence]],$Q$2:$R$13,2,FALSE)&gt;50%,0,VLOOKUP(Tableau45194[[#This Row],[Essence]],$Q$2:$R$13,2,FALSE)))</f>
        <v>0</v>
      </c>
      <c r="AH46" s="103" cm="1">
        <f t="array" ref="AH46">IF(OR(AA46=0,AA46=""),0,IF($Y46="IRR",$AF46-INDEX($AA$21:$BC$36,MATCH(CONCATENATE(X46,"_",AA46),$Z$21:$Z$36,0),VLOOKUP(AE46,Tableau63[],2,FALSE)),$AF46))</f>
        <v>0</v>
      </c>
      <c r="AI46" s="267" t="str">
        <f t="shared" si="10"/>
        <v/>
      </c>
      <c r="AJ46" s="267" t="str">
        <f>IF(SUM(AH$44:AH$47)=0,"",SUMPRODUCT(AH$44:AH$47,AI$44:AI$47)/SUM(AH$44:AH$47))</f>
        <v/>
      </c>
      <c r="AK46" s="270">
        <f t="shared" si="11"/>
        <v>0</v>
      </c>
      <c r="AL46" s="270" t="e">
        <f t="shared" si="15"/>
        <v>#VALUE!</v>
      </c>
      <c r="AM46" s="270">
        <f>IF(Y46="IRR",IF(INT(SUM(AD$44:AD$47))=SUM(AD$44:$AD$47),MIN((50%)*(AF46-AG46),AK46),IF(SUM(AD$44:AD$47)&lt;=0.4,MIN((62%)*(AF46-AG46),AK46),MIN((50%)*(AF46-AG46),AK46))),AK46)</f>
        <v>0</v>
      </c>
      <c r="AN46" s="270">
        <f t="shared" si="13"/>
        <v>0</v>
      </c>
      <c r="AO46" s="270">
        <f>IF(Y46="IRR",AM46,IF(AM46=0,0,StrateB!M6-StrateB!O6))</f>
        <v>0</v>
      </c>
      <c r="AP46" s="103"/>
      <c r="AQ46" s="103"/>
      <c r="AT46" s="118"/>
      <c r="AU46" s="103">
        <f t="shared" si="12"/>
        <v>0</v>
      </c>
      <c r="AV46" s="103">
        <f t="shared" si="14"/>
        <v>0</v>
      </c>
    </row>
    <row r="47" spans="4:55" x14ac:dyDescent="0.2">
      <c r="W47" s="436"/>
      <c r="X47" s="4" t="str">
        <f t="shared" si="3"/>
        <v>B</v>
      </c>
      <c r="Y47" s="4" t="str">
        <f>VLOOKUP(X47,Tableau619[],3,FALSE)</f>
        <v/>
      </c>
      <c r="Z47" s="4">
        <f>VLOOKUP(X47,Tableau619[],4,FALSE)</f>
        <v>0</v>
      </c>
      <c r="AA47" s="4" t="str">
        <f t="shared" si="4"/>
        <v/>
      </c>
      <c r="AB47" s="4" t="str">
        <f t="shared" si="5"/>
        <v>B_</v>
      </c>
      <c r="AC47" s="267" t="str">
        <f t="shared" si="6"/>
        <v/>
      </c>
      <c r="AD47" s="268">
        <f t="shared" si="7"/>
        <v>0</v>
      </c>
      <c r="AE47" s="271" t="str">
        <f t="shared" si="8"/>
        <v/>
      </c>
      <c r="AF47" s="270">
        <f t="shared" si="9"/>
        <v>0</v>
      </c>
      <c r="AG47" s="271">
        <f>IF(Tableau45194[[#This Row],[Vtot]]=0,0,Tableau45194[[#This Row],[Vtot]]*IF(VLOOKUP(Tableau45194[[#This Row],[Essence]],$Q$2:$R$13,2,FALSE)&gt;50%,0,VLOOKUP(Tableau45194[[#This Row],[Essence]],$Q$2:$R$13,2,FALSE)))</f>
        <v>0</v>
      </c>
      <c r="AH47" s="103" cm="1">
        <f t="array" ref="AH47">IF(OR(AA47=0,AA47=""),0,IF($Y47="IRR",$AF47-INDEX($AA$21:$BC$36,MATCH(CONCATENATE(X47,"_",AA47),$Z$21:$Z$36,0),VLOOKUP(AE47,Tableau63[],2,FALSE)),$AF47))</f>
        <v>0</v>
      </c>
      <c r="AI47" s="267" t="str">
        <f t="shared" si="10"/>
        <v/>
      </c>
      <c r="AJ47" s="267" t="str">
        <f>IF(SUM(AH$44:AH$47)=0,"",SUMPRODUCT(AH$44:AH$47,AI$44:AI$47)/SUM(AH$44:AH$47))</f>
        <v/>
      </c>
      <c r="AK47" s="270">
        <f t="shared" si="11"/>
        <v>0</v>
      </c>
      <c r="AL47" s="270" t="e">
        <f t="shared" si="15"/>
        <v>#VALUE!</v>
      </c>
      <c r="AM47" s="270">
        <f>IF(Y47="IRR",IF(INT(SUM(AD$44:AD$47))=SUM(AD$44:$AD$47),MIN((50%)*(AF47-AG47),AK47),IF(SUM(AD$44:AD$47)&lt;=0.4,MIN((62%)*(AF47-AG47),AK47),MIN((50%)*(AF47-AG47),AK47))),AK47)</f>
        <v>0</v>
      </c>
      <c r="AN47" s="270">
        <f t="shared" si="13"/>
        <v>0</v>
      </c>
      <c r="AO47" s="270">
        <f>IF(Y47="IRR",AM47,IF(AM47=0,0,StrateB!M7-StrateB!O7))</f>
        <v>0</v>
      </c>
      <c r="AP47" s="103"/>
      <c r="AQ47" s="103"/>
      <c r="AT47" s="118"/>
      <c r="AU47" s="103">
        <f t="shared" si="12"/>
        <v>0</v>
      </c>
      <c r="AV47" s="103">
        <f t="shared" si="14"/>
        <v>0</v>
      </c>
    </row>
    <row r="48" spans="4:55" x14ac:dyDescent="0.2">
      <c r="W48" s="436"/>
      <c r="X48" s="4" t="str">
        <f t="shared" si="3"/>
        <v>C</v>
      </c>
      <c r="Y48" s="4" t="str">
        <f>VLOOKUP(X48,Tableau619[],3,FALSE)</f>
        <v/>
      </c>
      <c r="Z48" s="4">
        <f>VLOOKUP(X48,Tableau619[],4,FALSE)</f>
        <v>0</v>
      </c>
      <c r="AA48" s="4" t="str">
        <f t="shared" si="4"/>
        <v/>
      </c>
      <c r="AB48" s="4" t="str">
        <f t="shared" si="5"/>
        <v>C_</v>
      </c>
      <c r="AC48" s="267" t="str">
        <f t="shared" si="6"/>
        <v/>
      </c>
      <c r="AD48" s="268">
        <f t="shared" si="7"/>
        <v>0</v>
      </c>
      <c r="AE48" s="271" t="str">
        <f t="shared" si="8"/>
        <v/>
      </c>
      <c r="AF48" s="270">
        <f t="shared" si="9"/>
        <v>0</v>
      </c>
      <c r="AG48" s="271">
        <f>IF(Tableau45194[[#This Row],[Vtot]]=0,0,Tableau45194[[#This Row],[Vtot]]*IF(VLOOKUP(Tableau45194[[#This Row],[Essence]],$Q$2:$R$13,2,FALSE)&gt;50%,0,VLOOKUP(Tableau45194[[#This Row],[Essence]],$Q$2:$R$13,2,FALSE)))</f>
        <v>0</v>
      </c>
      <c r="AH48" s="103" cm="1">
        <f t="array" ref="AH48">IF(OR(AA48=0,AA48=""),0,IF($Y48="IRR",$AF48-INDEX($AA$21:$BC$36,MATCH(CONCATENATE(X48,"_",AA48),$Z$21:$Z$36,0),VLOOKUP(AE48,Tableau63[],2,FALSE)),$AF48))</f>
        <v>0</v>
      </c>
      <c r="AI48" s="267" t="str">
        <f t="shared" si="10"/>
        <v/>
      </c>
      <c r="AJ48" s="267" t="str">
        <f>IF(SUM(AH$48:AH$51)=0,"",SUMPRODUCT(AH$48:AH$51,AI$48:AI$51)/SUM(AH$48:AH$51))</f>
        <v/>
      </c>
      <c r="AK48" s="270">
        <f t="shared" si="11"/>
        <v>0</v>
      </c>
      <c r="AL48" s="270" t="e">
        <f t="shared" si="15"/>
        <v>#VALUE!</v>
      </c>
      <c r="AM48" s="270">
        <f>IF(Y48="IRR",IF(INT(SUM(AD$48:AD$51))=SUM(AD$48:$AD$51),MIN((50%)*(AF48-AG48),AK48),IF(SUM(AD$48:AD$51)&lt;=0.4,MIN((62%)*(AF48-AG48),AK48),MIN((50%)*(AF48-AG48),AK48))),AK48)</f>
        <v>0</v>
      </c>
      <c r="AN48" s="270">
        <f t="shared" si="13"/>
        <v>0</v>
      </c>
      <c r="AO48" s="270">
        <f>IF(Y48="IRR",AM48,IF(AM48=0,0,StrateC!M4-StrateC!O4))</f>
        <v>0</v>
      </c>
      <c r="AP48" s="103"/>
      <c r="AQ48" s="103"/>
      <c r="AT48" s="118"/>
      <c r="AU48" s="103">
        <f t="shared" si="12"/>
        <v>0</v>
      </c>
      <c r="AV48" s="103">
        <f t="shared" si="14"/>
        <v>0</v>
      </c>
    </row>
    <row r="49" spans="23:48" x14ac:dyDescent="0.2">
      <c r="W49" s="436"/>
      <c r="X49" s="4" t="str">
        <f t="shared" si="3"/>
        <v>C</v>
      </c>
      <c r="Y49" s="4" t="str">
        <f>VLOOKUP(X49,Tableau619[],3,FALSE)</f>
        <v/>
      </c>
      <c r="Z49" s="4">
        <f>VLOOKUP(X49,Tableau619[],4,FALSE)</f>
        <v>0</v>
      </c>
      <c r="AA49" s="4" t="str">
        <f t="shared" si="4"/>
        <v/>
      </c>
      <c r="AB49" s="4" t="str">
        <f t="shared" si="5"/>
        <v>C_</v>
      </c>
      <c r="AC49" s="267" t="str">
        <f t="shared" si="6"/>
        <v/>
      </c>
      <c r="AD49" s="268">
        <f t="shared" si="7"/>
        <v>0</v>
      </c>
      <c r="AE49" s="271" t="str">
        <f t="shared" si="8"/>
        <v/>
      </c>
      <c r="AF49" s="270">
        <f t="shared" si="9"/>
        <v>0</v>
      </c>
      <c r="AG49" s="271">
        <f>IF(Tableau45194[[#This Row],[Vtot]]=0,0,Tableau45194[[#This Row],[Vtot]]*IF(VLOOKUP(Tableau45194[[#This Row],[Essence]],$Q$2:$R$13,2,FALSE)&gt;50%,0,VLOOKUP(Tableau45194[[#This Row],[Essence]],$Q$2:$R$13,2,FALSE)))</f>
        <v>0</v>
      </c>
      <c r="AH49" s="103" cm="1">
        <f t="array" ref="AH49">IF(OR(AA49=0,AA49=""),0,IF($Y49="IRR",$AF49-INDEX($AA$21:$BC$36,MATCH(CONCATENATE(X49,"_",AA49),$Z$21:$Z$36,0),VLOOKUP(AE49,Tableau63[],2,FALSE)),$AF49))</f>
        <v>0</v>
      </c>
      <c r="AI49" s="267" t="str">
        <f t="shared" si="10"/>
        <v/>
      </c>
      <c r="AJ49" s="267" t="str">
        <f>IF(SUM(AH$48:AH$51)=0,"",SUMPRODUCT(AH$48:AH$51,AI$48:AI$51)/SUM(AH$48:AH$51))</f>
        <v/>
      </c>
      <c r="AK49" s="270">
        <f t="shared" si="11"/>
        <v>0</v>
      </c>
      <c r="AL49" s="270" t="e">
        <f t="shared" si="15"/>
        <v>#VALUE!</v>
      </c>
      <c r="AM49" s="270">
        <f>IF(Y49="IRR",IF(INT(SUM(AD$48:AD$51))=SUM(AD$48:$AD$51),MIN((50%)*(AF49-AG49),AK49),IF(SUM(AD$48:AD$51)&lt;=0.4,MIN((62%)*(AF49-AG49),AK49),MIN((50%)*(AF49-AG49),AK49))),AK49)</f>
        <v>0</v>
      </c>
      <c r="AN49" s="270">
        <f t="shared" si="13"/>
        <v>0</v>
      </c>
      <c r="AO49" s="270">
        <f>IF(Y49="IRR",AM49,IF(AM49=0,0,StrateC!M5-StrateC!O5))</f>
        <v>0</v>
      </c>
      <c r="AP49" s="103"/>
      <c r="AQ49" s="103"/>
      <c r="AT49" s="118"/>
      <c r="AU49" s="103">
        <f t="shared" si="12"/>
        <v>0</v>
      </c>
      <c r="AV49" s="103">
        <f t="shared" si="14"/>
        <v>0</v>
      </c>
    </row>
    <row r="50" spans="23:48" x14ac:dyDescent="0.2">
      <c r="W50" s="436"/>
      <c r="X50" s="4" t="str">
        <f t="shared" si="3"/>
        <v>C</v>
      </c>
      <c r="Y50" s="4" t="str">
        <f>VLOOKUP(X50,Tableau619[],3,FALSE)</f>
        <v/>
      </c>
      <c r="Z50" s="4">
        <f>VLOOKUP(X50,Tableau619[],4,FALSE)</f>
        <v>0</v>
      </c>
      <c r="AA50" s="4" t="str">
        <f t="shared" si="4"/>
        <v/>
      </c>
      <c r="AB50" s="4" t="str">
        <f t="shared" si="5"/>
        <v>C_</v>
      </c>
      <c r="AC50" s="267" t="str">
        <f t="shared" si="6"/>
        <v/>
      </c>
      <c r="AD50" s="268">
        <f t="shared" si="7"/>
        <v>0</v>
      </c>
      <c r="AE50" s="271" t="str">
        <f t="shared" si="8"/>
        <v/>
      </c>
      <c r="AF50" s="270">
        <f t="shared" si="9"/>
        <v>0</v>
      </c>
      <c r="AG50" s="271">
        <f>IF(Tableau45194[[#This Row],[Vtot]]=0,0,Tableau45194[[#This Row],[Vtot]]*IF(VLOOKUP(Tableau45194[[#This Row],[Essence]],$Q$2:$R$13,2,FALSE)&gt;50%,0,VLOOKUP(Tableau45194[[#This Row],[Essence]],$Q$2:$R$13,2,FALSE)))</f>
        <v>0</v>
      </c>
      <c r="AH50" s="103" cm="1">
        <f t="array" ref="AH50">IF(OR(AA50=0,AA50=""),0,IF($Y50="IRR",$AF50-INDEX($AA$21:$BC$36,MATCH(CONCATENATE(X50,"_",AA50),$Z$21:$Z$36,0),VLOOKUP(AE50,Tableau63[],2,FALSE)),$AF50))</f>
        <v>0</v>
      </c>
      <c r="AI50" s="267" t="str">
        <f t="shared" si="10"/>
        <v/>
      </c>
      <c r="AJ50" s="267" t="str">
        <f>IF(SUM(AH$48:AH$51)=0,"",SUMPRODUCT(AH$48:AH$51,AI$48:AI$51)/SUM(AH$48:AH$51))</f>
        <v/>
      </c>
      <c r="AK50" s="270">
        <f t="shared" si="11"/>
        <v>0</v>
      </c>
      <c r="AL50" s="270" t="e">
        <f t="shared" si="15"/>
        <v>#VALUE!</v>
      </c>
      <c r="AM50" s="270">
        <f>IF(Y50="IRR",IF(INT(SUM(AD$48:AD$51))=SUM(AD$48:$AD$51),MIN((50%)*(AF50-AG50),AK50),IF(SUM(AD$48:AD$51)&lt;=0.4,MIN((62%)*(AF50-AG50),AK50),MIN((50%)*(AF50-AG50),AK50))),AK50)</f>
        <v>0</v>
      </c>
      <c r="AN50" s="270">
        <f t="shared" si="13"/>
        <v>0</v>
      </c>
      <c r="AO50" s="270">
        <f>IF(Y50="IRR",AM50,IF(AM50=0,0,StrateC!M6-StrateC!O6))</f>
        <v>0</v>
      </c>
      <c r="AP50" s="103"/>
      <c r="AQ50" s="103"/>
      <c r="AT50" s="118"/>
      <c r="AU50" s="103">
        <f t="shared" si="12"/>
        <v>0</v>
      </c>
      <c r="AV50" s="103">
        <f t="shared" si="14"/>
        <v>0</v>
      </c>
    </row>
    <row r="51" spans="23:48" x14ac:dyDescent="0.2">
      <c r="W51" s="436"/>
      <c r="X51" s="4" t="str">
        <f t="shared" si="3"/>
        <v>C</v>
      </c>
      <c r="Y51" s="4" t="str">
        <f>VLOOKUP(X51,Tableau619[],3,FALSE)</f>
        <v/>
      </c>
      <c r="Z51" s="4">
        <f>VLOOKUP(X51,Tableau619[],4,FALSE)</f>
        <v>0</v>
      </c>
      <c r="AA51" s="4" t="str">
        <f t="shared" si="4"/>
        <v/>
      </c>
      <c r="AB51" s="4" t="str">
        <f t="shared" si="5"/>
        <v>C_</v>
      </c>
      <c r="AC51" s="267" t="str">
        <f t="shared" si="6"/>
        <v/>
      </c>
      <c r="AD51" s="268">
        <f t="shared" si="7"/>
        <v>0</v>
      </c>
      <c r="AE51" s="271" t="str">
        <f t="shared" si="8"/>
        <v/>
      </c>
      <c r="AF51" s="270">
        <f t="shared" si="9"/>
        <v>0</v>
      </c>
      <c r="AG51" s="271">
        <f>IF(Tableau45194[[#This Row],[Vtot]]=0,0,Tableau45194[[#This Row],[Vtot]]*IF(VLOOKUP(Tableau45194[[#This Row],[Essence]],$Q$2:$R$13,2,FALSE)&gt;50%,0,VLOOKUP(Tableau45194[[#This Row],[Essence]],$Q$2:$R$13,2,FALSE)))</f>
        <v>0</v>
      </c>
      <c r="AH51" s="103" cm="1">
        <f t="array" ref="AH51">IF(OR(AA51=0,AA51=""),0,IF($Y51="IRR",$AF51-INDEX($AA$21:$BC$36,MATCH(CONCATENATE(X51,"_",AA51),$Z$21:$Z$36,0),VLOOKUP(AE51,Tableau63[],2,FALSE)),$AF51))</f>
        <v>0</v>
      </c>
      <c r="AI51" s="267" t="str">
        <f t="shared" si="10"/>
        <v/>
      </c>
      <c r="AJ51" s="267" t="str">
        <f>IF(SUM(AH$48:AH$51)=0,"",SUMPRODUCT(AH$48:AH$51,AI$48:AI$51)/SUM(AH$48:AH$51))</f>
        <v/>
      </c>
      <c r="AK51" s="270">
        <f t="shared" si="11"/>
        <v>0</v>
      </c>
      <c r="AL51" s="270" t="e">
        <f t="shared" si="15"/>
        <v>#VALUE!</v>
      </c>
      <c r="AM51" s="270">
        <f>IF(Y51="IRR",IF(INT(SUM(AD$48:AD$51))=SUM(AD$48:$AD$51),MIN((50%)*(AF51-AG51),AK51),IF(SUM(AD$48:AD$51)&lt;=0.4,MIN((62%)*(AF51-AG51),AK51),MIN((50%)*(AF51-AG51),AK51))),AK51)</f>
        <v>0</v>
      </c>
      <c r="AN51" s="270">
        <f t="shared" si="13"/>
        <v>0</v>
      </c>
      <c r="AO51" s="270">
        <f>IF(Y51="IRR",AM51,IF(AM51=0,0,StrateC!M7-StrateC!O7))</f>
        <v>0</v>
      </c>
      <c r="AP51" s="103"/>
      <c r="AQ51" s="103"/>
      <c r="AT51" s="118"/>
      <c r="AU51" s="103">
        <f t="shared" si="12"/>
        <v>0</v>
      </c>
      <c r="AV51" s="103">
        <f t="shared" si="14"/>
        <v>0</v>
      </c>
    </row>
    <row r="52" spans="23:48" x14ac:dyDescent="0.2">
      <c r="W52" s="436"/>
      <c r="X52" s="4" t="str">
        <f t="shared" si="3"/>
        <v>D</v>
      </c>
      <c r="Y52" s="4" t="str">
        <f>VLOOKUP(X52,Tableau619[],3,FALSE)</f>
        <v/>
      </c>
      <c r="Z52" s="4">
        <f>VLOOKUP(X52,Tableau619[],4,FALSE)</f>
        <v>0</v>
      </c>
      <c r="AA52" s="4" t="str">
        <f t="shared" si="4"/>
        <v/>
      </c>
      <c r="AB52" s="4" t="str">
        <f t="shared" si="5"/>
        <v>D_</v>
      </c>
      <c r="AC52" s="267" t="str">
        <f t="shared" si="6"/>
        <v/>
      </c>
      <c r="AD52" s="268">
        <f t="shared" si="7"/>
        <v>0</v>
      </c>
      <c r="AE52" s="271" t="str">
        <f t="shared" si="8"/>
        <v/>
      </c>
      <c r="AF52" s="270">
        <f t="shared" si="9"/>
        <v>0</v>
      </c>
      <c r="AG52" s="271">
        <f>IF(Tableau45194[[#This Row],[Vtot]]=0,0,Tableau45194[[#This Row],[Vtot]]*IF(VLOOKUP(Tableau45194[[#This Row],[Essence]],$Q$2:$R$13,2,FALSE)&gt;50%,0,VLOOKUP(Tableau45194[[#This Row],[Essence]],$Q$2:$R$13,2,FALSE)))</f>
        <v>0</v>
      </c>
      <c r="AH52" s="103" cm="1">
        <f t="array" ref="AH52">IF(OR(AA52=0,AA52=""),0,IF($Y52="IRR",$AF52-INDEX($AA$21:$BC$36,MATCH(CONCATENATE(X52,"_",AA52),$Z$21:$Z$36,0),VLOOKUP(AE52,Tableau63[],2,FALSE)),$AF52))</f>
        <v>0</v>
      </c>
      <c r="AI52" s="267" t="str">
        <f t="shared" si="10"/>
        <v/>
      </c>
      <c r="AJ52" s="267" t="str">
        <f>IF(SUM($AH$52:$AH$55)=0,"",SUMPRODUCT(AH$52:AH$55,AI$52:AI$55)/SUM(AH$52:AH$55))</f>
        <v/>
      </c>
      <c r="AK52" s="270">
        <f t="shared" si="11"/>
        <v>0</v>
      </c>
      <c r="AL52" s="270" t="e">
        <f t="shared" si="15"/>
        <v>#VALUE!</v>
      </c>
      <c r="AM52" s="270">
        <f>IF(Y52="IRR",IF(INT(SUM(AD$52:AD$55))=SUM(AD$52:$AD$55),MIN((50%)*(AF52-AG52),AK52),IF(SUM(AD$52:AD$55)&lt;=0.4,MIN((62%)*(AF52-AG52),AK52),MIN((50%)*(AF52-AG52),AK52))),AK52)</f>
        <v>0</v>
      </c>
      <c r="AN52" s="270">
        <f t="shared" si="13"/>
        <v>0</v>
      </c>
      <c r="AO52" s="270">
        <f>IF(Y52="IRR",AM52,IF(AM52=0,0,StrateD!M4-StrateD!O4))</f>
        <v>0</v>
      </c>
      <c r="AP52" s="103"/>
      <c r="AQ52" s="103"/>
      <c r="AT52" s="118"/>
      <c r="AU52" s="103">
        <f t="shared" si="12"/>
        <v>0</v>
      </c>
      <c r="AV52" s="103">
        <f t="shared" si="14"/>
        <v>0</v>
      </c>
    </row>
    <row r="53" spans="23:48" x14ac:dyDescent="0.2">
      <c r="W53" s="436"/>
      <c r="X53" s="4" t="str">
        <f t="shared" si="3"/>
        <v>D</v>
      </c>
      <c r="Y53" s="4" t="str">
        <f>VLOOKUP(X53,Tableau619[],3,FALSE)</f>
        <v/>
      </c>
      <c r="Z53" s="4">
        <f>VLOOKUP(X53,Tableau619[],4,FALSE)</f>
        <v>0</v>
      </c>
      <c r="AA53" s="4" t="str">
        <f t="shared" si="4"/>
        <v/>
      </c>
      <c r="AB53" s="4" t="str">
        <f t="shared" si="5"/>
        <v>D_</v>
      </c>
      <c r="AC53" s="267" t="str">
        <f t="shared" si="6"/>
        <v/>
      </c>
      <c r="AD53" s="268">
        <f t="shared" si="7"/>
        <v>0</v>
      </c>
      <c r="AE53" s="271" t="str">
        <f t="shared" si="8"/>
        <v/>
      </c>
      <c r="AF53" s="270">
        <f t="shared" si="9"/>
        <v>0</v>
      </c>
      <c r="AG53" s="271">
        <f>IF(Tableau45194[[#This Row],[Vtot]]=0,0,Tableau45194[[#This Row],[Vtot]]*IF(VLOOKUP(Tableau45194[[#This Row],[Essence]],$Q$2:$R$13,2,FALSE)&gt;50%,0,VLOOKUP(Tableau45194[[#This Row],[Essence]],$Q$2:$R$13,2,FALSE)))</f>
        <v>0</v>
      </c>
      <c r="AH53" s="103" cm="1">
        <f t="array" ref="AH53">IF(OR(AA53=0,AA53=""),0,IF($Y53="IRR",$AF53-INDEX($AA$21:$BC$36,MATCH(CONCATENATE(X53,"_",AA53),$Z$21:$Z$36,0),VLOOKUP(AE53,Tableau63[],2,FALSE)),$AF53))</f>
        <v>0</v>
      </c>
      <c r="AI53" s="267" t="str">
        <f t="shared" si="10"/>
        <v/>
      </c>
      <c r="AJ53" s="267" t="str">
        <f>IF(SUM($AH$52:$AH$55)=0,"",SUMPRODUCT(AH$52:AH$55,AI$52:AI$55)/SUM(AH$52:AH$55))</f>
        <v/>
      </c>
      <c r="AK53" s="270">
        <f t="shared" si="11"/>
        <v>0</v>
      </c>
      <c r="AL53" s="270" t="e">
        <f t="shared" si="15"/>
        <v>#VALUE!</v>
      </c>
      <c r="AM53" s="270">
        <f>IF(Y53="IRR",IF(INT(SUM(AD$52:AD$55))=SUM(AD$52:$AD$55),MIN((50%)*(AF53-AG53),AK53),IF(SUM(AD$52:AD$55)&lt;=0.4,MIN((62%)*(AF53-AG53),AK53),MIN((50%)*(AF53-AG53),AK53))),AK53)</f>
        <v>0</v>
      </c>
      <c r="AN53" s="270">
        <f t="shared" si="13"/>
        <v>0</v>
      </c>
      <c r="AO53" s="270">
        <f>IF(Y53="IRR",AM53,IF(AM53=0,0,StrateD!M5-StrateD!O5))</f>
        <v>0</v>
      </c>
      <c r="AP53" s="103"/>
      <c r="AQ53" s="103"/>
      <c r="AT53" s="118"/>
      <c r="AU53" s="103">
        <f t="shared" si="12"/>
        <v>0</v>
      </c>
      <c r="AV53" s="103">
        <f t="shared" si="14"/>
        <v>0</v>
      </c>
    </row>
    <row r="54" spans="23:48" x14ac:dyDescent="0.2">
      <c r="W54" s="436"/>
      <c r="X54" s="4" t="str">
        <f t="shared" si="3"/>
        <v>D</v>
      </c>
      <c r="Y54" s="4" t="str">
        <f>VLOOKUP(X54,Tableau619[],3,FALSE)</f>
        <v/>
      </c>
      <c r="Z54" s="4">
        <f>VLOOKUP(X54,Tableau619[],4,FALSE)</f>
        <v>0</v>
      </c>
      <c r="AA54" s="4" t="str">
        <f t="shared" si="4"/>
        <v/>
      </c>
      <c r="AB54" s="4" t="str">
        <f t="shared" si="5"/>
        <v>D_</v>
      </c>
      <c r="AC54" s="267" t="str">
        <f t="shared" si="6"/>
        <v/>
      </c>
      <c r="AD54" s="268">
        <f t="shared" si="7"/>
        <v>0</v>
      </c>
      <c r="AE54" s="271" t="str">
        <f t="shared" si="8"/>
        <v/>
      </c>
      <c r="AF54" s="270">
        <f t="shared" si="9"/>
        <v>0</v>
      </c>
      <c r="AG54" s="271">
        <f>IF(Tableau45194[[#This Row],[Vtot]]=0,0,Tableau45194[[#This Row],[Vtot]]*IF(VLOOKUP(Tableau45194[[#This Row],[Essence]],$Q$2:$R$13,2,FALSE)&gt;50%,0,VLOOKUP(Tableau45194[[#This Row],[Essence]],$Q$2:$R$13,2,FALSE)))</f>
        <v>0</v>
      </c>
      <c r="AH54" s="103" cm="1">
        <f t="array" ref="AH54">IF(OR(AA54=0,AA54=""),0,IF($Y54="IRR",$AF54-INDEX($AA$21:$BC$36,MATCH(CONCATENATE(X54,"_",AA54),$Z$21:$Z$36,0),VLOOKUP(AE54,Tableau63[],2,FALSE)),$AF54))</f>
        <v>0</v>
      </c>
      <c r="AI54" s="267" t="str">
        <f t="shared" si="10"/>
        <v/>
      </c>
      <c r="AJ54" s="267" t="str">
        <f>IF(SUM($AH$52:$AH$55)=0,"",SUMPRODUCT(AH$52:AH$55,AI$52:AI$55)/SUM(AH$52:AH$55))</f>
        <v/>
      </c>
      <c r="AK54" s="270">
        <f t="shared" si="11"/>
        <v>0</v>
      </c>
      <c r="AL54" s="270" t="e">
        <f t="shared" si="15"/>
        <v>#VALUE!</v>
      </c>
      <c r="AM54" s="270">
        <f>IF(Y54="IRR",IF(INT(SUM(AD$52:AD$55))=SUM(AD$52:$AD$55),MIN((50%)*(AF54-AG54),AK54),IF(SUM(AD$52:AD$55)&lt;=0.4,MIN((62%)*(AF54-AG54),AK54),MIN((50%)*(AF54-AG54),AK54))),AK54)</f>
        <v>0</v>
      </c>
      <c r="AN54" s="270">
        <f t="shared" si="13"/>
        <v>0</v>
      </c>
      <c r="AO54" s="270">
        <f>IF(Y54="IRR",AM54,IF(AM54=0,0,StrateD!M6-StrateD!O6))</f>
        <v>0</v>
      </c>
      <c r="AP54" s="103"/>
      <c r="AQ54" s="103"/>
      <c r="AT54" s="118"/>
      <c r="AU54" s="103">
        <f t="shared" si="12"/>
        <v>0</v>
      </c>
      <c r="AV54" s="103">
        <f t="shared" si="14"/>
        <v>0</v>
      </c>
    </row>
    <row r="55" spans="23:48" x14ac:dyDescent="0.2">
      <c r="W55" s="436"/>
      <c r="X55" s="4" t="str">
        <f t="shared" si="3"/>
        <v>D</v>
      </c>
      <c r="Y55" s="4" t="str">
        <f>VLOOKUP(X55,Tableau619[],3,FALSE)</f>
        <v/>
      </c>
      <c r="Z55" s="4">
        <f>VLOOKUP(X55,Tableau619[],4,FALSE)</f>
        <v>0</v>
      </c>
      <c r="AA55" s="4" t="str">
        <f t="shared" si="4"/>
        <v/>
      </c>
      <c r="AB55" s="4" t="str">
        <f t="shared" si="5"/>
        <v>D_</v>
      </c>
      <c r="AC55" s="267" t="str">
        <f t="shared" si="6"/>
        <v/>
      </c>
      <c r="AD55" s="268">
        <f t="shared" si="7"/>
        <v>0</v>
      </c>
      <c r="AE55" s="271" t="str">
        <f t="shared" si="8"/>
        <v/>
      </c>
      <c r="AF55" s="270">
        <f t="shared" si="9"/>
        <v>0</v>
      </c>
      <c r="AG55" s="271">
        <f>IF(Tableau45194[[#This Row],[Vtot]]=0,0,Tableau45194[[#This Row],[Vtot]]*IF(VLOOKUP(Tableau45194[[#This Row],[Essence]],$Q$2:$R$13,2,FALSE)&gt;50%,0,VLOOKUP(Tableau45194[[#This Row],[Essence]],$Q$2:$R$13,2,FALSE)))</f>
        <v>0</v>
      </c>
      <c r="AH55" s="103" cm="1">
        <f t="array" ref="AH55">IF(OR(AA55=0,AA55=""),0,IF($Y55="IRR",$AF55-INDEX($AA$21:$BC$36,MATCH(CONCATENATE(X55,"_",AA55),$Z$21:$Z$36,0),VLOOKUP(AE55,Tableau63[],2,FALSE)),$AF55))</f>
        <v>0</v>
      </c>
      <c r="AI55" s="267" t="str">
        <f t="shared" si="10"/>
        <v/>
      </c>
      <c r="AJ55" s="267" t="str">
        <f>IF(SUM($AH$52:$AH$55)=0,"",SUMPRODUCT(AH$52:AH$55,AI$52:AI$55)/SUM(AH$52:AH$55))</f>
        <v/>
      </c>
      <c r="AK55" s="270">
        <f t="shared" si="11"/>
        <v>0</v>
      </c>
      <c r="AL55" s="270" t="e">
        <f t="shared" si="15"/>
        <v>#VALUE!</v>
      </c>
      <c r="AM55" s="270">
        <f>IF(Y55="IRR",IF(INT(SUM(AD$52:AD$55))=SUM(AD$52:$AD$55),MIN((50%)*(AF55-AG55),AK55),IF(SUM(AD$52:AD$55)&lt;=0.4,MIN((62%)*(AF55-AG55),AK55),MIN((50%)*(AF55-AG55),AK55))),AK55)</f>
        <v>0</v>
      </c>
      <c r="AN55" s="270">
        <f t="shared" si="13"/>
        <v>0</v>
      </c>
      <c r="AO55" s="270">
        <f>IF(Y55="IRR",AM55,IF(AM55=0,0,StrateD!M7-StrateD!O7))</f>
        <v>0</v>
      </c>
      <c r="AP55" s="103"/>
      <c r="AQ55" s="103"/>
      <c r="AT55" s="118"/>
      <c r="AU55" s="103">
        <f t="shared" si="12"/>
        <v>0</v>
      </c>
      <c r="AV55" s="103">
        <f t="shared" si="14"/>
        <v>0</v>
      </c>
    </row>
  </sheetData>
  <sheetProtection algorithmName="SHA-512" hashValue="jkSRM3JFzJWceJAe1p3JwFEE08F4hsie+Rm5iTY/JpgET3YFHDx2igl4xSTyRZsp3p5lxj3RRQilhQwkaNVrUA==" saltValue="K/5Ydg3cItyaiphnWNHl7w==" spinCount="100000" sheet="1" objects="1" scenarios="1"/>
  <mergeCells count="10">
    <mergeCell ref="A1:A9"/>
    <mergeCell ref="W39:W55"/>
    <mergeCell ref="E1:E5"/>
    <mergeCell ref="I1:I5"/>
    <mergeCell ref="W1:W17"/>
    <mergeCell ref="W20:W36"/>
    <mergeCell ref="I8:I12"/>
    <mergeCell ref="I20:I40"/>
    <mergeCell ref="P1:P13"/>
    <mergeCell ref="A12:A13"/>
  </mergeCells>
  <phoneticPr fontId="5" type="noConversion"/>
  <pageMargins left="0.7" right="0.7" top="0.75" bottom="0.75" header="0.3" footer="0.3"/>
  <tableParts count="9">
    <tablePart r:id="rId1"/>
    <tablePart r:id="rId2"/>
    <tablePart r:id="rId3"/>
    <tablePart r:id="rId4"/>
    <tablePart r:id="rId5"/>
    <tablePart r:id="rId6"/>
    <tablePart r:id="rId7"/>
    <tablePart r:id="rId8"/>
    <tablePart r:id="rId9"/>
  </tablePart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300-000001000000}">
          <x14:formula1>
            <xm:f>Listes!$B$7:$B$36</xm:f>
          </x14:formula1>
          <xm:sqref>Z16:Z17</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B050"/>
  </sheetPr>
  <dimension ref="A1:AZ439"/>
  <sheetViews>
    <sheetView topLeftCell="A165" zoomScaleNormal="90" workbookViewId="0">
      <selection activeCell="D202" sqref="D202"/>
    </sheetView>
  </sheetViews>
  <sheetFormatPr baseColWidth="10" defaultColWidth="11.1640625" defaultRowHeight="16" x14ac:dyDescent="0.2"/>
  <cols>
    <col min="1" max="1" width="16" style="3" customWidth="1"/>
    <col min="2" max="2" width="26" style="3" bestFit="1" customWidth="1"/>
    <col min="3" max="3" width="27.6640625" style="3" bestFit="1" customWidth="1"/>
    <col min="4" max="4" width="29" style="3" customWidth="1"/>
    <col min="5" max="5" width="19.6640625" style="3" bestFit="1" customWidth="1"/>
    <col min="6" max="6" width="20.1640625" style="3" bestFit="1" customWidth="1"/>
    <col min="7" max="7" width="14" style="3" customWidth="1"/>
    <col min="8" max="8" width="14.5" style="3" customWidth="1"/>
    <col min="9" max="9" width="15.1640625" style="3" customWidth="1"/>
    <col min="10" max="10" width="15.5" style="3" customWidth="1"/>
    <col min="11" max="11" width="15.1640625" style="3" customWidth="1"/>
    <col min="12" max="12" width="16.5" style="3" customWidth="1"/>
    <col min="13" max="13" width="17" style="3" customWidth="1"/>
    <col min="14" max="14" width="17" style="3" bestFit="1" customWidth="1"/>
    <col min="15" max="15" width="20.6640625" style="3" bestFit="1" customWidth="1"/>
    <col min="16" max="17" width="11.1640625" style="3"/>
    <col min="18" max="18" width="14.1640625" style="3" bestFit="1" customWidth="1"/>
    <col min="19" max="19" width="13.1640625" style="3" customWidth="1"/>
    <col min="20" max="26" width="11.1640625" style="3"/>
    <col min="27" max="27" width="13" style="3" customWidth="1"/>
    <col min="28" max="28" width="12.1640625" style="3" customWidth="1"/>
    <col min="29" max="29" width="12.5" style="3" customWidth="1"/>
    <col min="30" max="30" width="11.1640625" style="3"/>
    <col min="31" max="31" width="11.83203125" style="3" customWidth="1"/>
    <col min="32" max="32" width="12.33203125" style="3" customWidth="1"/>
    <col min="33" max="43" width="11.1640625" style="3"/>
    <col min="44" max="44" width="15.5" style="3" bestFit="1" customWidth="1"/>
    <col min="45" max="16384" width="11.1640625" style="3"/>
  </cols>
  <sheetData>
    <row r="1" spans="1:19" s="212" customFormat="1" x14ac:dyDescent="0.2">
      <c r="A1" s="468" t="s">
        <v>222</v>
      </c>
      <c r="B1" s="212" t="s">
        <v>223</v>
      </c>
      <c r="C1" s="212" t="s">
        <v>180</v>
      </c>
    </row>
    <row r="2" spans="1:19" s="212" customFormat="1" x14ac:dyDescent="0.2">
      <c r="A2" s="468"/>
      <c r="B2" s="213"/>
      <c r="C2" s="213"/>
    </row>
    <row r="3" spans="1:19" ht="16" customHeight="1" x14ac:dyDescent="0.2">
      <c r="A3" s="469" t="s">
        <v>612</v>
      </c>
      <c r="B3" s="4" t="s">
        <v>5</v>
      </c>
      <c r="C3" s="4" t="s">
        <v>12</v>
      </c>
      <c r="D3" s="4"/>
      <c r="E3" s="471" t="s">
        <v>613</v>
      </c>
      <c r="F3" s="39" t="s">
        <v>0</v>
      </c>
      <c r="G3" s="39" t="s">
        <v>8</v>
      </c>
      <c r="H3" s="39" t="s">
        <v>171</v>
      </c>
      <c r="I3" s="39" t="s">
        <v>616</v>
      </c>
      <c r="J3" s="39" t="s">
        <v>790</v>
      </c>
      <c r="K3" s="39" t="s">
        <v>788</v>
      </c>
      <c r="L3" s="39" t="s">
        <v>789</v>
      </c>
      <c r="M3" s="39" t="s">
        <v>783</v>
      </c>
      <c r="N3" s="39" t="s">
        <v>779</v>
      </c>
      <c r="O3" s="39" t="s">
        <v>793</v>
      </c>
      <c r="P3" s="81" t="s">
        <v>228</v>
      </c>
      <c r="Q3" s="39" t="s">
        <v>772</v>
      </c>
      <c r="R3" s="39" t="s">
        <v>773</v>
      </c>
      <c r="S3" s="81" t="s">
        <v>774</v>
      </c>
    </row>
    <row r="4" spans="1:19" ht="16" customHeight="1" x14ac:dyDescent="0.2">
      <c r="A4" s="469"/>
      <c r="B4" s="4" t="s">
        <v>6</v>
      </c>
      <c r="C4" s="4" t="str">
        <f>VLOOKUP(C1,Tableau619[],3,FALSE)</f>
        <v/>
      </c>
      <c r="D4" s="4"/>
      <c r="E4" s="469"/>
      <c r="F4" s="4" t="str">
        <f>C$1</f>
        <v>A</v>
      </c>
      <c r="G4" s="4" t="str">
        <f>INITIAL_FORET!Y2</f>
        <v/>
      </c>
      <c r="H4" s="58" t="str">
        <f>IF(OR(G4=0,G4=""),"",VLOOKUP(G4,Tableau45[],3,FALSE))</f>
        <v/>
      </c>
      <c r="I4" s="103" t="str">
        <f>IF(OR(F4="",G4=""),"",VLOOKUP(CONCATENATE(F4,"_",G4),INITIAL_FORET!$AB$40:$AQ$55,5,FALSE))</f>
        <v/>
      </c>
      <c r="J4" s="16" t="str">
        <f>IF(OR(I4=0,I4=""),"",VLOOKUP(G4,Tableau45[[Essence]:[RiskEss_choisi]],2,FALSE))</f>
        <v/>
      </c>
      <c r="K4" s="130" t="str">
        <f>IF(OR(G4=0,G4=""),"",I4*(1-J4))</f>
        <v/>
      </c>
      <c r="L4" s="227" t="str">
        <f>IF(OR(G4=0,G4=""),"",VLOOKUP(CONCATENATE(F4,"_",G4),INITIAL_FORET!$AB$40:$AQ$55,10,FALSE))</f>
        <v/>
      </c>
      <c r="M4" s="103" t="str">
        <f>IF(OR(G4=0,G4=""),"",VLOOKUP(CONCATENATE(F4,"_",G4),INITIAL_FORET!$AB$40:$AQ$55,12,FALSE))</f>
        <v/>
      </c>
      <c r="N4" s="103" t="str">
        <f>IF(OR(G4=0,G4=""),"",VLOOKUP(CONCATENATE(F4,"_",G4),INITIAL_FORET!$AB$40:$AQ$55,11,FALSE))</f>
        <v/>
      </c>
      <c r="O4" s="103" t="str">
        <f>IF(OR(G4=0,G4=""),"",IF($C$4="IRR",VLOOKUP(CONCATENATE(F4,"_",G4),INITIAL_FORET!$AB$40:$AQ$55,13,FALSE),K4-(K4/$C$6)*SUM($I$19:$I$38)))</f>
        <v/>
      </c>
      <c r="P4" s="3" t="str">
        <f>IF(OR(G4=0,G4=""),"",IF(VLOOKUP(G4,Tableau45[],5,FALSE)="Feuillus","Feuillus","Résineux"))</f>
        <v/>
      </c>
      <c r="Q4" s="103">
        <f>IF(L4="",0,L4*VLOOKUP(G4,Tableau44[[Code_ess]:[FEB]],4,FALSE))</f>
        <v>0</v>
      </c>
      <c r="R4" s="226">
        <f>IF(Q4&gt;0,EXP(-1.0587+0.8836*LN(Q4)+0.284),0)</f>
        <v>0</v>
      </c>
      <c r="S4" s="226">
        <f>SUM(Q4:R4)*0.475*44/12</f>
        <v>0</v>
      </c>
    </row>
    <row r="5" spans="1:19" x14ac:dyDescent="0.2">
      <c r="A5" s="469"/>
      <c r="B5" s="4" t="s">
        <v>87</v>
      </c>
      <c r="C5" s="22" t="str">
        <f>Niv_engt</f>
        <v/>
      </c>
      <c r="D5" s="4"/>
      <c r="E5" s="469"/>
      <c r="F5" s="4" t="str">
        <f>C$1</f>
        <v>A</v>
      </c>
      <c r="G5" s="4" t="str">
        <f>INITIAL_FORET!Y3</f>
        <v/>
      </c>
      <c r="H5" s="58" t="str">
        <f>IF(OR(G5=0,G5=""),"",VLOOKUP(G5,Tableau45[],3,FALSE))</f>
        <v/>
      </c>
      <c r="I5" s="131" t="str">
        <f>IF(OR(F5="",G5=""),"",VLOOKUP(CONCATENATE(F5,"_",G5),INITIAL_FORET!$AB$40:$AQ$55,5,FALSE))</f>
        <v/>
      </c>
      <c r="J5" s="246" t="str">
        <f>IF(OR(I5=0,I5=""),"",VLOOKUP(G5,Tableau45[[Essence]:[RiskEss_choisi]],2,FALSE))</f>
        <v/>
      </c>
      <c r="K5" s="130" t="str">
        <f t="shared" ref="K5:K7" si="0">IF(OR(G5=0,G5=""),"",I5*(1-J5))</f>
        <v/>
      </c>
      <c r="L5" s="227" t="str">
        <f>IF(OR(G5=0,G5=""),"",VLOOKUP(CONCATENATE(F5,"_",G5),INITIAL_FORET!$AB$40:$AQ$55,10,FALSE))</f>
        <v/>
      </c>
      <c r="M5" s="103" t="str">
        <f>IF(OR(G5=0,G5=""),"",VLOOKUP(CONCATENATE(F5,"_",G5),INITIAL_FORET!$AB$40:$AQ$55,12,FALSE))</f>
        <v/>
      </c>
      <c r="N5" s="103" t="str">
        <f>IF(OR(G5=0,G5=""),"",VLOOKUP(CONCATENATE(F5,"_",G5),INITIAL_FORET!$AB$40:$AQ$55,11,FALSE))</f>
        <v/>
      </c>
      <c r="O5" s="103" t="str">
        <f>IF(OR(G5=0,G5=""),"",IF($C$4="IRR",VLOOKUP(CONCATENATE(F5,"_",G5),INITIAL_FORET!$AB$40:$AQ$55,13,FALSE),K5-(K5/$C$6)*SUM($I$19:$I$38)))</f>
        <v/>
      </c>
      <c r="P5" s="3" t="str">
        <f>IF(OR(G5=0,G5=""),"",IF(VLOOKUP(G5,Tableau45[],5,FALSE)="Feuillus","Feuillus","Résineux"))</f>
        <v/>
      </c>
      <c r="Q5" s="103">
        <f>IF(L5="",0,L5*VLOOKUP(G5,Tableau44[[Code_ess]:[FEB]],4,FALSE))</f>
        <v>0</v>
      </c>
      <c r="R5" s="103">
        <f t="shared" ref="R5:R7" si="1">IF(Q5&gt;0,EXP(-1.0587+0.8836*LN(Q5)+0.284),0)</f>
        <v>0</v>
      </c>
      <c r="S5" s="95">
        <f t="shared" ref="S5:S7" si="2">SUM(Q5:R5)*0.475*44/12</f>
        <v>0</v>
      </c>
    </row>
    <row r="6" spans="1:19" x14ac:dyDescent="0.2">
      <c r="A6" s="469"/>
      <c r="B6" s="5" t="s">
        <v>226</v>
      </c>
      <c r="C6" s="29" t="str">
        <f>VLOOKUP(C1,Tableau619[],4,FALSE)</f>
        <v/>
      </c>
      <c r="D6" s="4"/>
      <c r="E6" s="469"/>
      <c r="F6" s="4" t="str">
        <f>C$1</f>
        <v>A</v>
      </c>
      <c r="G6" s="4" t="str">
        <f>INITIAL_FORET!Y4</f>
        <v/>
      </c>
      <c r="H6" s="58" t="str">
        <f>IF(OR(G6=0,G6=""),"",VLOOKUP(G6,Tableau45[],3,FALSE))</f>
        <v/>
      </c>
      <c r="I6" s="131" t="str">
        <f>IF(OR(F6="",G6=""),"",VLOOKUP(CONCATENATE(F6,"_",G6),INITIAL_FORET!$AB$40:$AQ$55,5,FALSE))</f>
        <v/>
      </c>
      <c r="J6" s="246" t="str">
        <f>IF(OR(I6=0,I6=""),"",VLOOKUP(G6,Tableau45[[Essence]:[RiskEss_choisi]],2,FALSE))</f>
        <v/>
      </c>
      <c r="K6" s="130" t="str">
        <f t="shared" si="0"/>
        <v/>
      </c>
      <c r="L6" s="227" t="str">
        <f>IF(OR(G6=0,G6=""),"",VLOOKUP(CONCATENATE(F6,"_",G6),INITIAL_FORET!$AB$40:$AQ$55,10,FALSE))</f>
        <v/>
      </c>
      <c r="M6" s="103" t="str">
        <f>IF(OR(G6=0,G6=""),"",VLOOKUP(CONCATENATE(F6,"_",G6),INITIAL_FORET!$AB$40:$AQ$55,12,FALSE))</f>
        <v/>
      </c>
      <c r="N6" s="103" t="str">
        <f>IF(OR(G6=0,G6=""),"",VLOOKUP(CONCATENATE(F6,"_",G6),INITIAL_FORET!$AB$40:$AQ$55,11,FALSE))</f>
        <v/>
      </c>
      <c r="O6" s="103" t="str">
        <f>IF(OR(G6=0,G6=""),"",IF($C$4="IRR",VLOOKUP(CONCATENATE(F6,"_",G6),INITIAL_FORET!$AB$40:$AQ$55,13,FALSE),K6-(K6/$C$6)*SUM($I$19:$I$38)))</f>
        <v/>
      </c>
      <c r="P6" s="3" t="str">
        <f>IF(OR(G6=0,G6=""),"",IF(VLOOKUP(G6,Tableau45[],5,FALSE)="Feuillus","Feuillus","Résineux"))</f>
        <v/>
      </c>
      <c r="Q6" s="103">
        <f>IF(L6="",0,L6*VLOOKUP(G6,Tableau44[[Code_ess]:[FEB]],4,FALSE))</f>
        <v>0</v>
      </c>
      <c r="R6" s="103">
        <f t="shared" si="1"/>
        <v>0</v>
      </c>
      <c r="S6" s="95">
        <f t="shared" si="2"/>
        <v>0</v>
      </c>
    </row>
    <row r="7" spans="1:19" x14ac:dyDescent="0.2">
      <c r="A7" s="469"/>
      <c r="B7" s="5" t="s">
        <v>756</v>
      </c>
      <c r="C7" s="30">
        <f>IF(VLOOKUP(C1,Tableau223[],5,FALSE)="",0,VLOOKUP(C1,Tableau223[],5,FALSE))</f>
        <v>0</v>
      </c>
      <c r="D7" s="4"/>
      <c r="E7" s="469"/>
      <c r="F7" s="4" t="str">
        <f>C$1</f>
        <v>A</v>
      </c>
      <c r="G7" s="4" t="str">
        <f>INITIAL_FORET!Y5</f>
        <v/>
      </c>
      <c r="H7" s="22" t="str">
        <f>IF(OR(G7=0,G7=""),"",VLOOKUP(G7,Tableau45[],3,FALSE))</f>
        <v/>
      </c>
      <c r="I7" s="131" t="str">
        <f>IF(OR(F7="",G7=""),"",VLOOKUP(CONCATENATE(F7,"_",G7),INITIAL_FORET!$AB$40:$AQ$55,5,FALSE))</f>
        <v/>
      </c>
      <c r="J7" s="246" t="str">
        <f>IF(OR(I7=0,I7=""),"",VLOOKUP(G7,Tableau45[[Essence]:[RiskEss_choisi]],2,FALSE))</f>
        <v/>
      </c>
      <c r="K7" s="130" t="str">
        <f t="shared" si="0"/>
        <v/>
      </c>
      <c r="L7" s="227" t="str">
        <f>IF(OR(G7=0,G7=""),"",VLOOKUP(CONCATENATE(F7,"_",G7),INITIAL_FORET!$AB$40:$AQ$55,10,FALSE))</f>
        <v/>
      </c>
      <c r="M7" s="103" t="str">
        <f>IF(OR(G7=0,G7=""),"",VLOOKUP(CONCATENATE(F7,"_",G7),INITIAL_FORET!$AB$40:$AQ$55,12,FALSE))</f>
        <v/>
      </c>
      <c r="N7" s="103" t="str">
        <f>IF(OR(G7=0,G7=""),"",VLOOKUP(CONCATENATE(F7,"_",G7),INITIAL_FORET!$AB$40:$AQ$55,11,FALSE))</f>
        <v/>
      </c>
      <c r="O7" s="103" t="str">
        <f>IF(OR(G7=0,G7=""),"",IF($C$4="IRR",VLOOKUP(CONCATENATE(F7,"_",G7),INITIAL_FORET!$AB$40:$AQ$55,13,FALSE),K7-(K7/$C$6)*SUM($I$19:$I$38)))</f>
        <v/>
      </c>
      <c r="P7" s="3" t="str">
        <f>IF(OR(G7=0,G7=""),"",IF(VLOOKUP(G7,Tableau45[],5,FALSE)="Feuillus","Feuillus","Résineux"))</f>
        <v/>
      </c>
      <c r="Q7" s="103">
        <f>IF(L7="",0,L7*VLOOKUP(G7,Tableau44[[Code_ess]:[FEB]],4,FALSE))</f>
        <v>0</v>
      </c>
      <c r="R7" s="103">
        <f t="shared" si="1"/>
        <v>0</v>
      </c>
      <c r="S7" s="95">
        <f t="shared" si="2"/>
        <v>0</v>
      </c>
    </row>
    <row r="8" spans="1:19" x14ac:dyDescent="0.2">
      <c r="A8" s="330"/>
      <c r="B8" s="5"/>
      <c r="C8" s="32"/>
      <c r="D8" s="4"/>
      <c r="E8" s="60"/>
      <c r="I8" s="11"/>
      <c r="O8" s="4"/>
      <c r="P8" s="4"/>
    </row>
    <row r="9" spans="1:19" x14ac:dyDescent="0.2">
      <c r="A9" s="4"/>
      <c r="B9" s="4"/>
      <c r="C9" s="4"/>
      <c r="D9" s="4"/>
      <c r="E9" s="4"/>
      <c r="F9" s="4"/>
      <c r="G9" s="4"/>
      <c r="I9" s="62" t="s">
        <v>615</v>
      </c>
      <c r="J9" s="4"/>
      <c r="K9" s="102"/>
      <c r="L9" s="4"/>
      <c r="M9" s="12"/>
      <c r="N9" s="4"/>
      <c r="O9" s="4"/>
      <c r="P9" s="4"/>
    </row>
    <row r="10" spans="1:19" ht="16" customHeight="1" x14ac:dyDescent="0.2">
      <c r="A10" s="469" t="s">
        <v>614</v>
      </c>
      <c r="B10" s="4" t="s">
        <v>170</v>
      </c>
      <c r="C10" s="3" t="s">
        <v>17</v>
      </c>
      <c r="D10" s="3" t="s">
        <v>61</v>
      </c>
      <c r="I10" s="132">
        <f>MAX(Tableau15615178[Vol_tot])</f>
        <v>0</v>
      </c>
      <c r="J10" s="57"/>
      <c r="K10" s="56"/>
      <c r="L10" s="57"/>
      <c r="M10" s="97"/>
      <c r="N10" s="98"/>
    </row>
    <row r="11" spans="1:19" ht="16" customHeight="1" x14ac:dyDescent="0.2">
      <c r="A11" s="469"/>
      <c r="B11" s="4" t="str">
        <f>IF(I4=I10,G4,IF(I5=I10,G5,IF(I6=I10,G6,G7)))</f>
        <v/>
      </c>
      <c r="C11" s="3">
        <f>IF(OR(B11=0,B11=""),0,VLOOKUP(B11,Tableau44[[Code_ess]:[FEB]],4,FALSE))</f>
        <v>0</v>
      </c>
      <c r="D11" s="3">
        <f>IF(OR(B11=0,B11=""),0,VLOOKUP(B11,Tableau44[[Code_ess]:[FEB]],5,FALSE))</f>
        <v>0</v>
      </c>
      <c r="J11" s="4"/>
      <c r="K11" s="57"/>
      <c r="L11" s="57"/>
      <c r="M11" s="57"/>
    </row>
    <row r="12" spans="1:19" ht="16" customHeight="1" x14ac:dyDescent="0.2">
      <c r="A12" s="39"/>
      <c r="B12" s="4"/>
      <c r="C12" s="4"/>
      <c r="D12" s="4"/>
      <c r="J12" s="4"/>
      <c r="K12" s="57"/>
      <c r="L12" s="57"/>
      <c r="M12" s="57"/>
    </row>
    <row r="13" spans="1:19" ht="16" customHeight="1" x14ac:dyDescent="0.2">
      <c r="A13" s="4"/>
      <c r="B13" s="470" t="s">
        <v>625</v>
      </c>
      <c r="C13" s="470"/>
      <c r="D13" s="61">
        <f>IF(C4="REG",75%,IF(C4="RASE",90%,50%))</f>
        <v>0.5</v>
      </c>
      <c r="J13" s="4"/>
      <c r="K13" s="57"/>
      <c r="L13" s="57"/>
      <c r="M13" s="57"/>
    </row>
    <row r="14" spans="1:19" ht="16" customHeight="1" x14ac:dyDescent="0.2">
      <c r="A14" s="4"/>
      <c r="B14" s="4"/>
      <c r="C14" s="4"/>
      <c r="D14" s="22"/>
      <c r="J14" s="4"/>
      <c r="K14" s="57"/>
      <c r="L14" s="57"/>
      <c r="M14" s="57"/>
    </row>
    <row r="15" spans="1:19" ht="16" customHeight="1" x14ac:dyDescent="0.2">
      <c r="A15" s="4"/>
      <c r="B15" s="470" t="s">
        <v>757</v>
      </c>
      <c r="C15" s="470"/>
      <c r="D15" s="132">
        <f>SUM(K4:K7)-SUM(L4:L7)</f>
        <v>0</v>
      </c>
      <c r="E15" s="220"/>
      <c r="F15" s="81"/>
      <c r="J15" s="4"/>
      <c r="K15" s="57"/>
      <c r="L15" s="57"/>
      <c r="M15" s="57"/>
    </row>
    <row r="16" spans="1:19" ht="16" customHeight="1" x14ac:dyDescent="0.2">
      <c r="A16" s="4"/>
      <c r="B16" s="470" t="s">
        <v>794</v>
      </c>
      <c r="C16" s="470"/>
      <c r="D16" s="132">
        <f>SUM(O4:O7)-D15</f>
        <v>0</v>
      </c>
      <c r="E16" s="220"/>
      <c r="F16" s="81"/>
      <c r="J16" s="4"/>
      <c r="K16" s="57"/>
      <c r="L16" s="57"/>
      <c r="M16" s="57"/>
    </row>
    <row r="17" spans="1:17" ht="16" customHeight="1" x14ac:dyDescent="0.2">
      <c r="J17" s="4"/>
      <c r="K17" s="57"/>
      <c r="L17" s="57"/>
      <c r="M17" s="57"/>
    </row>
    <row r="18" spans="1:17" ht="16" customHeight="1" x14ac:dyDescent="0.2">
      <c r="A18" s="471" t="str">
        <f>CONCATENATE("RYTHME CROISSANCE REGE_",B11)</f>
        <v>RYTHME CROISSANCE REGE_</v>
      </c>
      <c r="B18" s="4" t="s">
        <v>94</v>
      </c>
      <c r="C18" s="4" t="s">
        <v>153</v>
      </c>
      <c r="D18" s="4" t="s">
        <v>152</v>
      </c>
      <c r="E18" s="4" t="s">
        <v>151</v>
      </c>
      <c r="G18" s="471" t="s">
        <v>778</v>
      </c>
      <c r="H18" s="3" t="s">
        <v>5</v>
      </c>
      <c r="I18" s="3" t="s">
        <v>749</v>
      </c>
      <c r="J18" s="4" t="s">
        <v>744</v>
      </c>
      <c r="K18" s="4" t="s">
        <v>745</v>
      </c>
      <c r="L18" s="4" t="s">
        <v>746</v>
      </c>
      <c r="M18" s="4" t="s">
        <v>747</v>
      </c>
      <c r="N18" s="4" t="s">
        <v>288</v>
      </c>
      <c r="O18" s="4"/>
      <c r="P18" s="4"/>
    </row>
    <row r="19" spans="1:17" x14ac:dyDescent="0.2">
      <c r="A19" s="471"/>
      <c r="B19" s="4">
        <v>0</v>
      </c>
      <c r="C19" s="10">
        <f>'3.ESS_RÉGÉ'!C22</f>
        <v>0</v>
      </c>
      <c r="D19" s="10">
        <f>'3.ESS_RÉGÉ'!D22</f>
        <v>0</v>
      </c>
      <c r="E19" s="10">
        <f>'3.ESS_RÉGÉ'!E22</f>
        <v>0</v>
      </c>
      <c r="G19" s="471"/>
      <c r="H19" s="3">
        <v>1</v>
      </c>
      <c r="I19" s="11">
        <f>IF($C$4="REG",$C$7*INITIAL_FORET!K21,IF($C$4="RASE",$C$7*INITIAL_FORET!L24,0))</f>
        <v>0</v>
      </c>
      <c r="J19" s="11" cm="1">
        <f t="array" ref="J19">IF($C$6=0,0,IF(INDEX($G$4:$M$7,RIGHT(J$18,1),6)="",0,IF($C$4="IRR",INDEX($G$4:$M$7,RIGHT(J$18,1),7)*80%/20,((INDEX($G$4:$M$7,RIGHT(J$18,1),7))/$C$6)*$I19)))</f>
        <v>0</v>
      </c>
      <c r="K19" s="11" cm="1">
        <f t="array" ref="K19">IF($C$6=0,0,IF(INDEX($G$4:$M$7,RIGHT(K$18,1),6)="",0,IF($C$4="IRR",INDEX($G$4:$M$7,RIGHT(K$18,1),7)*80%/20,((INDEX($G$4:$M$7,RIGHT(K$18,1),7))/$C$6)*$I19)))</f>
        <v>0</v>
      </c>
      <c r="L19" s="11" cm="1">
        <f t="array" ref="L19">IF($C$6=0,0,IF(INDEX($G$4:$M$7,RIGHT(L$18,1),6)="",0,IF($C$4="IRR",INDEX($G$4:$M$7,RIGHT(L$18,1),7)*80%/20,((INDEX($G$4:$M$7,RIGHT(L$18,1),7))/$C$6)*$I19)))</f>
        <v>0</v>
      </c>
      <c r="M19" s="11" cm="1">
        <f t="array" ref="M19">IF($C$6=0,0,IF(INDEX($G$4:$M$7,RIGHT(M$18,1),6)="",0,IF($C$4="IRR",INDEX($G$4:$M$7,RIGHT(M$18,1),7)*80%/20,((INDEX($G$4:$M$7,RIGHT(M$18,1),7))/$C$6)*$I19)))</f>
        <v>0</v>
      </c>
      <c r="N19" s="11">
        <f t="shared" ref="N19:N38" si="3">SUM(J19:M19)</f>
        <v>0</v>
      </c>
      <c r="O19" s="4"/>
      <c r="P19" s="4"/>
    </row>
    <row r="20" spans="1:17" x14ac:dyDescent="0.2">
      <c r="A20" s="471"/>
      <c r="B20" s="12">
        <v>1</v>
      </c>
      <c r="C20" s="10">
        <f>'3.ESS_RÉGÉ'!C23</f>
        <v>0</v>
      </c>
      <c r="D20" s="10">
        <f>'3.ESS_RÉGÉ'!D23</f>
        <v>0</v>
      </c>
      <c r="E20" s="10">
        <f>'3.ESS_RÉGÉ'!E23</f>
        <v>0</v>
      </c>
      <c r="G20" s="471"/>
      <c r="H20" s="3">
        <v>2</v>
      </c>
      <c r="I20" s="11">
        <f>IF($C$4="REG",$C$7*INITIAL_FORET!K22,IF($C$4="RASE",$C$7*INITIAL_FORET!L25,0))</f>
        <v>0</v>
      </c>
      <c r="J20" s="11" cm="1">
        <f t="array" ref="J20">IF($C$6=0,0,IF(INDEX($G$4:$M$7,RIGHT(J$18,1),6)="",0,IF($C$4="IRR",INDEX($G$4:$M$7,RIGHT(J$18,1),7)*80%/20,((INDEX($G$4:$M$7,RIGHT(J$18,1),7))/$C$6)*$I20)))</f>
        <v>0</v>
      </c>
      <c r="K20" s="11" cm="1">
        <f t="array" ref="K20">IF($C$6=0,0,IF(INDEX($G$4:$M$7,RIGHT(K$18,1),6)="",0,IF($C$4="IRR",INDEX($G$4:$M$7,RIGHT(K$18,1),7)*80%/20,((INDEX($G$4:$M$7,RIGHT(K$18,1),7))/$C$6)*$I20)))</f>
        <v>0</v>
      </c>
      <c r="L20" s="11" cm="1">
        <f t="array" ref="L20">IF($C$6=0,0,IF(INDEX($G$4:$M$7,RIGHT(L$18,1),6)="",0,IF($C$4="IRR",INDEX($G$4:$M$7,RIGHT(L$18,1),7)*80%/20,((INDEX($G$4:$M$7,RIGHT(L$18,1),7))/$C$6)*$I20)))</f>
        <v>0</v>
      </c>
      <c r="M20" s="11" cm="1">
        <f t="array" ref="M20">IF($C$6=0,0,IF(INDEX($G$4:$M$7,RIGHT(M$18,1),6)="",0,IF($C$4="IRR",INDEX($G$4:$M$7,RIGHT(M$18,1),7)*80%/20,((INDEX($G$4:$M$7,RIGHT(M$18,1),7))/$C$6)*$I20)))</f>
        <v>0</v>
      </c>
      <c r="N20" s="11">
        <f t="shared" si="3"/>
        <v>0</v>
      </c>
      <c r="O20" s="4"/>
      <c r="P20" s="4"/>
    </row>
    <row r="21" spans="1:17" x14ac:dyDescent="0.2">
      <c r="A21" s="471"/>
      <c r="B21" s="12">
        <v>2</v>
      </c>
      <c r="C21" s="10">
        <f>'3.ESS_RÉGÉ'!C24</f>
        <v>0</v>
      </c>
      <c r="D21" s="10">
        <f>'3.ESS_RÉGÉ'!D24</f>
        <v>0</v>
      </c>
      <c r="E21" s="10">
        <f>'3.ESS_RÉGÉ'!E24</f>
        <v>0</v>
      </c>
      <c r="G21" s="471"/>
      <c r="H21" s="3">
        <v>3</v>
      </c>
      <c r="I21" s="11">
        <f>IF($C$4="REG",$C$7*INITIAL_FORET!K23,IF($C$4="RASE",$C$7*INITIAL_FORET!L26,0))</f>
        <v>0</v>
      </c>
      <c r="J21" s="11" cm="1">
        <f t="array" ref="J21">IF($C$6=0,0,IF(INDEX($G$4:$M$7,RIGHT(J$18,1),6)="",0,IF($C$4="IRR",INDEX($G$4:$M$7,RIGHT(J$18,1),7)*80%/20,((INDEX($G$4:$M$7,RIGHT(J$18,1),7))/$C$6)*$I21)))</f>
        <v>0</v>
      </c>
      <c r="K21" s="11" cm="1">
        <f t="array" ref="K21">IF($C$6=0,0,IF(INDEX($G$4:$M$7,RIGHT(K$18,1),6)="",0,IF($C$4="IRR",INDEX($G$4:$M$7,RIGHT(K$18,1),7)*80%/20,((INDEX($G$4:$M$7,RIGHT(K$18,1),7))/$C$6)*$I21)))</f>
        <v>0</v>
      </c>
      <c r="L21" s="11" cm="1">
        <f t="array" ref="L21">IF($C$6=0,0,IF(INDEX($G$4:$M$7,RIGHT(L$18,1),6)="",0,IF($C$4="IRR",INDEX($G$4:$M$7,RIGHT(L$18,1),7)*80%/20,((INDEX($G$4:$M$7,RIGHT(L$18,1),7))/$C$6)*$I21)))</f>
        <v>0</v>
      </c>
      <c r="M21" s="11" cm="1">
        <f t="array" ref="M21">IF($C$6=0,0,IF(INDEX($G$4:$M$7,RIGHT(M$18,1),6)="",0,IF($C$4="IRR",INDEX($G$4:$M$7,RIGHT(M$18,1),7)*80%/20,((INDEX($G$4:$M$7,RIGHT(M$18,1),7))/$C$6)*$I21)))</f>
        <v>0</v>
      </c>
      <c r="N21" s="11">
        <f t="shared" si="3"/>
        <v>0</v>
      </c>
      <c r="P21" s="95"/>
    </row>
    <row r="22" spans="1:17" x14ac:dyDescent="0.2">
      <c r="A22" s="471"/>
      <c r="B22" s="12">
        <v>3</v>
      </c>
      <c r="C22" s="10">
        <f>'3.ESS_RÉGÉ'!C25</f>
        <v>0</v>
      </c>
      <c r="D22" s="10">
        <f>'3.ESS_RÉGÉ'!D25</f>
        <v>0</v>
      </c>
      <c r="E22" s="10">
        <f>'3.ESS_RÉGÉ'!E25</f>
        <v>0</v>
      </c>
      <c r="G22" s="471"/>
      <c r="H22" s="3">
        <v>4</v>
      </c>
      <c r="I22" s="11">
        <f>IF($C$4="REG",$C$7*INITIAL_FORET!K24,IF($C$4="RASE",$C$7*INITIAL_FORET!L27,0))</f>
        <v>0</v>
      </c>
      <c r="J22" s="11" cm="1">
        <f t="array" ref="J22">IF($C$6=0,0,IF(INDEX($G$4:$M$7,RIGHT(J$18,1),6)="",0,IF($C$4="IRR",INDEX($G$4:$M$7,RIGHT(J$18,1),7)*80%/20,((INDEX($G$4:$M$7,RIGHT(J$18,1),7))/$C$6)*$I22)))</f>
        <v>0</v>
      </c>
      <c r="K22" s="11" cm="1">
        <f t="array" ref="K22">IF($C$6=0,0,IF(INDEX($G$4:$M$7,RIGHT(K$18,1),6)="",0,IF($C$4="IRR",INDEX($G$4:$M$7,RIGHT(K$18,1),7)*80%/20,((INDEX($G$4:$M$7,RIGHT(K$18,1),7))/$C$6)*$I22)))</f>
        <v>0</v>
      </c>
      <c r="L22" s="11" cm="1">
        <f t="array" ref="L22">IF($C$6=0,0,IF(INDEX($G$4:$M$7,RIGHT(L$18,1),6)="",0,IF($C$4="IRR",INDEX($G$4:$M$7,RIGHT(L$18,1),7)*80%/20,((INDEX($G$4:$M$7,RIGHT(L$18,1),7))/$C$6)*$I22)))</f>
        <v>0</v>
      </c>
      <c r="M22" s="11" cm="1">
        <f t="array" ref="M22">IF($C$6=0,0,IF(INDEX($G$4:$M$7,RIGHT(M$18,1),6)="",0,IF($C$4="IRR",INDEX($G$4:$M$7,RIGHT(M$18,1),7)*80%/20,((INDEX($G$4:$M$7,RIGHT(M$18,1),7))/$C$6)*$I22)))</f>
        <v>0</v>
      </c>
      <c r="N22" s="11">
        <f t="shared" si="3"/>
        <v>0</v>
      </c>
    </row>
    <row r="23" spans="1:17" x14ac:dyDescent="0.2">
      <c r="A23" s="471"/>
      <c r="B23" s="12">
        <v>4</v>
      </c>
      <c r="C23" s="10">
        <f>'3.ESS_RÉGÉ'!C26</f>
        <v>0</v>
      </c>
      <c r="D23" s="10">
        <f>'3.ESS_RÉGÉ'!D26</f>
        <v>0</v>
      </c>
      <c r="E23" s="10">
        <f>'3.ESS_RÉGÉ'!E26</f>
        <v>0</v>
      </c>
      <c r="G23" s="471"/>
      <c r="H23" s="3">
        <v>5</v>
      </c>
      <c r="I23" s="11">
        <f>IF($C$4="REG",$C$7*INITIAL_FORET!K25,IF($C$4="RASE",$C$7*INITIAL_FORET!L28,0))</f>
        <v>0</v>
      </c>
      <c r="J23" s="11" cm="1">
        <f t="array" ref="J23">IF($C$6=0,0,IF(INDEX($G$4:$M$7,RIGHT(J$18,1),6)="",0,IF($C$4="IRR",INDEX($G$4:$M$7,RIGHT(J$18,1),7)*80%/20,((INDEX($G$4:$M$7,RIGHT(J$18,1),7))/$C$6)*$I23)))</f>
        <v>0</v>
      </c>
      <c r="K23" s="11" cm="1">
        <f t="array" ref="K23">IF($C$6=0,0,IF(INDEX($G$4:$M$7,RIGHT(K$18,1),6)="",0,IF($C$4="IRR",INDEX($G$4:$M$7,RIGHT(K$18,1),7)*80%/20,((INDEX($G$4:$M$7,RIGHT(K$18,1),7))/$C$6)*$I23)))</f>
        <v>0</v>
      </c>
      <c r="L23" s="11" cm="1">
        <f t="array" ref="L23">IF($C$6=0,0,IF(INDEX($G$4:$M$7,RIGHT(L$18,1),6)="",0,IF($C$4="IRR",INDEX($G$4:$M$7,RIGHT(L$18,1),7)*80%/20,((INDEX($G$4:$M$7,RIGHT(L$18,1),7))/$C$6)*$I23)))</f>
        <v>0</v>
      </c>
      <c r="M23" s="11" cm="1">
        <f t="array" ref="M23">IF($C$6=0,0,IF(INDEX($G$4:$M$7,RIGHT(M$18,1),6)="",0,IF($C$4="IRR",INDEX($G$4:$M$7,RIGHT(M$18,1),7)*80%/20,((INDEX($G$4:$M$7,RIGHT(M$18,1),7))/$C$6)*$I23)))</f>
        <v>0</v>
      </c>
      <c r="N23" s="11">
        <f t="shared" si="3"/>
        <v>0</v>
      </c>
      <c r="Q23" s="44"/>
    </row>
    <row r="24" spans="1:17" x14ac:dyDescent="0.2">
      <c r="A24" s="471"/>
      <c r="B24" s="12">
        <v>5</v>
      </c>
      <c r="C24" s="10">
        <f>'3.ESS_RÉGÉ'!C27</f>
        <v>0</v>
      </c>
      <c r="D24" s="10">
        <f>'3.ESS_RÉGÉ'!D27</f>
        <v>0</v>
      </c>
      <c r="E24" s="10">
        <f>'3.ESS_RÉGÉ'!E27</f>
        <v>0</v>
      </c>
      <c r="G24" s="471"/>
      <c r="H24" s="3">
        <v>6</v>
      </c>
      <c r="I24" s="11">
        <f>IF($C$4="REG",$C$7*INITIAL_FORET!K26,IF($C$4="RASE",$C$7*INITIAL_FORET!L29,0))</f>
        <v>0</v>
      </c>
      <c r="J24" s="11" cm="1">
        <f t="array" ref="J24">IF($C$6=0,0,IF(INDEX($G$4:$M$7,RIGHT(J$18,1),6)="",0,IF($C$4="IRR",INDEX($G$4:$M$7,RIGHT(J$18,1),7)*80%/20,((INDEX($G$4:$M$7,RIGHT(J$18,1),7))/$C$6)*$I24)))</f>
        <v>0</v>
      </c>
      <c r="K24" s="11" cm="1">
        <f t="array" ref="K24">IF($C$6=0,0,IF(INDEX($G$4:$M$7,RIGHT(K$18,1),6)="",0,IF($C$4="IRR",INDEX($G$4:$M$7,RIGHT(K$18,1),7)*80%/20,((INDEX($G$4:$M$7,RIGHT(K$18,1),7))/$C$6)*$I24)))</f>
        <v>0</v>
      </c>
      <c r="L24" s="11" cm="1">
        <f t="array" ref="L24">IF($C$6=0,0,IF(INDEX($G$4:$M$7,RIGHT(L$18,1),6)="",0,IF($C$4="IRR",INDEX($G$4:$M$7,RIGHT(L$18,1),7)*80%/20,((INDEX($G$4:$M$7,RIGHT(L$18,1),7))/$C$6)*$I24)))</f>
        <v>0</v>
      </c>
      <c r="M24" s="11" cm="1">
        <f t="array" ref="M24">IF($C$6=0,0,IF(INDEX($G$4:$M$7,RIGHT(M$18,1),6)="",0,IF($C$4="IRR",INDEX($G$4:$M$7,RIGHT(M$18,1),7)*80%/20,((INDEX($G$4:$M$7,RIGHT(M$18,1),7))/$C$6)*$I24)))</f>
        <v>0</v>
      </c>
      <c r="N24" s="11">
        <f t="shared" si="3"/>
        <v>0</v>
      </c>
    </row>
    <row r="25" spans="1:17" x14ac:dyDescent="0.2">
      <c r="A25" s="471"/>
      <c r="B25" s="12">
        <v>6</v>
      </c>
      <c r="C25" s="10">
        <f>'3.ESS_RÉGÉ'!C28</f>
        <v>0</v>
      </c>
      <c r="D25" s="10">
        <f>'3.ESS_RÉGÉ'!D28</f>
        <v>0</v>
      </c>
      <c r="E25" s="10">
        <f>'3.ESS_RÉGÉ'!E28</f>
        <v>0</v>
      </c>
      <c r="G25" s="471"/>
      <c r="H25" s="3">
        <v>7</v>
      </c>
      <c r="I25" s="11">
        <f>IF($C$4="REG",$C$7*INITIAL_FORET!K27,IF($C$4="RASE",$C$7*INITIAL_FORET!L30,0))</f>
        <v>0</v>
      </c>
      <c r="J25" s="11" cm="1">
        <f t="array" ref="J25">IF($C$6=0,0,IF(INDEX($G$4:$M$7,RIGHT(J$18,1),6)="",0,IF($C$4="IRR",INDEX($G$4:$M$7,RIGHT(J$18,1),7)*80%/20,((INDEX($G$4:$M$7,RIGHT(J$18,1),7))/$C$6)*$I25)))</f>
        <v>0</v>
      </c>
      <c r="K25" s="11" cm="1">
        <f t="array" ref="K25">IF($C$6=0,0,IF(INDEX($G$4:$M$7,RIGHT(K$18,1),6)="",0,IF($C$4="IRR",INDEX($G$4:$M$7,RIGHT(K$18,1),7)*80%/20,((INDEX($G$4:$M$7,RIGHT(K$18,1),7))/$C$6)*$I25)))</f>
        <v>0</v>
      </c>
      <c r="L25" s="11" cm="1">
        <f t="array" ref="L25">IF($C$6=0,0,IF(INDEX($G$4:$M$7,RIGHT(L$18,1),6)="",0,IF($C$4="IRR",INDEX($G$4:$M$7,RIGHT(L$18,1),7)*80%/20,((INDEX($G$4:$M$7,RIGHT(L$18,1),7))/$C$6)*$I25)))</f>
        <v>0</v>
      </c>
      <c r="M25" s="11" cm="1">
        <f t="array" ref="M25">IF($C$6=0,0,IF(INDEX($G$4:$M$7,RIGHT(M$18,1),6)="",0,IF($C$4="IRR",INDEX($G$4:$M$7,RIGHT(M$18,1),7)*80%/20,((INDEX($G$4:$M$7,RIGHT(M$18,1),7))/$C$6)*$I25)))</f>
        <v>0</v>
      </c>
      <c r="N25" s="11">
        <f t="shared" si="3"/>
        <v>0</v>
      </c>
    </row>
    <row r="26" spans="1:17" x14ac:dyDescent="0.2">
      <c r="A26" s="471"/>
      <c r="B26" s="12">
        <v>7</v>
      </c>
      <c r="C26" s="10">
        <f>'3.ESS_RÉGÉ'!C29</f>
        <v>0</v>
      </c>
      <c r="D26" s="10">
        <f>'3.ESS_RÉGÉ'!D29</f>
        <v>0</v>
      </c>
      <c r="E26" s="10">
        <f>'3.ESS_RÉGÉ'!E29</f>
        <v>0</v>
      </c>
      <c r="G26" s="471"/>
      <c r="H26" s="3">
        <v>8</v>
      </c>
      <c r="I26" s="11">
        <f>IF($C$4="REG",$C$7*INITIAL_FORET!K28,IF($C$4="RASE",$C$7*INITIAL_FORET!L31,0))</f>
        <v>0</v>
      </c>
      <c r="J26" s="11" cm="1">
        <f t="array" ref="J26">IF($C$6=0,0,IF(INDEX($G$4:$M$7,RIGHT(J$18,1),6)="",0,IF($C$4="IRR",INDEX($G$4:$M$7,RIGHT(J$18,1),7)*80%/20,((INDEX($G$4:$M$7,RIGHT(J$18,1),7))/$C$6)*$I26)))</f>
        <v>0</v>
      </c>
      <c r="K26" s="11" cm="1">
        <f t="array" ref="K26">IF($C$6=0,0,IF(INDEX($G$4:$M$7,RIGHT(K$18,1),6)="",0,IF($C$4="IRR",INDEX($G$4:$M$7,RIGHT(K$18,1),7)*80%/20,((INDEX($G$4:$M$7,RIGHT(K$18,1),7))/$C$6)*$I26)))</f>
        <v>0</v>
      </c>
      <c r="L26" s="11" cm="1">
        <f t="array" ref="L26">IF($C$6=0,0,IF(INDEX($G$4:$M$7,RIGHT(L$18,1),6)="",0,IF($C$4="IRR",INDEX($G$4:$M$7,RIGHT(L$18,1),7)*80%/20,((INDEX($G$4:$M$7,RIGHT(L$18,1),7))/$C$6)*$I26)))</f>
        <v>0</v>
      </c>
      <c r="M26" s="11" cm="1">
        <f t="array" ref="M26">IF($C$6=0,0,IF(INDEX($G$4:$M$7,RIGHT(M$18,1),6)="",0,IF($C$4="IRR",INDEX($G$4:$M$7,RIGHT(M$18,1),7)*80%/20,((INDEX($G$4:$M$7,RIGHT(M$18,1),7))/$C$6)*$I26)))</f>
        <v>0</v>
      </c>
      <c r="N26" s="11">
        <f t="shared" si="3"/>
        <v>0</v>
      </c>
    </row>
    <row r="27" spans="1:17" x14ac:dyDescent="0.2">
      <c r="A27" s="471"/>
      <c r="B27" s="12">
        <v>8</v>
      </c>
      <c r="C27" s="10">
        <f>'3.ESS_RÉGÉ'!C30</f>
        <v>0</v>
      </c>
      <c r="D27" s="10">
        <f>'3.ESS_RÉGÉ'!D30</f>
        <v>0</v>
      </c>
      <c r="E27" s="10">
        <f>'3.ESS_RÉGÉ'!E30</f>
        <v>0</v>
      </c>
      <c r="G27" s="471"/>
      <c r="H27" s="3">
        <v>9</v>
      </c>
      <c r="I27" s="11">
        <f>IF($C$4="REG",$C$7*INITIAL_FORET!K29,IF($C$4="RASE",$C$7*INITIAL_FORET!L32,0))</f>
        <v>0</v>
      </c>
      <c r="J27" s="11" cm="1">
        <f t="array" ref="J27">IF($C$6=0,0,IF(INDEX($G$4:$M$7,RIGHT(J$18,1),6)="",0,IF($C$4="IRR",INDEX($G$4:$M$7,RIGHT(J$18,1),7)*80%/20,((INDEX($G$4:$M$7,RIGHT(J$18,1),7))/$C$6)*$I27)))</f>
        <v>0</v>
      </c>
      <c r="K27" s="11" cm="1">
        <f t="array" ref="K27">IF($C$6=0,0,IF(INDEX($G$4:$M$7,RIGHT(K$18,1),6)="",0,IF($C$4="IRR",INDEX($G$4:$M$7,RIGHT(K$18,1),7)*80%/20,((INDEX($G$4:$M$7,RIGHT(K$18,1),7))/$C$6)*$I27)))</f>
        <v>0</v>
      </c>
      <c r="L27" s="11" cm="1">
        <f t="array" ref="L27">IF($C$6=0,0,IF(INDEX($G$4:$M$7,RIGHT(L$18,1),6)="",0,IF($C$4="IRR",INDEX($G$4:$M$7,RIGHT(L$18,1),7)*80%/20,((INDEX($G$4:$M$7,RIGHT(L$18,1),7))/$C$6)*$I27)))</f>
        <v>0</v>
      </c>
      <c r="M27" s="11" cm="1">
        <f t="array" ref="M27">IF($C$6=0,0,IF(INDEX($G$4:$M$7,RIGHT(M$18,1),6)="",0,IF($C$4="IRR",INDEX($G$4:$M$7,RIGHT(M$18,1),7)*80%/20,((INDEX($G$4:$M$7,RIGHT(M$18,1),7))/$C$6)*$I27)))</f>
        <v>0</v>
      </c>
      <c r="N27" s="11">
        <f t="shared" si="3"/>
        <v>0</v>
      </c>
    </row>
    <row r="28" spans="1:17" x14ac:dyDescent="0.2">
      <c r="A28" s="471"/>
      <c r="B28" s="12">
        <v>9</v>
      </c>
      <c r="C28" s="10">
        <f>'3.ESS_RÉGÉ'!C31</f>
        <v>0</v>
      </c>
      <c r="D28" s="10">
        <f>'3.ESS_RÉGÉ'!D31</f>
        <v>0</v>
      </c>
      <c r="E28" s="10">
        <f>'3.ESS_RÉGÉ'!E31</f>
        <v>0</v>
      </c>
      <c r="G28" s="471"/>
      <c r="H28" s="3">
        <v>10</v>
      </c>
      <c r="I28" s="11">
        <f>IF($C$4="REG",$C$7*INITIAL_FORET!K30,IF($C$4="RASE",$C$7*INITIAL_FORET!L33,0))</f>
        <v>0</v>
      </c>
      <c r="J28" s="11" cm="1">
        <f t="array" ref="J28">IF($C$6=0,0,IF(INDEX($G$4:$M$7,RIGHT(J$18,1),6)="",0,IF($C$4="IRR",INDEX($G$4:$M$7,RIGHT(J$18,1),7)*80%/20,((INDEX($G$4:$M$7,RIGHT(J$18,1),7))/$C$6)*$I28)))</f>
        <v>0</v>
      </c>
      <c r="K28" s="11" cm="1">
        <f t="array" ref="K28">IF($C$6=0,0,IF(INDEX($G$4:$M$7,RIGHT(K$18,1),6)="",0,IF($C$4="IRR",INDEX($G$4:$M$7,RIGHT(K$18,1),7)*80%/20,((INDEX($G$4:$M$7,RIGHT(K$18,1),7))/$C$6)*$I28)))</f>
        <v>0</v>
      </c>
      <c r="L28" s="11" cm="1">
        <f t="array" ref="L28">IF($C$6=0,0,IF(INDEX($G$4:$M$7,RIGHT(L$18,1),6)="",0,IF($C$4="IRR",INDEX($G$4:$M$7,RIGHT(L$18,1),7)*80%/20,((INDEX($G$4:$M$7,RIGHT(L$18,1),7))/$C$6)*$I28)))</f>
        <v>0</v>
      </c>
      <c r="M28" s="11" cm="1">
        <f t="array" ref="M28">IF($C$6=0,0,IF(INDEX($G$4:$M$7,RIGHT(M$18,1),6)="",0,IF($C$4="IRR",INDEX($G$4:$M$7,RIGHT(M$18,1),7)*80%/20,((INDEX($G$4:$M$7,RIGHT(M$18,1),7))/$C$6)*$I28)))</f>
        <v>0</v>
      </c>
      <c r="N28" s="11">
        <f t="shared" si="3"/>
        <v>0</v>
      </c>
    </row>
    <row r="29" spans="1:17" x14ac:dyDescent="0.2">
      <c r="A29" s="471"/>
      <c r="B29" s="12">
        <v>10</v>
      </c>
      <c r="C29" s="10">
        <f>'3.ESS_RÉGÉ'!C32</f>
        <v>0</v>
      </c>
      <c r="D29" s="10">
        <f>'3.ESS_RÉGÉ'!D32</f>
        <v>0</v>
      </c>
      <c r="E29" s="10">
        <f>'3.ESS_RÉGÉ'!E32</f>
        <v>0</v>
      </c>
      <c r="G29" s="471"/>
      <c r="H29" s="3">
        <v>11</v>
      </c>
      <c r="I29" s="11">
        <f>IF($C$4="REG",$C$7*INITIAL_FORET!K31,IF($C$4="RASE",$C$7*INITIAL_FORET!L34,0))</f>
        <v>0</v>
      </c>
      <c r="J29" s="11" cm="1">
        <f t="array" ref="J29">IF($C$6=0,0,IF(INDEX($G$4:$M$7,RIGHT(J$18,1),6)="",0,IF($C$4="IRR",INDEX($G$4:$M$7,RIGHT(J$18,1),7)*80%/20,((INDEX($G$4:$M$7,RIGHT(J$18,1),7))/$C$6)*$I29)))</f>
        <v>0</v>
      </c>
      <c r="K29" s="11" cm="1">
        <f t="array" ref="K29">IF($C$6=0,0,IF(INDEX($G$4:$M$7,RIGHT(K$18,1),6)="",0,IF($C$4="IRR",INDEX($G$4:$M$7,RIGHT(K$18,1),7)*80%/20,((INDEX($G$4:$M$7,RIGHT(K$18,1),7))/$C$6)*$I29)))</f>
        <v>0</v>
      </c>
      <c r="L29" s="11" cm="1">
        <f t="array" ref="L29">IF($C$6=0,0,IF(INDEX($G$4:$M$7,RIGHT(L$18,1),6)="",0,IF($C$4="IRR",INDEX($G$4:$M$7,RIGHT(L$18,1),7)*80%/20,((INDEX($G$4:$M$7,RIGHT(L$18,1),7))/$C$6)*$I29)))</f>
        <v>0</v>
      </c>
      <c r="M29" s="11" cm="1">
        <f t="array" ref="M29">IF($C$6=0,0,IF(INDEX($G$4:$M$7,RIGHT(M$18,1),6)="",0,IF($C$4="IRR",INDEX($G$4:$M$7,RIGHT(M$18,1),7)*80%/20,((INDEX($G$4:$M$7,RIGHT(M$18,1),7))/$C$6)*$I29)))</f>
        <v>0</v>
      </c>
      <c r="N29" s="11">
        <f t="shared" si="3"/>
        <v>0</v>
      </c>
    </row>
    <row r="30" spans="1:17" x14ac:dyDescent="0.2">
      <c r="A30" s="471"/>
      <c r="B30" s="12">
        <v>11</v>
      </c>
      <c r="C30" s="10">
        <f>'3.ESS_RÉGÉ'!C33</f>
        <v>0</v>
      </c>
      <c r="D30" s="10">
        <f>'3.ESS_RÉGÉ'!D33</f>
        <v>0</v>
      </c>
      <c r="E30" s="10">
        <f>'3.ESS_RÉGÉ'!E33</f>
        <v>0</v>
      </c>
      <c r="G30" s="471"/>
      <c r="H30" s="3">
        <v>12</v>
      </c>
      <c r="I30" s="11">
        <f>IF($C$4="REG",$C$7*INITIAL_FORET!K32,IF($C$4="RASE",$C$7*INITIAL_FORET!L35,0))</f>
        <v>0</v>
      </c>
      <c r="J30" s="11" cm="1">
        <f t="array" ref="J30">IF($C$6=0,0,IF(INDEX($G$4:$M$7,RIGHT(J$18,1),6)="",0,IF($C$4="IRR",INDEX($G$4:$M$7,RIGHT(J$18,1),7)*80%/20,((INDEX($G$4:$M$7,RIGHT(J$18,1),7))/$C$6)*$I30)))</f>
        <v>0</v>
      </c>
      <c r="K30" s="11" cm="1">
        <f t="array" ref="K30">IF($C$6=0,0,IF(INDEX($G$4:$M$7,RIGHT(K$18,1),6)="",0,IF($C$4="IRR",INDEX($G$4:$M$7,RIGHT(K$18,1),7)*80%/20,((INDEX($G$4:$M$7,RIGHT(K$18,1),7))/$C$6)*$I30)))</f>
        <v>0</v>
      </c>
      <c r="L30" s="11" cm="1">
        <f t="array" ref="L30">IF($C$6=0,0,IF(INDEX($G$4:$M$7,RIGHT(L$18,1),6)="",0,IF($C$4="IRR",INDEX($G$4:$M$7,RIGHT(L$18,1),7)*80%/20,((INDEX($G$4:$M$7,RIGHT(L$18,1),7))/$C$6)*$I30)))</f>
        <v>0</v>
      </c>
      <c r="M30" s="11" cm="1">
        <f t="array" ref="M30">IF($C$6=0,0,IF(INDEX($G$4:$M$7,RIGHT(M$18,1),6)="",0,IF($C$4="IRR",INDEX($G$4:$M$7,RIGHT(M$18,1),7)*80%/20,((INDEX($G$4:$M$7,RIGHT(M$18,1),7))/$C$6)*$I30)))</f>
        <v>0</v>
      </c>
      <c r="N30" s="11">
        <f t="shared" si="3"/>
        <v>0</v>
      </c>
    </row>
    <row r="31" spans="1:17" x14ac:dyDescent="0.2">
      <c r="A31" s="471"/>
      <c r="B31" s="12">
        <v>12</v>
      </c>
      <c r="C31" s="10">
        <f>'3.ESS_RÉGÉ'!C34</f>
        <v>0</v>
      </c>
      <c r="D31" s="10">
        <f>'3.ESS_RÉGÉ'!D34</f>
        <v>0</v>
      </c>
      <c r="E31" s="10">
        <f>'3.ESS_RÉGÉ'!E34</f>
        <v>0</v>
      </c>
      <c r="G31" s="471"/>
      <c r="H31" s="3">
        <v>13</v>
      </c>
      <c r="I31" s="11">
        <f>IF($C$4="REG",$C$7*INITIAL_FORET!K33,IF($C$4="RASE",$C$7*INITIAL_FORET!L36,0))</f>
        <v>0</v>
      </c>
      <c r="J31" s="11" cm="1">
        <f t="array" ref="J31">IF($C$6=0,0,IF(INDEX($G$4:$M$7,RIGHT(J$18,1),6)="",0,IF($C$4="IRR",INDEX($G$4:$M$7,RIGHT(J$18,1),7)*80%/20,((INDEX($G$4:$M$7,RIGHT(J$18,1),7))/$C$6)*$I31)))</f>
        <v>0</v>
      </c>
      <c r="K31" s="11" cm="1">
        <f t="array" ref="K31">IF($C$6=0,0,IF(INDEX($G$4:$M$7,RIGHT(K$18,1),6)="",0,IF($C$4="IRR",INDEX($G$4:$M$7,RIGHT(K$18,1),7)*80%/20,((INDEX($G$4:$M$7,RIGHT(K$18,1),7))/$C$6)*$I31)))</f>
        <v>0</v>
      </c>
      <c r="L31" s="11" cm="1">
        <f t="array" ref="L31">IF($C$6=0,0,IF(INDEX($G$4:$M$7,RIGHT(L$18,1),6)="",0,IF($C$4="IRR",INDEX($G$4:$M$7,RIGHT(L$18,1),7)*80%/20,((INDEX($G$4:$M$7,RIGHT(L$18,1),7))/$C$6)*$I31)))</f>
        <v>0</v>
      </c>
      <c r="M31" s="11" cm="1">
        <f t="array" ref="M31">IF($C$6=0,0,IF(INDEX($G$4:$M$7,RIGHT(M$18,1),6)="",0,IF($C$4="IRR",INDEX($G$4:$M$7,RIGHT(M$18,1),7)*80%/20,((INDEX($G$4:$M$7,RIGHT(M$18,1),7))/$C$6)*$I31)))</f>
        <v>0</v>
      </c>
      <c r="N31" s="11">
        <f t="shared" si="3"/>
        <v>0</v>
      </c>
    </row>
    <row r="32" spans="1:17" x14ac:dyDescent="0.2">
      <c r="A32" s="471"/>
      <c r="B32" s="12">
        <v>13</v>
      </c>
      <c r="C32" s="10">
        <f>'3.ESS_RÉGÉ'!C35</f>
        <v>0</v>
      </c>
      <c r="D32" s="10">
        <f>'3.ESS_RÉGÉ'!D35</f>
        <v>0</v>
      </c>
      <c r="E32" s="10">
        <f>'3.ESS_RÉGÉ'!E35</f>
        <v>0</v>
      </c>
      <c r="G32" s="471"/>
      <c r="H32" s="3">
        <v>14</v>
      </c>
      <c r="I32" s="11">
        <f>IF($C$4="REG",$C$7*INITIAL_FORET!K34,IF($C$4="RASE",$C$7*INITIAL_FORET!L37,0))</f>
        <v>0</v>
      </c>
      <c r="J32" s="11" cm="1">
        <f t="array" ref="J32">IF($C$6=0,0,IF(INDEX($G$4:$M$7,RIGHT(J$18,1),6)="",0,IF($C$4="IRR",INDEX($G$4:$M$7,RIGHT(J$18,1),7)*80%/20,((INDEX($G$4:$M$7,RIGHT(J$18,1),7))/$C$6)*$I32)))</f>
        <v>0</v>
      </c>
      <c r="K32" s="11" cm="1">
        <f t="array" ref="K32">IF($C$6=0,0,IF(INDEX($G$4:$M$7,RIGHT(K$18,1),6)="",0,IF($C$4="IRR",INDEX($G$4:$M$7,RIGHT(K$18,1),7)*80%/20,((INDEX($G$4:$M$7,RIGHT(K$18,1),7))/$C$6)*$I32)))</f>
        <v>0</v>
      </c>
      <c r="L32" s="11" cm="1">
        <f t="array" ref="L32">IF($C$6=0,0,IF(INDEX($G$4:$M$7,RIGHT(L$18,1),6)="",0,IF($C$4="IRR",INDEX($G$4:$M$7,RIGHT(L$18,1),7)*80%/20,((INDEX($G$4:$M$7,RIGHT(L$18,1),7))/$C$6)*$I32)))</f>
        <v>0</v>
      </c>
      <c r="M32" s="11" cm="1">
        <f t="array" ref="M32">IF($C$6=0,0,IF(INDEX($G$4:$M$7,RIGHT(M$18,1),6)="",0,IF($C$4="IRR",INDEX($G$4:$M$7,RIGHT(M$18,1),7)*80%/20,((INDEX($G$4:$M$7,RIGHT(M$18,1),7))/$C$6)*$I32)))</f>
        <v>0</v>
      </c>
      <c r="N32" s="11">
        <f t="shared" si="3"/>
        <v>0</v>
      </c>
    </row>
    <row r="33" spans="1:14" x14ac:dyDescent="0.2">
      <c r="A33" s="471"/>
      <c r="B33" s="12">
        <v>14</v>
      </c>
      <c r="C33" s="10">
        <f>'3.ESS_RÉGÉ'!C36</f>
        <v>0</v>
      </c>
      <c r="D33" s="10">
        <f>'3.ESS_RÉGÉ'!D36</f>
        <v>0</v>
      </c>
      <c r="E33" s="10">
        <f>'3.ESS_RÉGÉ'!E36</f>
        <v>0</v>
      </c>
      <c r="G33" s="471"/>
      <c r="H33" s="3">
        <v>15</v>
      </c>
      <c r="I33" s="11">
        <f>IF($C$4="REG",$C$7*INITIAL_FORET!K35,IF($C$4="RASE",$C$7*INITIAL_FORET!L38,0))</f>
        <v>0</v>
      </c>
      <c r="J33" s="11" cm="1">
        <f t="array" ref="J33">IF($C$6=0,0,IF(INDEX($G$4:$M$7,RIGHT(J$18,1),6)="",0,IF($C$4="IRR",INDEX($G$4:$M$7,RIGHT(J$18,1),7)*80%/20,((INDEX($G$4:$M$7,RIGHT(J$18,1),7))/$C$6)*$I33)))</f>
        <v>0</v>
      </c>
      <c r="K33" s="11" cm="1">
        <f t="array" ref="K33">IF($C$6=0,0,IF(INDEX($G$4:$M$7,RIGHT(K$18,1),6)="",0,IF($C$4="IRR",INDEX($G$4:$M$7,RIGHT(K$18,1),7)*80%/20,((INDEX($G$4:$M$7,RIGHT(K$18,1),7))/$C$6)*$I33)))</f>
        <v>0</v>
      </c>
      <c r="L33" s="11" cm="1">
        <f t="array" ref="L33">IF($C$6=0,0,IF(INDEX($G$4:$M$7,RIGHT(L$18,1),6)="",0,IF($C$4="IRR",INDEX($G$4:$M$7,RIGHT(L$18,1),7)*80%/20,((INDEX($G$4:$M$7,RIGHT(L$18,1),7))/$C$6)*$I33)))</f>
        <v>0</v>
      </c>
      <c r="M33" s="11" cm="1">
        <f t="array" ref="M33">IF($C$6=0,0,IF(INDEX($G$4:$M$7,RIGHT(M$18,1),6)="",0,IF($C$4="IRR",INDEX($G$4:$M$7,RIGHT(M$18,1),7)*80%/20,((INDEX($G$4:$M$7,RIGHT(M$18,1),7))/$C$6)*$I33)))</f>
        <v>0</v>
      </c>
      <c r="N33" s="11">
        <f t="shared" si="3"/>
        <v>0</v>
      </c>
    </row>
    <row r="34" spans="1:14" x14ac:dyDescent="0.2">
      <c r="A34" s="471"/>
      <c r="B34" s="12">
        <v>15</v>
      </c>
      <c r="C34" s="10">
        <f>'3.ESS_RÉGÉ'!C37</f>
        <v>0</v>
      </c>
      <c r="D34" s="10">
        <f>'3.ESS_RÉGÉ'!D37</f>
        <v>0</v>
      </c>
      <c r="E34" s="10">
        <f>'3.ESS_RÉGÉ'!E37</f>
        <v>0</v>
      </c>
      <c r="G34" s="471"/>
      <c r="H34" s="3">
        <v>16</v>
      </c>
      <c r="I34" s="11">
        <f>IF($C$4="REG",$C$7*INITIAL_FORET!K36,IF($C$4="RASE",$C$7*INITIAL_FORET!L39,0))</f>
        <v>0</v>
      </c>
      <c r="J34" s="11" cm="1">
        <f t="array" ref="J34">IF($C$6=0,0,IF(INDEX($G$4:$M$7,RIGHT(J$18,1),6)="",0,IF($C$4="IRR",INDEX($G$4:$M$7,RIGHT(J$18,1),7)*80%/20,((INDEX($G$4:$M$7,RIGHT(J$18,1),7))/$C$6)*$I34)))</f>
        <v>0</v>
      </c>
      <c r="K34" s="11" cm="1">
        <f t="array" ref="K34">IF($C$6=0,0,IF(INDEX($G$4:$M$7,RIGHT(K$18,1),6)="",0,IF($C$4="IRR",INDEX($G$4:$M$7,RIGHT(K$18,1),7)*80%/20,((INDEX($G$4:$M$7,RIGHT(K$18,1),7))/$C$6)*$I34)))</f>
        <v>0</v>
      </c>
      <c r="L34" s="11" cm="1">
        <f t="array" ref="L34">IF($C$6=0,0,IF(INDEX($G$4:$M$7,RIGHT(L$18,1),6)="",0,IF($C$4="IRR",INDEX($G$4:$M$7,RIGHT(L$18,1),7)*80%/20,((INDEX($G$4:$M$7,RIGHT(L$18,1),7))/$C$6)*$I34)))</f>
        <v>0</v>
      </c>
      <c r="M34" s="11" cm="1">
        <f t="array" ref="M34">IF($C$6=0,0,IF(INDEX($G$4:$M$7,RIGHT(M$18,1),6)="",0,IF($C$4="IRR",INDEX($G$4:$M$7,RIGHT(M$18,1),7)*80%/20,((INDEX($G$4:$M$7,RIGHT(M$18,1),7))/$C$6)*$I34)))</f>
        <v>0</v>
      </c>
      <c r="N34" s="11">
        <f t="shared" si="3"/>
        <v>0</v>
      </c>
    </row>
    <row r="35" spans="1:14" x14ac:dyDescent="0.2">
      <c r="A35" s="471"/>
      <c r="B35" s="12">
        <v>16</v>
      </c>
      <c r="C35" s="10">
        <f>'3.ESS_RÉGÉ'!C38</f>
        <v>0</v>
      </c>
      <c r="D35" s="10">
        <f>'3.ESS_RÉGÉ'!D38</f>
        <v>0</v>
      </c>
      <c r="E35" s="10">
        <f>'3.ESS_RÉGÉ'!E38</f>
        <v>0</v>
      </c>
      <c r="G35" s="471"/>
      <c r="H35" s="3">
        <v>17</v>
      </c>
      <c r="I35" s="11">
        <f>IF($C$4="REG",$C$7*INITIAL_FORET!K37,IF($C$4="RASE",$C$7*INITIAL_FORET!L40,0))</f>
        <v>0</v>
      </c>
      <c r="J35" s="11" cm="1">
        <f t="array" ref="J35">IF($C$6=0,0,IF(INDEX($G$4:$M$7,RIGHT(J$18,1),6)="",0,IF($C$4="IRR",INDEX($G$4:$M$7,RIGHT(J$18,1),7)*80%/20,((INDEX($G$4:$M$7,RIGHT(J$18,1),7))/$C$6)*$I35)))</f>
        <v>0</v>
      </c>
      <c r="K35" s="11" cm="1">
        <f t="array" ref="K35">IF($C$6=0,0,IF(INDEX($G$4:$M$7,RIGHT(K$18,1),6)="",0,IF($C$4="IRR",INDEX($G$4:$M$7,RIGHT(K$18,1),7)*80%/20,((INDEX($G$4:$M$7,RIGHT(K$18,1),7))/$C$6)*$I35)))</f>
        <v>0</v>
      </c>
      <c r="L35" s="11" cm="1">
        <f t="array" ref="L35">IF($C$6=0,0,IF(INDEX($G$4:$M$7,RIGHT(L$18,1),6)="",0,IF($C$4="IRR",INDEX($G$4:$M$7,RIGHT(L$18,1),7)*80%/20,((INDEX($G$4:$M$7,RIGHT(L$18,1),7))/$C$6)*$I35)))</f>
        <v>0</v>
      </c>
      <c r="M35" s="11" cm="1">
        <f t="array" ref="M35">IF($C$6=0,0,IF(INDEX($G$4:$M$7,RIGHT(M$18,1),6)="",0,IF($C$4="IRR",INDEX($G$4:$M$7,RIGHT(M$18,1),7)*80%/20,((INDEX($G$4:$M$7,RIGHT(M$18,1),7))/$C$6)*$I35)))</f>
        <v>0</v>
      </c>
      <c r="N35" s="11">
        <f t="shared" si="3"/>
        <v>0</v>
      </c>
    </row>
    <row r="36" spans="1:14" x14ac:dyDescent="0.2">
      <c r="A36" s="471"/>
      <c r="B36" s="12">
        <v>17</v>
      </c>
      <c r="C36" s="10">
        <f>'3.ESS_RÉGÉ'!C39</f>
        <v>0</v>
      </c>
      <c r="D36" s="10">
        <f>'3.ESS_RÉGÉ'!D39</f>
        <v>0</v>
      </c>
      <c r="E36" s="10">
        <f>'3.ESS_RÉGÉ'!E39</f>
        <v>0</v>
      </c>
      <c r="G36" s="471"/>
      <c r="H36" s="3">
        <v>18</v>
      </c>
      <c r="I36" s="11">
        <f>IF($C$4="REG",$C$7*INITIAL_FORET!K38,IF($C$4="RASE",$C$7*INITIAL_FORET!L41,0))</f>
        <v>0</v>
      </c>
      <c r="J36" s="11" cm="1">
        <f t="array" ref="J36">IF($C$6=0,0,IF(INDEX($G$4:$M$7,RIGHT(J$18,1),6)="",0,IF($C$4="IRR",INDEX($G$4:$M$7,RIGHT(J$18,1),7)*80%/20,((INDEX($G$4:$M$7,RIGHT(J$18,1),7))/$C$6)*$I36)))</f>
        <v>0</v>
      </c>
      <c r="K36" s="11" cm="1">
        <f t="array" ref="K36">IF($C$6=0,0,IF(INDEX($G$4:$M$7,RIGHT(K$18,1),6)="",0,IF($C$4="IRR",INDEX($G$4:$M$7,RIGHT(K$18,1),7)*80%/20,((INDEX($G$4:$M$7,RIGHT(K$18,1),7))/$C$6)*$I36)))</f>
        <v>0</v>
      </c>
      <c r="L36" s="11" cm="1">
        <f t="array" ref="L36">IF($C$6=0,0,IF(INDEX($G$4:$M$7,RIGHT(L$18,1),6)="",0,IF($C$4="IRR",INDEX($G$4:$M$7,RIGHT(L$18,1),7)*80%/20,((INDEX($G$4:$M$7,RIGHT(L$18,1),7))/$C$6)*$I36)))</f>
        <v>0</v>
      </c>
      <c r="M36" s="11" cm="1">
        <f t="array" ref="M36">IF($C$6=0,0,IF(INDEX($G$4:$M$7,RIGHT(M$18,1),6)="",0,IF($C$4="IRR",INDEX($G$4:$M$7,RIGHT(M$18,1),7)*80%/20,((INDEX($G$4:$M$7,RIGHT(M$18,1),7))/$C$6)*$I36)))</f>
        <v>0</v>
      </c>
      <c r="N36" s="11">
        <f t="shared" si="3"/>
        <v>0</v>
      </c>
    </row>
    <row r="37" spans="1:14" x14ac:dyDescent="0.2">
      <c r="A37" s="471"/>
      <c r="B37" s="12">
        <v>18</v>
      </c>
      <c r="C37" s="10">
        <f>'3.ESS_RÉGÉ'!C40</f>
        <v>0</v>
      </c>
      <c r="D37" s="10">
        <f>'3.ESS_RÉGÉ'!D40</f>
        <v>0</v>
      </c>
      <c r="E37" s="10">
        <f>'3.ESS_RÉGÉ'!E40</f>
        <v>0</v>
      </c>
      <c r="G37" s="471"/>
      <c r="H37" s="3">
        <v>19</v>
      </c>
      <c r="I37" s="11">
        <f>IF($C$4="REG",$C$7*INITIAL_FORET!K39,IF($C$4="RASE",$C$7*INITIAL_FORET!L42,0))</f>
        <v>0</v>
      </c>
      <c r="J37" s="11" cm="1">
        <f t="array" ref="J37">IF($C$6=0,0,IF(INDEX($G$4:$M$7,RIGHT(J$18,1),6)="",0,IF($C$4="IRR",INDEX($G$4:$M$7,RIGHT(J$18,1),7)*80%/20,((INDEX($G$4:$M$7,RIGHT(J$18,1),7))/$C$6)*$I37)))</f>
        <v>0</v>
      </c>
      <c r="K37" s="11" cm="1">
        <f t="array" ref="K37">IF($C$6=0,0,IF(INDEX($G$4:$M$7,RIGHT(K$18,1),6)="",0,IF($C$4="IRR",INDEX($G$4:$M$7,RIGHT(K$18,1),7)*80%/20,((INDEX($G$4:$M$7,RIGHT(K$18,1),7))/$C$6)*$I37)))</f>
        <v>0</v>
      </c>
      <c r="L37" s="11" cm="1">
        <f t="array" ref="L37">IF($C$6=0,0,IF(INDEX($G$4:$M$7,RIGHT(L$18,1),6)="",0,IF($C$4="IRR",INDEX($G$4:$M$7,RIGHT(L$18,1),7)*80%/20,((INDEX($G$4:$M$7,RIGHT(L$18,1),7))/$C$6)*$I37)))</f>
        <v>0</v>
      </c>
      <c r="M37" s="11" cm="1">
        <f t="array" ref="M37">IF($C$6=0,0,IF(INDEX($G$4:$M$7,RIGHT(M$18,1),6)="",0,IF($C$4="IRR",INDEX($G$4:$M$7,RIGHT(M$18,1),7)*80%/20,((INDEX($G$4:$M$7,RIGHT(M$18,1),7))/$C$6)*$I37)))</f>
        <v>0</v>
      </c>
      <c r="N37" s="11">
        <f t="shared" si="3"/>
        <v>0</v>
      </c>
    </row>
    <row r="38" spans="1:14" x14ac:dyDescent="0.2">
      <c r="A38" s="471"/>
      <c r="B38" s="12">
        <v>19</v>
      </c>
      <c r="C38" s="10">
        <f>'3.ESS_RÉGÉ'!C41</f>
        <v>0</v>
      </c>
      <c r="D38" s="10">
        <f>'3.ESS_RÉGÉ'!D41</f>
        <v>0</v>
      </c>
      <c r="E38" s="10">
        <f>'3.ESS_RÉGÉ'!E41</f>
        <v>0</v>
      </c>
      <c r="G38" s="471"/>
      <c r="H38" s="3">
        <v>20</v>
      </c>
      <c r="I38" s="11">
        <f>IF($C$4="REG",$C$7*INITIAL_FORET!K40,IF($C$4="RASE",$C$7*INITIAL_FORET!L43,0))</f>
        <v>0</v>
      </c>
      <c r="J38" s="11" cm="1">
        <f t="array" ref="J38">IF($C$6=0,0,IF(INDEX($G$4:$M$7,RIGHT(J$18,1),6)="",0,IF($C$4="IRR",INDEX($G$4:$M$7,RIGHT(J$18,1),7)*80%/20,((INDEX($G$4:$M$7,RIGHT(J$18,1),7))/$C$6)*$I38)))</f>
        <v>0</v>
      </c>
      <c r="K38" s="11" cm="1">
        <f t="array" ref="K38">IF($C$6=0,0,IF(INDEX($G$4:$M$7,RIGHT(K$18,1),6)="",0,IF($C$4="IRR",INDEX($G$4:$M$7,RIGHT(K$18,1),7)*80%/20,((INDEX($G$4:$M$7,RIGHT(K$18,1),7))/$C$6)*$I38)))</f>
        <v>0</v>
      </c>
      <c r="L38" s="11" cm="1">
        <f t="array" ref="L38">IF($C$6=0,0,IF(INDEX($G$4:$M$7,RIGHT(L$18,1),6)="",0,IF($C$4="IRR",INDEX($G$4:$M$7,RIGHT(L$18,1),7)*80%/20,((INDEX($G$4:$M$7,RIGHT(L$18,1),7))/$C$6)*$I38)))</f>
        <v>0</v>
      </c>
      <c r="M38" s="11" cm="1">
        <f t="array" ref="M38">IF($C$6=0,0,IF(INDEX($G$4:$M$7,RIGHT(M$18,1),6)="",0,IF($C$4="IRR",INDEX($G$4:$M$7,RIGHT(M$18,1),7)*80%/20,((INDEX($G$4:$M$7,RIGHT(M$18,1),7))/$C$6)*$I38)))</f>
        <v>0</v>
      </c>
      <c r="N38" s="11">
        <f t="shared" si="3"/>
        <v>0</v>
      </c>
    </row>
    <row r="39" spans="1:14" x14ac:dyDescent="0.2">
      <c r="A39" s="471"/>
      <c r="B39" s="12">
        <v>20</v>
      </c>
      <c r="C39" s="10">
        <f>'3.ESS_RÉGÉ'!C42</f>
        <v>0</v>
      </c>
      <c r="D39" s="10">
        <f>'3.ESS_RÉGÉ'!D42</f>
        <v>0</v>
      </c>
      <c r="E39" s="10">
        <f>'3.ESS_RÉGÉ'!E42</f>
        <v>0</v>
      </c>
      <c r="G39" s="219"/>
      <c r="I39" s="11"/>
      <c r="J39" s="11"/>
      <c r="K39" s="11"/>
      <c r="L39" s="11"/>
      <c r="M39" s="11"/>
    </row>
    <row r="40" spans="1:14" x14ac:dyDescent="0.2">
      <c r="A40" s="471"/>
      <c r="B40" s="12">
        <v>21</v>
      </c>
      <c r="C40" s="10">
        <f>'3.ESS_RÉGÉ'!C43</f>
        <v>0</v>
      </c>
      <c r="D40" s="10">
        <f>'3.ESS_RÉGÉ'!D43</f>
        <v>0</v>
      </c>
      <c r="E40" s="10">
        <f>'3.ESS_RÉGÉ'!E43</f>
        <v>0</v>
      </c>
      <c r="G40" s="166"/>
    </row>
    <row r="41" spans="1:14" x14ac:dyDescent="0.2">
      <c r="A41" s="471"/>
      <c r="B41" s="12">
        <v>22</v>
      </c>
      <c r="C41" s="10">
        <f>'3.ESS_RÉGÉ'!C44</f>
        <v>0</v>
      </c>
      <c r="D41" s="10">
        <f>'3.ESS_RÉGÉ'!D44</f>
        <v>0</v>
      </c>
      <c r="E41" s="10">
        <f>'3.ESS_RÉGÉ'!E44</f>
        <v>0</v>
      </c>
      <c r="G41" s="166"/>
    </row>
    <row r="42" spans="1:14" x14ac:dyDescent="0.2">
      <c r="A42" s="471"/>
      <c r="B42" s="12">
        <v>23</v>
      </c>
      <c r="C42" s="10">
        <f>'3.ESS_RÉGÉ'!C45</f>
        <v>0</v>
      </c>
      <c r="D42" s="10">
        <f>'3.ESS_RÉGÉ'!D45</f>
        <v>0</v>
      </c>
      <c r="E42" s="10">
        <f>'3.ESS_RÉGÉ'!E45</f>
        <v>0</v>
      </c>
      <c r="G42" s="166"/>
    </row>
    <row r="43" spans="1:14" x14ac:dyDescent="0.2">
      <c r="A43" s="471"/>
      <c r="B43" s="12">
        <v>24</v>
      </c>
      <c r="C43" s="10">
        <f>'3.ESS_RÉGÉ'!C46</f>
        <v>0</v>
      </c>
      <c r="D43" s="10">
        <f>'3.ESS_RÉGÉ'!D46</f>
        <v>0</v>
      </c>
      <c r="E43" s="10">
        <f>'3.ESS_RÉGÉ'!E46</f>
        <v>0</v>
      </c>
      <c r="G43" s="166"/>
    </row>
    <row r="44" spans="1:14" x14ac:dyDescent="0.2">
      <c r="A44" s="471"/>
      <c r="B44" s="12">
        <v>25</v>
      </c>
      <c r="C44" s="10">
        <f>'3.ESS_RÉGÉ'!C47</f>
        <v>0</v>
      </c>
      <c r="D44" s="10">
        <f>'3.ESS_RÉGÉ'!D47</f>
        <v>0</v>
      </c>
      <c r="E44" s="10">
        <f>'3.ESS_RÉGÉ'!E47</f>
        <v>0</v>
      </c>
      <c r="G44" s="166"/>
    </row>
    <row r="45" spans="1:14" x14ac:dyDescent="0.2">
      <c r="A45" s="471"/>
      <c r="B45" s="12">
        <v>26</v>
      </c>
      <c r="C45" s="10">
        <f>'3.ESS_RÉGÉ'!C48</f>
        <v>0</v>
      </c>
      <c r="D45" s="10">
        <f>'3.ESS_RÉGÉ'!D48</f>
        <v>0</v>
      </c>
      <c r="E45" s="10">
        <f>'3.ESS_RÉGÉ'!E48</f>
        <v>0</v>
      </c>
      <c r="G45" s="166"/>
    </row>
    <row r="46" spans="1:14" x14ac:dyDescent="0.2">
      <c r="A46" s="471"/>
      <c r="B46" s="12">
        <v>27</v>
      </c>
      <c r="C46" s="10">
        <f>'3.ESS_RÉGÉ'!C49</f>
        <v>0</v>
      </c>
      <c r="D46" s="10">
        <f>'3.ESS_RÉGÉ'!D49</f>
        <v>0</v>
      </c>
      <c r="E46" s="10">
        <f>'3.ESS_RÉGÉ'!E49</f>
        <v>0</v>
      </c>
      <c r="G46" s="166"/>
    </row>
    <row r="47" spans="1:14" x14ac:dyDescent="0.2">
      <c r="A47" s="471"/>
      <c r="B47" s="12">
        <v>28</v>
      </c>
      <c r="C47" s="10">
        <f>'3.ESS_RÉGÉ'!C50</f>
        <v>0</v>
      </c>
      <c r="D47" s="10">
        <f>'3.ESS_RÉGÉ'!D50</f>
        <v>0</v>
      </c>
      <c r="E47" s="10">
        <f>'3.ESS_RÉGÉ'!E50</f>
        <v>0</v>
      </c>
      <c r="G47" s="166"/>
    </row>
    <row r="48" spans="1:14" x14ac:dyDescent="0.2">
      <c r="A48" s="471"/>
      <c r="B48" s="12">
        <v>29</v>
      </c>
      <c r="C48" s="10">
        <f>'3.ESS_RÉGÉ'!C51</f>
        <v>0</v>
      </c>
      <c r="D48" s="10">
        <f>'3.ESS_RÉGÉ'!D51</f>
        <v>0</v>
      </c>
      <c r="E48" s="10">
        <f>'3.ESS_RÉGÉ'!E51</f>
        <v>0</v>
      </c>
      <c r="G48" s="166"/>
    </row>
    <row r="49" spans="1:52" x14ac:dyDescent="0.2">
      <c r="A49" s="471"/>
      <c r="B49" s="12">
        <v>30</v>
      </c>
      <c r="C49" s="10">
        <f>'3.ESS_RÉGÉ'!C52</f>
        <v>0</v>
      </c>
      <c r="D49" s="10">
        <f>'3.ESS_RÉGÉ'!D52</f>
        <v>0</v>
      </c>
      <c r="E49" s="10">
        <f>'3.ESS_RÉGÉ'!E52</f>
        <v>0</v>
      </c>
      <c r="G49" s="166"/>
    </row>
    <row r="52" spans="1:52" s="137" customFormat="1" x14ac:dyDescent="0.2">
      <c r="A52" s="473" t="s">
        <v>14</v>
      </c>
      <c r="B52" s="137" t="s">
        <v>6</v>
      </c>
      <c r="C52" s="138" t="str">
        <f>C4</f>
        <v/>
      </c>
    </row>
    <row r="53" spans="1:52" s="137" customFormat="1" x14ac:dyDescent="0.2">
      <c r="A53" s="473"/>
      <c r="B53" s="139" t="s">
        <v>181</v>
      </c>
      <c r="C53" s="139" t="str">
        <f>C6</f>
        <v/>
      </c>
    </row>
    <row r="55" spans="1:52" x14ac:dyDescent="0.2">
      <c r="A55" s="134" t="s">
        <v>626</v>
      </c>
      <c r="B55" s="134"/>
      <c r="C55" s="134"/>
      <c r="D55" s="134"/>
      <c r="E55" s="134"/>
      <c r="F55" s="134"/>
      <c r="G55" s="134"/>
      <c r="H55" s="134"/>
      <c r="I55" s="134"/>
      <c r="J55" s="134"/>
      <c r="K55" s="134"/>
      <c r="L55" s="134"/>
      <c r="M55" s="133"/>
      <c r="N55" s="133"/>
      <c r="O55" s="133"/>
      <c r="P55" s="133"/>
      <c r="Q55" s="133"/>
      <c r="R55" s="133"/>
      <c r="S55" s="133"/>
      <c r="T55" s="133"/>
      <c r="U55" s="133"/>
      <c r="V55" s="133"/>
      <c r="W55" s="133"/>
      <c r="X55" s="133"/>
      <c r="Y55" s="133"/>
      <c r="Z55" s="133"/>
      <c r="AA55" s="133"/>
      <c r="AB55" s="133"/>
      <c r="AC55" s="133"/>
      <c r="AD55" s="133"/>
      <c r="AE55" s="133"/>
      <c r="AF55" s="133"/>
      <c r="AG55" s="133"/>
      <c r="AH55" s="133"/>
      <c r="AI55" s="133"/>
      <c r="AJ55" s="133"/>
      <c r="AK55" s="133"/>
      <c r="AL55" s="133"/>
      <c r="AM55" s="133"/>
      <c r="AN55" s="133"/>
      <c r="AO55" s="133"/>
      <c r="AP55" s="133"/>
      <c r="AQ55" s="133"/>
      <c r="AR55" s="133"/>
      <c r="AS55" s="133"/>
      <c r="AT55" s="133"/>
      <c r="AU55" s="133"/>
      <c r="AV55" s="133"/>
      <c r="AW55" s="133"/>
      <c r="AX55" s="133"/>
      <c r="AY55" s="133"/>
      <c r="AZ55" s="133"/>
    </row>
    <row r="57" spans="1:52" ht="16" customHeight="1" x14ac:dyDescent="0.2">
      <c r="A57" s="472" t="str">
        <f>CONCATENATE($C$1,"_ESS_1")</f>
        <v>A_ESS_1</v>
      </c>
      <c r="B57" s="3" t="s">
        <v>8</v>
      </c>
      <c r="C57" s="3" t="s">
        <v>17</v>
      </c>
      <c r="D57" s="3" t="s">
        <v>61</v>
      </c>
      <c r="E57" s="3" t="s">
        <v>88</v>
      </c>
      <c r="F57" s="3" t="s">
        <v>297</v>
      </c>
      <c r="G57" s="99"/>
      <c r="J57" s="472" t="str">
        <f>CONCATENATE($C$1,"_ESS_2")</f>
        <v>A_ESS_2</v>
      </c>
      <c r="K57" s="3" t="s">
        <v>8</v>
      </c>
      <c r="L57" s="3" t="s">
        <v>17</v>
      </c>
      <c r="M57" s="3" t="s">
        <v>61</v>
      </c>
      <c r="N57" s="3" t="s">
        <v>88</v>
      </c>
      <c r="O57" s="3" t="s">
        <v>297</v>
      </c>
      <c r="S57" s="472" t="str">
        <f>CONCATENATE($C$1,"_ESS_3")</f>
        <v>A_ESS_3</v>
      </c>
      <c r="T57" s="3" t="s">
        <v>8</v>
      </c>
      <c r="U57" s="3" t="s">
        <v>17</v>
      </c>
      <c r="V57" s="3" t="s">
        <v>61</v>
      </c>
      <c r="W57" s="3" t="s">
        <v>88</v>
      </c>
      <c r="X57" s="3" t="s">
        <v>297</v>
      </c>
      <c r="AB57" s="472" t="str">
        <f>CONCATENATE($C$1,"_ESS_4")</f>
        <v>A_ESS_4</v>
      </c>
      <c r="AC57" s="3" t="s">
        <v>8</v>
      </c>
      <c r="AD57" s="3" t="s">
        <v>17</v>
      </c>
      <c r="AE57" s="3" t="s">
        <v>61</v>
      </c>
      <c r="AF57" s="3" t="s">
        <v>88</v>
      </c>
      <c r="AG57" s="3" t="s">
        <v>297</v>
      </c>
    </row>
    <row r="58" spans="1:52" x14ac:dyDescent="0.2">
      <c r="A58" s="472"/>
      <c r="B58" s="42" t="str">
        <f>G4</f>
        <v/>
      </c>
      <c r="C58" s="3">
        <f>IF(OR(B58=0,B58=""),0,VLOOKUP(B58,Tableau44[[Code_ess]:[FEB]],4,FALSE))</f>
        <v>0</v>
      </c>
      <c r="D58" s="3">
        <f>IF(OR(B58=0,B58=""),0,VLOOKUP(B58,Tableau44[[Code_ess]:[FEB]],5,FALSE))</f>
        <v>0</v>
      </c>
      <c r="E58" s="43">
        <f>IF(OR(B58=0,B58=""),0,VLOOKUP(B58,$G$4:$H$7,2,FALSE))</f>
        <v>0</v>
      </c>
      <c r="F58" s="3">
        <f>IF(OR(B58=0,B58=""),0,VLOOKUP(B58,Listes!$C$7:$D$36,2,FALSE))</f>
        <v>0</v>
      </c>
      <c r="H58" s="44"/>
      <c r="J58" s="472"/>
      <c r="K58" s="3" t="str">
        <f>G5</f>
        <v/>
      </c>
      <c r="L58" s="3">
        <f>IF(OR(K58=0,K58=""),0,VLOOKUP(K58,Tableau44[[Code_ess]:[FEB]],4,FALSE))</f>
        <v>0</v>
      </c>
      <c r="M58" s="3">
        <f>IF(OR(K58=0,K58=""),0,VLOOKUP(K58,Tableau44[[Code_ess]:[FEB]],5,FALSE))</f>
        <v>0</v>
      </c>
      <c r="N58" s="43">
        <f>IF(OR(K58=0,K58=""),0,VLOOKUP(K58,$G$4:$H$7,2,FALSE))</f>
        <v>0</v>
      </c>
      <c r="O58" s="3">
        <f>IF(OR(K58=0,K58=""),0,VLOOKUP(K58,Listes!$C$7:$D$36,2,FALSE))</f>
        <v>0</v>
      </c>
      <c r="R58" s="44"/>
      <c r="S58" s="472"/>
      <c r="T58" s="3" t="str">
        <f>G6</f>
        <v/>
      </c>
      <c r="U58" s="3">
        <f>IF(OR(T58=0,T58=""),0,VLOOKUP(T58,Tableau44[[Code_ess]:[FEB]],4,FALSE))</f>
        <v>0</v>
      </c>
      <c r="V58" s="3">
        <f>IF(OR(T58=0,T58=""),0,VLOOKUP(T58,Tableau44[[Code_ess]:[FEB]],5,FALSE))</f>
        <v>0</v>
      </c>
      <c r="W58" s="43">
        <f>IF(OR(T58=0,T58=""),0,VLOOKUP(T58,$G$4:$H$7,2,FALSE))</f>
        <v>0</v>
      </c>
      <c r="X58" s="3">
        <f>IF(OR(T58=0,T58=""),0,VLOOKUP(T58,Listes!$C$7:$D$36,2,FALSE))</f>
        <v>0</v>
      </c>
      <c r="Z58" s="44"/>
      <c r="AB58" s="472"/>
      <c r="AC58" s="3" t="str">
        <f>G7</f>
        <v/>
      </c>
      <c r="AD58" s="3">
        <f>IF(OR(AC58=0,AC58=""),0,VLOOKUP(AC58,Tableau44[[Code_ess]:[FEB]],4,FALSE))</f>
        <v>0</v>
      </c>
      <c r="AE58" s="3">
        <f>IF(OR(AC58=0,AC58=""),0,VLOOKUP(AC58,Tableau44[[Code_ess]:[FEB]],5,FALSE))</f>
        <v>0</v>
      </c>
      <c r="AF58" s="43">
        <f>IF(OR(AC58=0,AC58=""),0,VLOOKUP(AC58,$G$4:$H$7,2,FALSE))</f>
        <v>0</v>
      </c>
      <c r="AG58" s="3">
        <f>IF(OR(AC58=0,AC58=""),0,VLOOKUP(AC58,Listes!$C$7:$D$36,2,FALSE))</f>
        <v>0</v>
      </c>
    </row>
    <row r="60" spans="1:52" ht="16" customHeight="1" x14ac:dyDescent="0.2">
      <c r="A60" s="472" t="str">
        <f>CONCATENATE("SQ_REF_",A57)</f>
        <v>SQ_REF_A_ESS_1</v>
      </c>
      <c r="B60" s="3" t="s">
        <v>15</v>
      </c>
      <c r="C60" s="3" t="s">
        <v>19</v>
      </c>
      <c r="D60" s="3" t="s">
        <v>18</v>
      </c>
      <c r="E60" s="3" t="s">
        <v>16</v>
      </c>
      <c r="F60" s="3" t="s">
        <v>78</v>
      </c>
      <c r="G60" s="3" t="s">
        <v>79</v>
      </c>
      <c r="H60" s="3" t="s">
        <v>56</v>
      </c>
      <c r="J60" s="472" t="str">
        <f>CONCATENATE("SQ_REF_",J57)</f>
        <v>SQ_REF_A_ESS_2</v>
      </c>
      <c r="K60" s="3" t="s">
        <v>15</v>
      </c>
      <c r="L60" s="3" t="s">
        <v>19</v>
      </c>
      <c r="M60" s="3" t="s">
        <v>18</v>
      </c>
      <c r="N60" s="3" t="s">
        <v>16</v>
      </c>
      <c r="O60" s="3" t="s">
        <v>78</v>
      </c>
      <c r="P60" s="3" t="s">
        <v>79</v>
      </c>
      <c r="Q60" s="3" t="s">
        <v>56</v>
      </c>
      <c r="S60" s="472" t="str">
        <f>CONCATENATE("SQ_REF_",S57)</f>
        <v>SQ_REF_A_ESS_3</v>
      </c>
      <c r="T60" s="3" t="s">
        <v>15</v>
      </c>
      <c r="U60" s="3" t="s">
        <v>19</v>
      </c>
      <c r="V60" s="3" t="s">
        <v>18</v>
      </c>
      <c r="W60" s="3" t="s">
        <v>16</v>
      </c>
      <c r="X60" s="3" t="s">
        <v>78</v>
      </c>
      <c r="Y60" s="3" t="s">
        <v>79</v>
      </c>
      <c r="Z60" s="3" t="s">
        <v>56</v>
      </c>
      <c r="AB60" s="472" t="str">
        <f>CONCATENATE("SQ_REF_",AB57)</f>
        <v>SQ_REF_A_ESS_4</v>
      </c>
      <c r="AC60" s="3" t="s">
        <v>15</v>
      </c>
      <c r="AD60" s="3" t="s">
        <v>19</v>
      </c>
      <c r="AE60" s="3" t="s">
        <v>18</v>
      </c>
      <c r="AF60" s="3" t="s">
        <v>16</v>
      </c>
      <c r="AG60" s="3" t="s">
        <v>78</v>
      </c>
      <c r="AH60" s="3" t="s">
        <v>79</v>
      </c>
      <c r="AI60" s="3" t="s">
        <v>56</v>
      </c>
      <c r="AK60" s="472"/>
      <c r="AL60" s="3" t="s">
        <v>28</v>
      </c>
      <c r="AM60" s="3" t="s">
        <v>121</v>
      </c>
      <c r="AN60" s="3" t="s">
        <v>123</v>
      </c>
      <c r="AO60" s="44" t="s">
        <v>124</v>
      </c>
      <c r="AP60" s="44"/>
      <c r="AQ60" s="472"/>
      <c r="AR60" s="3" t="s">
        <v>94</v>
      </c>
      <c r="AS60" s="3" t="s">
        <v>758</v>
      </c>
    </row>
    <row r="61" spans="1:52" ht="16" customHeight="1" x14ac:dyDescent="0.2">
      <c r="A61" s="472"/>
      <c r="B61" s="3">
        <v>1</v>
      </c>
      <c r="C61" s="45">
        <f>IF(OR(B58="",B58=0),0,VLOOKUP(B58,$G$4:$M$7,6,FALSE))</f>
        <v>0</v>
      </c>
      <c r="D61" s="45">
        <f>IF(OR(C61="",C61=0),0,IF(B61=1,INDEX($J$19:$M$38,MATCH(B61,$H$19:$H$38,0),MATCH(RIGHT(A$57,5),$J$18:$M$18,0)),INDEX($J$19:$M$38,MATCH(B61,$H$19:$H$38,0),MATCH(RIGHT(A$57,5),$J$18:$M$18,0))+C61-E60))</f>
        <v>0</v>
      </c>
      <c r="E61" s="45">
        <f>IF(D61="",0,C61-D61)</f>
        <v>0</v>
      </c>
      <c r="F61" s="45">
        <f>IF(E61=0,0,E61*C$58)</f>
        <v>0</v>
      </c>
      <c r="G61" s="45">
        <f t="shared" ref="G61:G80" si="4">IF(F61&gt;0,EXP(-1.0587+0.8836*LN(F61)+0.284),0)</f>
        <v>0</v>
      </c>
      <c r="H61" s="45">
        <f t="shared" ref="H61:H80" si="5">SUM(F61:G61)*0.475*44/12</f>
        <v>0</v>
      </c>
      <c r="I61" s="45"/>
      <c r="J61" s="472"/>
      <c r="K61" s="3">
        <v>1</v>
      </c>
      <c r="L61" s="45">
        <f>IF(OR(K58="",K58=0),0,VLOOKUP(K58,$G$4:$M$7,6,FALSE))</f>
        <v>0</v>
      </c>
      <c r="M61" s="45">
        <f>IF(OR(L61="",L61=0),0,IF(K61=1,INDEX($J$19:$M$38,MATCH(K61,$H$19:$H$38,0),MATCH(RIGHT(J$57,5),$J$18:$M$18,0)),INDEX($J$19:$M$38,MATCH(K61,$H$19:$H$38,0),MATCH(RIGHT(J$57,5),$J$18:$M$18,0))+L61-N60))</f>
        <v>0</v>
      </c>
      <c r="N61" s="45">
        <f>IF(M61="",0,L61-M61)</f>
        <v>0</v>
      </c>
      <c r="O61" s="45">
        <f>IF(N61=0,0,N61*L$58)</f>
        <v>0</v>
      </c>
      <c r="P61" s="45">
        <f t="shared" ref="P61:P80" si="6">IF(O61&gt;0,EXP(-1.0587+0.8836*LN(O61)+0.284),0)</f>
        <v>0</v>
      </c>
      <c r="Q61" s="45">
        <f t="shared" ref="Q61:Q62" si="7">SUM(O61:P61)*0.475*44/12</f>
        <v>0</v>
      </c>
      <c r="R61" s="45"/>
      <c r="S61" s="472"/>
      <c r="T61" s="3">
        <v>1</v>
      </c>
      <c r="U61" s="45">
        <f>IF(OR(T58="",T58=0),0,VLOOKUP(T58,$G$4:$M$7,6,FALSE))</f>
        <v>0</v>
      </c>
      <c r="V61" s="45">
        <f>IF(OR(U61="",U61=0),0,IF(T61=1,INDEX($J$19:$M$38,MATCH(T61,$H$19:$H$38,0),MATCH(RIGHT(S$57,5),$J$18:$M$18,0)),INDEX($J$19:$M$38,MATCH(T61,$H$19:$H$38,0),MATCH(RIGHT(S$57,5),$J$18:$M$18,0))+U61-W60))</f>
        <v>0</v>
      </c>
      <c r="W61" s="45">
        <f>IF(V61="",0,U61-V61)</f>
        <v>0</v>
      </c>
      <c r="X61" s="45">
        <f>IF(W61=0,0,W61*U$58)</f>
        <v>0</v>
      </c>
      <c r="Y61" s="45">
        <f t="shared" ref="Y61:Y80" si="8">IF(X61&gt;0,EXP(-1.0587+0.8836*LN(X61)+0.284),0)</f>
        <v>0</v>
      </c>
      <c r="Z61" s="45">
        <f t="shared" ref="Z61:Z80" si="9">SUM(X61:Y61)*0.475*44/12</f>
        <v>0</v>
      </c>
      <c r="AA61" s="45"/>
      <c r="AB61" s="472"/>
      <c r="AC61" s="3">
        <v>1</v>
      </c>
      <c r="AD61" s="45">
        <f>IF(OR(AC58="",AC58=0),0,VLOOKUP(AC58,$G$4:$M$7,6,FALSE))</f>
        <v>0</v>
      </c>
      <c r="AE61" s="45">
        <f>IF(OR(AD61="",AD61=0),0,IF(AC61=1,INDEX($J$19:$M$38,MATCH(AC61,$H$19:$H$38,0),MATCH(RIGHT(AB$57,5),$J$18:$M$18,0)),INDEX($J$19:$M$38,MATCH(AC61,$H$19:$H$38,0),MATCH(RIGHT(AB$57,5),$J$18:$M$18,0))+AD61-AF60))</f>
        <v>0</v>
      </c>
      <c r="AF61" s="45">
        <f>IF(AE61="",0,AD61-AE61)</f>
        <v>0</v>
      </c>
      <c r="AG61" s="45">
        <f t="shared" ref="AG61:AG80" si="10">IF(AF61=0,0,AF61*AD$58)</f>
        <v>0</v>
      </c>
      <c r="AH61" s="45">
        <f t="shared" ref="AH61:AH80" si="11">IF(AG61&gt;0,EXP(-1.0587+0.8836*LN(AG61)+0.284),0)</f>
        <v>0</v>
      </c>
      <c r="AI61" s="45">
        <f t="shared" ref="AI61:AI80" si="12">SUM(AG61:AH61)*0.475*44/12</f>
        <v>0</v>
      </c>
      <c r="AJ61" s="45"/>
      <c r="AK61" s="472"/>
      <c r="AL61" s="3">
        <v>1</v>
      </c>
      <c r="AM61" s="11">
        <f t="shared" ref="AM61:AM80" si="13">SUM(D61,M61,V61,AE61)</f>
        <v>0</v>
      </c>
      <c r="AN61" s="46">
        <f t="shared" ref="AN61:AN80" si="14">IF(OR($C$6=0,SUM($M$4:$M$7)=0),0,AM61/SUM($M$4:$M$7))</f>
        <v>0</v>
      </c>
      <c r="AO61" s="47">
        <f t="shared" ref="AO61:AO80" si="15">AN61*50%</f>
        <v>0</v>
      </c>
      <c r="AP61" s="47"/>
      <c r="AQ61" s="472"/>
      <c r="AR61" s="108">
        <v>1</v>
      </c>
      <c r="AS61" s="110">
        <f>C61+L61+U61+AD61</f>
        <v>0</v>
      </c>
    </row>
    <row r="62" spans="1:52" x14ac:dyDescent="0.2">
      <c r="A62" s="472"/>
      <c r="B62" s="3">
        <v>2</v>
      </c>
      <c r="C62" s="45">
        <f>IF(E61=0,0,E61*(1+E$58))</f>
        <v>0</v>
      </c>
      <c r="D62" s="45">
        <f t="shared" ref="D62:D80" si="16">IF(OR(C62="",C62=0),0,IF(B62=1,INDEX($J$19:$M$38,MATCH(B62,$H$19:$H$38,0),MATCH(RIGHT(A$57,5),$J$18:$M$18,0)),INDEX($J$19:$M$38,MATCH(B62,$H$19:$H$38,0),MATCH(RIGHT(A$57,5),$J$18:$M$18,0))+C62-E61))</f>
        <v>0</v>
      </c>
      <c r="E62" s="11">
        <f>IF(D62="",0,C62-D62)</f>
        <v>0</v>
      </c>
      <c r="F62" s="45">
        <f>IF(E62=0,0,E62*C$58)</f>
        <v>0</v>
      </c>
      <c r="G62" s="45">
        <f t="shared" si="4"/>
        <v>0</v>
      </c>
      <c r="H62" s="11">
        <f t="shared" si="5"/>
        <v>0</v>
      </c>
      <c r="I62" s="11"/>
      <c r="J62" s="472"/>
      <c r="K62" s="3">
        <v>2</v>
      </c>
      <c r="L62" s="45">
        <f>IF(N61=0,0,N61*(1+N$58))</f>
        <v>0</v>
      </c>
      <c r="M62" s="45">
        <f t="shared" ref="M62:M80" si="17">IF(OR(L62="",L62=0),0,IF(K62=1,INDEX($J$19:$M$38,MATCH(K62,$H$19:$H$38,0),MATCH(RIGHT(J$57,5),$J$18:$M$18,0)),INDEX($J$19:$M$38,MATCH(K62,$H$19:$H$38,0),MATCH(RIGHT(J$57,5),$J$18:$M$18,0))+L62-N61))</f>
        <v>0</v>
      </c>
      <c r="N62" s="11">
        <f>IF(M62="",0,L62-M62)</f>
        <v>0</v>
      </c>
      <c r="O62" s="45">
        <f t="shared" ref="O62" si="18">IF(N62=0,0,N62*L$58)</f>
        <v>0</v>
      </c>
      <c r="P62" s="45">
        <f t="shared" si="6"/>
        <v>0</v>
      </c>
      <c r="Q62" s="11">
        <f t="shared" si="7"/>
        <v>0</v>
      </c>
      <c r="R62" s="11"/>
      <c r="S62" s="472"/>
      <c r="T62" s="3">
        <v>2</v>
      </c>
      <c r="U62" s="45">
        <f>IF(W61=0,0,W61*(1+W$58))</f>
        <v>0</v>
      </c>
      <c r="V62" s="45">
        <f t="shared" ref="V62:V80" si="19">IF(OR(U62="",U62=0),0,IF(T62=1,INDEX($J$19:$M$38,MATCH(T62,$H$19:$H$38,0),MATCH(RIGHT(S$57,5),$J$18:$M$18,0)),INDEX($J$19:$M$38,MATCH(T62,$H$19:$H$38,0),MATCH(RIGHT(S$57,5),$J$18:$M$18,0))+U62-W61))</f>
        <v>0</v>
      </c>
      <c r="W62" s="11">
        <f>IF(V62="",0,U62-V62)</f>
        <v>0</v>
      </c>
      <c r="X62" s="45">
        <f t="shared" ref="X62:X80" si="20">IF(W62=0,0,W62*U$58)</f>
        <v>0</v>
      </c>
      <c r="Y62" s="45">
        <f t="shared" si="8"/>
        <v>0</v>
      </c>
      <c r="Z62" s="11">
        <f t="shared" si="9"/>
        <v>0</v>
      </c>
      <c r="AA62" s="11"/>
      <c r="AB62" s="472"/>
      <c r="AC62" s="3">
        <v>2</v>
      </c>
      <c r="AD62" s="45">
        <f>IF(AF61=0,0,AF61*(1+AF$58))</f>
        <v>0</v>
      </c>
      <c r="AE62" s="45">
        <f t="shared" ref="AE62:AE80" si="21">IF(OR(AD62="",AD62=0),0,IF(AC62=1,INDEX($J$19:$M$38,MATCH(AC62,$H$19:$H$38,0),MATCH(RIGHT(AB$57,5),$J$18:$M$18,0)),INDEX($J$19:$M$38,MATCH(AC62,$H$19:$H$38,0),MATCH(RIGHT(AB$57,5),$J$18:$M$18,0))+AD62-AF61))</f>
        <v>0</v>
      </c>
      <c r="AF62" s="11">
        <f>IF(AE62="",0,AD62-AE62)</f>
        <v>0</v>
      </c>
      <c r="AG62" s="45">
        <f t="shared" si="10"/>
        <v>0</v>
      </c>
      <c r="AH62" s="45">
        <f t="shared" si="11"/>
        <v>0</v>
      </c>
      <c r="AI62" s="11">
        <f t="shared" si="12"/>
        <v>0</v>
      </c>
      <c r="AJ62" s="11"/>
      <c r="AK62" s="472"/>
      <c r="AL62" s="3">
        <v>2</v>
      </c>
      <c r="AM62" s="11">
        <f t="shared" si="13"/>
        <v>0</v>
      </c>
      <c r="AN62" s="46">
        <f t="shared" si="14"/>
        <v>0</v>
      </c>
      <c r="AO62" s="47">
        <f t="shared" si="15"/>
        <v>0</v>
      </c>
      <c r="AP62" s="47"/>
      <c r="AQ62" s="472"/>
      <c r="AR62" s="109">
        <v>2</v>
      </c>
      <c r="AS62" s="111">
        <f>E62+N62+W62+AF62</f>
        <v>0</v>
      </c>
    </row>
    <row r="63" spans="1:52" x14ac:dyDescent="0.2">
      <c r="A63" s="472"/>
      <c r="B63" s="3">
        <v>3</v>
      </c>
      <c r="C63" s="45">
        <f t="shared" ref="C63:C80" si="22">IF(E62=0,0,E62*(1+E$58))</f>
        <v>0</v>
      </c>
      <c r="D63" s="45">
        <f t="shared" si="16"/>
        <v>0</v>
      </c>
      <c r="E63" s="11">
        <f t="shared" ref="E63:E80" si="23">IF(D63="",0,C63-D63)</f>
        <v>0</v>
      </c>
      <c r="F63" s="45">
        <f t="shared" ref="F63:F80" si="24">IF(E63=0,0,E63*C$58)</f>
        <v>0</v>
      </c>
      <c r="G63" s="45">
        <f t="shared" si="4"/>
        <v>0</v>
      </c>
      <c r="H63" s="11">
        <f t="shared" si="5"/>
        <v>0</v>
      </c>
      <c r="I63" s="11"/>
      <c r="J63" s="472"/>
      <c r="K63" s="3">
        <v>3</v>
      </c>
      <c r="L63" s="45">
        <f t="shared" ref="L63:L80" si="25">IF(N62=0,0,N62*(1+N$58))</f>
        <v>0</v>
      </c>
      <c r="M63" s="45">
        <f t="shared" si="17"/>
        <v>0</v>
      </c>
      <c r="N63" s="11">
        <f t="shared" ref="N63:N80" si="26">IF(M63="",0,L63-M63)</f>
        <v>0</v>
      </c>
      <c r="O63" s="45">
        <f t="shared" ref="O63:O80" si="27">IF(N63=0,0,N63*L$58)</f>
        <v>0</v>
      </c>
      <c r="P63" s="45">
        <f t="shared" si="6"/>
        <v>0</v>
      </c>
      <c r="Q63" s="11">
        <f t="shared" ref="Q63:Q80" si="28">SUM(O63:P63)*0.475*44/12</f>
        <v>0</v>
      </c>
      <c r="R63" s="11"/>
      <c r="S63" s="472"/>
      <c r="T63" s="3">
        <v>3</v>
      </c>
      <c r="U63" s="45">
        <f t="shared" ref="U63:U80" si="29">IF(W62=0,0,W62*(1+W$58))</f>
        <v>0</v>
      </c>
      <c r="V63" s="45">
        <f t="shared" si="19"/>
        <v>0</v>
      </c>
      <c r="W63" s="11">
        <f t="shared" ref="W63:W80" si="30">IF(V63="",0,U63-V63)</f>
        <v>0</v>
      </c>
      <c r="X63" s="45">
        <f t="shared" si="20"/>
        <v>0</v>
      </c>
      <c r="Y63" s="45">
        <f t="shared" si="8"/>
        <v>0</v>
      </c>
      <c r="Z63" s="11">
        <f t="shared" si="9"/>
        <v>0</v>
      </c>
      <c r="AA63" s="11"/>
      <c r="AB63" s="472"/>
      <c r="AC63" s="3">
        <v>3</v>
      </c>
      <c r="AD63" s="45">
        <f t="shared" ref="AD63:AD80" si="31">IF(AF62=0,0,AF62*(1+AF$58))</f>
        <v>0</v>
      </c>
      <c r="AE63" s="45">
        <f t="shared" si="21"/>
        <v>0</v>
      </c>
      <c r="AF63" s="11">
        <f t="shared" ref="AF63:AF80" si="32">IF(AE63="",0,AD63-AE63)</f>
        <v>0</v>
      </c>
      <c r="AG63" s="45">
        <f t="shared" si="10"/>
        <v>0</v>
      </c>
      <c r="AH63" s="45">
        <f t="shared" si="11"/>
        <v>0</v>
      </c>
      <c r="AI63" s="11">
        <f t="shared" si="12"/>
        <v>0</v>
      </c>
      <c r="AJ63" s="11"/>
      <c r="AK63" s="472"/>
      <c r="AL63" s="3">
        <v>3</v>
      </c>
      <c r="AM63" s="11">
        <f t="shared" si="13"/>
        <v>0</v>
      </c>
      <c r="AN63" s="46">
        <f t="shared" si="14"/>
        <v>0</v>
      </c>
      <c r="AO63" s="47">
        <f t="shared" si="15"/>
        <v>0</v>
      </c>
      <c r="AP63" s="47"/>
      <c r="AQ63" s="472"/>
      <c r="AR63" s="108">
        <v>3</v>
      </c>
      <c r="AS63" s="111">
        <f t="shared" ref="AS63:AS80" si="33">E63+N63+W63+AF63</f>
        <v>0</v>
      </c>
    </row>
    <row r="64" spans="1:52" x14ac:dyDescent="0.2">
      <c r="A64" s="472"/>
      <c r="B64" s="3">
        <v>4</v>
      </c>
      <c r="C64" s="45">
        <f t="shared" si="22"/>
        <v>0</v>
      </c>
      <c r="D64" s="45">
        <f t="shared" si="16"/>
        <v>0</v>
      </c>
      <c r="E64" s="11">
        <f t="shared" si="23"/>
        <v>0</v>
      </c>
      <c r="F64" s="45">
        <f t="shared" si="24"/>
        <v>0</v>
      </c>
      <c r="G64" s="45">
        <f t="shared" si="4"/>
        <v>0</v>
      </c>
      <c r="H64" s="11">
        <f t="shared" si="5"/>
        <v>0</v>
      </c>
      <c r="I64" s="11"/>
      <c r="J64" s="472"/>
      <c r="K64" s="3">
        <v>4</v>
      </c>
      <c r="L64" s="45">
        <f t="shared" si="25"/>
        <v>0</v>
      </c>
      <c r="M64" s="45">
        <f t="shared" si="17"/>
        <v>0</v>
      </c>
      <c r="N64" s="11">
        <f t="shared" si="26"/>
        <v>0</v>
      </c>
      <c r="O64" s="45">
        <f t="shared" si="27"/>
        <v>0</v>
      </c>
      <c r="P64" s="45">
        <f t="shared" si="6"/>
        <v>0</v>
      </c>
      <c r="Q64" s="11">
        <f t="shared" si="28"/>
        <v>0</v>
      </c>
      <c r="R64" s="11"/>
      <c r="S64" s="472"/>
      <c r="T64" s="3">
        <v>4</v>
      </c>
      <c r="U64" s="45">
        <f t="shared" si="29"/>
        <v>0</v>
      </c>
      <c r="V64" s="45">
        <f t="shared" si="19"/>
        <v>0</v>
      </c>
      <c r="W64" s="11">
        <f t="shared" si="30"/>
        <v>0</v>
      </c>
      <c r="X64" s="45">
        <f t="shared" si="20"/>
        <v>0</v>
      </c>
      <c r="Y64" s="45">
        <f t="shared" si="8"/>
        <v>0</v>
      </c>
      <c r="Z64" s="11">
        <f t="shared" si="9"/>
        <v>0</v>
      </c>
      <c r="AA64" s="11"/>
      <c r="AB64" s="472"/>
      <c r="AC64" s="3">
        <v>4</v>
      </c>
      <c r="AD64" s="45">
        <f t="shared" si="31"/>
        <v>0</v>
      </c>
      <c r="AE64" s="45">
        <f t="shared" si="21"/>
        <v>0</v>
      </c>
      <c r="AF64" s="11">
        <f t="shared" si="32"/>
        <v>0</v>
      </c>
      <c r="AG64" s="45">
        <f t="shared" si="10"/>
        <v>0</v>
      </c>
      <c r="AH64" s="45">
        <f t="shared" si="11"/>
        <v>0</v>
      </c>
      <c r="AI64" s="11">
        <f t="shared" si="12"/>
        <v>0</v>
      </c>
      <c r="AJ64" s="11"/>
      <c r="AK64" s="472"/>
      <c r="AL64" s="3">
        <v>4</v>
      </c>
      <c r="AM64" s="11">
        <f t="shared" si="13"/>
        <v>0</v>
      </c>
      <c r="AN64" s="46">
        <f t="shared" si="14"/>
        <v>0</v>
      </c>
      <c r="AO64" s="47">
        <f t="shared" si="15"/>
        <v>0</v>
      </c>
      <c r="AP64" s="47"/>
      <c r="AQ64" s="472"/>
      <c r="AR64" s="109">
        <v>4</v>
      </c>
      <c r="AS64" s="111">
        <f t="shared" si="33"/>
        <v>0</v>
      </c>
    </row>
    <row r="65" spans="1:45" x14ac:dyDescent="0.2">
      <c r="A65" s="472"/>
      <c r="B65" s="3">
        <v>5</v>
      </c>
      <c r="C65" s="45">
        <f t="shared" si="22"/>
        <v>0</v>
      </c>
      <c r="D65" s="45">
        <f t="shared" si="16"/>
        <v>0</v>
      </c>
      <c r="E65" s="11">
        <f t="shared" si="23"/>
        <v>0</v>
      </c>
      <c r="F65" s="45">
        <f t="shared" si="24"/>
        <v>0</v>
      </c>
      <c r="G65" s="45">
        <f t="shared" si="4"/>
        <v>0</v>
      </c>
      <c r="H65" s="11">
        <f t="shared" si="5"/>
        <v>0</v>
      </c>
      <c r="I65" s="11"/>
      <c r="J65" s="472"/>
      <c r="K65" s="3">
        <v>5</v>
      </c>
      <c r="L65" s="45">
        <f t="shared" si="25"/>
        <v>0</v>
      </c>
      <c r="M65" s="45">
        <f t="shared" si="17"/>
        <v>0</v>
      </c>
      <c r="N65" s="11">
        <f t="shared" si="26"/>
        <v>0</v>
      </c>
      <c r="O65" s="45">
        <f t="shared" si="27"/>
        <v>0</v>
      </c>
      <c r="P65" s="45">
        <f t="shared" si="6"/>
        <v>0</v>
      </c>
      <c r="Q65" s="11">
        <f t="shared" si="28"/>
        <v>0</v>
      </c>
      <c r="R65" s="11"/>
      <c r="S65" s="472"/>
      <c r="T65" s="3">
        <v>5</v>
      </c>
      <c r="U65" s="45">
        <f t="shared" si="29"/>
        <v>0</v>
      </c>
      <c r="V65" s="45">
        <f t="shared" si="19"/>
        <v>0</v>
      </c>
      <c r="W65" s="11">
        <f t="shared" si="30"/>
        <v>0</v>
      </c>
      <c r="X65" s="45">
        <f t="shared" si="20"/>
        <v>0</v>
      </c>
      <c r="Y65" s="45">
        <f t="shared" si="8"/>
        <v>0</v>
      </c>
      <c r="Z65" s="11">
        <f t="shared" si="9"/>
        <v>0</v>
      </c>
      <c r="AA65" s="11"/>
      <c r="AB65" s="472"/>
      <c r="AC65" s="3">
        <v>5</v>
      </c>
      <c r="AD65" s="45">
        <f t="shared" si="31"/>
        <v>0</v>
      </c>
      <c r="AE65" s="45">
        <f t="shared" si="21"/>
        <v>0</v>
      </c>
      <c r="AF65" s="11">
        <f t="shared" si="32"/>
        <v>0</v>
      </c>
      <c r="AG65" s="45">
        <f t="shared" si="10"/>
        <v>0</v>
      </c>
      <c r="AH65" s="45">
        <f t="shared" si="11"/>
        <v>0</v>
      </c>
      <c r="AI65" s="11">
        <f t="shared" si="12"/>
        <v>0</v>
      </c>
      <c r="AJ65" s="11"/>
      <c r="AK65" s="472"/>
      <c r="AL65" s="3">
        <v>5</v>
      </c>
      <c r="AM65" s="11">
        <f t="shared" si="13"/>
        <v>0</v>
      </c>
      <c r="AN65" s="46">
        <f t="shared" si="14"/>
        <v>0</v>
      </c>
      <c r="AO65" s="47">
        <f t="shared" si="15"/>
        <v>0</v>
      </c>
      <c r="AP65" s="47"/>
      <c r="AQ65" s="472"/>
      <c r="AR65" s="108">
        <v>5</v>
      </c>
      <c r="AS65" s="111">
        <f t="shared" si="33"/>
        <v>0</v>
      </c>
    </row>
    <row r="66" spans="1:45" x14ac:dyDescent="0.2">
      <c r="A66" s="472"/>
      <c r="B66" s="3">
        <v>6</v>
      </c>
      <c r="C66" s="45">
        <f t="shared" si="22"/>
        <v>0</v>
      </c>
      <c r="D66" s="45">
        <f t="shared" si="16"/>
        <v>0</v>
      </c>
      <c r="E66" s="11">
        <f t="shared" si="23"/>
        <v>0</v>
      </c>
      <c r="F66" s="45">
        <f t="shared" si="24"/>
        <v>0</v>
      </c>
      <c r="G66" s="45">
        <f t="shared" si="4"/>
        <v>0</v>
      </c>
      <c r="H66" s="11">
        <f t="shared" si="5"/>
        <v>0</v>
      </c>
      <c r="I66" s="11"/>
      <c r="J66" s="472"/>
      <c r="K66" s="3">
        <v>6</v>
      </c>
      <c r="L66" s="45">
        <f t="shared" si="25"/>
        <v>0</v>
      </c>
      <c r="M66" s="45">
        <f t="shared" si="17"/>
        <v>0</v>
      </c>
      <c r="N66" s="11">
        <f t="shared" si="26"/>
        <v>0</v>
      </c>
      <c r="O66" s="45">
        <f t="shared" si="27"/>
        <v>0</v>
      </c>
      <c r="P66" s="45">
        <f t="shared" si="6"/>
        <v>0</v>
      </c>
      <c r="Q66" s="11">
        <f t="shared" si="28"/>
        <v>0</v>
      </c>
      <c r="R66" s="11"/>
      <c r="S66" s="472"/>
      <c r="T66" s="3">
        <v>6</v>
      </c>
      <c r="U66" s="45">
        <f t="shared" si="29"/>
        <v>0</v>
      </c>
      <c r="V66" s="45">
        <f t="shared" si="19"/>
        <v>0</v>
      </c>
      <c r="W66" s="11">
        <f t="shared" si="30"/>
        <v>0</v>
      </c>
      <c r="X66" s="45">
        <f t="shared" si="20"/>
        <v>0</v>
      </c>
      <c r="Y66" s="45">
        <f t="shared" si="8"/>
        <v>0</v>
      </c>
      <c r="Z66" s="11">
        <f t="shared" si="9"/>
        <v>0</v>
      </c>
      <c r="AA66" s="11"/>
      <c r="AB66" s="472"/>
      <c r="AC66" s="3">
        <v>6</v>
      </c>
      <c r="AD66" s="45">
        <f t="shared" si="31"/>
        <v>0</v>
      </c>
      <c r="AE66" s="45">
        <f t="shared" si="21"/>
        <v>0</v>
      </c>
      <c r="AF66" s="11">
        <f t="shared" si="32"/>
        <v>0</v>
      </c>
      <c r="AG66" s="45">
        <f t="shared" si="10"/>
        <v>0</v>
      </c>
      <c r="AH66" s="45">
        <f t="shared" si="11"/>
        <v>0</v>
      </c>
      <c r="AI66" s="11">
        <f t="shared" si="12"/>
        <v>0</v>
      </c>
      <c r="AJ66" s="11"/>
      <c r="AK66" s="472"/>
      <c r="AL66" s="3">
        <v>6</v>
      </c>
      <c r="AM66" s="11">
        <f t="shared" si="13"/>
        <v>0</v>
      </c>
      <c r="AN66" s="46">
        <f t="shared" si="14"/>
        <v>0</v>
      </c>
      <c r="AO66" s="47">
        <f t="shared" si="15"/>
        <v>0</v>
      </c>
      <c r="AP66" s="47"/>
      <c r="AQ66" s="472"/>
      <c r="AR66" s="109">
        <v>6</v>
      </c>
      <c r="AS66" s="111">
        <f t="shared" si="33"/>
        <v>0</v>
      </c>
    </row>
    <row r="67" spans="1:45" x14ac:dyDescent="0.2">
      <c r="A67" s="472"/>
      <c r="B67" s="3">
        <v>7</v>
      </c>
      <c r="C67" s="45">
        <f t="shared" si="22"/>
        <v>0</v>
      </c>
      <c r="D67" s="45">
        <f t="shared" si="16"/>
        <v>0</v>
      </c>
      <c r="E67" s="11">
        <f t="shared" si="23"/>
        <v>0</v>
      </c>
      <c r="F67" s="45">
        <f t="shared" si="24"/>
        <v>0</v>
      </c>
      <c r="G67" s="45">
        <f t="shared" si="4"/>
        <v>0</v>
      </c>
      <c r="H67" s="11">
        <f t="shared" si="5"/>
        <v>0</v>
      </c>
      <c r="I67" s="11"/>
      <c r="J67" s="472"/>
      <c r="K67" s="3">
        <v>7</v>
      </c>
      <c r="L67" s="45">
        <f t="shared" si="25"/>
        <v>0</v>
      </c>
      <c r="M67" s="45">
        <f t="shared" si="17"/>
        <v>0</v>
      </c>
      <c r="N67" s="11">
        <f t="shared" si="26"/>
        <v>0</v>
      </c>
      <c r="O67" s="45">
        <f t="shared" si="27"/>
        <v>0</v>
      </c>
      <c r="P67" s="45">
        <f t="shared" si="6"/>
        <v>0</v>
      </c>
      <c r="Q67" s="11">
        <f t="shared" si="28"/>
        <v>0</v>
      </c>
      <c r="R67" s="11"/>
      <c r="S67" s="472"/>
      <c r="T67" s="3">
        <v>7</v>
      </c>
      <c r="U67" s="45">
        <f t="shared" si="29"/>
        <v>0</v>
      </c>
      <c r="V67" s="45">
        <f t="shared" si="19"/>
        <v>0</v>
      </c>
      <c r="W67" s="11">
        <f t="shared" si="30"/>
        <v>0</v>
      </c>
      <c r="X67" s="45">
        <f t="shared" si="20"/>
        <v>0</v>
      </c>
      <c r="Y67" s="45">
        <f t="shared" si="8"/>
        <v>0</v>
      </c>
      <c r="Z67" s="11">
        <f t="shared" si="9"/>
        <v>0</v>
      </c>
      <c r="AA67" s="11"/>
      <c r="AB67" s="472"/>
      <c r="AC67" s="3">
        <v>7</v>
      </c>
      <c r="AD67" s="45">
        <f t="shared" si="31"/>
        <v>0</v>
      </c>
      <c r="AE67" s="45">
        <f t="shared" si="21"/>
        <v>0</v>
      </c>
      <c r="AF67" s="11">
        <f t="shared" si="32"/>
        <v>0</v>
      </c>
      <c r="AG67" s="45">
        <f t="shared" si="10"/>
        <v>0</v>
      </c>
      <c r="AH67" s="45">
        <f t="shared" si="11"/>
        <v>0</v>
      </c>
      <c r="AI67" s="11">
        <f t="shared" si="12"/>
        <v>0</v>
      </c>
      <c r="AJ67" s="11"/>
      <c r="AK67" s="472"/>
      <c r="AL67" s="3">
        <v>7</v>
      </c>
      <c r="AM67" s="11">
        <f t="shared" si="13"/>
        <v>0</v>
      </c>
      <c r="AN67" s="46">
        <f t="shared" si="14"/>
        <v>0</v>
      </c>
      <c r="AO67" s="47">
        <f t="shared" si="15"/>
        <v>0</v>
      </c>
      <c r="AP67" s="47"/>
      <c r="AQ67" s="472"/>
      <c r="AR67" s="108">
        <v>7</v>
      </c>
      <c r="AS67" s="111">
        <f t="shared" si="33"/>
        <v>0</v>
      </c>
    </row>
    <row r="68" spans="1:45" x14ac:dyDescent="0.2">
      <c r="A68" s="472"/>
      <c r="B68" s="3">
        <v>8</v>
      </c>
      <c r="C68" s="45">
        <f t="shared" si="22"/>
        <v>0</v>
      </c>
      <c r="D68" s="45">
        <f t="shared" si="16"/>
        <v>0</v>
      </c>
      <c r="E68" s="11">
        <f t="shared" si="23"/>
        <v>0</v>
      </c>
      <c r="F68" s="45">
        <f t="shared" si="24"/>
        <v>0</v>
      </c>
      <c r="G68" s="45">
        <f t="shared" si="4"/>
        <v>0</v>
      </c>
      <c r="H68" s="11">
        <f t="shared" si="5"/>
        <v>0</v>
      </c>
      <c r="I68" s="11"/>
      <c r="J68" s="472"/>
      <c r="K68" s="3">
        <v>8</v>
      </c>
      <c r="L68" s="45">
        <f t="shared" si="25"/>
        <v>0</v>
      </c>
      <c r="M68" s="45">
        <f t="shared" si="17"/>
        <v>0</v>
      </c>
      <c r="N68" s="11">
        <f t="shared" si="26"/>
        <v>0</v>
      </c>
      <c r="O68" s="45">
        <f t="shared" si="27"/>
        <v>0</v>
      </c>
      <c r="P68" s="45">
        <f t="shared" si="6"/>
        <v>0</v>
      </c>
      <c r="Q68" s="11">
        <f t="shared" si="28"/>
        <v>0</v>
      </c>
      <c r="R68" s="11"/>
      <c r="S68" s="472"/>
      <c r="T68" s="3">
        <v>8</v>
      </c>
      <c r="U68" s="45">
        <f t="shared" si="29"/>
        <v>0</v>
      </c>
      <c r="V68" s="45">
        <f t="shared" si="19"/>
        <v>0</v>
      </c>
      <c r="W68" s="11">
        <f t="shared" si="30"/>
        <v>0</v>
      </c>
      <c r="X68" s="45">
        <f t="shared" si="20"/>
        <v>0</v>
      </c>
      <c r="Y68" s="45">
        <f t="shared" si="8"/>
        <v>0</v>
      </c>
      <c r="Z68" s="11">
        <f t="shared" si="9"/>
        <v>0</v>
      </c>
      <c r="AA68" s="11"/>
      <c r="AB68" s="472"/>
      <c r="AC68" s="3">
        <v>8</v>
      </c>
      <c r="AD68" s="45">
        <f t="shared" si="31"/>
        <v>0</v>
      </c>
      <c r="AE68" s="45">
        <f t="shared" si="21"/>
        <v>0</v>
      </c>
      <c r="AF68" s="11">
        <f t="shared" si="32"/>
        <v>0</v>
      </c>
      <c r="AG68" s="45">
        <f t="shared" si="10"/>
        <v>0</v>
      </c>
      <c r="AH68" s="45">
        <f t="shared" si="11"/>
        <v>0</v>
      </c>
      <c r="AI68" s="11">
        <f t="shared" si="12"/>
        <v>0</v>
      </c>
      <c r="AJ68" s="11"/>
      <c r="AK68" s="472"/>
      <c r="AL68" s="3">
        <v>8</v>
      </c>
      <c r="AM68" s="11">
        <f t="shared" si="13"/>
        <v>0</v>
      </c>
      <c r="AN68" s="46">
        <f t="shared" si="14"/>
        <v>0</v>
      </c>
      <c r="AO68" s="47">
        <f t="shared" si="15"/>
        <v>0</v>
      </c>
      <c r="AP68" s="47"/>
      <c r="AQ68" s="472"/>
      <c r="AR68" s="109">
        <v>8</v>
      </c>
      <c r="AS68" s="111">
        <f t="shared" si="33"/>
        <v>0</v>
      </c>
    </row>
    <row r="69" spans="1:45" x14ac:dyDescent="0.2">
      <c r="A69" s="472"/>
      <c r="B69" s="3">
        <v>9</v>
      </c>
      <c r="C69" s="45">
        <f t="shared" si="22"/>
        <v>0</v>
      </c>
      <c r="D69" s="45">
        <f t="shared" si="16"/>
        <v>0</v>
      </c>
      <c r="E69" s="11">
        <f t="shared" si="23"/>
        <v>0</v>
      </c>
      <c r="F69" s="45">
        <f t="shared" si="24"/>
        <v>0</v>
      </c>
      <c r="G69" s="45">
        <f t="shared" si="4"/>
        <v>0</v>
      </c>
      <c r="H69" s="11">
        <f t="shared" si="5"/>
        <v>0</v>
      </c>
      <c r="I69" s="11"/>
      <c r="J69" s="472"/>
      <c r="K69" s="3">
        <v>9</v>
      </c>
      <c r="L69" s="45">
        <f t="shared" si="25"/>
        <v>0</v>
      </c>
      <c r="M69" s="45">
        <f t="shared" si="17"/>
        <v>0</v>
      </c>
      <c r="N69" s="11">
        <f t="shared" si="26"/>
        <v>0</v>
      </c>
      <c r="O69" s="45">
        <f t="shared" si="27"/>
        <v>0</v>
      </c>
      <c r="P69" s="45">
        <f t="shared" si="6"/>
        <v>0</v>
      </c>
      <c r="Q69" s="11">
        <f t="shared" si="28"/>
        <v>0</v>
      </c>
      <c r="R69" s="11"/>
      <c r="S69" s="472"/>
      <c r="T69" s="3">
        <v>9</v>
      </c>
      <c r="U69" s="45">
        <f t="shared" si="29"/>
        <v>0</v>
      </c>
      <c r="V69" s="45">
        <f t="shared" si="19"/>
        <v>0</v>
      </c>
      <c r="W69" s="11">
        <f t="shared" si="30"/>
        <v>0</v>
      </c>
      <c r="X69" s="45">
        <f t="shared" si="20"/>
        <v>0</v>
      </c>
      <c r="Y69" s="45">
        <f t="shared" si="8"/>
        <v>0</v>
      </c>
      <c r="Z69" s="11">
        <f t="shared" si="9"/>
        <v>0</v>
      </c>
      <c r="AA69" s="11"/>
      <c r="AB69" s="472"/>
      <c r="AC69" s="3">
        <v>9</v>
      </c>
      <c r="AD69" s="45">
        <f t="shared" si="31"/>
        <v>0</v>
      </c>
      <c r="AE69" s="45">
        <f t="shared" si="21"/>
        <v>0</v>
      </c>
      <c r="AF69" s="11">
        <f t="shared" si="32"/>
        <v>0</v>
      </c>
      <c r="AG69" s="45">
        <f t="shared" si="10"/>
        <v>0</v>
      </c>
      <c r="AH69" s="45">
        <f t="shared" si="11"/>
        <v>0</v>
      </c>
      <c r="AI69" s="11">
        <f t="shared" si="12"/>
        <v>0</v>
      </c>
      <c r="AJ69" s="11"/>
      <c r="AK69" s="472"/>
      <c r="AL69" s="3">
        <v>9</v>
      </c>
      <c r="AM69" s="11">
        <f t="shared" si="13"/>
        <v>0</v>
      </c>
      <c r="AN69" s="46">
        <f t="shared" si="14"/>
        <v>0</v>
      </c>
      <c r="AO69" s="47">
        <f t="shared" si="15"/>
        <v>0</v>
      </c>
      <c r="AP69" s="47"/>
      <c r="AQ69" s="472"/>
      <c r="AR69" s="108">
        <v>9</v>
      </c>
      <c r="AS69" s="111">
        <f t="shared" si="33"/>
        <v>0</v>
      </c>
    </row>
    <row r="70" spans="1:45" x14ac:dyDescent="0.2">
      <c r="A70" s="472"/>
      <c r="B70" s="3">
        <v>10</v>
      </c>
      <c r="C70" s="45">
        <f t="shared" si="22"/>
        <v>0</v>
      </c>
      <c r="D70" s="45">
        <f t="shared" si="16"/>
        <v>0</v>
      </c>
      <c r="E70" s="11">
        <f t="shared" si="23"/>
        <v>0</v>
      </c>
      <c r="F70" s="45">
        <f t="shared" si="24"/>
        <v>0</v>
      </c>
      <c r="G70" s="45">
        <f t="shared" si="4"/>
        <v>0</v>
      </c>
      <c r="H70" s="11">
        <f t="shared" si="5"/>
        <v>0</v>
      </c>
      <c r="I70" s="11"/>
      <c r="J70" s="472"/>
      <c r="K70" s="3">
        <v>10</v>
      </c>
      <c r="L70" s="45">
        <f t="shared" si="25"/>
        <v>0</v>
      </c>
      <c r="M70" s="45">
        <f t="shared" si="17"/>
        <v>0</v>
      </c>
      <c r="N70" s="11">
        <f t="shared" si="26"/>
        <v>0</v>
      </c>
      <c r="O70" s="45">
        <f t="shared" si="27"/>
        <v>0</v>
      </c>
      <c r="P70" s="45">
        <f t="shared" si="6"/>
        <v>0</v>
      </c>
      <c r="Q70" s="11">
        <f t="shared" si="28"/>
        <v>0</v>
      </c>
      <c r="R70" s="11"/>
      <c r="S70" s="472"/>
      <c r="T70" s="3">
        <v>10</v>
      </c>
      <c r="U70" s="45">
        <f t="shared" si="29"/>
        <v>0</v>
      </c>
      <c r="V70" s="45">
        <f t="shared" si="19"/>
        <v>0</v>
      </c>
      <c r="W70" s="11">
        <f t="shared" si="30"/>
        <v>0</v>
      </c>
      <c r="X70" s="45">
        <f t="shared" si="20"/>
        <v>0</v>
      </c>
      <c r="Y70" s="45">
        <f t="shared" si="8"/>
        <v>0</v>
      </c>
      <c r="Z70" s="11">
        <f t="shared" si="9"/>
        <v>0</v>
      </c>
      <c r="AA70" s="11"/>
      <c r="AB70" s="472"/>
      <c r="AC70" s="3">
        <v>10</v>
      </c>
      <c r="AD70" s="45">
        <f t="shared" si="31"/>
        <v>0</v>
      </c>
      <c r="AE70" s="45">
        <f t="shared" si="21"/>
        <v>0</v>
      </c>
      <c r="AF70" s="11">
        <f t="shared" si="32"/>
        <v>0</v>
      </c>
      <c r="AG70" s="45">
        <f t="shared" si="10"/>
        <v>0</v>
      </c>
      <c r="AH70" s="45">
        <f t="shared" si="11"/>
        <v>0</v>
      </c>
      <c r="AI70" s="11">
        <f t="shared" si="12"/>
        <v>0</v>
      </c>
      <c r="AJ70" s="11"/>
      <c r="AK70" s="472"/>
      <c r="AL70" s="3">
        <v>10</v>
      </c>
      <c r="AM70" s="11">
        <f t="shared" si="13"/>
        <v>0</v>
      </c>
      <c r="AN70" s="46">
        <f t="shared" si="14"/>
        <v>0</v>
      </c>
      <c r="AO70" s="47">
        <f t="shared" si="15"/>
        <v>0</v>
      </c>
      <c r="AP70" s="47"/>
      <c r="AQ70" s="472"/>
      <c r="AR70" s="109">
        <v>10</v>
      </c>
      <c r="AS70" s="111">
        <f t="shared" si="33"/>
        <v>0</v>
      </c>
    </row>
    <row r="71" spans="1:45" x14ac:dyDescent="0.2">
      <c r="A71" s="472"/>
      <c r="B71" s="3">
        <v>11</v>
      </c>
      <c r="C71" s="45">
        <f t="shared" si="22"/>
        <v>0</v>
      </c>
      <c r="D71" s="45">
        <f t="shared" si="16"/>
        <v>0</v>
      </c>
      <c r="E71" s="11">
        <f t="shared" si="23"/>
        <v>0</v>
      </c>
      <c r="F71" s="45">
        <f t="shared" si="24"/>
        <v>0</v>
      </c>
      <c r="G71" s="45">
        <f t="shared" si="4"/>
        <v>0</v>
      </c>
      <c r="H71" s="11">
        <f t="shared" si="5"/>
        <v>0</v>
      </c>
      <c r="I71" s="11"/>
      <c r="J71" s="472"/>
      <c r="K71" s="3">
        <v>11</v>
      </c>
      <c r="L71" s="45">
        <f t="shared" si="25"/>
        <v>0</v>
      </c>
      <c r="M71" s="45">
        <f t="shared" si="17"/>
        <v>0</v>
      </c>
      <c r="N71" s="11">
        <f t="shared" si="26"/>
        <v>0</v>
      </c>
      <c r="O71" s="45">
        <f t="shared" si="27"/>
        <v>0</v>
      </c>
      <c r="P71" s="45">
        <f t="shared" si="6"/>
        <v>0</v>
      </c>
      <c r="Q71" s="11">
        <f t="shared" si="28"/>
        <v>0</v>
      </c>
      <c r="R71" s="11"/>
      <c r="S71" s="472"/>
      <c r="T71" s="3">
        <v>11</v>
      </c>
      <c r="U71" s="45">
        <f t="shared" si="29"/>
        <v>0</v>
      </c>
      <c r="V71" s="45">
        <f t="shared" si="19"/>
        <v>0</v>
      </c>
      <c r="W71" s="11">
        <f t="shared" si="30"/>
        <v>0</v>
      </c>
      <c r="X71" s="45">
        <f t="shared" si="20"/>
        <v>0</v>
      </c>
      <c r="Y71" s="45">
        <f t="shared" si="8"/>
        <v>0</v>
      </c>
      <c r="Z71" s="11">
        <f t="shared" si="9"/>
        <v>0</v>
      </c>
      <c r="AA71" s="11"/>
      <c r="AB71" s="472"/>
      <c r="AC71" s="3">
        <v>11</v>
      </c>
      <c r="AD71" s="45">
        <f t="shared" si="31"/>
        <v>0</v>
      </c>
      <c r="AE71" s="45">
        <f t="shared" si="21"/>
        <v>0</v>
      </c>
      <c r="AF71" s="11">
        <f t="shared" si="32"/>
        <v>0</v>
      </c>
      <c r="AG71" s="45">
        <f t="shared" si="10"/>
        <v>0</v>
      </c>
      <c r="AH71" s="45">
        <f t="shared" si="11"/>
        <v>0</v>
      </c>
      <c r="AI71" s="11">
        <f t="shared" si="12"/>
        <v>0</v>
      </c>
      <c r="AJ71" s="11"/>
      <c r="AK71" s="472"/>
      <c r="AL71" s="3">
        <v>11</v>
      </c>
      <c r="AM71" s="11">
        <f t="shared" si="13"/>
        <v>0</v>
      </c>
      <c r="AN71" s="46">
        <f t="shared" si="14"/>
        <v>0</v>
      </c>
      <c r="AO71" s="47">
        <f t="shared" si="15"/>
        <v>0</v>
      </c>
      <c r="AP71" s="47"/>
      <c r="AQ71" s="472"/>
      <c r="AR71" s="108">
        <v>11</v>
      </c>
      <c r="AS71" s="111">
        <f t="shared" si="33"/>
        <v>0</v>
      </c>
    </row>
    <row r="72" spans="1:45" x14ac:dyDescent="0.2">
      <c r="A72" s="472"/>
      <c r="B72" s="3">
        <v>12</v>
      </c>
      <c r="C72" s="45">
        <f t="shared" si="22"/>
        <v>0</v>
      </c>
      <c r="D72" s="45">
        <f t="shared" si="16"/>
        <v>0</v>
      </c>
      <c r="E72" s="11">
        <f t="shared" si="23"/>
        <v>0</v>
      </c>
      <c r="F72" s="45">
        <f t="shared" si="24"/>
        <v>0</v>
      </c>
      <c r="G72" s="45">
        <f t="shared" si="4"/>
        <v>0</v>
      </c>
      <c r="H72" s="11">
        <f t="shared" si="5"/>
        <v>0</v>
      </c>
      <c r="I72" s="11"/>
      <c r="J72" s="472"/>
      <c r="K72" s="3">
        <v>12</v>
      </c>
      <c r="L72" s="45">
        <f t="shared" si="25"/>
        <v>0</v>
      </c>
      <c r="M72" s="45">
        <f t="shared" si="17"/>
        <v>0</v>
      </c>
      <c r="N72" s="11">
        <f t="shared" si="26"/>
        <v>0</v>
      </c>
      <c r="O72" s="45">
        <f t="shared" si="27"/>
        <v>0</v>
      </c>
      <c r="P72" s="45">
        <f t="shared" si="6"/>
        <v>0</v>
      </c>
      <c r="Q72" s="11">
        <f t="shared" si="28"/>
        <v>0</v>
      </c>
      <c r="R72" s="11"/>
      <c r="S72" s="472"/>
      <c r="T72" s="3">
        <v>12</v>
      </c>
      <c r="U72" s="45">
        <f t="shared" si="29"/>
        <v>0</v>
      </c>
      <c r="V72" s="45">
        <f t="shared" si="19"/>
        <v>0</v>
      </c>
      <c r="W72" s="11">
        <f t="shared" si="30"/>
        <v>0</v>
      </c>
      <c r="X72" s="45">
        <f t="shared" si="20"/>
        <v>0</v>
      </c>
      <c r="Y72" s="45">
        <f t="shared" si="8"/>
        <v>0</v>
      </c>
      <c r="Z72" s="11">
        <f t="shared" si="9"/>
        <v>0</v>
      </c>
      <c r="AA72" s="11"/>
      <c r="AB72" s="472"/>
      <c r="AC72" s="3">
        <v>12</v>
      </c>
      <c r="AD72" s="45">
        <f t="shared" si="31"/>
        <v>0</v>
      </c>
      <c r="AE72" s="45">
        <f t="shared" si="21"/>
        <v>0</v>
      </c>
      <c r="AF72" s="11">
        <f t="shared" si="32"/>
        <v>0</v>
      </c>
      <c r="AG72" s="45">
        <f t="shared" si="10"/>
        <v>0</v>
      </c>
      <c r="AH72" s="45">
        <f t="shared" si="11"/>
        <v>0</v>
      </c>
      <c r="AI72" s="11">
        <f t="shared" si="12"/>
        <v>0</v>
      </c>
      <c r="AJ72" s="11"/>
      <c r="AK72" s="472"/>
      <c r="AL72" s="3">
        <v>12</v>
      </c>
      <c r="AM72" s="11">
        <f t="shared" si="13"/>
        <v>0</v>
      </c>
      <c r="AN72" s="46">
        <f t="shared" si="14"/>
        <v>0</v>
      </c>
      <c r="AO72" s="47">
        <f t="shared" si="15"/>
        <v>0</v>
      </c>
      <c r="AP72" s="47"/>
      <c r="AQ72" s="472"/>
      <c r="AR72" s="109">
        <v>12</v>
      </c>
      <c r="AS72" s="111">
        <f t="shared" si="33"/>
        <v>0</v>
      </c>
    </row>
    <row r="73" spans="1:45" x14ac:dyDescent="0.2">
      <c r="A73" s="472"/>
      <c r="B73" s="3">
        <v>13</v>
      </c>
      <c r="C73" s="45">
        <f t="shared" si="22"/>
        <v>0</v>
      </c>
      <c r="D73" s="45">
        <f t="shared" si="16"/>
        <v>0</v>
      </c>
      <c r="E73" s="11">
        <f t="shared" si="23"/>
        <v>0</v>
      </c>
      <c r="F73" s="45">
        <f t="shared" si="24"/>
        <v>0</v>
      </c>
      <c r="G73" s="45">
        <f t="shared" si="4"/>
        <v>0</v>
      </c>
      <c r="H73" s="11">
        <f t="shared" si="5"/>
        <v>0</v>
      </c>
      <c r="I73" s="11"/>
      <c r="J73" s="472"/>
      <c r="K73" s="3">
        <v>13</v>
      </c>
      <c r="L73" s="45">
        <f t="shared" si="25"/>
        <v>0</v>
      </c>
      <c r="M73" s="45">
        <f t="shared" si="17"/>
        <v>0</v>
      </c>
      <c r="N73" s="11">
        <f t="shared" si="26"/>
        <v>0</v>
      </c>
      <c r="O73" s="45">
        <f t="shared" si="27"/>
        <v>0</v>
      </c>
      <c r="P73" s="45">
        <f t="shared" si="6"/>
        <v>0</v>
      </c>
      <c r="Q73" s="11">
        <f t="shared" si="28"/>
        <v>0</v>
      </c>
      <c r="R73" s="11"/>
      <c r="S73" s="472"/>
      <c r="T73" s="3">
        <v>13</v>
      </c>
      <c r="U73" s="45">
        <f t="shared" si="29"/>
        <v>0</v>
      </c>
      <c r="V73" s="45">
        <f t="shared" si="19"/>
        <v>0</v>
      </c>
      <c r="W73" s="11">
        <f t="shared" si="30"/>
        <v>0</v>
      </c>
      <c r="X73" s="45">
        <f t="shared" si="20"/>
        <v>0</v>
      </c>
      <c r="Y73" s="45">
        <f t="shared" si="8"/>
        <v>0</v>
      </c>
      <c r="Z73" s="11">
        <f t="shared" si="9"/>
        <v>0</v>
      </c>
      <c r="AA73" s="11"/>
      <c r="AB73" s="472"/>
      <c r="AC73" s="3">
        <v>13</v>
      </c>
      <c r="AD73" s="45">
        <f t="shared" si="31"/>
        <v>0</v>
      </c>
      <c r="AE73" s="45">
        <f t="shared" si="21"/>
        <v>0</v>
      </c>
      <c r="AF73" s="11">
        <f t="shared" si="32"/>
        <v>0</v>
      </c>
      <c r="AG73" s="45">
        <f t="shared" si="10"/>
        <v>0</v>
      </c>
      <c r="AH73" s="45">
        <f t="shared" si="11"/>
        <v>0</v>
      </c>
      <c r="AI73" s="11">
        <f t="shared" si="12"/>
        <v>0</v>
      </c>
      <c r="AJ73" s="11"/>
      <c r="AK73" s="472"/>
      <c r="AL73" s="3">
        <v>13</v>
      </c>
      <c r="AM73" s="11">
        <f t="shared" si="13"/>
        <v>0</v>
      </c>
      <c r="AN73" s="46">
        <f t="shared" si="14"/>
        <v>0</v>
      </c>
      <c r="AO73" s="47">
        <f t="shared" si="15"/>
        <v>0</v>
      </c>
      <c r="AP73" s="47"/>
      <c r="AQ73" s="472"/>
      <c r="AR73" s="108">
        <v>13</v>
      </c>
      <c r="AS73" s="111">
        <f t="shared" si="33"/>
        <v>0</v>
      </c>
    </row>
    <row r="74" spans="1:45" x14ac:dyDescent="0.2">
      <c r="A74" s="472"/>
      <c r="B74" s="3">
        <v>14</v>
      </c>
      <c r="C74" s="45">
        <f t="shared" si="22"/>
        <v>0</v>
      </c>
      <c r="D74" s="45">
        <f t="shared" si="16"/>
        <v>0</v>
      </c>
      <c r="E74" s="11">
        <f t="shared" si="23"/>
        <v>0</v>
      </c>
      <c r="F74" s="45">
        <f t="shared" si="24"/>
        <v>0</v>
      </c>
      <c r="G74" s="45">
        <f t="shared" si="4"/>
        <v>0</v>
      </c>
      <c r="H74" s="11">
        <f t="shared" si="5"/>
        <v>0</v>
      </c>
      <c r="I74" s="11"/>
      <c r="J74" s="472"/>
      <c r="K74" s="3">
        <v>14</v>
      </c>
      <c r="L74" s="45">
        <f t="shared" si="25"/>
        <v>0</v>
      </c>
      <c r="M74" s="45">
        <f t="shared" si="17"/>
        <v>0</v>
      </c>
      <c r="N74" s="11">
        <f t="shared" si="26"/>
        <v>0</v>
      </c>
      <c r="O74" s="45">
        <f t="shared" si="27"/>
        <v>0</v>
      </c>
      <c r="P74" s="45">
        <f t="shared" si="6"/>
        <v>0</v>
      </c>
      <c r="Q74" s="11">
        <f t="shared" si="28"/>
        <v>0</v>
      </c>
      <c r="R74" s="11"/>
      <c r="S74" s="472"/>
      <c r="T74" s="3">
        <v>14</v>
      </c>
      <c r="U74" s="45">
        <f t="shared" si="29"/>
        <v>0</v>
      </c>
      <c r="V74" s="45">
        <f t="shared" si="19"/>
        <v>0</v>
      </c>
      <c r="W74" s="11">
        <f t="shared" si="30"/>
        <v>0</v>
      </c>
      <c r="X74" s="45">
        <f t="shared" si="20"/>
        <v>0</v>
      </c>
      <c r="Y74" s="45">
        <f t="shared" si="8"/>
        <v>0</v>
      </c>
      <c r="Z74" s="11">
        <f t="shared" si="9"/>
        <v>0</v>
      </c>
      <c r="AA74" s="11"/>
      <c r="AB74" s="472"/>
      <c r="AC74" s="3">
        <v>14</v>
      </c>
      <c r="AD74" s="45">
        <f t="shared" si="31"/>
        <v>0</v>
      </c>
      <c r="AE74" s="45">
        <f t="shared" si="21"/>
        <v>0</v>
      </c>
      <c r="AF74" s="11">
        <f t="shared" si="32"/>
        <v>0</v>
      </c>
      <c r="AG74" s="45">
        <f t="shared" si="10"/>
        <v>0</v>
      </c>
      <c r="AH74" s="45">
        <f t="shared" si="11"/>
        <v>0</v>
      </c>
      <c r="AI74" s="11">
        <f t="shared" si="12"/>
        <v>0</v>
      </c>
      <c r="AJ74" s="11"/>
      <c r="AK74" s="472"/>
      <c r="AL74" s="3">
        <v>14</v>
      </c>
      <c r="AM74" s="11">
        <f t="shared" si="13"/>
        <v>0</v>
      </c>
      <c r="AN74" s="46">
        <f t="shared" si="14"/>
        <v>0</v>
      </c>
      <c r="AO74" s="47">
        <f t="shared" si="15"/>
        <v>0</v>
      </c>
      <c r="AP74" s="47"/>
      <c r="AQ74" s="472"/>
      <c r="AR74" s="109">
        <v>14</v>
      </c>
      <c r="AS74" s="111">
        <f t="shared" si="33"/>
        <v>0</v>
      </c>
    </row>
    <row r="75" spans="1:45" x14ac:dyDescent="0.2">
      <c r="A75" s="472"/>
      <c r="B75" s="3">
        <v>15</v>
      </c>
      <c r="C75" s="45">
        <f t="shared" si="22"/>
        <v>0</v>
      </c>
      <c r="D75" s="45">
        <f t="shared" si="16"/>
        <v>0</v>
      </c>
      <c r="E75" s="45">
        <f t="shared" si="23"/>
        <v>0</v>
      </c>
      <c r="F75" s="45">
        <f t="shared" si="24"/>
        <v>0</v>
      </c>
      <c r="G75" s="45">
        <f t="shared" si="4"/>
        <v>0</v>
      </c>
      <c r="H75" s="45">
        <f t="shared" si="5"/>
        <v>0</v>
      </c>
      <c r="I75" s="45"/>
      <c r="J75" s="472"/>
      <c r="K75" s="3">
        <v>15</v>
      </c>
      <c r="L75" s="45">
        <f t="shared" si="25"/>
        <v>0</v>
      </c>
      <c r="M75" s="45">
        <f t="shared" si="17"/>
        <v>0</v>
      </c>
      <c r="N75" s="11">
        <f t="shared" si="26"/>
        <v>0</v>
      </c>
      <c r="O75" s="45">
        <f t="shared" si="27"/>
        <v>0</v>
      </c>
      <c r="P75" s="45">
        <f t="shared" si="6"/>
        <v>0</v>
      </c>
      <c r="Q75" s="11">
        <f t="shared" si="28"/>
        <v>0</v>
      </c>
      <c r="R75" s="45"/>
      <c r="S75" s="472"/>
      <c r="T75" s="3">
        <v>15</v>
      </c>
      <c r="U75" s="45">
        <f t="shared" si="29"/>
        <v>0</v>
      </c>
      <c r="V75" s="45">
        <f t="shared" si="19"/>
        <v>0</v>
      </c>
      <c r="W75" s="11">
        <f t="shared" si="30"/>
        <v>0</v>
      </c>
      <c r="X75" s="45">
        <f t="shared" si="20"/>
        <v>0</v>
      </c>
      <c r="Y75" s="45">
        <f t="shared" si="8"/>
        <v>0</v>
      </c>
      <c r="Z75" s="11">
        <f t="shared" si="9"/>
        <v>0</v>
      </c>
      <c r="AA75" s="45"/>
      <c r="AB75" s="472"/>
      <c r="AC75" s="3">
        <v>15</v>
      </c>
      <c r="AD75" s="45">
        <f t="shared" si="31"/>
        <v>0</v>
      </c>
      <c r="AE75" s="45">
        <f t="shared" si="21"/>
        <v>0</v>
      </c>
      <c r="AF75" s="11">
        <f t="shared" si="32"/>
        <v>0</v>
      </c>
      <c r="AG75" s="45">
        <f t="shared" si="10"/>
        <v>0</v>
      </c>
      <c r="AH75" s="45">
        <f t="shared" si="11"/>
        <v>0</v>
      </c>
      <c r="AI75" s="11">
        <f t="shared" si="12"/>
        <v>0</v>
      </c>
      <c r="AJ75" s="45"/>
      <c r="AK75" s="472"/>
      <c r="AL75" s="3">
        <v>15</v>
      </c>
      <c r="AM75" s="11">
        <f t="shared" si="13"/>
        <v>0</v>
      </c>
      <c r="AN75" s="46">
        <f t="shared" si="14"/>
        <v>0</v>
      </c>
      <c r="AO75" s="47">
        <f t="shared" si="15"/>
        <v>0</v>
      </c>
      <c r="AP75" s="47"/>
      <c r="AQ75" s="472"/>
      <c r="AR75" s="108">
        <v>15</v>
      </c>
      <c r="AS75" s="111">
        <f t="shared" si="33"/>
        <v>0</v>
      </c>
    </row>
    <row r="76" spans="1:45" x14ac:dyDescent="0.2">
      <c r="A76" s="472"/>
      <c r="B76" s="3">
        <v>16</v>
      </c>
      <c r="C76" s="45">
        <f t="shared" si="22"/>
        <v>0</v>
      </c>
      <c r="D76" s="45">
        <f t="shared" si="16"/>
        <v>0</v>
      </c>
      <c r="E76" s="45">
        <f t="shared" si="23"/>
        <v>0</v>
      </c>
      <c r="F76" s="45">
        <f t="shared" si="24"/>
        <v>0</v>
      </c>
      <c r="G76" s="45">
        <f t="shared" si="4"/>
        <v>0</v>
      </c>
      <c r="H76" s="11">
        <f t="shared" si="5"/>
        <v>0</v>
      </c>
      <c r="I76" s="11"/>
      <c r="J76" s="472"/>
      <c r="K76" s="3">
        <v>16</v>
      </c>
      <c r="L76" s="45">
        <f t="shared" si="25"/>
        <v>0</v>
      </c>
      <c r="M76" s="45">
        <f t="shared" si="17"/>
        <v>0</v>
      </c>
      <c r="N76" s="11">
        <f t="shared" si="26"/>
        <v>0</v>
      </c>
      <c r="O76" s="45">
        <f t="shared" si="27"/>
        <v>0</v>
      </c>
      <c r="P76" s="45">
        <f t="shared" si="6"/>
        <v>0</v>
      </c>
      <c r="Q76" s="11">
        <f t="shared" si="28"/>
        <v>0</v>
      </c>
      <c r="R76" s="11"/>
      <c r="S76" s="472"/>
      <c r="T76" s="3">
        <v>16</v>
      </c>
      <c r="U76" s="45">
        <f t="shared" si="29"/>
        <v>0</v>
      </c>
      <c r="V76" s="45">
        <f t="shared" si="19"/>
        <v>0</v>
      </c>
      <c r="W76" s="11">
        <f t="shared" si="30"/>
        <v>0</v>
      </c>
      <c r="X76" s="45">
        <f t="shared" si="20"/>
        <v>0</v>
      </c>
      <c r="Y76" s="45">
        <f t="shared" si="8"/>
        <v>0</v>
      </c>
      <c r="Z76" s="11">
        <f t="shared" si="9"/>
        <v>0</v>
      </c>
      <c r="AA76" s="11"/>
      <c r="AB76" s="472"/>
      <c r="AC76" s="3">
        <v>16</v>
      </c>
      <c r="AD76" s="45">
        <f t="shared" si="31"/>
        <v>0</v>
      </c>
      <c r="AE76" s="45">
        <f t="shared" si="21"/>
        <v>0</v>
      </c>
      <c r="AF76" s="11">
        <f t="shared" si="32"/>
        <v>0</v>
      </c>
      <c r="AG76" s="45">
        <f t="shared" si="10"/>
        <v>0</v>
      </c>
      <c r="AH76" s="45">
        <f t="shared" si="11"/>
        <v>0</v>
      </c>
      <c r="AI76" s="11">
        <f t="shared" si="12"/>
        <v>0</v>
      </c>
      <c r="AJ76" s="11"/>
      <c r="AK76" s="472"/>
      <c r="AL76" s="3">
        <v>16</v>
      </c>
      <c r="AM76" s="11">
        <f t="shared" si="13"/>
        <v>0</v>
      </c>
      <c r="AN76" s="46">
        <f t="shared" si="14"/>
        <v>0</v>
      </c>
      <c r="AO76" s="47">
        <f t="shared" si="15"/>
        <v>0</v>
      </c>
      <c r="AP76" s="47"/>
      <c r="AQ76" s="472"/>
      <c r="AR76" s="109">
        <v>16</v>
      </c>
      <c r="AS76" s="111">
        <f t="shared" si="33"/>
        <v>0</v>
      </c>
    </row>
    <row r="77" spans="1:45" x14ac:dyDescent="0.2">
      <c r="A77" s="472"/>
      <c r="B77" s="3">
        <v>17</v>
      </c>
      <c r="C77" s="45">
        <f t="shared" si="22"/>
        <v>0</v>
      </c>
      <c r="D77" s="45">
        <f t="shared" si="16"/>
        <v>0</v>
      </c>
      <c r="E77" s="11">
        <f t="shared" si="23"/>
        <v>0</v>
      </c>
      <c r="F77" s="45">
        <f t="shared" si="24"/>
        <v>0</v>
      </c>
      <c r="G77" s="11">
        <f t="shared" si="4"/>
        <v>0</v>
      </c>
      <c r="H77" s="11">
        <f t="shared" si="5"/>
        <v>0</v>
      </c>
      <c r="I77" s="11"/>
      <c r="J77" s="472"/>
      <c r="K77" s="3">
        <v>17</v>
      </c>
      <c r="L77" s="45">
        <f t="shared" si="25"/>
        <v>0</v>
      </c>
      <c r="M77" s="45">
        <f t="shared" si="17"/>
        <v>0</v>
      </c>
      <c r="N77" s="11">
        <f t="shared" si="26"/>
        <v>0</v>
      </c>
      <c r="O77" s="45">
        <f t="shared" si="27"/>
        <v>0</v>
      </c>
      <c r="P77" s="45">
        <f t="shared" si="6"/>
        <v>0</v>
      </c>
      <c r="Q77" s="11">
        <f t="shared" si="28"/>
        <v>0</v>
      </c>
      <c r="R77" s="11"/>
      <c r="S77" s="472"/>
      <c r="T77" s="3">
        <v>17</v>
      </c>
      <c r="U77" s="45">
        <f t="shared" si="29"/>
        <v>0</v>
      </c>
      <c r="V77" s="45">
        <f t="shared" si="19"/>
        <v>0</v>
      </c>
      <c r="W77" s="11">
        <f t="shared" si="30"/>
        <v>0</v>
      </c>
      <c r="X77" s="45">
        <f t="shared" si="20"/>
        <v>0</v>
      </c>
      <c r="Y77" s="45">
        <f t="shared" si="8"/>
        <v>0</v>
      </c>
      <c r="Z77" s="11">
        <f t="shared" si="9"/>
        <v>0</v>
      </c>
      <c r="AA77" s="11"/>
      <c r="AB77" s="472"/>
      <c r="AC77" s="3">
        <v>17</v>
      </c>
      <c r="AD77" s="45">
        <f t="shared" si="31"/>
        <v>0</v>
      </c>
      <c r="AE77" s="45">
        <f t="shared" si="21"/>
        <v>0</v>
      </c>
      <c r="AF77" s="11">
        <f t="shared" si="32"/>
        <v>0</v>
      </c>
      <c r="AG77" s="45">
        <f t="shared" si="10"/>
        <v>0</v>
      </c>
      <c r="AH77" s="45">
        <f t="shared" si="11"/>
        <v>0</v>
      </c>
      <c r="AI77" s="11">
        <f t="shared" si="12"/>
        <v>0</v>
      </c>
      <c r="AJ77" s="11"/>
      <c r="AK77" s="472"/>
      <c r="AL77" s="3">
        <v>17</v>
      </c>
      <c r="AM77" s="11">
        <f t="shared" si="13"/>
        <v>0</v>
      </c>
      <c r="AN77" s="46">
        <f t="shared" si="14"/>
        <v>0</v>
      </c>
      <c r="AO77" s="47">
        <f t="shared" si="15"/>
        <v>0</v>
      </c>
      <c r="AP77" s="47"/>
      <c r="AQ77" s="472"/>
      <c r="AR77" s="108">
        <v>17</v>
      </c>
      <c r="AS77" s="111">
        <f t="shared" si="33"/>
        <v>0</v>
      </c>
    </row>
    <row r="78" spans="1:45" x14ac:dyDescent="0.2">
      <c r="A78" s="472"/>
      <c r="B78" s="3">
        <v>18</v>
      </c>
      <c r="C78" s="45">
        <f t="shared" si="22"/>
        <v>0</v>
      </c>
      <c r="D78" s="45">
        <f t="shared" si="16"/>
        <v>0</v>
      </c>
      <c r="E78" s="11">
        <f t="shared" si="23"/>
        <v>0</v>
      </c>
      <c r="F78" s="45">
        <f t="shared" si="24"/>
        <v>0</v>
      </c>
      <c r="G78" s="11">
        <f t="shared" si="4"/>
        <v>0</v>
      </c>
      <c r="H78" s="11">
        <f t="shared" si="5"/>
        <v>0</v>
      </c>
      <c r="I78" s="11"/>
      <c r="J78" s="472"/>
      <c r="K78" s="3">
        <v>18</v>
      </c>
      <c r="L78" s="45">
        <f t="shared" si="25"/>
        <v>0</v>
      </c>
      <c r="M78" s="45">
        <f t="shared" si="17"/>
        <v>0</v>
      </c>
      <c r="N78" s="11">
        <f t="shared" si="26"/>
        <v>0</v>
      </c>
      <c r="O78" s="45">
        <f t="shared" si="27"/>
        <v>0</v>
      </c>
      <c r="P78" s="45">
        <f t="shared" si="6"/>
        <v>0</v>
      </c>
      <c r="Q78" s="11">
        <f t="shared" si="28"/>
        <v>0</v>
      </c>
      <c r="R78" s="11"/>
      <c r="S78" s="472"/>
      <c r="T78" s="3">
        <v>18</v>
      </c>
      <c r="U78" s="45">
        <f t="shared" si="29"/>
        <v>0</v>
      </c>
      <c r="V78" s="45">
        <f t="shared" si="19"/>
        <v>0</v>
      </c>
      <c r="W78" s="11">
        <f t="shared" si="30"/>
        <v>0</v>
      </c>
      <c r="X78" s="45">
        <f t="shared" si="20"/>
        <v>0</v>
      </c>
      <c r="Y78" s="45">
        <f t="shared" si="8"/>
        <v>0</v>
      </c>
      <c r="Z78" s="11">
        <f t="shared" si="9"/>
        <v>0</v>
      </c>
      <c r="AA78" s="11"/>
      <c r="AB78" s="472"/>
      <c r="AC78" s="3">
        <v>18</v>
      </c>
      <c r="AD78" s="45">
        <f t="shared" si="31"/>
        <v>0</v>
      </c>
      <c r="AE78" s="45">
        <f t="shared" si="21"/>
        <v>0</v>
      </c>
      <c r="AF78" s="11">
        <f t="shared" si="32"/>
        <v>0</v>
      </c>
      <c r="AG78" s="45">
        <f t="shared" si="10"/>
        <v>0</v>
      </c>
      <c r="AH78" s="45">
        <f t="shared" si="11"/>
        <v>0</v>
      </c>
      <c r="AI78" s="11">
        <f t="shared" si="12"/>
        <v>0</v>
      </c>
      <c r="AJ78" s="11"/>
      <c r="AK78" s="472"/>
      <c r="AL78" s="3">
        <v>18</v>
      </c>
      <c r="AM78" s="11">
        <f t="shared" si="13"/>
        <v>0</v>
      </c>
      <c r="AN78" s="46">
        <f t="shared" si="14"/>
        <v>0</v>
      </c>
      <c r="AO78" s="47">
        <f t="shared" si="15"/>
        <v>0</v>
      </c>
      <c r="AP78" s="47"/>
      <c r="AQ78" s="472"/>
      <c r="AR78" s="109">
        <v>18</v>
      </c>
      <c r="AS78" s="111">
        <f t="shared" si="33"/>
        <v>0</v>
      </c>
    </row>
    <row r="79" spans="1:45" x14ac:dyDescent="0.2">
      <c r="A79" s="472"/>
      <c r="B79" s="3">
        <v>19</v>
      </c>
      <c r="C79" s="45">
        <f t="shared" si="22"/>
        <v>0</v>
      </c>
      <c r="D79" s="45">
        <f t="shared" si="16"/>
        <v>0</v>
      </c>
      <c r="E79" s="11">
        <f t="shared" si="23"/>
        <v>0</v>
      </c>
      <c r="F79" s="45">
        <f t="shared" si="24"/>
        <v>0</v>
      </c>
      <c r="G79" s="11">
        <f t="shared" si="4"/>
        <v>0</v>
      </c>
      <c r="H79" s="11">
        <f t="shared" si="5"/>
        <v>0</v>
      </c>
      <c r="I79" s="11"/>
      <c r="J79" s="472"/>
      <c r="K79" s="3">
        <v>19</v>
      </c>
      <c r="L79" s="45">
        <f t="shared" si="25"/>
        <v>0</v>
      </c>
      <c r="M79" s="45">
        <f t="shared" si="17"/>
        <v>0</v>
      </c>
      <c r="N79" s="11">
        <f t="shared" si="26"/>
        <v>0</v>
      </c>
      <c r="O79" s="45">
        <f t="shared" si="27"/>
        <v>0</v>
      </c>
      <c r="P79" s="45">
        <f t="shared" si="6"/>
        <v>0</v>
      </c>
      <c r="Q79" s="11">
        <f t="shared" si="28"/>
        <v>0</v>
      </c>
      <c r="R79" s="11"/>
      <c r="S79" s="472"/>
      <c r="T79" s="3">
        <v>19</v>
      </c>
      <c r="U79" s="45">
        <f t="shared" si="29"/>
        <v>0</v>
      </c>
      <c r="V79" s="45">
        <f t="shared" si="19"/>
        <v>0</v>
      </c>
      <c r="W79" s="11">
        <f t="shared" si="30"/>
        <v>0</v>
      </c>
      <c r="X79" s="45">
        <f t="shared" si="20"/>
        <v>0</v>
      </c>
      <c r="Y79" s="45">
        <f t="shared" si="8"/>
        <v>0</v>
      </c>
      <c r="Z79" s="11">
        <f t="shared" si="9"/>
        <v>0</v>
      </c>
      <c r="AA79" s="11"/>
      <c r="AB79" s="472"/>
      <c r="AC79" s="3">
        <v>19</v>
      </c>
      <c r="AD79" s="45">
        <f t="shared" si="31"/>
        <v>0</v>
      </c>
      <c r="AE79" s="45">
        <f t="shared" si="21"/>
        <v>0</v>
      </c>
      <c r="AF79" s="11">
        <f t="shared" si="32"/>
        <v>0</v>
      </c>
      <c r="AG79" s="45">
        <f t="shared" si="10"/>
        <v>0</v>
      </c>
      <c r="AH79" s="45">
        <f t="shared" si="11"/>
        <v>0</v>
      </c>
      <c r="AI79" s="11">
        <f t="shared" si="12"/>
        <v>0</v>
      </c>
      <c r="AJ79" s="11"/>
      <c r="AK79" s="472"/>
      <c r="AL79" s="3">
        <v>19</v>
      </c>
      <c r="AM79" s="11">
        <f t="shared" si="13"/>
        <v>0</v>
      </c>
      <c r="AN79" s="46">
        <f t="shared" si="14"/>
        <v>0</v>
      </c>
      <c r="AO79" s="47">
        <f t="shared" si="15"/>
        <v>0</v>
      </c>
      <c r="AP79" s="47"/>
      <c r="AQ79" s="472"/>
      <c r="AR79" s="108">
        <v>19</v>
      </c>
      <c r="AS79" s="111">
        <f t="shared" si="33"/>
        <v>0</v>
      </c>
    </row>
    <row r="80" spans="1:45" x14ac:dyDescent="0.2">
      <c r="A80" s="472"/>
      <c r="B80" s="3">
        <v>20</v>
      </c>
      <c r="C80" s="45">
        <f t="shared" si="22"/>
        <v>0</v>
      </c>
      <c r="D80" s="45">
        <f t="shared" si="16"/>
        <v>0</v>
      </c>
      <c r="E80" s="11">
        <f t="shared" si="23"/>
        <v>0</v>
      </c>
      <c r="F80" s="45">
        <f t="shared" si="24"/>
        <v>0</v>
      </c>
      <c r="G80" s="11">
        <f t="shared" si="4"/>
        <v>0</v>
      </c>
      <c r="H80" s="11">
        <f t="shared" si="5"/>
        <v>0</v>
      </c>
      <c r="I80" s="11"/>
      <c r="J80" s="472"/>
      <c r="K80" s="3">
        <v>20</v>
      </c>
      <c r="L80" s="45">
        <f t="shared" si="25"/>
        <v>0</v>
      </c>
      <c r="M80" s="45">
        <f t="shared" si="17"/>
        <v>0</v>
      </c>
      <c r="N80" s="11">
        <f t="shared" si="26"/>
        <v>0</v>
      </c>
      <c r="O80" s="45">
        <f t="shared" si="27"/>
        <v>0</v>
      </c>
      <c r="P80" s="45">
        <f t="shared" si="6"/>
        <v>0</v>
      </c>
      <c r="Q80" s="11">
        <f t="shared" si="28"/>
        <v>0</v>
      </c>
      <c r="R80" s="11"/>
      <c r="S80" s="472"/>
      <c r="T80" s="3">
        <v>20</v>
      </c>
      <c r="U80" s="45">
        <f t="shared" si="29"/>
        <v>0</v>
      </c>
      <c r="V80" s="45">
        <f t="shared" si="19"/>
        <v>0</v>
      </c>
      <c r="W80" s="11">
        <f t="shared" si="30"/>
        <v>0</v>
      </c>
      <c r="X80" s="45">
        <f t="shared" si="20"/>
        <v>0</v>
      </c>
      <c r="Y80" s="45">
        <f t="shared" si="8"/>
        <v>0</v>
      </c>
      <c r="Z80" s="11">
        <f t="shared" si="9"/>
        <v>0</v>
      </c>
      <c r="AA80" s="11"/>
      <c r="AB80" s="472"/>
      <c r="AC80" s="3">
        <v>20</v>
      </c>
      <c r="AD80" s="45">
        <f t="shared" si="31"/>
        <v>0</v>
      </c>
      <c r="AE80" s="45">
        <f t="shared" si="21"/>
        <v>0</v>
      </c>
      <c r="AF80" s="11">
        <f t="shared" si="32"/>
        <v>0</v>
      </c>
      <c r="AG80" s="45">
        <f t="shared" si="10"/>
        <v>0</v>
      </c>
      <c r="AH80" s="45">
        <f t="shared" si="11"/>
        <v>0</v>
      </c>
      <c r="AI80" s="11">
        <f t="shared" si="12"/>
        <v>0</v>
      </c>
      <c r="AJ80" s="11"/>
      <c r="AK80" s="472"/>
      <c r="AL80" s="3">
        <v>20</v>
      </c>
      <c r="AM80" s="11">
        <f t="shared" si="13"/>
        <v>0</v>
      </c>
      <c r="AN80" s="46">
        <f t="shared" si="14"/>
        <v>0</v>
      </c>
      <c r="AO80" s="47">
        <f t="shared" si="15"/>
        <v>0</v>
      </c>
      <c r="AP80" s="47"/>
      <c r="AQ80" s="472"/>
      <c r="AR80" s="109">
        <v>20</v>
      </c>
      <c r="AS80" s="111">
        <f t="shared" si="33"/>
        <v>0</v>
      </c>
    </row>
    <row r="82" spans="1:52" x14ac:dyDescent="0.2">
      <c r="A82" s="134" t="s">
        <v>805</v>
      </c>
      <c r="B82" s="134"/>
      <c r="C82" s="134"/>
      <c r="D82" s="134"/>
      <c r="E82" s="134"/>
      <c r="F82" s="134"/>
      <c r="G82" s="134"/>
      <c r="H82" s="134"/>
      <c r="I82" s="134"/>
      <c r="J82" s="134"/>
      <c r="K82" s="134"/>
      <c r="L82" s="134"/>
      <c r="M82" s="133"/>
      <c r="N82" s="133"/>
      <c r="O82" s="133"/>
      <c r="P82" s="133"/>
      <c r="Q82" s="133"/>
      <c r="R82" s="133"/>
      <c r="S82" s="133"/>
      <c r="T82" s="133"/>
      <c r="U82" s="133"/>
      <c r="V82" s="133"/>
      <c r="W82" s="133"/>
      <c r="X82" s="133"/>
      <c r="Y82" s="133"/>
      <c r="Z82" s="133"/>
      <c r="AA82" s="133"/>
      <c r="AB82" s="133"/>
      <c r="AC82" s="133"/>
      <c r="AD82" s="133"/>
      <c r="AE82" s="133"/>
      <c r="AF82" s="133"/>
      <c r="AG82" s="133"/>
      <c r="AH82" s="133"/>
      <c r="AI82" s="133"/>
      <c r="AJ82" s="133"/>
      <c r="AK82" s="133"/>
      <c r="AL82" s="133"/>
      <c r="AM82" s="133"/>
      <c r="AN82" s="133"/>
      <c r="AO82" s="133"/>
      <c r="AP82" s="133"/>
      <c r="AQ82" s="133"/>
      <c r="AR82" s="133"/>
      <c r="AS82" s="133"/>
      <c r="AT82" s="133"/>
      <c r="AU82" s="133"/>
      <c r="AV82" s="133"/>
      <c r="AW82" s="133"/>
      <c r="AX82" s="133"/>
      <c r="AY82" s="133"/>
      <c r="AZ82" s="133"/>
    </row>
    <row r="84" spans="1:52" customFormat="1" x14ac:dyDescent="0.2">
      <c r="A84" s="472" t="s">
        <v>182</v>
      </c>
      <c r="B84" s="4" t="s">
        <v>94</v>
      </c>
      <c r="C84" s="4">
        <v>1</v>
      </c>
      <c r="D84" s="4">
        <v>2</v>
      </c>
      <c r="E84" s="4">
        <v>3</v>
      </c>
      <c r="F84" s="4">
        <v>4</v>
      </c>
      <c r="G84" s="4">
        <v>5</v>
      </c>
      <c r="H84" s="4">
        <v>6</v>
      </c>
      <c r="I84" s="4">
        <v>7</v>
      </c>
      <c r="J84" s="4">
        <v>8</v>
      </c>
      <c r="K84" s="4">
        <v>9</v>
      </c>
      <c r="L84" s="4">
        <v>10</v>
      </c>
      <c r="M84" s="4">
        <v>11</v>
      </c>
      <c r="N84" s="4">
        <v>12</v>
      </c>
      <c r="O84" s="4">
        <v>13</v>
      </c>
      <c r="P84" s="4">
        <v>14</v>
      </c>
      <c r="Q84" s="4">
        <v>15</v>
      </c>
      <c r="R84" s="4">
        <v>16</v>
      </c>
      <c r="S84" s="4">
        <v>17</v>
      </c>
      <c r="T84" s="4">
        <v>18</v>
      </c>
      <c r="U84" s="4">
        <v>19</v>
      </c>
      <c r="V84" s="4">
        <v>20</v>
      </c>
      <c r="W84" s="4"/>
      <c r="X84" s="4"/>
      <c r="Y84" s="4"/>
      <c r="Z84" s="4"/>
      <c r="AA84" s="4"/>
      <c r="AB84" s="4"/>
      <c r="AC84" s="4"/>
      <c r="AD84" s="4"/>
      <c r="AE84" s="4"/>
      <c r="AF84" s="4"/>
    </row>
    <row r="85" spans="1:52" customFormat="1" x14ac:dyDescent="0.2">
      <c r="A85" s="472"/>
      <c r="B85" s="3" t="s">
        <v>629</v>
      </c>
      <c r="C85" s="50" t="str">
        <f>IF(C84=1,$C$6,B88)</f>
        <v/>
      </c>
      <c r="D85" s="50" t="e">
        <f>IF(D84=1,$C$6,C88)</f>
        <v>#VALUE!</v>
      </c>
      <c r="E85" s="50" t="e">
        <f t="shared" ref="E85:V85" si="34">IF(E84=1,$C$6,D88)</f>
        <v>#VALUE!</v>
      </c>
      <c r="F85" s="50" t="e">
        <f t="shared" si="34"/>
        <v>#VALUE!</v>
      </c>
      <c r="G85" s="50" t="e">
        <f t="shared" si="34"/>
        <v>#VALUE!</v>
      </c>
      <c r="H85" s="50" t="e">
        <f t="shared" si="34"/>
        <v>#VALUE!</v>
      </c>
      <c r="I85" s="50" t="e">
        <f t="shared" si="34"/>
        <v>#VALUE!</v>
      </c>
      <c r="J85" s="50" t="e">
        <f t="shared" si="34"/>
        <v>#VALUE!</v>
      </c>
      <c r="K85" s="50" t="e">
        <f t="shared" si="34"/>
        <v>#VALUE!</v>
      </c>
      <c r="L85" s="50" t="e">
        <f t="shared" si="34"/>
        <v>#VALUE!</v>
      </c>
      <c r="M85" s="50" t="e">
        <f t="shared" si="34"/>
        <v>#VALUE!</v>
      </c>
      <c r="N85" s="50" t="e">
        <f t="shared" si="34"/>
        <v>#VALUE!</v>
      </c>
      <c r="O85" s="50" t="e">
        <f t="shared" si="34"/>
        <v>#VALUE!</v>
      </c>
      <c r="P85" s="50" t="e">
        <f t="shared" si="34"/>
        <v>#VALUE!</v>
      </c>
      <c r="Q85" s="50" t="e">
        <f t="shared" si="34"/>
        <v>#VALUE!</v>
      </c>
      <c r="R85" s="50" t="e">
        <f t="shared" si="34"/>
        <v>#VALUE!</v>
      </c>
      <c r="S85" s="50" t="e">
        <f t="shared" si="34"/>
        <v>#VALUE!</v>
      </c>
      <c r="T85" s="50" t="e">
        <f t="shared" si="34"/>
        <v>#VALUE!</v>
      </c>
      <c r="U85" s="50" t="e">
        <f t="shared" si="34"/>
        <v>#VALUE!</v>
      </c>
      <c r="V85" s="50" t="e">
        <f t="shared" si="34"/>
        <v>#VALUE!</v>
      </c>
      <c r="W85" s="50"/>
      <c r="X85" s="50"/>
      <c r="Y85" s="50"/>
      <c r="Z85" s="50"/>
      <c r="AA85" s="50"/>
      <c r="AB85" s="50"/>
      <c r="AC85" s="50"/>
      <c r="AD85" s="50"/>
      <c r="AE85" s="50"/>
      <c r="AF85" s="50"/>
    </row>
    <row r="86" spans="1:52" customFormat="1" x14ac:dyDescent="0.2">
      <c r="A86" s="472"/>
      <c r="B86" s="3" t="s">
        <v>630</v>
      </c>
      <c r="C86" s="50">
        <f>IF(SUM($M$4:$M$7)=0,0,IF(ROUND(C85,2)&lt;=0,0,IF(OR($C$4="RASE",$C$4="REG"),INDEX($H$19:$I$38,MATCH(C$84,$H$19:$H$38,0),2)*$D$13,VLOOKUP(C84,$AL$61:$AO$80,4,FALSE)*C85)))</f>
        <v>0</v>
      </c>
      <c r="D86" s="50">
        <f t="shared" ref="D86:V86" si="35">IF(SUM($M$4:$M$7)=0,0,IF(ROUND(D85,2)&lt;=0,0,IF(OR($C$4="RASE",$C$4="REG"),INDEX($H$19:$I$38,MATCH(D$84,$H$19:$H$38,0),2)*$D$13,VLOOKUP(D84,$AL$61:$AO$80,4,FALSE)*D85)))</f>
        <v>0</v>
      </c>
      <c r="E86" s="50">
        <f t="shared" si="35"/>
        <v>0</v>
      </c>
      <c r="F86" s="50">
        <f t="shared" si="35"/>
        <v>0</v>
      </c>
      <c r="G86" s="50">
        <f t="shared" si="35"/>
        <v>0</v>
      </c>
      <c r="H86" s="50">
        <f t="shared" si="35"/>
        <v>0</v>
      </c>
      <c r="I86" s="50">
        <f t="shared" si="35"/>
        <v>0</v>
      </c>
      <c r="J86" s="50">
        <f t="shared" si="35"/>
        <v>0</v>
      </c>
      <c r="K86" s="50">
        <f t="shared" si="35"/>
        <v>0</v>
      </c>
      <c r="L86" s="50">
        <f t="shared" si="35"/>
        <v>0</v>
      </c>
      <c r="M86" s="50">
        <f t="shared" si="35"/>
        <v>0</v>
      </c>
      <c r="N86" s="50">
        <f t="shared" si="35"/>
        <v>0</v>
      </c>
      <c r="O86" s="50">
        <f t="shared" si="35"/>
        <v>0</v>
      </c>
      <c r="P86" s="50">
        <f t="shared" si="35"/>
        <v>0</v>
      </c>
      <c r="Q86" s="50">
        <f t="shared" si="35"/>
        <v>0</v>
      </c>
      <c r="R86" s="50">
        <f t="shared" si="35"/>
        <v>0</v>
      </c>
      <c r="S86" s="50">
        <f t="shared" si="35"/>
        <v>0</v>
      </c>
      <c r="T86" s="50">
        <f t="shared" si="35"/>
        <v>0</v>
      </c>
      <c r="U86" s="50">
        <f t="shared" si="35"/>
        <v>0</v>
      </c>
      <c r="V86" s="50">
        <f t="shared" si="35"/>
        <v>0</v>
      </c>
      <c r="W86" s="50"/>
      <c r="X86" s="50"/>
      <c r="Y86" s="50"/>
      <c r="Z86" s="50"/>
      <c r="AA86" s="50"/>
      <c r="AB86" s="50"/>
      <c r="AC86" s="50"/>
      <c r="AD86" s="50"/>
      <c r="AE86" s="50"/>
      <c r="AF86" s="50"/>
      <c r="AG86" s="50"/>
      <c r="AH86" s="50"/>
      <c r="AI86" s="50"/>
      <c r="AJ86" s="50"/>
      <c r="AK86" s="50"/>
      <c r="AL86" s="50"/>
      <c r="AM86" s="50"/>
      <c r="AN86" s="50"/>
      <c r="AO86" s="50"/>
      <c r="AP86" s="50"/>
      <c r="AQ86" s="50"/>
      <c r="AR86" s="50"/>
      <c r="AS86" s="50"/>
    </row>
    <row r="87" spans="1:52" customFormat="1" x14ac:dyDescent="0.2">
      <c r="A87" s="472"/>
      <c r="B87" s="3" t="s">
        <v>631</v>
      </c>
      <c r="C87" s="50">
        <f>IF(C84=1,C86,C86+B87)</f>
        <v>0</v>
      </c>
      <c r="D87" s="50">
        <f>IF(D84=1,D86,D86+C87)</f>
        <v>0</v>
      </c>
      <c r="E87" s="50">
        <f t="shared" ref="E87:V87" si="36">IF(E84=1,E86,E86+D87)</f>
        <v>0</v>
      </c>
      <c r="F87" s="50">
        <f t="shared" si="36"/>
        <v>0</v>
      </c>
      <c r="G87" s="50">
        <f t="shared" si="36"/>
        <v>0</v>
      </c>
      <c r="H87" s="50">
        <f t="shared" si="36"/>
        <v>0</v>
      </c>
      <c r="I87" s="50">
        <f t="shared" si="36"/>
        <v>0</v>
      </c>
      <c r="J87" s="50">
        <f t="shared" si="36"/>
        <v>0</v>
      </c>
      <c r="K87" s="50">
        <f t="shared" si="36"/>
        <v>0</v>
      </c>
      <c r="L87" s="50">
        <f t="shared" si="36"/>
        <v>0</v>
      </c>
      <c r="M87" s="50">
        <f t="shared" si="36"/>
        <v>0</v>
      </c>
      <c r="N87" s="50">
        <f t="shared" si="36"/>
        <v>0</v>
      </c>
      <c r="O87" s="50">
        <f t="shared" si="36"/>
        <v>0</v>
      </c>
      <c r="P87" s="50">
        <f t="shared" si="36"/>
        <v>0</v>
      </c>
      <c r="Q87" s="50">
        <f t="shared" si="36"/>
        <v>0</v>
      </c>
      <c r="R87" s="50">
        <f t="shared" si="36"/>
        <v>0</v>
      </c>
      <c r="S87" s="50">
        <f t="shared" si="36"/>
        <v>0</v>
      </c>
      <c r="T87" s="50">
        <f t="shared" si="36"/>
        <v>0</v>
      </c>
      <c r="U87" s="50">
        <f t="shared" si="36"/>
        <v>0</v>
      </c>
      <c r="V87" s="50">
        <f t="shared" si="36"/>
        <v>0</v>
      </c>
      <c r="W87" s="50"/>
      <c r="X87" s="50"/>
      <c r="Y87" s="50"/>
      <c r="Z87" s="50"/>
      <c r="AA87" s="50"/>
      <c r="AB87" s="50"/>
      <c r="AC87" s="50"/>
      <c r="AD87" s="50"/>
      <c r="AE87" s="50"/>
      <c r="AF87" s="50"/>
      <c r="AG87" s="50"/>
      <c r="AH87" s="50"/>
      <c r="AI87" s="50"/>
      <c r="AJ87" s="50"/>
      <c r="AK87" s="50"/>
      <c r="AL87" s="50"/>
      <c r="AM87" s="50"/>
      <c r="AN87" s="50"/>
      <c r="AO87" s="50"/>
      <c r="AP87" s="50"/>
      <c r="AQ87" s="50"/>
      <c r="AR87" s="50"/>
      <c r="AS87" s="50"/>
    </row>
    <row r="88" spans="1:52" s="4" customFormat="1" ht="17" x14ac:dyDescent="0.2">
      <c r="A88" s="472"/>
      <c r="B88" s="38" t="s">
        <v>632</v>
      </c>
      <c r="C88" s="50" t="e">
        <f>C85-C86</f>
        <v>#VALUE!</v>
      </c>
      <c r="D88" s="50" t="e">
        <f t="shared" ref="D88:V88" si="37">D85-D86</f>
        <v>#VALUE!</v>
      </c>
      <c r="E88" s="50" t="e">
        <f t="shared" si="37"/>
        <v>#VALUE!</v>
      </c>
      <c r="F88" s="50" t="e">
        <f t="shared" si="37"/>
        <v>#VALUE!</v>
      </c>
      <c r="G88" s="50" t="e">
        <f t="shared" si="37"/>
        <v>#VALUE!</v>
      </c>
      <c r="H88" s="50" t="e">
        <f t="shared" si="37"/>
        <v>#VALUE!</v>
      </c>
      <c r="I88" s="50" t="e">
        <f t="shared" si="37"/>
        <v>#VALUE!</v>
      </c>
      <c r="J88" s="50" t="e">
        <f t="shared" si="37"/>
        <v>#VALUE!</v>
      </c>
      <c r="K88" s="50" t="e">
        <f t="shared" si="37"/>
        <v>#VALUE!</v>
      </c>
      <c r="L88" s="50" t="e">
        <f t="shared" si="37"/>
        <v>#VALUE!</v>
      </c>
      <c r="M88" s="50" t="e">
        <f t="shared" si="37"/>
        <v>#VALUE!</v>
      </c>
      <c r="N88" s="50" t="e">
        <f t="shared" si="37"/>
        <v>#VALUE!</v>
      </c>
      <c r="O88" s="50" t="e">
        <f t="shared" si="37"/>
        <v>#VALUE!</v>
      </c>
      <c r="P88" s="50" t="e">
        <f t="shared" si="37"/>
        <v>#VALUE!</v>
      </c>
      <c r="Q88" s="50" t="e">
        <f t="shared" si="37"/>
        <v>#VALUE!</v>
      </c>
      <c r="R88" s="50" t="e">
        <f t="shared" si="37"/>
        <v>#VALUE!</v>
      </c>
      <c r="S88" s="50" t="e">
        <f t="shared" si="37"/>
        <v>#VALUE!</v>
      </c>
      <c r="T88" s="50" t="e">
        <f t="shared" si="37"/>
        <v>#VALUE!</v>
      </c>
      <c r="U88" s="50" t="e">
        <f t="shared" si="37"/>
        <v>#VALUE!</v>
      </c>
      <c r="V88" s="50" t="e">
        <f t="shared" si="37"/>
        <v>#VALUE!</v>
      </c>
      <c r="W88" s="50"/>
      <c r="X88" s="50"/>
      <c r="Y88" s="50"/>
      <c r="Z88" s="50"/>
      <c r="AA88" s="50"/>
      <c r="AB88" s="50"/>
      <c r="AC88" s="50"/>
      <c r="AD88" s="50"/>
      <c r="AE88" s="50"/>
      <c r="AF88" s="50"/>
    </row>
    <row r="89" spans="1:52" s="55" customFormat="1" x14ac:dyDescent="0.2">
      <c r="A89" s="472"/>
      <c r="B89" s="53" t="s">
        <v>189</v>
      </c>
      <c r="C89" s="54" t="e">
        <f>SUM(C88,C87)</f>
        <v>#VALUE!</v>
      </c>
      <c r="D89" s="54" t="e">
        <f t="shared" ref="D89:V89" si="38">SUM(D88,D87)</f>
        <v>#VALUE!</v>
      </c>
      <c r="E89" s="54" t="e">
        <f t="shared" si="38"/>
        <v>#VALUE!</v>
      </c>
      <c r="F89" s="54" t="e">
        <f t="shared" si="38"/>
        <v>#VALUE!</v>
      </c>
      <c r="G89" s="54" t="e">
        <f t="shared" si="38"/>
        <v>#VALUE!</v>
      </c>
      <c r="H89" s="54" t="e">
        <f t="shared" si="38"/>
        <v>#VALUE!</v>
      </c>
      <c r="I89" s="54" t="e">
        <f t="shared" si="38"/>
        <v>#VALUE!</v>
      </c>
      <c r="J89" s="54" t="e">
        <f t="shared" si="38"/>
        <v>#VALUE!</v>
      </c>
      <c r="K89" s="54" t="e">
        <f t="shared" si="38"/>
        <v>#VALUE!</v>
      </c>
      <c r="L89" s="54" t="e">
        <f t="shared" si="38"/>
        <v>#VALUE!</v>
      </c>
      <c r="M89" s="54" t="e">
        <f t="shared" si="38"/>
        <v>#VALUE!</v>
      </c>
      <c r="N89" s="54" t="e">
        <f t="shared" si="38"/>
        <v>#VALUE!</v>
      </c>
      <c r="O89" s="54" t="e">
        <f t="shared" si="38"/>
        <v>#VALUE!</v>
      </c>
      <c r="P89" s="54" t="e">
        <f t="shared" si="38"/>
        <v>#VALUE!</v>
      </c>
      <c r="Q89" s="54" t="e">
        <f t="shared" si="38"/>
        <v>#VALUE!</v>
      </c>
      <c r="R89" s="54" t="e">
        <f t="shared" si="38"/>
        <v>#VALUE!</v>
      </c>
      <c r="S89" s="54" t="e">
        <f t="shared" si="38"/>
        <v>#VALUE!</v>
      </c>
      <c r="T89" s="54" t="e">
        <f t="shared" si="38"/>
        <v>#VALUE!</v>
      </c>
      <c r="U89" s="54" t="e">
        <f t="shared" si="38"/>
        <v>#VALUE!</v>
      </c>
      <c r="V89" s="54" t="e">
        <f t="shared" si="38"/>
        <v>#VALUE!</v>
      </c>
      <c r="W89" s="54"/>
      <c r="X89" s="54"/>
      <c r="Y89" s="54"/>
      <c r="Z89" s="54"/>
      <c r="AA89" s="54"/>
      <c r="AB89" s="54"/>
      <c r="AC89" s="54"/>
      <c r="AD89" s="54"/>
      <c r="AE89" s="54"/>
      <c r="AF89" s="54"/>
    </row>
    <row r="91" spans="1:52" ht="16" customHeight="1" x14ac:dyDescent="0.2">
      <c r="A91" s="472" t="str">
        <f>CONCATENATE("SQ_REF_",C1,"_JP_",B11)</f>
        <v>SQ_REF_A_JP_</v>
      </c>
      <c r="B91" s="3" t="s">
        <v>94</v>
      </c>
      <c r="C91" s="3" t="s">
        <v>95</v>
      </c>
      <c r="D91" s="3" t="s">
        <v>96</v>
      </c>
      <c r="E91" s="3" t="s">
        <v>97</v>
      </c>
      <c r="F91" s="3" t="s">
        <v>98</v>
      </c>
      <c r="G91" s="3" t="s">
        <v>99</v>
      </c>
      <c r="H91" s="3" t="s">
        <v>100</v>
      </c>
      <c r="I91" s="3" t="s">
        <v>101</v>
      </c>
      <c r="J91" s="3" t="s">
        <v>102</v>
      </c>
      <c r="K91" s="3" t="s">
        <v>103</v>
      </c>
      <c r="L91" s="3" t="s">
        <v>104</v>
      </c>
      <c r="M91" s="3" t="s">
        <v>105</v>
      </c>
      <c r="N91" s="3" t="s">
        <v>106</v>
      </c>
      <c r="O91" s="3" t="s">
        <v>107</v>
      </c>
      <c r="P91" s="3" t="s">
        <v>108</v>
      </c>
      <c r="Q91" s="3" t="s">
        <v>109</v>
      </c>
      <c r="R91" s="3" t="s">
        <v>110</v>
      </c>
      <c r="S91" s="3" t="s">
        <v>111</v>
      </c>
      <c r="T91" s="3" t="s">
        <v>112</v>
      </c>
      <c r="U91" s="3" t="s">
        <v>113</v>
      </c>
      <c r="V91" s="3" t="s">
        <v>114</v>
      </c>
      <c r="W91" s="3" t="s">
        <v>117</v>
      </c>
      <c r="X91" s="3" t="s">
        <v>116</v>
      </c>
      <c r="Y91" s="3" t="s">
        <v>115</v>
      </c>
      <c r="Z91" s="3" t="s">
        <v>229</v>
      </c>
      <c r="AB91" s="474" t="s">
        <v>118</v>
      </c>
      <c r="AC91" s="474"/>
      <c r="AD91" s="474"/>
      <c r="AE91" s="474"/>
    </row>
    <row r="92" spans="1:52" x14ac:dyDescent="0.2">
      <c r="A92" s="472"/>
      <c r="B92" s="3">
        <v>1</v>
      </c>
      <c r="C92" s="11">
        <f t="shared" ref="C92:H110" si="39">(C$86)*IF($B92&gt;=C$84,IF($B92=C$84,$E$19,VLOOKUP($B92-C$84,$B$19:$E$49,4,FALSE)),0)</f>
        <v>0</v>
      </c>
      <c r="D92" s="11">
        <f t="shared" ref="D92:D111" si="40">(D$86)*IF($B92&gt;=D$84,IF($B92=D$84,$E$19,VLOOKUP($B92-D$84,$B$19:$E$49,4,FALSE)),0)</f>
        <v>0</v>
      </c>
      <c r="E92" s="11">
        <f t="shared" ref="E92:E111" si="41">(E$86)*IF($B92&gt;=E$84,IF($B92=E$84,$E$19,VLOOKUP($B92-E$84,$B$19:$E$49,4,FALSE)),0)</f>
        <v>0</v>
      </c>
      <c r="F92" s="11">
        <f t="shared" ref="F92:F111" si="42">(F$86)*IF($B92&gt;=F$84,IF($B92=F$84,$E$19,VLOOKUP($B92-F$84,$B$19:$E$49,4,FALSE)),0)</f>
        <v>0</v>
      </c>
      <c r="G92" s="11">
        <f t="shared" ref="G92:G111" si="43">(G$86)*IF($B92&gt;=G$84,IF($B92=G$84,$E$19,VLOOKUP($B92-G$84,$B$19:$E$49,4,FALSE)),0)</f>
        <v>0</v>
      </c>
      <c r="H92" s="11">
        <f t="shared" ref="H92:H111" si="44">(H$86)*IF($B92&gt;=H$84,IF($B92=H$84,$E$19,VLOOKUP($B92-H$84,$B$19:$E$49,4,FALSE)),0)</f>
        <v>0</v>
      </c>
      <c r="I92" s="11">
        <f t="shared" ref="I92:I111" si="45">(I$86)*IF($B92&gt;=I$84,IF($B92=I$84,$E$19,VLOOKUP($B92-I$84,$B$19:$E$49,4,FALSE)),0)</f>
        <v>0</v>
      </c>
      <c r="J92" s="11">
        <f t="shared" ref="J92:J111" si="46">(J$86)*IF($B92&gt;=J$84,IF($B92=J$84,$E$19,VLOOKUP($B92-J$84,$B$19:$E$49,4,FALSE)),0)</f>
        <v>0</v>
      </c>
      <c r="K92" s="11">
        <f t="shared" ref="K92:K111" si="47">(K$86)*IF($B92&gt;=K$84,IF($B92=K$84,$E$19,VLOOKUP($B92-K$84,$B$19:$E$49,4,FALSE)),0)</f>
        <v>0</v>
      </c>
      <c r="L92" s="11">
        <f t="shared" ref="L92:L111" si="48">(L$86)*IF($B92&gt;=L$84,IF($B92=L$84,$E$19,VLOOKUP($B92-L$84,$B$19:$E$49,4,FALSE)),0)</f>
        <v>0</v>
      </c>
      <c r="M92" s="11">
        <f t="shared" ref="M92:M111" si="49">(M$86)*IF($B92&gt;=M$84,IF($B92=M$84,$E$19,VLOOKUP($B92-M$84,$B$19:$E$49,4,FALSE)),0)</f>
        <v>0</v>
      </c>
      <c r="N92" s="11">
        <f t="shared" ref="N92:N111" si="50">(N$86)*IF($B92&gt;=N$84,IF($B92=N$84,$E$19,VLOOKUP($B92-N$84,$B$19:$E$49,4,FALSE)),0)</f>
        <v>0</v>
      </c>
      <c r="O92" s="11">
        <f t="shared" ref="O92:O111" si="51">(O$86)*IF($B92&gt;=O$84,IF($B92=O$84,$E$19,VLOOKUP($B92-O$84,$B$19:$E$49,4,FALSE)),0)</f>
        <v>0</v>
      </c>
      <c r="P92" s="11">
        <f t="shared" ref="P92:P111" si="52">(P$86)*IF($B92&gt;=P$84,IF($B92=P$84,$E$19,VLOOKUP($B92-P$84,$B$19:$E$49,4,FALSE)),0)</f>
        <v>0</v>
      </c>
      <c r="Q92" s="11">
        <f t="shared" ref="Q92:Q111" si="53">(Q$86)*IF($B92&gt;=Q$84,IF($B92=Q$84,$E$19,VLOOKUP($B92-Q$84,$B$19:$E$49,4,FALSE)),0)</f>
        <v>0</v>
      </c>
      <c r="R92" s="11">
        <f t="shared" ref="R92:R111" si="54">(R$86)*IF($B92&gt;=R$84,IF($B92=R$84,$E$19,VLOOKUP($B92-R$84,$B$19:$E$49,4,FALSE)),0)</f>
        <v>0</v>
      </c>
      <c r="S92" s="11">
        <f t="shared" ref="S92:S111" si="55">(S$86)*IF($B92&gt;=S$84,IF($B92=S$84,$E$19,VLOOKUP($B92-S$84,$B$19:$E$49,4,FALSE)),0)</f>
        <v>0</v>
      </c>
      <c r="T92" s="11">
        <f t="shared" ref="T92:T111" si="56">(T$86)*IF($B92&gt;=T$84,IF($B92=T$84,$E$19,VLOOKUP($B92-T$84,$B$19:$E$49,4,FALSE)),0)</f>
        <v>0</v>
      </c>
      <c r="U92" s="11">
        <f t="shared" ref="U92:U111" si="57">(U$86)*IF($B92&gt;=U$84,IF($B92=U$84,$E$19,VLOOKUP($B92-U$84,$B$19:$E$49,4,FALSE)),0)</f>
        <v>0</v>
      </c>
      <c r="V92" s="11">
        <f t="shared" ref="V92:V111" si="58">(V$86)*IF($B92&gt;=V$84,IF($B92=V$84,$E$19,VLOOKUP($B92-V$84,$B$19:$E$49,4,FALSE)),0)</f>
        <v>0</v>
      </c>
      <c r="W92" s="11">
        <f>SUM(C92:V92)*D$11*C$11</f>
        <v>0</v>
      </c>
      <c r="X92" s="11">
        <f t="shared" ref="X92:X111" si="59">IF(W92&gt;0,EXP(-1.0587+0.8836*LN(W92)+0.284),0)</f>
        <v>0</v>
      </c>
      <c r="Y92" s="11">
        <f t="shared" ref="Y92:Y111" si="60">SUM(W92:X92)*0.475*44/12</f>
        <v>0</v>
      </c>
      <c r="Z92" s="11">
        <f>SUM(C92:V92)</f>
        <v>0</v>
      </c>
      <c r="AB92" s="474"/>
      <c r="AC92" s="474"/>
      <c r="AD92" s="474"/>
      <c r="AE92" s="474"/>
      <c r="AH92" s="11"/>
    </row>
    <row r="93" spans="1:52" x14ac:dyDescent="0.2">
      <c r="A93" s="472"/>
      <c r="B93" s="3">
        <v>2</v>
      </c>
      <c r="C93" s="11">
        <f t="shared" si="39"/>
        <v>0</v>
      </c>
      <c r="D93" s="11">
        <f t="shared" si="40"/>
        <v>0</v>
      </c>
      <c r="E93" s="11">
        <f t="shared" si="41"/>
        <v>0</v>
      </c>
      <c r="F93" s="11">
        <f t="shared" si="42"/>
        <v>0</v>
      </c>
      <c r="G93" s="11">
        <f t="shared" si="43"/>
        <v>0</v>
      </c>
      <c r="H93" s="11">
        <f t="shared" si="44"/>
        <v>0</v>
      </c>
      <c r="I93" s="11">
        <f t="shared" si="45"/>
        <v>0</v>
      </c>
      <c r="J93" s="11">
        <f t="shared" si="46"/>
        <v>0</v>
      </c>
      <c r="K93" s="11">
        <f t="shared" si="47"/>
        <v>0</v>
      </c>
      <c r="L93" s="11">
        <f t="shared" si="48"/>
        <v>0</v>
      </c>
      <c r="M93" s="11">
        <f t="shared" si="49"/>
        <v>0</v>
      </c>
      <c r="N93" s="11">
        <f t="shared" si="50"/>
        <v>0</v>
      </c>
      <c r="O93" s="11">
        <f t="shared" si="51"/>
        <v>0</v>
      </c>
      <c r="P93" s="11">
        <f t="shared" si="52"/>
        <v>0</v>
      </c>
      <c r="Q93" s="11">
        <f t="shared" si="53"/>
        <v>0</v>
      </c>
      <c r="R93" s="11">
        <f t="shared" si="54"/>
        <v>0</v>
      </c>
      <c r="S93" s="11">
        <f t="shared" si="55"/>
        <v>0</v>
      </c>
      <c r="T93" s="11">
        <f t="shared" si="56"/>
        <v>0</v>
      </c>
      <c r="U93" s="11">
        <f t="shared" si="57"/>
        <v>0</v>
      </c>
      <c r="V93" s="11">
        <f t="shared" si="58"/>
        <v>0</v>
      </c>
      <c r="W93" s="11">
        <f t="shared" ref="W93:W111" si="61">SUM(C93:V93)*D$11*C$11</f>
        <v>0</v>
      </c>
      <c r="X93" s="11">
        <f t="shared" si="59"/>
        <v>0</v>
      </c>
      <c r="Y93" s="11">
        <f t="shared" si="60"/>
        <v>0</v>
      </c>
      <c r="Z93" s="11">
        <f t="shared" ref="Z93:Z111" si="62">SUM(C93:V93)</f>
        <v>0</v>
      </c>
      <c r="AB93" s="474"/>
      <c r="AC93" s="474"/>
      <c r="AD93" s="474"/>
      <c r="AE93" s="474"/>
      <c r="AH93" s="11"/>
    </row>
    <row r="94" spans="1:52" x14ac:dyDescent="0.2">
      <c r="A94" s="472"/>
      <c r="B94" s="3">
        <v>3</v>
      </c>
      <c r="C94" s="11">
        <f t="shared" si="39"/>
        <v>0</v>
      </c>
      <c r="D94" s="11">
        <f t="shared" si="40"/>
        <v>0</v>
      </c>
      <c r="E94" s="11">
        <f t="shared" si="41"/>
        <v>0</v>
      </c>
      <c r="F94" s="11">
        <f t="shared" si="42"/>
        <v>0</v>
      </c>
      <c r="G94" s="11">
        <f t="shared" si="43"/>
        <v>0</v>
      </c>
      <c r="H94" s="11">
        <f t="shared" si="44"/>
        <v>0</v>
      </c>
      <c r="I94" s="11">
        <f t="shared" si="45"/>
        <v>0</v>
      </c>
      <c r="J94" s="11">
        <f t="shared" si="46"/>
        <v>0</v>
      </c>
      <c r="K94" s="11">
        <f t="shared" si="47"/>
        <v>0</v>
      </c>
      <c r="L94" s="11">
        <f t="shared" si="48"/>
        <v>0</v>
      </c>
      <c r="M94" s="11">
        <f t="shared" si="49"/>
        <v>0</v>
      </c>
      <c r="N94" s="11">
        <f t="shared" si="50"/>
        <v>0</v>
      </c>
      <c r="O94" s="11">
        <f t="shared" si="51"/>
        <v>0</v>
      </c>
      <c r="P94" s="11">
        <f t="shared" si="52"/>
        <v>0</v>
      </c>
      <c r="Q94" s="11">
        <f t="shared" si="53"/>
        <v>0</v>
      </c>
      <c r="R94" s="11">
        <f t="shared" si="54"/>
        <v>0</v>
      </c>
      <c r="S94" s="11">
        <f t="shared" si="55"/>
        <v>0</v>
      </c>
      <c r="T94" s="11">
        <f t="shared" si="56"/>
        <v>0</v>
      </c>
      <c r="U94" s="11">
        <f t="shared" si="57"/>
        <v>0</v>
      </c>
      <c r="V94" s="11">
        <f t="shared" si="58"/>
        <v>0</v>
      </c>
      <c r="W94" s="11">
        <f t="shared" si="61"/>
        <v>0</v>
      </c>
      <c r="X94" s="11">
        <f t="shared" si="59"/>
        <v>0</v>
      </c>
      <c r="Y94" s="11">
        <f t="shared" si="60"/>
        <v>0</v>
      </c>
      <c r="Z94" s="11">
        <f t="shared" si="62"/>
        <v>0</v>
      </c>
      <c r="AB94" s="474"/>
      <c r="AC94" s="474"/>
      <c r="AD94" s="474"/>
      <c r="AE94" s="474"/>
      <c r="AH94" s="11"/>
    </row>
    <row r="95" spans="1:52" x14ac:dyDescent="0.2">
      <c r="A95" s="472"/>
      <c r="B95" s="3">
        <v>4</v>
      </c>
      <c r="C95" s="11">
        <f t="shared" si="39"/>
        <v>0</v>
      </c>
      <c r="D95" s="11">
        <f t="shared" si="40"/>
        <v>0</v>
      </c>
      <c r="E95" s="11">
        <f t="shared" si="41"/>
        <v>0</v>
      </c>
      <c r="F95" s="11">
        <f t="shared" si="42"/>
        <v>0</v>
      </c>
      <c r="G95" s="11">
        <f t="shared" si="43"/>
        <v>0</v>
      </c>
      <c r="H95" s="11">
        <f t="shared" si="44"/>
        <v>0</v>
      </c>
      <c r="I95" s="11">
        <f t="shared" si="45"/>
        <v>0</v>
      </c>
      <c r="J95" s="11">
        <f t="shared" si="46"/>
        <v>0</v>
      </c>
      <c r="K95" s="11">
        <f t="shared" si="47"/>
        <v>0</v>
      </c>
      <c r="L95" s="11">
        <f t="shared" si="48"/>
        <v>0</v>
      </c>
      <c r="M95" s="11">
        <f t="shared" si="49"/>
        <v>0</v>
      </c>
      <c r="N95" s="11">
        <f t="shared" si="50"/>
        <v>0</v>
      </c>
      <c r="O95" s="11">
        <f t="shared" si="51"/>
        <v>0</v>
      </c>
      <c r="P95" s="11">
        <f t="shared" si="52"/>
        <v>0</v>
      </c>
      <c r="Q95" s="11">
        <f t="shared" si="53"/>
        <v>0</v>
      </c>
      <c r="R95" s="11">
        <f t="shared" si="54"/>
        <v>0</v>
      </c>
      <c r="S95" s="11">
        <f t="shared" si="55"/>
        <v>0</v>
      </c>
      <c r="T95" s="11">
        <f t="shared" si="56"/>
        <v>0</v>
      </c>
      <c r="U95" s="11">
        <f t="shared" si="57"/>
        <v>0</v>
      </c>
      <c r="V95" s="11">
        <f t="shared" si="58"/>
        <v>0</v>
      </c>
      <c r="W95" s="11">
        <f t="shared" si="61"/>
        <v>0</v>
      </c>
      <c r="X95" s="11">
        <f t="shared" si="59"/>
        <v>0</v>
      </c>
      <c r="Y95" s="11">
        <f t="shared" si="60"/>
        <v>0</v>
      </c>
      <c r="Z95" s="11">
        <f t="shared" si="62"/>
        <v>0</v>
      </c>
      <c r="AB95" s="474"/>
      <c r="AC95" s="474"/>
      <c r="AD95" s="474"/>
      <c r="AE95" s="474"/>
      <c r="AH95" s="11"/>
    </row>
    <row r="96" spans="1:52" x14ac:dyDescent="0.2">
      <c r="A96" s="472"/>
      <c r="B96" s="3">
        <v>5</v>
      </c>
      <c r="C96" s="11">
        <f t="shared" si="39"/>
        <v>0</v>
      </c>
      <c r="D96" s="11">
        <f t="shared" si="40"/>
        <v>0</v>
      </c>
      <c r="E96" s="11">
        <f t="shared" si="41"/>
        <v>0</v>
      </c>
      <c r="F96" s="11">
        <f t="shared" si="42"/>
        <v>0</v>
      </c>
      <c r="G96" s="11">
        <f t="shared" si="43"/>
        <v>0</v>
      </c>
      <c r="H96" s="11">
        <f t="shared" si="44"/>
        <v>0</v>
      </c>
      <c r="I96" s="11">
        <f t="shared" si="45"/>
        <v>0</v>
      </c>
      <c r="J96" s="11">
        <f t="shared" si="46"/>
        <v>0</v>
      </c>
      <c r="K96" s="11">
        <f t="shared" si="47"/>
        <v>0</v>
      </c>
      <c r="L96" s="11">
        <f t="shared" si="48"/>
        <v>0</v>
      </c>
      <c r="M96" s="11">
        <f t="shared" si="49"/>
        <v>0</v>
      </c>
      <c r="N96" s="11">
        <f t="shared" si="50"/>
        <v>0</v>
      </c>
      <c r="O96" s="11">
        <f t="shared" si="51"/>
        <v>0</v>
      </c>
      <c r="P96" s="11">
        <f t="shared" si="52"/>
        <v>0</v>
      </c>
      <c r="Q96" s="11">
        <f t="shared" si="53"/>
        <v>0</v>
      </c>
      <c r="R96" s="11">
        <f t="shared" si="54"/>
        <v>0</v>
      </c>
      <c r="S96" s="11">
        <f t="shared" si="55"/>
        <v>0</v>
      </c>
      <c r="T96" s="11">
        <f t="shared" si="56"/>
        <v>0</v>
      </c>
      <c r="U96" s="11">
        <f t="shared" si="57"/>
        <v>0</v>
      </c>
      <c r="V96" s="11">
        <f t="shared" si="58"/>
        <v>0</v>
      </c>
      <c r="W96" s="11">
        <f t="shared" si="61"/>
        <v>0</v>
      </c>
      <c r="X96" s="11">
        <f t="shared" si="59"/>
        <v>0</v>
      </c>
      <c r="Y96" s="11">
        <f t="shared" si="60"/>
        <v>0</v>
      </c>
      <c r="Z96" s="11">
        <f t="shared" si="62"/>
        <v>0</v>
      </c>
      <c r="AB96" s="474"/>
      <c r="AC96" s="474"/>
      <c r="AD96" s="474"/>
      <c r="AE96" s="474"/>
      <c r="AH96" s="11"/>
    </row>
    <row r="97" spans="1:34" x14ac:dyDescent="0.2">
      <c r="A97" s="472"/>
      <c r="B97" s="3">
        <v>6</v>
      </c>
      <c r="C97" s="11">
        <f t="shared" si="39"/>
        <v>0</v>
      </c>
      <c r="D97" s="11">
        <f t="shared" si="40"/>
        <v>0</v>
      </c>
      <c r="E97" s="11">
        <f t="shared" si="41"/>
        <v>0</v>
      </c>
      <c r="F97" s="11">
        <f t="shared" si="42"/>
        <v>0</v>
      </c>
      <c r="G97" s="11">
        <f t="shared" si="43"/>
        <v>0</v>
      </c>
      <c r="H97" s="11">
        <f t="shared" si="44"/>
        <v>0</v>
      </c>
      <c r="I97" s="11">
        <f t="shared" si="45"/>
        <v>0</v>
      </c>
      <c r="J97" s="11">
        <f t="shared" si="46"/>
        <v>0</v>
      </c>
      <c r="K97" s="11">
        <f t="shared" si="47"/>
        <v>0</v>
      </c>
      <c r="L97" s="11">
        <f t="shared" si="48"/>
        <v>0</v>
      </c>
      <c r="M97" s="11">
        <f t="shared" si="49"/>
        <v>0</v>
      </c>
      <c r="N97" s="11">
        <f t="shared" si="50"/>
        <v>0</v>
      </c>
      <c r="O97" s="11">
        <f t="shared" si="51"/>
        <v>0</v>
      </c>
      <c r="P97" s="11">
        <f t="shared" si="52"/>
        <v>0</v>
      </c>
      <c r="Q97" s="11">
        <f t="shared" si="53"/>
        <v>0</v>
      </c>
      <c r="R97" s="11">
        <f t="shared" si="54"/>
        <v>0</v>
      </c>
      <c r="S97" s="11">
        <f t="shared" si="55"/>
        <v>0</v>
      </c>
      <c r="T97" s="11">
        <f t="shared" si="56"/>
        <v>0</v>
      </c>
      <c r="U97" s="11">
        <f t="shared" si="57"/>
        <v>0</v>
      </c>
      <c r="V97" s="11">
        <f t="shared" si="58"/>
        <v>0</v>
      </c>
      <c r="W97" s="11">
        <f t="shared" si="61"/>
        <v>0</v>
      </c>
      <c r="X97" s="11">
        <f t="shared" si="59"/>
        <v>0</v>
      </c>
      <c r="Y97" s="11">
        <f t="shared" si="60"/>
        <v>0</v>
      </c>
      <c r="Z97" s="11">
        <f t="shared" si="62"/>
        <v>0</v>
      </c>
      <c r="AB97" s="474"/>
      <c r="AC97" s="474"/>
      <c r="AD97" s="474"/>
      <c r="AE97" s="474"/>
      <c r="AH97" s="11"/>
    </row>
    <row r="98" spans="1:34" x14ac:dyDescent="0.2">
      <c r="A98" s="472"/>
      <c r="B98" s="3">
        <v>7</v>
      </c>
      <c r="C98" s="11">
        <f t="shared" si="39"/>
        <v>0</v>
      </c>
      <c r="D98" s="11">
        <f t="shared" si="40"/>
        <v>0</v>
      </c>
      <c r="E98" s="11">
        <f t="shared" si="41"/>
        <v>0</v>
      </c>
      <c r="F98" s="11">
        <f t="shared" si="42"/>
        <v>0</v>
      </c>
      <c r="G98" s="11">
        <f t="shared" si="43"/>
        <v>0</v>
      </c>
      <c r="H98" s="11">
        <f t="shared" si="39"/>
        <v>0</v>
      </c>
      <c r="I98" s="11">
        <f t="shared" si="45"/>
        <v>0</v>
      </c>
      <c r="J98" s="11">
        <f t="shared" si="46"/>
        <v>0</v>
      </c>
      <c r="K98" s="11">
        <f t="shared" si="47"/>
        <v>0</v>
      </c>
      <c r="L98" s="11">
        <f t="shared" si="48"/>
        <v>0</v>
      </c>
      <c r="M98" s="11">
        <f t="shared" si="49"/>
        <v>0</v>
      </c>
      <c r="N98" s="11">
        <f t="shared" si="50"/>
        <v>0</v>
      </c>
      <c r="O98" s="11">
        <f t="shared" si="51"/>
        <v>0</v>
      </c>
      <c r="P98" s="11">
        <f t="shared" si="52"/>
        <v>0</v>
      </c>
      <c r="Q98" s="11">
        <f t="shared" si="53"/>
        <v>0</v>
      </c>
      <c r="R98" s="11">
        <f t="shared" si="54"/>
        <v>0</v>
      </c>
      <c r="S98" s="11">
        <f t="shared" si="55"/>
        <v>0</v>
      </c>
      <c r="T98" s="11">
        <f t="shared" si="56"/>
        <v>0</v>
      </c>
      <c r="U98" s="11">
        <f t="shared" si="57"/>
        <v>0</v>
      </c>
      <c r="V98" s="11">
        <f t="shared" si="58"/>
        <v>0</v>
      </c>
      <c r="W98" s="11">
        <f t="shared" si="61"/>
        <v>0</v>
      </c>
      <c r="X98" s="11">
        <f t="shared" si="59"/>
        <v>0</v>
      </c>
      <c r="Y98" s="11">
        <f t="shared" si="60"/>
        <v>0</v>
      </c>
      <c r="Z98" s="11">
        <f t="shared" si="62"/>
        <v>0</v>
      </c>
      <c r="AH98" s="11"/>
    </row>
    <row r="99" spans="1:34" x14ac:dyDescent="0.2">
      <c r="A99" s="472"/>
      <c r="B99" s="3">
        <v>8</v>
      </c>
      <c r="C99" s="11">
        <f t="shared" si="39"/>
        <v>0</v>
      </c>
      <c r="D99" s="11">
        <f t="shared" si="40"/>
        <v>0</v>
      </c>
      <c r="E99" s="11">
        <f t="shared" si="41"/>
        <v>0</v>
      </c>
      <c r="F99" s="11">
        <f t="shared" si="42"/>
        <v>0</v>
      </c>
      <c r="G99" s="11">
        <f t="shared" si="43"/>
        <v>0</v>
      </c>
      <c r="H99" s="11">
        <f t="shared" si="44"/>
        <v>0</v>
      </c>
      <c r="I99" s="11">
        <f t="shared" si="45"/>
        <v>0</v>
      </c>
      <c r="J99" s="11">
        <f t="shared" si="46"/>
        <v>0</v>
      </c>
      <c r="K99" s="11">
        <f t="shared" si="47"/>
        <v>0</v>
      </c>
      <c r="L99" s="11">
        <f t="shared" si="48"/>
        <v>0</v>
      </c>
      <c r="M99" s="11">
        <f t="shared" si="49"/>
        <v>0</v>
      </c>
      <c r="N99" s="11">
        <f t="shared" si="50"/>
        <v>0</v>
      </c>
      <c r="O99" s="11">
        <f t="shared" si="51"/>
        <v>0</v>
      </c>
      <c r="P99" s="11">
        <f t="shared" si="52"/>
        <v>0</v>
      </c>
      <c r="Q99" s="11">
        <f t="shared" si="53"/>
        <v>0</v>
      </c>
      <c r="R99" s="11">
        <f t="shared" si="54"/>
        <v>0</v>
      </c>
      <c r="S99" s="11">
        <f t="shared" si="55"/>
        <v>0</v>
      </c>
      <c r="T99" s="11">
        <f t="shared" si="56"/>
        <v>0</v>
      </c>
      <c r="U99" s="11">
        <f t="shared" si="57"/>
        <v>0</v>
      </c>
      <c r="V99" s="11">
        <f t="shared" si="58"/>
        <v>0</v>
      </c>
      <c r="W99" s="11">
        <f t="shared" si="61"/>
        <v>0</v>
      </c>
      <c r="X99" s="11">
        <f t="shared" si="59"/>
        <v>0</v>
      </c>
      <c r="Y99" s="11">
        <f t="shared" si="60"/>
        <v>0</v>
      </c>
      <c r="Z99" s="11">
        <f t="shared" si="62"/>
        <v>0</v>
      </c>
      <c r="AB99" s="86"/>
      <c r="AC99" s="86"/>
      <c r="AD99" s="86"/>
      <c r="AE99" s="86"/>
      <c r="AH99" s="11"/>
    </row>
    <row r="100" spans="1:34" x14ac:dyDescent="0.2">
      <c r="A100" s="472"/>
      <c r="B100" s="3">
        <v>9</v>
      </c>
      <c r="C100" s="11">
        <f t="shared" si="39"/>
        <v>0</v>
      </c>
      <c r="D100" s="11">
        <f t="shared" si="40"/>
        <v>0</v>
      </c>
      <c r="E100" s="11">
        <f t="shared" si="41"/>
        <v>0</v>
      </c>
      <c r="F100" s="11">
        <f t="shared" si="42"/>
        <v>0</v>
      </c>
      <c r="G100" s="11">
        <f t="shared" si="43"/>
        <v>0</v>
      </c>
      <c r="H100" s="11">
        <f t="shared" si="44"/>
        <v>0</v>
      </c>
      <c r="I100" s="11">
        <f t="shared" si="45"/>
        <v>0</v>
      </c>
      <c r="J100" s="11">
        <f t="shared" si="46"/>
        <v>0</v>
      </c>
      <c r="K100" s="11">
        <f t="shared" si="47"/>
        <v>0</v>
      </c>
      <c r="L100" s="11">
        <f t="shared" si="48"/>
        <v>0</v>
      </c>
      <c r="M100" s="11">
        <f t="shared" si="49"/>
        <v>0</v>
      </c>
      <c r="N100" s="11">
        <f t="shared" si="50"/>
        <v>0</v>
      </c>
      <c r="O100" s="11">
        <f t="shared" si="51"/>
        <v>0</v>
      </c>
      <c r="P100" s="11">
        <f t="shared" si="52"/>
        <v>0</v>
      </c>
      <c r="Q100" s="11">
        <f t="shared" si="53"/>
        <v>0</v>
      </c>
      <c r="R100" s="11">
        <f t="shared" si="54"/>
        <v>0</v>
      </c>
      <c r="S100" s="11">
        <f t="shared" si="55"/>
        <v>0</v>
      </c>
      <c r="T100" s="11">
        <f t="shared" si="56"/>
        <v>0</v>
      </c>
      <c r="U100" s="11">
        <f t="shared" si="57"/>
        <v>0</v>
      </c>
      <c r="V100" s="11">
        <f t="shared" si="58"/>
        <v>0</v>
      </c>
      <c r="W100" s="11">
        <f t="shared" si="61"/>
        <v>0</v>
      </c>
      <c r="X100" s="11">
        <f t="shared" si="59"/>
        <v>0</v>
      </c>
      <c r="Y100" s="11">
        <f t="shared" si="60"/>
        <v>0</v>
      </c>
      <c r="Z100" s="11">
        <f t="shared" si="62"/>
        <v>0</v>
      </c>
      <c r="AB100" s="86"/>
      <c r="AC100" s="86"/>
      <c r="AD100" s="86"/>
      <c r="AE100" s="86"/>
      <c r="AH100" s="11"/>
    </row>
    <row r="101" spans="1:34" x14ac:dyDescent="0.2">
      <c r="A101" s="472"/>
      <c r="B101" s="3">
        <v>10</v>
      </c>
      <c r="C101" s="11">
        <f t="shared" si="39"/>
        <v>0</v>
      </c>
      <c r="D101" s="11">
        <f t="shared" si="40"/>
        <v>0</v>
      </c>
      <c r="E101" s="11">
        <f t="shared" si="41"/>
        <v>0</v>
      </c>
      <c r="F101" s="11">
        <f t="shared" si="42"/>
        <v>0</v>
      </c>
      <c r="G101" s="11">
        <f t="shared" si="43"/>
        <v>0</v>
      </c>
      <c r="H101" s="11">
        <f t="shared" si="44"/>
        <v>0</v>
      </c>
      <c r="I101" s="11">
        <f t="shared" si="45"/>
        <v>0</v>
      </c>
      <c r="J101" s="11">
        <f t="shared" si="46"/>
        <v>0</v>
      </c>
      <c r="K101" s="11">
        <f t="shared" si="47"/>
        <v>0</v>
      </c>
      <c r="L101" s="11">
        <f t="shared" si="48"/>
        <v>0</v>
      </c>
      <c r="M101" s="11">
        <f t="shared" si="49"/>
        <v>0</v>
      </c>
      <c r="N101" s="11">
        <f t="shared" si="50"/>
        <v>0</v>
      </c>
      <c r="O101" s="11">
        <f t="shared" si="51"/>
        <v>0</v>
      </c>
      <c r="P101" s="11">
        <f t="shared" si="52"/>
        <v>0</v>
      </c>
      <c r="Q101" s="11">
        <f t="shared" si="53"/>
        <v>0</v>
      </c>
      <c r="R101" s="11">
        <f t="shared" si="54"/>
        <v>0</v>
      </c>
      <c r="S101" s="11">
        <f t="shared" si="55"/>
        <v>0</v>
      </c>
      <c r="T101" s="11">
        <f t="shared" si="56"/>
        <v>0</v>
      </c>
      <c r="U101" s="11">
        <f t="shared" si="57"/>
        <v>0</v>
      </c>
      <c r="V101" s="11">
        <f t="shared" si="58"/>
        <v>0</v>
      </c>
      <c r="W101" s="11">
        <f t="shared" si="61"/>
        <v>0</v>
      </c>
      <c r="X101" s="11">
        <f t="shared" si="59"/>
        <v>0</v>
      </c>
      <c r="Y101" s="11">
        <f t="shared" si="60"/>
        <v>0</v>
      </c>
      <c r="Z101" s="11">
        <f t="shared" si="62"/>
        <v>0</v>
      </c>
      <c r="AB101" s="86"/>
      <c r="AC101" s="86"/>
      <c r="AD101" s="86"/>
      <c r="AE101" s="86"/>
      <c r="AH101" s="11"/>
    </row>
    <row r="102" spans="1:34" x14ac:dyDescent="0.2">
      <c r="A102" s="472"/>
      <c r="B102" s="3">
        <v>11</v>
      </c>
      <c r="C102" s="11">
        <f t="shared" si="39"/>
        <v>0</v>
      </c>
      <c r="D102" s="11">
        <f t="shared" si="40"/>
        <v>0</v>
      </c>
      <c r="E102" s="11">
        <f t="shared" si="41"/>
        <v>0</v>
      </c>
      <c r="F102" s="11">
        <f t="shared" si="42"/>
        <v>0</v>
      </c>
      <c r="G102" s="11">
        <f t="shared" si="43"/>
        <v>0</v>
      </c>
      <c r="H102" s="11">
        <f t="shared" si="44"/>
        <v>0</v>
      </c>
      <c r="I102" s="11">
        <f t="shared" si="45"/>
        <v>0</v>
      </c>
      <c r="J102" s="11">
        <f t="shared" si="46"/>
        <v>0</v>
      </c>
      <c r="K102" s="11">
        <f t="shared" si="47"/>
        <v>0</v>
      </c>
      <c r="L102" s="11">
        <f t="shared" si="48"/>
        <v>0</v>
      </c>
      <c r="M102" s="11">
        <f t="shared" si="49"/>
        <v>0</v>
      </c>
      <c r="N102" s="11">
        <f t="shared" si="50"/>
        <v>0</v>
      </c>
      <c r="O102" s="11">
        <f t="shared" si="51"/>
        <v>0</v>
      </c>
      <c r="P102" s="11">
        <f t="shared" si="52"/>
        <v>0</v>
      </c>
      <c r="Q102" s="11">
        <f t="shared" si="53"/>
        <v>0</v>
      </c>
      <c r="R102" s="11">
        <f t="shared" si="54"/>
        <v>0</v>
      </c>
      <c r="S102" s="11">
        <f t="shared" si="55"/>
        <v>0</v>
      </c>
      <c r="T102" s="11">
        <f t="shared" si="56"/>
        <v>0</v>
      </c>
      <c r="U102" s="11">
        <f t="shared" si="57"/>
        <v>0</v>
      </c>
      <c r="V102" s="11">
        <f t="shared" si="58"/>
        <v>0</v>
      </c>
      <c r="W102" s="11">
        <f t="shared" si="61"/>
        <v>0</v>
      </c>
      <c r="X102" s="11">
        <f t="shared" si="59"/>
        <v>0</v>
      </c>
      <c r="Y102" s="11">
        <f t="shared" si="60"/>
        <v>0</v>
      </c>
      <c r="Z102" s="11">
        <f t="shared" si="62"/>
        <v>0</v>
      </c>
      <c r="AB102" s="86"/>
      <c r="AC102" s="86"/>
      <c r="AD102" s="86"/>
      <c r="AE102" s="86"/>
      <c r="AH102" s="11"/>
    </row>
    <row r="103" spans="1:34" x14ac:dyDescent="0.2">
      <c r="A103" s="472"/>
      <c r="B103" s="3">
        <v>12</v>
      </c>
      <c r="C103" s="11">
        <f t="shared" si="39"/>
        <v>0</v>
      </c>
      <c r="D103" s="11">
        <f t="shared" si="40"/>
        <v>0</v>
      </c>
      <c r="E103" s="11">
        <f t="shared" si="41"/>
        <v>0</v>
      </c>
      <c r="F103" s="11">
        <f t="shared" si="42"/>
        <v>0</v>
      </c>
      <c r="G103" s="11">
        <f t="shared" si="43"/>
        <v>0</v>
      </c>
      <c r="H103" s="11">
        <f t="shared" si="44"/>
        <v>0</v>
      </c>
      <c r="I103" s="11">
        <f t="shared" si="45"/>
        <v>0</v>
      </c>
      <c r="J103" s="11">
        <f t="shared" si="46"/>
        <v>0</v>
      </c>
      <c r="K103" s="11">
        <f t="shared" si="47"/>
        <v>0</v>
      </c>
      <c r="L103" s="11">
        <f t="shared" si="48"/>
        <v>0</v>
      </c>
      <c r="M103" s="11">
        <f t="shared" si="49"/>
        <v>0</v>
      </c>
      <c r="N103" s="11">
        <f t="shared" si="50"/>
        <v>0</v>
      </c>
      <c r="O103" s="11">
        <f t="shared" si="51"/>
        <v>0</v>
      </c>
      <c r="P103" s="11">
        <f t="shared" si="52"/>
        <v>0</v>
      </c>
      <c r="Q103" s="11">
        <f t="shared" si="53"/>
        <v>0</v>
      </c>
      <c r="R103" s="11">
        <f t="shared" si="54"/>
        <v>0</v>
      </c>
      <c r="S103" s="11">
        <f t="shared" si="55"/>
        <v>0</v>
      </c>
      <c r="T103" s="11">
        <f t="shared" si="56"/>
        <v>0</v>
      </c>
      <c r="U103" s="11">
        <f t="shared" si="57"/>
        <v>0</v>
      </c>
      <c r="V103" s="11">
        <f t="shared" si="58"/>
        <v>0</v>
      </c>
      <c r="W103" s="11">
        <f t="shared" si="61"/>
        <v>0</v>
      </c>
      <c r="X103" s="11">
        <f t="shared" si="59"/>
        <v>0</v>
      </c>
      <c r="Y103" s="11">
        <f t="shared" si="60"/>
        <v>0</v>
      </c>
      <c r="Z103" s="11">
        <f t="shared" si="62"/>
        <v>0</v>
      </c>
      <c r="AB103" s="86"/>
      <c r="AC103" s="86"/>
      <c r="AD103" s="86"/>
      <c r="AE103" s="86"/>
      <c r="AH103" s="11"/>
    </row>
    <row r="104" spans="1:34" x14ac:dyDescent="0.2">
      <c r="A104" s="472"/>
      <c r="B104" s="3">
        <v>13</v>
      </c>
      <c r="C104" s="11">
        <f t="shared" si="39"/>
        <v>0</v>
      </c>
      <c r="D104" s="11">
        <f t="shared" si="40"/>
        <v>0</v>
      </c>
      <c r="E104" s="11">
        <f t="shared" si="41"/>
        <v>0</v>
      </c>
      <c r="F104" s="11">
        <f t="shared" si="42"/>
        <v>0</v>
      </c>
      <c r="G104" s="11">
        <f t="shared" si="43"/>
        <v>0</v>
      </c>
      <c r="H104" s="11">
        <f t="shared" si="44"/>
        <v>0</v>
      </c>
      <c r="I104" s="11">
        <f t="shared" si="45"/>
        <v>0</v>
      </c>
      <c r="J104" s="11">
        <f t="shared" si="46"/>
        <v>0</v>
      </c>
      <c r="K104" s="11">
        <f t="shared" si="47"/>
        <v>0</v>
      </c>
      <c r="L104" s="11">
        <f t="shared" si="48"/>
        <v>0</v>
      </c>
      <c r="M104" s="11">
        <f t="shared" si="49"/>
        <v>0</v>
      </c>
      <c r="N104" s="11">
        <f t="shared" si="50"/>
        <v>0</v>
      </c>
      <c r="O104" s="11">
        <f t="shared" si="51"/>
        <v>0</v>
      </c>
      <c r="P104" s="11">
        <f t="shared" si="52"/>
        <v>0</v>
      </c>
      <c r="Q104" s="11">
        <f t="shared" si="53"/>
        <v>0</v>
      </c>
      <c r="R104" s="11">
        <f t="shared" si="54"/>
        <v>0</v>
      </c>
      <c r="S104" s="11">
        <f t="shared" si="55"/>
        <v>0</v>
      </c>
      <c r="T104" s="11">
        <f t="shared" si="56"/>
        <v>0</v>
      </c>
      <c r="U104" s="11">
        <f t="shared" si="57"/>
        <v>0</v>
      </c>
      <c r="V104" s="11">
        <f t="shared" si="58"/>
        <v>0</v>
      </c>
      <c r="W104" s="11">
        <f t="shared" si="61"/>
        <v>0</v>
      </c>
      <c r="X104" s="11">
        <f t="shared" si="59"/>
        <v>0</v>
      </c>
      <c r="Y104" s="11">
        <f t="shared" si="60"/>
        <v>0</v>
      </c>
      <c r="Z104" s="11">
        <f t="shared" si="62"/>
        <v>0</v>
      </c>
      <c r="AB104" s="86"/>
      <c r="AC104" s="86"/>
      <c r="AD104" s="86"/>
      <c r="AE104" s="86"/>
      <c r="AH104" s="11"/>
    </row>
    <row r="105" spans="1:34" x14ac:dyDescent="0.2">
      <c r="A105" s="472"/>
      <c r="B105" s="3">
        <v>14</v>
      </c>
      <c r="C105" s="11">
        <f t="shared" si="39"/>
        <v>0</v>
      </c>
      <c r="D105" s="11">
        <f t="shared" si="40"/>
        <v>0</v>
      </c>
      <c r="E105" s="11">
        <f t="shared" si="41"/>
        <v>0</v>
      </c>
      <c r="F105" s="11">
        <f t="shared" si="42"/>
        <v>0</v>
      </c>
      <c r="G105" s="11">
        <f t="shared" si="43"/>
        <v>0</v>
      </c>
      <c r="H105" s="11">
        <f t="shared" si="44"/>
        <v>0</v>
      </c>
      <c r="I105" s="11">
        <f t="shared" si="45"/>
        <v>0</v>
      </c>
      <c r="J105" s="11">
        <f t="shared" si="46"/>
        <v>0</v>
      </c>
      <c r="K105" s="11">
        <f t="shared" si="47"/>
        <v>0</v>
      </c>
      <c r="L105" s="11">
        <f t="shared" si="48"/>
        <v>0</v>
      </c>
      <c r="M105" s="11">
        <f t="shared" si="49"/>
        <v>0</v>
      </c>
      <c r="N105" s="11">
        <f t="shared" si="50"/>
        <v>0</v>
      </c>
      <c r="O105" s="11">
        <f t="shared" si="51"/>
        <v>0</v>
      </c>
      <c r="P105" s="11">
        <f t="shared" si="52"/>
        <v>0</v>
      </c>
      <c r="Q105" s="11">
        <f t="shared" si="53"/>
        <v>0</v>
      </c>
      <c r="R105" s="11">
        <f t="shared" si="54"/>
        <v>0</v>
      </c>
      <c r="S105" s="11">
        <f t="shared" si="55"/>
        <v>0</v>
      </c>
      <c r="T105" s="11">
        <f t="shared" si="56"/>
        <v>0</v>
      </c>
      <c r="U105" s="11">
        <f t="shared" si="57"/>
        <v>0</v>
      </c>
      <c r="V105" s="11">
        <f t="shared" si="58"/>
        <v>0</v>
      </c>
      <c r="W105" s="11">
        <f t="shared" si="61"/>
        <v>0</v>
      </c>
      <c r="X105" s="11">
        <f t="shared" si="59"/>
        <v>0</v>
      </c>
      <c r="Y105" s="11">
        <f t="shared" si="60"/>
        <v>0</v>
      </c>
      <c r="Z105" s="11">
        <f t="shared" si="62"/>
        <v>0</v>
      </c>
      <c r="AB105" s="86"/>
      <c r="AC105" s="86"/>
      <c r="AD105" s="86"/>
      <c r="AE105" s="86"/>
      <c r="AH105" s="11"/>
    </row>
    <row r="106" spans="1:34" x14ac:dyDescent="0.2">
      <c r="A106" s="472"/>
      <c r="B106" s="3">
        <v>15</v>
      </c>
      <c r="C106" s="11">
        <f t="shared" si="39"/>
        <v>0</v>
      </c>
      <c r="D106" s="11">
        <f t="shared" si="40"/>
        <v>0</v>
      </c>
      <c r="E106" s="11">
        <f t="shared" si="41"/>
        <v>0</v>
      </c>
      <c r="F106" s="11">
        <f t="shared" si="42"/>
        <v>0</v>
      </c>
      <c r="G106" s="11">
        <f t="shared" si="43"/>
        <v>0</v>
      </c>
      <c r="H106" s="11">
        <f t="shared" si="44"/>
        <v>0</v>
      </c>
      <c r="I106" s="11">
        <f t="shared" si="45"/>
        <v>0</v>
      </c>
      <c r="J106" s="11">
        <f t="shared" si="46"/>
        <v>0</v>
      </c>
      <c r="K106" s="11">
        <f t="shared" si="47"/>
        <v>0</v>
      </c>
      <c r="L106" s="11">
        <f t="shared" si="48"/>
        <v>0</v>
      </c>
      <c r="M106" s="11">
        <f t="shared" si="49"/>
        <v>0</v>
      </c>
      <c r="N106" s="11">
        <f t="shared" si="50"/>
        <v>0</v>
      </c>
      <c r="O106" s="11">
        <f t="shared" si="51"/>
        <v>0</v>
      </c>
      <c r="P106" s="11">
        <f t="shared" si="52"/>
        <v>0</v>
      </c>
      <c r="Q106" s="11">
        <f t="shared" si="53"/>
        <v>0</v>
      </c>
      <c r="R106" s="11">
        <f t="shared" si="54"/>
        <v>0</v>
      </c>
      <c r="S106" s="11">
        <f t="shared" si="55"/>
        <v>0</v>
      </c>
      <c r="T106" s="11">
        <f t="shared" si="56"/>
        <v>0</v>
      </c>
      <c r="U106" s="11">
        <f t="shared" si="57"/>
        <v>0</v>
      </c>
      <c r="V106" s="11">
        <f t="shared" si="58"/>
        <v>0</v>
      </c>
      <c r="W106" s="11">
        <f t="shared" si="61"/>
        <v>0</v>
      </c>
      <c r="X106" s="11">
        <f t="shared" si="59"/>
        <v>0</v>
      </c>
      <c r="Y106" s="11">
        <f t="shared" si="60"/>
        <v>0</v>
      </c>
      <c r="Z106" s="11">
        <f t="shared" si="62"/>
        <v>0</v>
      </c>
      <c r="AH106" s="11"/>
    </row>
    <row r="107" spans="1:34" x14ac:dyDescent="0.2">
      <c r="A107" s="472"/>
      <c r="B107" s="3">
        <v>16</v>
      </c>
      <c r="C107" s="11">
        <f t="shared" si="39"/>
        <v>0</v>
      </c>
      <c r="D107" s="11">
        <f t="shared" si="40"/>
        <v>0</v>
      </c>
      <c r="E107" s="11">
        <f t="shared" si="41"/>
        <v>0</v>
      </c>
      <c r="F107" s="11">
        <f t="shared" si="42"/>
        <v>0</v>
      </c>
      <c r="G107" s="11">
        <f t="shared" si="43"/>
        <v>0</v>
      </c>
      <c r="H107" s="11">
        <f t="shared" si="44"/>
        <v>0</v>
      </c>
      <c r="I107" s="11">
        <f t="shared" si="45"/>
        <v>0</v>
      </c>
      <c r="J107" s="11">
        <f t="shared" si="46"/>
        <v>0</v>
      </c>
      <c r="K107" s="11">
        <f t="shared" si="47"/>
        <v>0</v>
      </c>
      <c r="L107" s="11">
        <f t="shared" si="48"/>
        <v>0</v>
      </c>
      <c r="M107" s="11">
        <f t="shared" si="49"/>
        <v>0</v>
      </c>
      <c r="N107" s="11">
        <f t="shared" si="50"/>
        <v>0</v>
      </c>
      <c r="O107" s="11">
        <f t="shared" si="51"/>
        <v>0</v>
      </c>
      <c r="P107" s="11">
        <f t="shared" si="52"/>
        <v>0</v>
      </c>
      <c r="Q107" s="11">
        <f t="shared" si="53"/>
        <v>0</v>
      </c>
      <c r="R107" s="11">
        <f t="shared" si="54"/>
        <v>0</v>
      </c>
      <c r="S107" s="11">
        <f t="shared" si="55"/>
        <v>0</v>
      </c>
      <c r="T107" s="11">
        <f t="shared" si="56"/>
        <v>0</v>
      </c>
      <c r="U107" s="11">
        <f t="shared" si="57"/>
        <v>0</v>
      </c>
      <c r="V107" s="11">
        <f t="shared" si="58"/>
        <v>0</v>
      </c>
      <c r="W107" s="11">
        <f t="shared" si="61"/>
        <v>0</v>
      </c>
      <c r="X107" s="11">
        <f t="shared" si="59"/>
        <v>0</v>
      </c>
      <c r="Y107" s="11">
        <f t="shared" si="60"/>
        <v>0</v>
      </c>
      <c r="Z107" s="11">
        <f t="shared" si="62"/>
        <v>0</v>
      </c>
      <c r="AH107" s="11"/>
    </row>
    <row r="108" spans="1:34" x14ac:dyDescent="0.2">
      <c r="A108" s="472"/>
      <c r="B108" s="3">
        <v>17</v>
      </c>
      <c r="C108" s="11">
        <f t="shared" si="39"/>
        <v>0</v>
      </c>
      <c r="D108" s="11">
        <f t="shared" si="40"/>
        <v>0</v>
      </c>
      <c r="E108" s="11">
        <f t="shared" si="41"/>
        <v>0</v>
      </c>
      <c r="F108" s="11">
        <f t="shared" si="42"/>
        <v>0</v>
      </c>
      <c r="G108" s="11">
        <f t="shared" si="43"/>
        <v>0</v>
      </c>
      <c r="H108" s="11">
        <f t="shared" si="44"/>
        <v>0</v>
      </c>
      <c r="I108" s="11">
        <f t="shared" si="45"/>
        <v>0</v>
      </c>
      <c r="J108" s="11">
        <f t="shared" si="46"/>
        <v>0</v>
      </c>
      <c r="K108" s="11">
        <f t="shared" si="47"/>
        <v>0</v>
      </c>
      <c r="L108" s="11">
        <f t="shared" si="48"/>
        <v>0</v>
      </c>
      <c r="M108" s="11">
        <f t="shared" si="49"/>
        <v>0</v>
      </c>
      <c r="N108" s="11">
        <f t="shared" si="50"/>
        <v>0</v>
      </c>
      <c r="O108" s="11">
        <f t="shared" si="51"/>
        <v>0</v>
      </c>
      <c r="P108" s="11">
        <f t="shared" si="52"/>
        <v>0</v>
      </c>
      <c r="Q108" s="11">
        <f t="shared" si="53"/>
        <v>0</v>
      </c>
      <c r="R108" s="11">
        <f t="shared" si="54"/>
        <v>0</v>
      </c>
      <c r="S108" s="11">
        <f t="shared" si="55"/>
        <v>0</v>
      </c>
      <c r="T108" s="11">
        <f t="shared" si="56"/>
        <v>0</v>
      </c>
      <c r="U108" s="11">
        <f t="shared" si="57"/>
        <v>0</v>
      </c>
      <c r="V108" s="11">
        <f t="shared" si="58"/>
        <v>0</v>
      </c>
      <c r="W108" s="11">
        <f t="shared" si="61"/>
        <v>0</v>
      </c>
      <c r="X108" s="11">
        <f t="shared" si="59"/>
        <v>0</v>
      </c>
      <c r="Y108" s="11">
        <f t="shared" si="60"/>
        <v>0</v>
      </c>
      <c r="Z108" s="11">
        <f t="shared" si="62"/>
        <v>0</v>
      </c>
      <c r="AH108" s="11"/>
    </row>
    <row r="109" spans="1:34" x14ac:dyDescent="0.2">
      <c r="A109" s="472"/>
      <c r="B109" s="3">
        <v>18</v>
      </c>
      <c r="C109" s="11">
        <f t="shared" si="39"/>
        <v>0</v>
      </c>
      <c r="D109" s="11">
        <f t="shared" si="40"/>
        <v>0</v>
      </c>
      <c r="E109" s="11">
        <f t="shared" si="41"/>
        <v>0</v>
      </c>
      <c r="F109" s="11">
        <f t="shared" si="42"/>
        <v>0</v>
      </c>
      <c r="G109" s="11">
        <f t="shared" si="43"/>
        <v>0</v>
      </c>
      <c r="H109" s="11">
        <f t="shared" si="44"/>
        <v>0</v>
      </c>
      <c r="I109" s="11">
        <f t="shared" si="45"/>
        <v>0</v>
      </c>
      <c r="J109" s="11">
        <f t="shared" si="46"/>
        <v>0</v>
      </c>
      <c r="K109" s="11">
        <f t="shared" si="47"/>
        <v>0</v>
      </c>
      <c r="L109" s="11">
        <f t="shared" si="48"/>
        <v>0</v>
      </c>
      <c r="M109" s="11">
        <f t="shared" si="49"/>
        <v>0</v>
      </c>
      <c r="N109" s="11">
        <f t="shared" si="50"/>
        <v>0</v>
      </c>
      <c r="O109" s="11">
        <f t="shared" si="51"/>
        <v>0</v>
      </c>
      <c r="P109" s="11">
        <f t="shared" si="52"/>
        <v>0</v>
      </c>
      <c r="Q109" s="11">
        <f t="shared" si="53"/>
        <v>0</v>
      </c>
      <c r="R109" s="11">
        <f t="shared" si="54"/>
        <v>0</v>
      </c>
      <c r="S109" s="11">
        <f t="shared" si="55"/>
        <v>0</v>
      </c>
      <c r="T109" s="11">
        <f t="shared" si="56"/>
        <v>0</v>
      </c>
      <c r="U109" s="11">
        <f t="shared" si="57"/>
        <v>0</v>
      </c>
      <c r="V109" s="11">
        <f t="shared" si="58"/>
        <v>0</v>
      </c>
      <c r="W109" s="11">
        <f t="shared" si="61"/>
        <v>0</v>
      </c>
      <c r="X109" s="11">
        <f t="shared" si="59"/>
        <v>0</v>
      </c>
      <c r="Y109" s="11">
        <f t="shared" si="60"/>
        <v>0</v>
      </c>
      <c r="Z109" s="11">
        <f t="shared" si="62"/>
        <v>0</v>
      </c>
      <c r="AH109" s="11"/>
    </row>
    <row r="110" spans="1:34" x14ac:dyDescent="0.2">
      <c r="A110" s="472"/>
      <c r="B110" s="3">
        <v>19</v>
      </c>
      <c r="C110" s="11">
        <f t="shared" si="39"/>
        <v>0</v>
      </c>
      <c r="D110" s="11">
        <f t="shared" si="40"/>
        <v>0</v>
      </c>
      <c r="E110" s="11">
        <f t="shared" si="41"/>
        <v>0</v>
      </c>
      <c r="F110" s="11">
        <f t="shared" si="42"/>
        <v>0</v>
      </c>
      <c r="G110" s="11">
        <f t="shared" si="43"/>
        <v>0</v>
      </c>
      <c r="H110" s="11">
        <f t="shared" si="44"/>
        <v>0</v>
      </c>
      <c r="I110" s="11">
        <f t="shared" si="45"/>
        <v>0</v>
      </c>
      <c r="J110" s="11">
        <f t="shared" si="46"/>
        <v>0</v>
      </c>
      <c r="K110" s="11">
        <f t="shared" si="47"/>
        <v>0</v>
      </c>
      <c r="L110" s="11">
        <f t="shared" si="48"/>
        <v>0</v>
      </c>
      <c r="M110" s="11">
        <f t="shared" si="49"/>
        <v>0</v>
      </c>
      <c r="N110" s="11">
        <f t="shared" si="50"/>
        <v>0</v>
      </c>
      <c r="O110" s="11">
        <f t="shared" si="51"/>
        <v>0</v>
      </c>
      <c r="P110" s="11">
        <f t="shared" si="52"/>
        <v>0</v>
      </c>
      <c r="Q110" s="11">
        <f t="shared" si="53"/>
        <v>0</v>
      </c>
      <c r="R110" s="11">
        <f t="shared" si="54"/>
        <v>0</v>
      </c>
      <c r="S110" s="11">
        <f t="shared" si="55"/>
        <v>0</v>
      </c>
      <c r="T110" s="11">
        <f t="shared" si="56"/>
        <v>0</v>
      </c>
      <c r="U110" s="11">
        <f t="shared" si="57"/>
        <v>0</v>
      </c>
      <c r="V110" s="11">
        <f t="shared" si="58"/>
        <v>0</v>
      </c>
      <c r="W110" s="11">
        <f t="shared" si="61"/>
        <v>0</v>
      </c>
      <c r="X110" s="11">
        <f t="shared" si="59"/>
        <v>0</v>
      </c>
      <c r="Y110" s="11">
        <f t="shared" si="60"/>
        <v>0</v>
      </c>
      <c r="Z110" s="11">
        <f t="shared" si="62"/>
        <v>0</v>
      </c>
      <c r="AH110" s="11"/>
    </row>
    <row r="111" spans="1:34" x14ac:dyDescent="0.2">
      <c r="A111" s="472"/>
      <c r="B111" s="3">
        <v>20</v>
      </c>
      <c r="C111" s="11">
        <f>(C$86)*IF($B111&gt;=C$84,IF($B111=C$84,$E$19,VLOOKUP($B111-C$84,$B$19:$E$49,4,FALSE)),0)</f>
        <v>0</v>
      </c>
      <c r="D111" s="11">
        <f t="shared" si="40"/>
        <v>0</v>
      </c>
      <c r="E111" s="11">
        <f t="shared" si="41"/>
        <v>0</v>
      </c>
      <c r="F111" s="11">
        <f t="shared" si="42"/>
        <v>0</v>
      </c>
      <c r="G111" s="11">
        <f t="shared" si="43"/>
        <v>0</v>
      </c>
      <c r="H111" s="11">
        <f t="shared" si="44"/>
        <v>0</v>
      </c>
      <c r="I111" s="11">
        <f t="shared" si="45"/>
        <v>0</v>
      </c>
      <c r="J111" s="11">
        <f t="shared" si="46"/>
        <v>0</v>
      </c>
      <c r="K111" s="11">
        <f t="shared" si="47"/>
        <v>0</v>
      </c>
      <c r="L111" s="11">
        <f t="shared" si="48"/>
        <v>0</v>
      </c>
      <c r="M111" s="11">
        <f t="shared" si="49"/>
        <v>0</v>
      </c>
      <c r="N111" s="11">
        <f t="shared" si="50"/>
        <v>0</v>
      </c>
      <c r="O111" s="11">
        <f t="shared" si="51"/>
        <v>0</v>
      </c>
      <c r="P111" s="11">
        <f t="shared" si="52"/>
        <v>0</v>
      </c>
      <c r="Q111" s="11">
        <f t="shared" si="53"/>
        <v>0</v>
      </c>
      <c r="R111" s="11">
        <f t="shared" si="54"/>
        <v>0</v>
      </c>
      <c r="S111" s="11">
        <f t="shared" si="55"/>
        <v>0</v>
      </c>
      <c r="T111" s="11">
        <f t="shared" si="56"/>
        <v>0</v>
      </c>
      <c r="U111" s="11">
        <f t="shared" si="57"/>
        <v>0</v>
      </c>
      <c r="V111" s="11">
        <f t="shared" si="58"/>
        <v>0</v>
      </c>
      <c r="W111" s="11">
        <f t="shared" si="61"/>
        <v>0</v>
      </c>
      <c r="X111" s="11">
        <f t="shared" si="59"/>
        <v>0</v>
      </c>
      <c r="Y111" s="11">
        <f t="shared" si="60"/>
        <v>0</v>
      </c>
      <c r="Z111" s="11">
        <f t="shared" si="62"/>
        <v>0</v>
      </c>
      <c r="AH111" s="11"/>
    </row>
    <row r="112" spans="1:34" x14ac:dyDescent="0.2">
      <c r="A112" s="215"/>
      <c r="C112" s="11"/>
      <c r="D112" s="11"/>
      <c r="E112" s="11"/>
      <c r="F112" s="11"/>
      <c r="G112" s="11"/>
      <c r="H112" s="11"/>
      <c r="I112" s="11"/>
      <c r="J112" s="11"/>
      <c r="K112" s="11"/>
      <c r="L112" s="11"/>
      <c r="M112" s="11"/>
      <c r="N112" s="11"/>
      <c r="O112" s="11"/>
      <c r="P112" s="11"/>
      <c r="Q112" s="11"/>
      <c r="R112" s="11"/>
      <c r="S112" s="11"/>
      <c r="T112" s="11"/>
      <c r="U112" s="11"/>
      <c r="V112" s="11"/>
      <c r="W112" s="11"/>
      <c r="X112" s="11"/>
      <c r="Y112" s="11"/>
      <c r="Z112" s="11"/>
      <c r="AH112" s="11"/>
    </row>
    <row r="114" spans="1:52" x14ac:dyDescent="0.2">
      <c r="A114" s="134" t="s">
        <v>628</v>
      </c>
      <c r="B114" s="134"/>
      <c r="C114" s="134"/>
      <c r="D114" s="134"/>
      <c r="E114" s="134"/>
      <c r="F114" s="134"/>
      <c r="G114" s="134"/>
      <c r="H114" s="134"/>
      <c r="I114" s="134"/>
      <c r="J114" s="134"/>
      <c r="K114" s="134"/>
      <c r="L114" s="134"/>
      <c r="M114" s="133"/>
      <c r="N114" s="133"/>
      <c r="O114" s="133"/>
      <c r="P114" s="133"/>
      <c r="Q114" s="133"/>
      <c r="R114" s="133"/>
      <c r="S114" s="133"/>
      <c r="T114" s="133"/>
      <c r="U114" s="133"/>
      <c r="V114" s="133"/>
      <c r="W114" s="133"/>
      <c r="X114" s="133"/>
      <c r="Y114" s="133"/>
      <c r="Z114" s="133"/>
      <c r="AA114" s="133"/>
      <c r="AB114" s="133"/>
      <c r="AC114" s="133"/>
      <c r="AD114" s="133"/>
      <c r="AE114" s="133"/>
      <c r="AF114" s="133"/>
      <c r="AG114" s="133"/>
      <c r="AH114" s="133"/>
      <c r="AI114" s="133"/>
      <c r="AJ114" s="133"/>
      <c r="AK114" s="133"/>
      <c r="AL114" s="133"/>
      <c r="AM114" s="133"/>
      <c r="AN114" s="133"/>
      <c r="AO114" s="133"/>
      <c r="AP114" s="133"/>
      <c r="AQ114" s="133"/>
      <c r="AR114" s="133"/>
      <c r="AS114" s="133"/>
      <c r="AT114" s="133"/>
      <c r="AU114" s="133"/>
      <c r="AV114" s="133"/>
      <c r="AW114" s="133"/>
      <c r="AX114" s="133"/>
      <c r="AY114" s="133"/>
      <c r="AZ114" s="133"/>
    </row>
    <row r="115" spans="1:52" x14ac:dyDescent="0.2">
      <c r="A115" s="37"/>
      <c r="C115" s="11"/>
      <c r="D115" s="11"/>
      <c r="E115" s="11"/>
      <c r="F115" s="11"/>
      <c r="G115" s="11"/>
      <c r="H115" s="11"/>
      <c r="I115" s="11"/>
      <c r="J115" s="11"/>
      <c r="K115" s="11"/>
      <c r="L115" s="11"/>
      <c r="M115" s="11"/>
      <c r="N115" s="11"/>
      <c r="O115" s="11"/>
      <c r="P115" s="11"/>
      <c r="Q115" s="11"/>
      <c r="R115" s="11"/>
      <c r="S115" s="11"/>
      <c r="T115" s="11"/>
      <c r="U115" s="11"/>
      <c r="V115" s="11"/>
      <c r="W115" s="11"/>
      <c r="X115" s="11"/>
      <c r="Y115" s="11"/>
      <c r="Z115" s="11"/>
      <c r="AA115" s="11"/>
      <c r="AB115" s="11"/>
      <c r="AC115" s="11"/>
      <c r="AD115" s="11"/>
      <c r="AE115" s="11"/>
      <c r="AF115" s="11"/>
      <c r="AG115" s="11"/>
      <c r="AH115" s="11"/>
      <c r="AI115" s="11"/>
    </row>
    <row r="116" spans="1:52" ht="17" x14ac:dyDescent="0.2">
      <c r="A116" s="40" t="s">
        <v>159</v>
      </c>
      <c r="B116" s="3" t="str">
        <f>B58</f>
        <v/>
      </c>
      <c r="C116" s="3" t="e">
        <f>IF(B116=0,0,VLOOKUP(B116,Listes!$C$7:$E$36,3,FALSE))</f>
        <v>#N/A</v>
      </c>
      <c r="L116" s="3" t="str">
        <f>K58</f>
        <v/>
      </c>
      <c r="M116" s="3" t="e">
        <f>IF(L116=0,0,VLOOKUP(L116,Listes!$C$7:$E$36,3,FALSE))</f>
        <v>#N/A</v>
      </c>
      <c r="V116" s="3" t="str">
        <f>T58</f>
        <v/>
      </c>
      <c r="W116" s="3" t="e">
        <f>IF(V116=0,0,VLOOKUP(V116,Listes!$C$7:$E$36,3,FALSE))</f>
        <v>#N/A</v>
      </c>
      <c r="AF116" s="3" t="str">
        <f>AC58</f>
        <v/>
      </c>
      <c r="AG116" s="3" t="e">
        <f>IF(AF116=0,0,VLOOKUP(AF116,Listes!$C$7:$E$36,3,FALSE))</f>
        <v>#N/A</v>
      </c>
    </row>
    <row r="117" spans="1:52" ht="16" customHeight="1" x14ac:dyDescent="0.2">
      <c r="A117" s="472" t="str">
        <f>CONCATENATE("ST_REF_",A57)</f>
        <v>ST_REF_A_ESS_1</v>
      </c>
      <c r="B117" s="3" t="s">
        <v>15</v>
      </c>
      <c r="C117" s="3" t="s">
        <v>127</v>
      </c>
      <c r="D117" s="3" t="s">
        <v>161</v>
      </c>
      <c r="E117" s="3" t="s">
        <v>162</v>
      </c>
      <c r="F117" s="3" t="s">
        <v>163</v>
      </c>
      <c r="G117" s="3" t="s">
        <v>81</v>
      </c>
      <c r="H117" s="3" t="s">
        <v>84</v>
      </c>
      <c r="I117" s="3" t="s">
        <v>83</v>
      </c>
      <c r="K117" s="472" t="str">
        <f>CONCATENATE("ST_REF_",J57)</f>
        <v>ST_REF_A_ESS_2</v>
      </c>
      <c r="L117" s="3" t="s">
        <v>15</v>
      </c>
      <c r="M117" s="3" t="s">
        <v>127</v>
      </c>
      <c r="N117" s="3" t="s">
        <v>161</v>
      </c>
      <c r="O117" s="3" t="s">
        <v>162</v>
      </c>
      <c r="P117" s="3" t="s">
        <v>163</v>
      </c>
      <c r="Q117" s="3" t="s">
        <v>81</v>
      </c>
      <c r="R117" s="3" t="s">
        <v>84</v>
      </c>
      <c r="S117" s="3" t="s">
        <v>83</v>
      </c>
      <c r="U117" s="472" t="str">
        <f>CONCATENATE("ST_REF_",S57)</f>
        <v>ST_REF_A_ESS_3</v>
      </c>
      <c r="V117" s="3" t="s">
        <v>15</v>
      </c>
      <c r="W117" s="3" t="s">
        <v>127</v>
      </c>
      <c r="X117" s="3" t="s">
        <v>161</v>
      </c>
      <c r="Y117" s="3" t="s">
        <v>162</v>
      </c>
      <c r="Z117" s="3" t="s">
        <v>163</v>
      </c>
      <c r="AA117" s="3" t="s">
        <v>81</v>
      </c>
      <c r="AB117" s="3" t="s">
        <v>84</v>
      </c>
      <c r="AC117" s="3" t="s">
        <v>83</v>
      </c>
      <c r="AE117" s="472" t="str">
        <f>CONCATENATE("ST_REF_",AB57)</f>
        <v>ST_REF_A_ESS_4</v>
      </c>
      <c r="AF117" s="3" t="s">
        <v>15</v>
      </c>
      <c r="AG117" s="3" t="s">
        <v>127</v>
      </c>
      <c r="AH117" s="3" t="s">
        <v>161</v>
      </c>
      <c r="AI117" s="3" t="s">
        <v>162</v>
      </c>
      <c r="AJ117" s="3" t="s">
        <v>163</v>
      </c>
      <c r="AK117" s="3" t="s">
        <v>81</v>
      </c>
      <c r="AL117" s="3" t="s">
        <v>84</v>
      </c>
      <c r="AM117" s="3" t="s">
        <v>83</v>
      </c>
      <c r="AO117" s="472" t="str">
        <f>CONCATENATE("RECAP_ST_REF_",C1)</f>
        <v>RECAP_ST_REF_A</v>
      </c>
      <c r="AP117" s="3" t="s">
        <v>15</v>
      </c>
      <c r="AQ117" s="3" t="s">
        <v>81</v>
      </c>
      <c r="AR117" s="3" t="s">
        <v>84</v>
      </c>
      <c r="AS117" s="3" t="s">
        <v>83</v>
      </c>
      <c r="AT117" s="3" t="s">
        <v>27</v>
      </c>
      <c r="AU117" s="3" t="s">
        <v>85</v>
      </c>
    </row>
    <row r="118" spans="1:52" x14ac:dyDescent="0.2">
      <c r="A118" s="472"/>
      <c r="B118" s="3">
        <v>1</v>
      </c>
      <c r="C118" s="45">
        <f>D61</f>
        <v>0</v>
      </c>
      <c r="D118" s="45">
        <f>IF(OR(C118=0,C118=""),0,C118*C$58*0.475)</f>
        <v>0</v>
      </c>
      <c r="E118" s="45">
        <f>IF(OR(D118=0,D118="",B$116=0),0,D118*INDEX(Listes!$K$1:$Q$12,MATCH(B$116,Listes!$K$1:$K$12,0),MATCH(E$117,Listes!$K$1:$Q$1,0)))</f>
        <v>0</v>
      </c>
      <c r="F118" s="45">
        <f t="shared" ref="F118" si="63">D118-E118</f>
        <v>0</v>
      </c>
      <c r="G118" s="45">
        <f>IF(OR(B$116=0,B$116=""),0,F118*INDEX(Listes!$K$15:$P$26,MATCH(B$116,Listes!$K$15:$K$26,0),MATCH(G$117,Listes!$K$15:$P$15,0))*INDEX(Listes!$K$29:$O$31,MATCH(C$116,Listes!$K$29:$K$31,0),MATCH(G$117,Listes!$K$29:$O$29,0)))</f>
        <v>0</v>
      </c>
      <c r="H118" s="45">
        <f>IF(OR(B$116=0,B$116=""),0,F118*INDEX(Listes!$K$15:$P$26,MATCH(B$116,Listes!$K$15:$K$26,0),MATCH(H$117,Listes!$K$15:$P$15,0))*INDEX(Listes!$K$29:$O$31,MATCH(C$116,Listes!$K$29:$K$31,0),MATCH(H$117,Listes!$K$29:$O$29,0)))</f>
        <v>0</v>
      </c>
      <c r="I118" s="45">
        <f>IF(OR(B$116=0,B$116=""),0,F118*INDEX(Listes!$K$15:$P$26,MATCH(B$116,Listes!$K$15:$K$26,0),MATCH(I$117,Listes!$K$15:$P$15,0))*INDEX(Listes!$K$29:$O$31,MATCH(C$116,Listes!$K$29:$K$31,0),MATCH(I$117,Listes!$K$29:$O$29,0)))</f>
        <v>0</v>
      </c>
      <c r="K118" s="472"/>
      <c r="L118" s="3">
        <v>1</v>
      </c>
      <c r="M118" s="45">
        <f t="shared" ref="M118:M137" si="64">M61</f>
        <v>0</v>
      </c>
      <c r="N118" s="45">
        <f t="shared" ref="N118:N137" si="65">IF(OR(M118=0,M118=""),0,M118*L$58*0.475)</f>
        <v>0</v>
      </c>
      <c r="O118" s="45">
        <f>IF(OR(N118=0,N118="",L$116=0),0,N118*INDEX(Listes!$K$1:$Q$12,MATCH(L$116,Listes!$K$1:$K$12,0),MATCH(O$117,Listes!$K$1:$Q$1,0)))</f>
        <v>0</v>
      </c>
      <c r="P118" s="45">
        <f t="shared" ref="P118:P137" si="66">N118-O118</f>
        <v>0</v>
      </c>
      <c r="Q118" s="45">
        <f>IF(OR(L$116=0,L$116=""),0,P118*INDEX(Listes!$K$15:$P$26,MATCH(L$116,Listes!$K$15:$K$26,0),MATCH(Q$117,Listes!$K$15:$P$15,0))*INDEX(Listes!$K$29:$O$31,MATCH(M$116,Listes!$K$29:$K$31,0),MATCH(Q$117,Listes!$K$29:$O$29,0)))</f>
        <v>0</v>
      </c>
      <c r="R118" s="45">
        <f>IF(OR(L$116=0,L$116=""),0,P118*INDEX(Listes!$K$15:$P$26,MATCH(L$116,Listes!$K$15:$K$26,0),MATCH(R$117,Listes!$K$15:$P$15,0))*INDEX(Listes!$K$29:$O$31,MATCH(M$116,Listes!$K$29:$K$31,0),MATCH(R$117,Listes!$K$29:$O$29,0)))</f>
        <v>0</v>
      </c>
      <c r="S118" s="45">
        <f>IF(OR(L$116=0,L$116=""),0,P118*INDEX(Listes!$K$15:$P$26,MATCH(L$116,Listes!$K$15:$K$26,0),MATCH(S$117,Listes!$K$15:$P$15,0))*INDEX(Listes!$K$29:$O$31,MATCH(M$116,Listes!$K$29:$K$31,0),MATCH(S$117,Listes!$K$29:$O$29,0)))</f>
        <v>0</v>
      </c>
      <c r="U118" s="472"/>
      <c r="V118" s="3">
        <v>1</v>
      </c>
      <c r="W118" s="45">
        <f t="shared" ref="W118:W137" si="67">V61</f>
        <v>0</v>
      </c>
      <c r="X118" s="45">
        <f t="shared" ref="X118:X137" si="68">IF(OR(W118=0,W118=""),0,W118*U$58*0.475)</f>
        <v>0</v>
      </c>
      <c r="Y118" s="45">
        <f>IF(OR(X118=0,X118="",V$116=0),0,X118*INDEX(Listes!$K$1:$Q$12,MATCH(V$116,Listes!$K$1:$K$12,0),MATCH(Y$117,Listes!$K$1:$Q$1,0)))</f>
        <v>0</v>
      </c>
      <c r="Z118" s="45">
        <f t="shared" ref="Z118:Z137" si="69">X118-Y118</f>
        <v>0</v>
      </c>
      <c r="AA118" s="45">
        <f>IF(OR(V$116=0,V$116=""),0,Z118*INDEX(Listes!$K$15:$P$26,MATCH(V$116,Listes!$K$15:$K$26,0),MATCH(AA$117,Listes!$K$15:$P$15,0))*INDEX(Listes!$K$29:$O$31,MATCH(W$116,Listes!$K$29:$K$31,0),MATCH(AA$117,Listes!$K$29:$O$29,0)))</f>
        <v>0</v>
      </c>
      <c r="AB118" s="45">
        <f>IF(OR(V$116=0,V$116=""),0,Z118*INDEX(Listes!$K$15:$P$26,MATCH(V$116,Listes!$K$15:$K$26,0),MATCH(AB$117,Listes!$K$15:$P$15,0))*INDEX(Listes!$K$29:$O$31,MATCH(W$116,Listes!$K$29:$K$31,0),MATCH(AB$117,Listes!$K$29:$O$29,0)))</f>
        <v>0</v>
      </c>
      <c r="AC118" s="45">
        <f>IF(OR(V$116=0,V$116=""),0,Z118*INDEX(Listes!$K$15:$P$26,MATCH(V$116,Listes!$K$15:$K$26,0),MATCH(AC$117,Listes!$K$15:$P$15,0))*INDEX(Listes!$K$29:$O$31,MATCH(W$116,Listes!$K$29:$K$31,0),MATCH(AC$117,Listes!$K$29:$O$29,0)))</f>
        <v>0</v>
      </c>
      <c r="AE118" s="472"/>
      <c r="AF118" s="3">
        <v>1</v>
      </c>
      <c r="AG118" s="45">
        <f t="shared" ref="AG118:AG137" si="70">AE61</f>
        <v>0</v>
      </c>
      <c r="AH118" s="45">
        <f t="shared" ref="AH118:AH137" si="71">IF(OR(AG118=0,AG118=""),0,AG118*AD$58*0.475)</f>
        <v>0</v>
      </c>
      <c r="AI118" s="45">
        <f>IF(OR(AH118=0,AH118="",AF$116=0),0,AH118*INDEX(Listes!$K$1:$Q$12,MATCH(AF$116,Listes!$K$1:$K$12,0),MATCH(AI$117,Listes!$K$1:$Q$1,0)))</f>
        <v>0</v>
      </c>
      <c r="AJ118" s="45">
        <f t="shared" ref="AJ118:AJ137" si="72">AH118-AI118</f>
        <v>0</v>
      </c>
      <c r="AK118" s="45">
        <f>IF(OR(AF$116=0,AF$116=""),0,AJ118*INDEX(Listes!$K$15:$P$26,MATCH(AF$116,Listes!$K$15:$K$26,0),MATCH(AK$117,Listes!$K$15:$P$15,0))*INDEX(Listes!$K$29:$O$31,MATCH(AG$116,Listes!$K$29:$K$31,0),MATCH(AK$117,Listes!$K$29:$O$29,0)))</f>
        <v>0</v>
      </c>
      <c r="AL118" s="45">
        <f>IF(OR(AF$116=0,AF$116=""),0,AJ118*INDEX(Listes!$K$15:$P$26,MATCH(AF$116,Listes!$K$15:$K$26,0),MATCH(AL$117,Listes!$K$15:$P$15,0))*INDEX(Listes!$K$29:$O$31,MATCH(AG$116,Listes!$K$29:$K$31,0),MATCH(AL$117,Listes!$K$29:$O$29,0)))</f>
        <v>0</v>
      </c>
      <c r="AM118" s="45">
        <f>IF(OR(AF$116=0,AF$116=""),0,AJ118*INDEX(Listes!$K$15:$P$26,MATCH(AF$116,Listes!$K$15:$K$26,0),MATCH(AM$117,Listes!$K$15:$P$15,0))*INDEX(Listes!$K$29:$O$31,MATCH(AG$116,Listes!$K$29:$K$31,0),MATCH(AM$117,Listes!$K$29:$O$29,0)))</f>
        <v>0</v>
      </c>
      <c r="AN118" s="45"/>
      <c r="AO118" s="472"/>
      <c r="AP118" s="3">
        <v>1</v>
      </c>
      <c r="AQ118" s="11">
        <f t="shared" ref="AQ118:AQ137" si="73">SUM(G118,Q118,AA118,AK118)</f>
        <v>0</v>
      </c>
      <c r="AR118" s="11">
        <f t="shared" ref="AR118:AR137" si="74">SUM(H118,R118,AB118,AL118)</f>
        <v>0</v>
      </c>
      <c r="AS118" s="11">
        <f t="shared" ref="AS118:AS137" si="75">SUM(I118,S118,AC118,AM118)</f>
        <v>0</v>
      </c>
      <c r="AT118" s="11">
        <f>AQ118*VLOOKUP(AQ$117,Tableau17[],4,FALSE)+AR118*VLOOKUP(AR$117,Tableau17[],4,FALSE)+AS118*VLOOKUP(AS$117,Tableau17[],4,FALSE)</f>
        <v>0</v>
      </c>
      <c r="AU118" s="11">
        <f>AQ118*VLOOKUP(AQ$117,Tableau17[],3,FALSE)+AR118*VLOOKUP(AR$117,Tableau17[],3,FALSE)+AS118*VLOOKUP(AS$117,Tableau17[],3,FALSE)</f>
        <v>0</v>
      </c>
      <c r="AW118" s="11"/>
      <c r="AX118" s="113"/>
    </row>
    <row r="119" spans="1:52" x14ac:dyDescent="0.2">
      <c r="A119" s="472"/>
      <c r="B119" s="3">
        <v>2</v>
      </c>
      <c r="C119" s="45">
        <f t="shared" ref="C119:C137" si="76">D62</f>
        <v>0</v>
      </c>
      <c r="D119" s="45">
        <f t="shared" ref="D119:D137" si="77">IF(OR(C119=0,C119=""),0,C119*C$58*0.475)</f>
        <v>0</v>
      </c>
      <c r="E119" s="45">
        <f>IF(OR(D119=0,D119="",B$116=0),0,D119*INDEX(Listes!$K$1:$Q$12,MATCH(B$116,Listes!$K$1:$K$12,0),MATCH(E$117,Listes!$K$1:$Q$1,0)))</f>
        <v>0</v>
      </c>
      <c r="F119" s="45">
        <f t="shared" ref="F119:F137" si="78">D119-E119</f>
        <v>0</v>
      </c>
      <c r="G119" s="11">
        <f>IF(OR(B$116=0,B$116=""),0,F119*INDEX(Listes!$K$15:$P$26,MATCH(B$116,Listes!$K$15:$K$26,0),MATCH(G$117,Listes!$K$15:$P$15,0))*INDEX(Listes!$K$29:$O$31,MATCH(C$116,Listes!$K$29:$K$31,0),MATCH(G$117,Listes!$K$29:$O$29,0)))</f>
        <v>0</v>
      </c>
      <c r="H119" s="45">
        <f>IF(OR(B$116=0,B$116=""),0,F119*INDEX(Listes!$K$15:$P$26,MATCH(B$116,Listes!$K$15:$K$26,0),MATCH(H$117,Listes!$K$15:$P$15,0))*INDEX(Listes!$K$29:$O$31,MATCH(C$116,Listes!$K$29:$K$31,0),MATCH(H$117,Listes!$K$29:$O$29,0)))</f>
        <v>0</v>
      </c>
      <c r="I119" s="45">
        <f>IF(OR(B$116=0,B$116=""),0,F119*INDEX(Listes!$K$15:$P$26,MATCH(B$116,Listes!$K$15:$K$26,0),MATCH(I$117,Listes!$K$15:$P$15,0))*INDEX(Listes!$K$29:$O$31,MATCH(C$116,Listes!$K$29:$K$31,0),MATCH(I$117,Listes!$K$29:$O$29,0)))</f>
        <v>0</v>
      </c>
      <c r="K119" s="472"/>
      <c r="L119" s="3">
        <v>2</v>
      </c>
      <c r="M119" s="45">
        <f t="shared" si="64"/>
        <v>0</v>
      </c>
      <c r="N119" s="45">
        <f>IF(OR(M119=0,M119=""),0,M119*L$58*0.475)</f>
        <v>0</v>
      </c>
      <c r="O119" s="45">
        <f>IF(OR(N119=0,N119="",L$116=0),0,N119*INDEX(Listes!$K$1:$Q$12,MATCH(L$116,Listes!$K$1:$K$12,0),MATCH(O$117,Listes!$K$1:$Q$1,0)))</f>
        <v>0</v>
      </c>
      <c r="P119" s="45">
        <f t="shared" si="66"/>
        <v>0</v>
      </c>
      <c r="Q119" s="11">
        <f>IF(OR(L$116=0,L$116=""),0,P119*INDEX(Listes!$K$15:$P$26,MATCH(L$116,Listes!$K$15:$K$26,0),MATCH(Q$117,Listes!$K$15:$P$15,0))*INDEX(Listes!$K$29:$O$31,MATCH(M$116,Listes!$K$29:$K$31,0),MATCH(Q$117,Listes!$K$29:$O$29,0)))</f>
        <v>0</v>
      </c>
      <c r="R119" s="45">
        <f>IF(OR(L$116=0,L$116=""),0,P119*INDEX(Listes!$K$15:$P$26,MATCH(L$116,Listes!$K$15:$K$26,0),MATCH(R$117,Listes!$K$15:$P$15,0))*INDEX(Listes!$K$29:$O$31,MATCH(M$116,Listes!$K$29:$K$31,0),MATCH(R$117,Listes!$K$29:$O$29,0)))</f>
        <v>0</v>
      </c>
      <c r="S119" s="45">
        <f>IF(OR(L$116=0,L$116=""),0,P119*INDEX(Listes!$K$15:$P$26,MATCH(L$116,Listes!$K$15:$K$26,0),MATCH(S$117,Listes!$K$15:$P$15,0))*INDEX(Listes!$K$29:$O$31,MATCH(M$116,Listes!$K$29:$K$31,0),MATCH(S$117,Listes!$K$29:$O$29,0)))</f>
        <v>0</v>
      </c>
      <c r="U119" s="472"/>
      <c r="V119" s="3">
        <v>2</v>
      </c>
      <c r="W119" s="45">
        <f t="shared" si="67"/>
        <v>0</v>
      </c>
      <c r="X119" s="45">
        <f t="shared" si="68"/>
        <v>0</v>
      </c>
      <c r="Y119" s="45">
        <f>IF(OR(X119=0,X119="",V$116=0),0,X119*INDEX(Listes!$K$1:$Q$12,MATCH(V$116,Listes!$K$1:$K$12,0),MATCH(Y$117,Listes!$K$1:$Q$1,0)))</f>
        <v>0</v>
      </c>
      <c r="Z119" s="45">
        <f t="shared" si="69"/>
        <v>0</v>
      </c>
      <c r="AA119" s="11">
        <f>IF(OR(V$116=0,V$116=""),0,Z119*INDEX(Listes!$K$15:$P$26,MATCH(V$116,Listes!$K$15:$K$26,0),MATCH(AA$117,Listes!$K$15:$P$15,0))*INDEX(Listes!$K$29:$O$31,MATCH(W$116,Listes!$K$29:$K$31,0),MATCH(AA$117,Listes!$K$29:$O$29,0)))</f>
        <v>0</v>
      </c>
      <c r="AB119" s="45">
        <f>IF(OR(V$116=0,V$116=""),0,Z119*INDEX(Listes!$K$15:$P$26,MATCH(V$116,Listes!$K$15:$K$26,0),MATCH(AB$117,Listes!$K$15:$P$15,0))*INDEX(Listes!$K$29:$O$31,MATCH(W$116,Listes!$K$29:$K$31,0),MATCH(AB$117,Listes!$K$29:$O$29,0)))</f>
        <v>0</v>
      </c>
      <c r="AC119" s="45">
        <f>IF(OR(V$116=0,V$116=""),0,Z119*INDEX(Listes!$K$15:$P$26,MATCH(V$116,Listes!$K$15:$K$26,0),MATCH(AC$117,Listes!$K$15:$P$15,0))*INDEX(Listes!$K$29:$O$31,MATCH(W$116,Listes!$K$29:$K$31,0),MATCH(AC$117,Listes!$K$29:$O$29,0)))</f>
        <v>0</v>
      </c>
      <c r="AE119" s="472"/>
      <c r="AF119" s="3">
        <v>2</v>
      </c>
      <c r="AG119" s="45">
        <f t="shared" si="70"/>
        <v>0</v>
      </c>
      <c r="AH119" s="45">
        <f t="shared" si="71"/>
        <v>0</v>
      </c>
      <c r="AI119" s="45">
        <f>IF(OR(AH119=0,AH119="",AF$116=0),0,AH119*INDEX(Listes!$K$1:$Q$12,MATCH(AF$116,Listes!$K$1:$K$12,0),MATCH(AI$117,Listes!$K$1:$Q$1,0)))</f>
        <v>0</v>
      </c>
      <c r="AJ119" s="45">
        <f t="shared" si="72"/>
        <v>0</v>
      </c>
      <c r="AK119" s="11">
        <f>IF(OR(AF$116=0,AF$116=""),0,AJ119*INDEX(Listes!$K$15:$P$26,MATCH(AF$116,Listes!$K$15:$K$26,0),MATCH(AK$117,Listes!$K$15:$P$15,0))*INDEX(Listes!$K$29:$O$31,MATCH(AG$116,Listes!$K$29:$K$31,0),MATCH(AK$117,Listes!$K$29:$O$29,0)))</f>
        <v>0</v>
      </c>
      <c r="AL119" s="45">
        <f>IF(OR(AF$116=0,AF$116=""),0,AJ119*INDEX(Listes!$K$15:$P$26,MATCH(AF$116,Listes!$K$15:$K$26,0),MATCH(AL$117,Listes!$K$15:$P$15,0))*INDEX(Listes!$K$29:$O$31,MATCH(AG$116,Listes!$K$29:$K$31,0),MATCH(AL$117,Listes!$K$29:$O$29,0)))</f>
        <v>0</v>
      </c>
      <c r="AM119" s="45">
        <f>IF(OR(AF$116=0,AF$116=""),0,AJ119*INDEX(Listes!$K$15:$P$26,MATCH(AF$116,Listes!$K$15:$K$26,0),MATCH(AM$117,Listes!$K$15:$P$15,0))*INDEX(Listes!$K$29:$O$31,MATCH(AG$116,Listes!$K$29:$K$31,0),MATCH(AM$117,Listes!$K$29:$O$29,0)))</f>
        <v>0</v>
      </c>
      <c r="AN119" s="45"/>
      <c r="AO119" s="472"/>
      <c r="AP119" s="3">
        <v>2</v>
      </c>
      <c r="AQ119" s="11">
        <f t="shared" si="73"/>
        <v>0</v>
      </c>
      <c r="AR119" s="11">
        <f t="shared" si="74"/>
        <v>0</v>
      </c>
      <c r="AS119" s="11">
        <f t="shared" si="75"/>
        <v>0</v>
      </c>
      <c r="AT119" s="11">
        <f>AQ119*VLOOKUP(AQ$117,Tableau17[],4,FALSE)+AR119*VLOOKUP(AR$117,Tableau17[],4,FALSE)+AS119*VLOOKUP(AS$117,Tableau17[],4,FALSE)</f>
        <v>0</v>
      </c>
      <c r="AU119" s="11">
        <f>AQ119*VLOOKUP(AQ$117,Tableau17[],3,FALSE)+AR119*VLOOKUP(AR$117,Tableau17[],3,FALSE)+AS119*VLOOKUP(AS$117,Tableau17[],3,FALSE)</f>
        <v>0</v>
      </c>
      <c r="AW119" s="11"/>
      <c r="AX119" s="113"/>
    </row>
    <row r="120" spans="1:52" x14ac:dyDescent="0.2">
      <c r="A120" s="472"/>
      <c r="B120" s="3">
        <v>3</v>
      </c>
      <c r="C120" s="45">
        <f t="shared" si="76"/>
        <v>0</v>
      </c>
      <c r="D120" s="11">
        <f t="shared" si="77"/>
        <v>0</v>
      </c>
      <c r="E120" s="45">
        <f>IF(OR(D120=0,D120="",B$116=0),0,D120*INDEX(Listes!$K$1:$Q$12,MATCH(B$116,Listes!$K$1:$K$12,0),MATCH(E$117,Listes!$K$1:$Q$1,0)))</f>
        <v>0</v>
      </c>
      <c r="F120" s="45">
        <f t="shared" si="78"/>
        <v>0</v>
      </c>
      <c r="G120" s="11">
        <f>IF(OR(B$116=0,B$116=""),0,F120*INDEX(Listes!$K$15:$P$26,MATCH(B$116,Listes!$K$15:$K$26,0),MATCH(G$117,Listes!$K$15:$P$15,0))*INDEX(Listes!$K$29:$O$31,MATCH(C$116,Listes!$K$29:$K$31,0),MATCH(G$117,Listes!$K$29:$O$29,0)))</f>
        <v>0</v>
      </c>
      <c r="H120" s="45">
        <f>IF(OR(B$116=0,B$116=""),0,F120*INDEX(Listes!$K$15:$P$26,MATCH(B$116,Listes!$K$15:$K$26,0),MATCH(H$117,Listes!$K$15:$P$15,0))*INDEX(Listes!$K$29:$O$31,MATCH(C$116,Listes!$K$29:$K$31,0),MATCH(H$117,Listes!$K$29:$O$29,0)))</f>
        <v>0</v>
      </c>
      <c r="I120" s="45">
        <f>IF(OR(B$116=0,B$116=""),0,F120*INDEX(Listes!$K$15:$P$26,MATCH(B$116,Listes!$K$15:$K$26,0),MATCH(I$117,Listes!$K$15:$P$15,0))*INDEX(Listes!$K$29:$O$31,MATCH(C$116,Listes!$K$29:$K$31,0),MATCH(I$117,Listes!$K$29:$O$29,0)))</f>
        <v>0</v>
      </c>
      <c r="K120" s="472"/>
      <c r="L120" s="3">
        <v>3</v>
      </c>
      <c r="M120" s="45">
        <f t="shared" si="64"/>
        <v>0</v>
      </c>
      <c r="N120" s="11">
        <f t="shared" si="65"/>
        <v>0</v>
      </c>
      <c r="O120" s="45">
        <f>IF(OR(N120=0,N120="",L$116=0),0,N120*INDEX(Listes!$K$1:$Q$12,MATCH(L$116,Listes!$K$1:$K$12,0),MATCH(O$117,Listes!$K$1:$Q$1,0)))</f>
        <v>0</v>
      </c>
      <c r="P120" s="45">
        <f t="shared" si="66"/>
        <v>0</v>
      </c>
      <c r="Q120" s="11">
        <f>IF(OR(L$116=0,L$116=""),0,P120*INDEX(Listes!$K$15:$P$26,MATCH(L$116,Listes!$K$15:$K$26,0),MATCH(Q$117,Listes!$K$15:$P$15,0))*INDEX(Listes!$K$29:$O$31,MATCH(M$116,Listes!$K$29:$K$31,0),MATCH(Q$117,Listes!$K$29:$O$29,0)))</f>
        <v>0</v>
      </c>
      <c r="R120" s="45">
        <f>IF(OR(L$116=0,L$116=""),0,P120*INDEX(Listes!$K$15:$P$26,MATCH(L$116,Listes!$K$15:$K$26,0),MATCH(R$117,Listes!$K$15:$P$15,0))*INDEX(Listes!$K$29:$O$31,MATCH(M$116,Listes!$K$29:$K$31,0),MATCH(R$117,Listes!$K$29:$O$29,0)))</f>
        <v>0</v>
      </c>
      <c r="S120" s="45">
        <f>IF(OR(L$116=0,L$116=""),0,P120*INDEX(Listes!$K$15:$P$26,MATCH(L$116,Listes!$K$15:$K$26,0),MATCH(S$117,Listes!$K$15:$P$15,0))*INDEX(Listes!$K$29:$O$31,MATCH(M$116,Listes!$K$29:$K$31,0),MATCH(S$117,Listes!$K$29:$O$29,0)))</f>
        <v>0</v>
      </c>
      <c r="U120" s="472"/>
      <c r="V120" s="3">
        <v>3</v>
      </c>
      <c r="W120" s="45">
        <f t="shared" si="67"/>
        <v>0</v>
      </c>
      <c r="X120" s="11">
        <f t="shared" si="68"/>
        <v>0</v>
      </c>
      <c r="Y120" s="45">
        <f>IF(OR(X120=0,X120="",V$116=0),0,X120*INDEX(Listes!$K$1:$Q$12,MATCH(V$116,Listes!$K$1:$K$12,0),MATCH(Y$117,Listes!$K$1:$Q$1,0)))</f>
        <v>0</v>
      </c>
      <c r="Z120" s="45">
        <f t="shared" si="69"/>
        <v>0</v>
      </c>
      <c r="AA120" s="11">
        <f>IF(OR(V$116=0,V$116=""),0,Z120*INDEX(Listes!$K$15:$P$26,MATCH(V$116,Listes!$K$15:$K$26,0),MATCH(AA$117,Listes!$K$15:$P$15,0))*INDEX(Listes!$K$29:$O$31,MATCH(W$116,Listes!$K$29:$K$31,0),MATCH(AA$117,Listes!$K$29:$O$29,0)))</f>
        <v>0</v>
      </c>
      <c r="AB120" s="45">
        <f>IF(OR(V$116=0,V$116=""),0,Z120*INDEX(Listes!$K$15:$P$26,MATCH(V$116,Listes!$K$15:$K$26,0),MATCH(AB$117,Listes!$K$15:$P$15,0))*INDEX(Listes!$K$29:$O$31,MATCH(W$116,Listes!$K$29:$K$31,0),MATCH(AB$117,Listes!$K$29:$O$29,0)))</f>
        <v>0</v>
      </c>
      <c r="AC120" s="45">
        <f>IF(OR(V$116=0,V$116=""),0,Z120*INDEX(Listes!$K$15:$P$26,MATCH(V$116,Listes!$K$15:$K$26,0),MATCH(AC$117,Listes!$K$15:$P$15,0))*INDEX(Listes!$K$29:$O$31,MATCH(W$116,Listes!$K$29:$K$31,0),MATCH(AC$117,Listes!$K$29:$O$29,0)))</f>
        <v>0</v>
      </c>
      <c r="AE120" s="472"/>
      <c r="AF120" s="3">
        <v>3</v>
      </c>
      <c r="AG120" s="45">
        <f t="shared" si="70"/>
        <v>0</v>
      </c>
      <c r="AH120" s="11">
        <f t="shared" si="71"/>
        <v>0</v>
      </c>
      <c r="AI120" s="45">
        <f>IF(OR(AH120=0,AH120="",AF$116=0),0,AH120*INDEX(Listes!$K$1:$Q$12,MATCH(AF$116,Listes!$K$1:$K$12,0),MATCH(AI$117,Listes!$K$1:$Q$1,0)))</f>
        <v>0</v>
      </c>
      <c r="AJ120" s="45">
        <f t="shared" si="72"/>
        <v>0</v>
      </c>
      <c r="AK120" s="11">
        <f>IF(OR(AF$116=0,AF$116=""),0,AJ120*INDEX(Listes!$K$15:$P$26,MATCH(AF$116,Listes!$K$15:$K$26,0),MATCH(AK$117,Listes!$K$15:$P$15,0))*INDEX(Listes!$K$29:$O$31,MATCH(AG$116,Listes!$K$29:$K$31,0),MATCH(AK$117,Listes!$K$29:$O$29,0)))</f>
        <v>0</v>
      </c>
      <c r="AL120" s="45">
        <f>IF(OR(AF$116=0,AF$116=""),0,AJ120*INDEX(Listes!$K$15:$P$26,MATCH(AF$116,Listes!$K$15:$K$26,0),MATCH(AL$117,Listes!$K$15:$P$15,0))*INDEX(Listes!$K$29:$O$31,MATCH(AG$116,Listes!$K$29:$K$31,0),MATCH(AL$117,Listes!$K$29:$O$29,0)))</f>
        <v>0</v>
      </c>
      <c r="AM120" s="45">
        <f>IF(OR(AF$116=0,AF$116=""),0,AJ120*INDEX(Listes!$K$15:$P$26,MATCH(AF$116,Listes!$K$15:$K$26,0),MATCH(AM$117,Listes!$K$15:$P$15,0))*INDEX(Listes!$K$29:$O$31,MATCH(AG$116,Listes!$K$29:$K$31,0),MATCH(AM$117,Listes!$K$29:$O$29,0)))</f>
        <v>0</v>
      </c>
      <c r="AN120" s="45"/>
      <c r="AO120" s="472"/>
      <c r="AP120" s="3">
        <v>3</v>
      </c>
      <c r="AQ120" s="11">
        <f t="shared" si="73"/>
        <v>0</v>
      </c>
      <c r="AR120" s="11">
        <f t="shared" si="74"/>
        <v>0</v>
      </c>
      <c r="AS120" s="11">
        <f t="shared" si="75"/>
        <v>0</v>
      </c>
      <c r="AT120" s="11">
        <f>AQ120*VLOOKUP(AQ$117,Tableau17[],4,FALSE)+AR120*VLOOKUP(AR$117,Tableau17[],4,FALSE)+AS120*VLOOKUP(AS$117,Tableau17[],4,FALSE)</f>
        <v>0</v>
      </c>
      <c r="AU120" s="11">
        <f>AQ120*VLOOKUP(AQ$117,Tableau17[],3,FALSE)+AR120*VLOOKUP(AR$117,Tableau17[],3,FALSE)+AS120*VLOOKUP(AS$117,Tableau17[],3,FALSE)</f>
        <v>0</v>
      </c>
      <c r="AW120" s="11"/>
      <c r="AX120" s="113"/>
    </row>
    <row r="121" spans="1:52" x14ac:dyDescent="0.2">
      <c r="A121" s="472"/>
      <c r="B121" s="3">
        <v>4</v>
      </c>
      <c r="C121" s="45">
        <f t="shared" si="76"/>
        <v>0</v>
      </c>
      <c r="D121" s="11">
        <f t="shared" si="77"/>
        <v>0</v>
      </c>
      <c r="E121" s="45">
        <f>IF(OR(D121=0,D121="",B$116=0),0,D121*INDEX(Listes!$K$1:$Q$12,MATCH(B$116,Listes!$K$1:$K$12,0),MATCH(E$117,Listes!$K$1:$Q$1,0)))</f>
        <v>0</v>
      </c>
      <c r="F121" s="45">
        <f t="shared" si="78"/>
        <v>0</v>
      </c>
      <c r="G121" s="11">
        <f>IF(OR(B$116=0,B$116=""),0,F121*INDEX(Listes!$K$15:$P$26,MATCH(B$116,Listes!$K$15:$K$26,0),MATCH(G$117,Listes!$K$15:$P$15,0))*INDEX(Listes!$K$29:$O$31,MATCH(C$116,Listes!$K$29:$K$31,0),MATCH(G$117,Listes!$K$29:$O$29,0)))</f>
        <v>0</v>
      </c>
      <c r="H121" s="45">
        <f>IF(OR(B$116=0,B$116=""),0,F121*INDEX(Listes!$K$15:$P$26,MATCH(B$116,Listes!$K$15:$K$26,0),MATCH(H$117,Listes!$K$15:$P$15,0))*INDEX(Listes!$K$29:$O$31,MATCH(C$116,Listes!$K$29:$K$31,0),MATCH(H$117,Listes!$K$29:$O$29,0)))</f>
        <v>0</v>
      </c>
      <c r="I121" s="45">
        <f>IF(OR(B$116=0,B$116=""),0,F121*INDEX(Listes!$K$15:$P$26,MATCH(B$116,Listes!$K$15:$K$26,0),MATCH(I$117,Listes!$K$15:$P$15,0))*INDEX(Listes!$K$29:$O$31,MATCH(C$116,Listes!$K$29:$K$31,0),MATCH(I$117,Listes!$K$29:$O$29,0)))</f>
        <v>0</v>
      </c>
      <c r="K121" s="472"/>
      <c r="L121" s="3">
        <v>4</v>
      </c>
      <c r="M121" s="45">
        <f t="shared" si="64"/>
        <v>0</v>
      </c>
      <c r="N121" s="11">
        <f t="shared" si="65"/>
        <v>0</v>
      </c>
      <c r="O121" s="45">
        <f>IF(OR(N121=0,N121="",L$116=0),0,N121*INDEX(Listes!$K$1:$Q$12,MATCH(L$116,Listes!$K$1:$K$12,0),MATCH(O$117,Listes!$K$1:$Q$1,0)))</f>
        <v>0</v>
      </c>
      <c r="P121" s="45">
        <f t="shared" si="66"/>
        <v>0</v>
      </c>
      <c r="Q121" s="11">
        <f>IF(OR(L$116=0,L$116=""),0,P121*INDEX(Listes!$K$15:$P$26,MATCH(L$116,Listes!$K$15:$K$26,0),MATCH(Q$117,Listes!$K$15:$P$15,0))*INDEX(Listes!$K$29:$O$31,MATCH(M$116,Listes!$K$29:$K$31,0),MATCH(Q$117,Listes!$K$29:$O$29,0)))</f>
        <v>0</v>
      </c>
      <c r="R121" s="45">
        <f>IF(OR(L$116=0,L$116=""),0,P121*INDEX(Listes!$K$15:$P$26,MATCH(L$116,Listes!$K$15:$K$26,0),MATCH(R$117,Listes!$K$15:$P$15,0))*INDEX(Listes!$K$29:$O$31,MATCH(M$116,Listes!$K$29:$K$31,0),MATCH(R$117,Listes!$K$29:$O$29,0)))</f>
        <v>0</v>
      </c>
      <c r="S121" s="45">
        <f>IF(OR(L$116=0,L$116=""),0,P121*INDEX(Listes!$K$15:$P$26,MATCH(L$116,Listes!$K$15:$K$26,0),MATCH(S$117,Listes!$K$15:$P$15,0))*INDEX(Listes!$K$29:$O$31,MATCH(M$116,Listes!$K$29:$K$31,0),MATCH(S$117,Listes!$K$29:$O$29,0)))</f>
        <v>0</v>
      </c>
      <c r="U121" s="472"/>
      <c r="V121" s="3">
        <v>4</v>
      </c>
      <c r="W121" s="45">
        <f t="shared" si="67"/>
        <v>0</v>
      </c>
      <c r="X121" s="11">
        <f t="shared" si="68"/>
        <v>0</v>
      </c>
      <c r="Y121" s="45">
        <f>IF(OR(X121=0,X121="",V$116=0),0,X121*INDEX(Listes!$K$1:$Q$12,MATCH(V$116,Listes!$K$1:$K$12,0),MATCH(Y$117,Listes!$K$1:$Q$1,0)))</f>
        <v>0</v>
      </c>
      <c r="Z121" s="45">
        <f t="shared" si="69"/>
        <v>0</v>
      </c>
      <c r="AA121" s="11">
        <f>IF(OR(V$116=0,V$116=""),0,Z121*INDEX(Listes!$K$15:$P$26,MATCH(V$116,Listes!$K$15:$K$26,0),MATCH(AA$117,Listes!$K$15:$P$15,0))*INDEX(Listes!$K$29:$O$31,MATCH(W$116,Listes!$K$29:$K$31,0),MATCH(AA$117,Listes!$K$29:$O$29,0)))</f>
        <v>0</v>
      </c>
      <c r="AB121" s="45">
        <f>IF(OR(V$116=0,V$116=""),0,Z121*INDEX(Listes!$K$15:$P$26,MATCH(V$116,Listes!$K$15:$K$26,0),MATCH(AB$117,Listes!$K$15:$P$15,0))*INDEX(Listes!$K$29:$O$31,MATCH(W$116,Listes!$K$29:$K$31,0),MATCH(AB$117,Listes!$K$29:$O$29,0)))</f>
        <v>0</v>
      </c>
      <c r="AC121" s="45">
        <f>IF(OR(V$116=0,V$116=""),0,Z121*INDEX(Listes!$K$15:$P$26,MATCH(V$116,Listes!$K$15:$K$26,0),MATCH(AC$117,Listes!$K$15:$P$15,0))*INDEX(Listes!$K$29:$O$31,MATCH(W$116,Listes!$K$29:$K$31,0),MATCH(AC$117,Listes!$K$29:$O$29,0)))</f>
        <v>0</v>
      </c>
      <c r="AE121" s="472"/>
      <c r="AF121" s="3">
        <v>4</v>
      </c>
      <c r="AG121" s="45">
        <f t="shared" si="70"/>
        <v>0</v>
      </c>
      <c r="AH121" s="11">
        <f t="shared" si="71"/>
        <v>0</v>
      </c>
      <c r="AI121" s="45">
        <f>IF(OR(AH121=0,AH121="",AF$116=0),0,AH121*INDEX(Listes!$K$1:$Q$12,MATCH(AF$116,Listes!$K$1:$K$12,0),MATCH(AI$117,Listes!$K$1:$Q$1,0)))</f>
        <v>0</v>
      </c>
      <c r="AJ121" s="45">
        <f t="shared" si="72"/>
        <v>0</v>
      </c>
      <c r="AK121" s="11">
        <f>IF(OR(AF$116=0,AF$116=""),0,AJ121*INDEX(Listes!$K$15:$P$26,MATCH(AF$116,Listes!$K$15:$K$26,0),MATCH(AK$117,Listes!$K$15:$P$15,0))*INDEX(Listes!$K$29:$O$31,MATCH(AG$116,Listes!$K$29:$K$31,0),MATCH(AK$117,Listes!$K$29:$O$29,0)))</f>
        <v>0</v>
      </c>
      <c r="AL121" s="45">
        <f>IF(OR(AF$116=0,AF$116=""),0,AJ121*INDEX(Listes!$K$15:$P$26,MATCH(AF$116,Listes!$K$15:$K$26,0),MATCH(AL$117,Listes!$K$15:$P$15,0))*INDEX(Listes!$K$29:$O$31,MATCH(AG$116,Listes!$K$29:$K$31,0),MATCH(AL$117,Listes!$K$29:$O$29,0)))</f>
        <v>0</v>
      </c>
      <c r="AM121" s="45">
        <f>IF(OR(AF$116=0,AF$116=""),0,AJ121*INDEX(Listes!$K$15:$P$26,MATCH(AF$116,Listes!$K$15:$K$26,0),MATCH(AM$117,Listes!$K$15:$P$15,0))*INDEX(Listes!$K$29:$O$31,MATCH(AG$116,Listes!$K$29:$K$31,0),MATCH(AM$117,Listes!$K$29:$O$29,0)))</f>
        <v>0</v>
      </c>
      <c r="AN121" s="45"/>
      <c r="AO121" s="472"/>
      <c r="AP121" s="3">
        <v>4</v>
      </c>
      <c r="AQ121" s="11">
        <f t="shared" si="73"/>
        <v>0</v>
      </c>
      <c r="AR121" s="11">
        <f t="shared" si="74"/>
        <v>0</v>
      </c>
      <c r="AS121" s="11">
        <f t="shared" si="75"/>
        <v>0</v>
      </c>
      <c r="AT121" s="11">
        <f>AQ121*VLOOKUP(AQ$117,Tableau17[],4,FALSE)+AR121*VLOOKUP(AR$117,Tableau17[],4,FALSE)+AS121*VLOOKUP(AS$117,Tableau17[],4,FALSE)</f>
        <v>0</v>
      </c>
      <c r="AU121" s="11">
        <f>AQ121*VLOOKUP(AQ$117,Tableau17[],3,FALSE)+AR121*VLOOKUP(AR$117,Tableau17[],3,FALSE)+AS121*VLOOKUP(AS$117,Tableau17[],3,FALSE)</f>
        <v>0</v>
      </c>
      <c r="AW121" s="11"/>
      <c r="AX121" s="113"/>
    </row>
    <row r="122" spans="1:52" x14ac:dyDescent="0.2">
      <c r="A122" s="472"/>
      <c r="B122" s="3">
        <v>5</v>
      </c>
      <c r="C122" s="45">
        <f t="shared" si="76"/>
        <v>0</v>
      </c>
      <c r="D122" s="11">
        <f t="shared" si="77"/>
        <v>0</v>
      </c>
      <c r="E122" s="45">
        <f>IF(OR(D122=0,D122="",B$116=0),0,D122*INDEX(Listes!$K$1:$Q$12,MATCH(B$116,Listes!$K$1:$K$12,0),MATCH(E$117,Listes!$K$1:$Q$1,0)))</f>
        <v>0</v>
      </c>
      <c r="F122" s="45">
        <f t="shared" si="78"/>
        <v>0</v>
      </c>
      <c r="G122" s="11">
        <f>IF(OR(B$116=0,B$116=""),0,F122*INDEX(Listes!$K$15:$P$26,MATCH(B$116,Listes!$K$15:$K$26,0),MATCH(G$117,Listes!$K$15:$P$15,0))*INDEX(Listes!$K$29:$O$31,MATCH(C$116,Listes!$K$29:$K$31,0),MATCH(G$117,Listes!$K$29:$O$29,0)))</f>
        <v>0</v>
      </c>
      <c r="H122" s="45">
        <f>IF(OR(B$116=0,B$116=""),0,F122*INDEX(Listes!$K$15:$P$26,MATCH(B$116,Listes!$K$15:$K$26,0),MATCH(H$117,Listes!$K$15:$P$15,0))*INDEX(Listes!$K$29:$O$31,MATCH(C$116,Listes!$K$29:$K$31,0),MATCH(H$117,Listes!$K$29:$O$29,0)))</f>
        <v>0</v>
      </c>
      <c r="I122" s="45">
        <f>IF(OR(B$116=0,B$116=""),0,F122*INDEX(Listes!$K$15:$P$26,MATCH(B$116,Listes!$K$15:$K$26,0),MATCH(I$117,Listes!$K$15:$P$15,0))*INDEX(Listes!$K$29:$O$31,MATCH(C$116,Listes!$K$29:$K$31,0),MATCH(I$117,Listes!$K$29:$O$29,0)))</f>
        <v>0</v>
      </c>
      <c r="K122" s="472"/>
      <c r="L122" s="3">
        <v>5</v>
      </c>
      <c r="M122" s="45">
        <f t="shared" si="64"/>
        <v>0</v>
      </c>
      <c r="N122" s="11">
        <f t="shared" si="65"/>
        <v>0</v>
      </c>
      <c r="O122" s="45">
        <f>IF(OR(N122=0,N122="",L$116=0),0,N122*INDEX(Listes!$K$1:$Q$12,MATCH(L$116,Listes!$K$1:$K$12,0),MATCH(O$117,Listes!$K$1:$Q$1,0)))</f>
        <v>0</v>
      </c>
      <c r="P122" s="45">
        <f t="shared" si="66"/>
        <v>0</v>
      </c>
      <c r="Q122" s="11">
        <f>IF(OR(L$116=0,L$116=""),0,P122*INDEX(Listes!$K$15:$P$26,MATCH(L$116,Listes!$K$15:$K$26,0),MATCH(Q$117,Listes!$K$15:$P$15,0))*INDEX(Listes!$K$29:$O$31,MATCH(M$116,Listes!$K$29:$K$31,0),MATCH(Q$117,Listes!$K$29:$O$29,0)))</f>
        <v>0</v>
      </c>
      <c r="R122" s="45">
        <f>IF(OR(L$116=0,L$116=""),0,P122*INDEX(Listes!$K$15:$P$26,MATCH(L$116,Listes!$K$15:$K$26,0),MATCH(R$117,Listes!$K$15:$P$15,0))*INDEX(Listes!$K$29:$O$31,MATCH(M$116,Listes!$K$29:$K$31,0),MATCH(R$117,Listes!$K$29:$O$29,0)))</f>
        <v>0</v>
      </c>
      <c r="S122" s="45">
        <f>IF(OR(L$116=0,L$116=""),0,P122*INDEX(Listes!$K$15:$P$26,MATCH(L$116,Listes!$K$15:$K$26,0),MATCH(S$117,Listes!$K$15:$P$15,0))*INDEX(Listes!$K$29:$O$31,MATCH(M$116,Listes!$K$29:$K$31,0),MATCH(S$117,Listes!$K$29:$O$29,0)))</f>
        <v>0</v>
      </c>
      <c r="U122" s="472"/>
      <c r="V122" s="3">
        <v>5</v>
      </c>
      <c r="W122" s="45">
        <f t="shared" si="67"/>
        <v>0</v>
      </c>
      <c r="X122" s="11">
        <f t="shared" si="68"/>
        <v>0</v>
      </c>
      <c r="Y122" s="45">
        <f>IF(OR(X122=0,X122="",V$116=0),0,X122*INDEX(Listes!$K$1:$Q$12,MATCH(V$116,Listes!$K$1:$K$12,0),MATCH(Y$117,Listes!$K$1:$Q$1,0)))</f>
        <v>0</v>
      </c>
      <c r="Z122" s="45">
        <f t="shared" si="69"/>
        <v>0</v>
      </c>
      <c r="AA122" s="11">
        <f>IF(OR(V$116=0,V$116=""),0,Z122*INDEX(Listes!$K$15:$P$26,MATCH(V$116,Listes!$K$15:$K$26,0),MATCH(AA$117,Listes!$K$15:$P$15,0))*INDEX(Listes!$K$29:$O$31,MATCH(W$116,Listes!$K$29:$K$31,0),MATCH(AA$117,Listes!$K$29:$O$29,0)))</f>
        <v>0</v>
      </c>
      <c r="AB122" s="45">
        <f>IF(OR(V$116=0,V$116=""),0,Z122*INDEX(Listes!$K$15:$P$26,MATCH(V$116,Listes!$K$15:$K$26,0),MATCH(AB$117,Listes!$K$15:$P$15,0))*INDEX(Listes!$K$29:$O$31,MATCH(W$116,Listes!$K$29:$K$31,0),MATCH(AB$117,Listes!$K$29:$O$29,0)))</f>
        <v>0</v>
      </c>
      <c r="AC122" s="45">
        <f>IF(OR(V$116=0,V$116=""),0,Z122*INDEX(Listes!$K$15:$P$26,MATCH(V$116,Listes!$K$15:$K$26,0),MATCH(AC$117,Listes!$K$15:$P$15,0))*INDEX(Listes!$K$29:$O$31,MATCH(W$116,Listes!$K$29:$K$31,0),MATCH(AC$117,Listes!$K$29:$O$29,0)))</f>
        <v>0</v>
      </c>
      <c r="AE122" s="472"/>
      <c r="AF122" s="3">
        <v>5</v>
      </c>
      <c r="AG122" s="45">
        <f t="shared" si="70"/>
        <v>0</v>
      </c>
      <c r="AH122" s="11">
        <f t="shared" si="71"/>
        <v>0</v>
      </c>
      <c r="AI122" s="45">
        <f>IF(OR(AH122=0,AH122="",AF$116=0),0,AH122*INDEX(Listes!$K$1:$Q$12,MATCH(AF$116,Listes!$K$1:$K$12,0),MATCH(AI$117,Listes!$K$1:$Q$1,0)))</f>
        <v>0</v>
      </c>
      <c r="AJ122" s="45">
        <f t="shared" si="72"/>
        <v>0</v>
      </c>
      <c r="AK122" s="11">
        <f>IF(OR(AF$116=0,AF$116=""),0,AJ122*INDEX(Listes!$K$15:$P$26,MATCH(AF$116,Listes!$K$15:$K$26,0),MATCH(AK$117,Listes!$K$15:$P$15,0))*INDEX(Listes!$K$29:$O$31,MATCH(AG$116,Listes!$K$29:$K$31,0),MATCH(AK$117,Listes!$K$29:$O$29,0)))</f>
        <v>0</v>
      </c>
      <c r="AL122" s="45">
        <f>IF(OR(AF$116=0,AF$116=""),0,AJ122*INDEX(Listes!$K$15:$P$26,MATCH(AF$116,Listes!$K$15:$K$26,0),MATCH(AL$117,Listes!$K$15:$P$15,0))*INDEX(Listes!$K$29:$O$31,MATCH(AG$116,Listes!$K$29:$K$31,0),MATCH(AL$117,Listes!$K$29:$O$29,0)))</f>
        <v>0</v>
      </c>
      <c r="AM122" s="45">
        <f>IF(OR(AF$116=0,AF$116=""),0,AJ122*INDEX(Listes!$K$15:$P$26,MATCH(AF$116,Listes!$K$15:$K$26,0),MATCH(AM$117,Listes!$K$15:$P$15,0))*INDEX(Listes!$K$29:$O$31,MATCH(AG$116,Listes!$K$29:$K$31,0),MATCH(AM$117,Listes!$K$29:$O$29,0)))</f>
        <v>0</v>
      </c>
      <c r="AN122" s="45"/>
      <c r="AO122" s="472"/>
      <c r="AP122" s="3">
        <v>5</v>
      </c>
      <c r="AQ122" s="11">
        <f t="shared" si="73"/>
        <v>0</v>
      </c>
      <c r="AR122" s="11">
        <f t="shared" si="74"/>
        <v>0</v>
      </c>
      <c r="AS122" s="11">
        <f t="shared" si="75"/>
        <v>0</v>
      </c>
      <c r="AT122" s="11">
        <f>AQ122*VLOOKUP(AQ$117,Tableau17[],4,FALSE)+AR122*VLOOKUP(AR$117,Tableau17[],4,FALSE)+AS122*VLOOKUP(AS$117,Tableau17[],4,FALSE)</f>
        <v>0</v>
      </c>
      <c r="AU122" s="11">
        <f>AQ122*VLOOKUP(AQ$117,Tableau17[],3,FALSE)+AR122*VLOOKUP(AR$117,Tableau17[],3,FALSE)+AS122*VLOOKUP(AS$117,Tableau17[],3,FALSE)</f>
        <v>0</v>
      </c>
      <c r="AW122" s="11"/>
      <c r="AX122" s="113"/>
    </row>
    <row r="123" spans="1:52" x14ac:dyDescent="0.2">
      <c r="A123" s="472"/>
      <c r="B123" s="3">
        <v>6</v>
      </c>
      <c r="C123" s="45">
        <f t="shared" si="76"/>
        <v>0</v>
      </c>
      <c r="D123" s="11">
        <f t="shared" si="77"/>
        <v>0</v>
      </c>
      <c r="E123" s="45">
        <f>IF(OR(D123=0,D123="",B$116=0),0,D123*INDEX(Listes!$K$1:$Q$12,MATCH(B$116,Listes!$K$1:$K$12,0),MATCH(E$117,Listes!$K$1:$Q$1,0)))</f>
        <v>0</v>
      </c>
      <c r="F123" s="45">
        <f t="shared" si="78"/>
        <v>0</v>
      </c>
      <c r="G123" s="11">
        <f>IF(OR(B$116=0,B$116=""),0,F123*INDEX(Listes!$K$15:$P$26,MATCH(B$116,Listes!$K$15:$K$26,0),MATCH(G$117,Listes!$K$15:$P$15,0))*INDEX(Listes!$K$29:$O$31,MATCH(C$116,Listes!$K$29:$K$31,0),MATCH(G$117,Listes!$K$29:$O$29,0)))</f>
        <v>0</v>
      </c>
      <c r="H123" s="45">
        <f>IF(OR(B$116=0,B$116=""),0,F123*INDEX(Listes!$K$15:$P$26,MATCH(B$116,Listes!$K$15:$K$26,0),MATCH(H$117,Listes!$K$15:$P$15,0))*INDEX(Listes!$K$29:$O$31,MATCH(C$116,Listes!$K$29:$K$31,0),MATCH(H$117,Listes!$K$29:$O$29,0)))</f>
        <v>0</v>
      </c>
      <c r="I123" s="45">
        <f>IF(OR(B$116=0,B$116=""),0,F123*INDEX(Listes!$K$15:$P$26,MATCH(B$116,Listes!$K$15:$K$26,0),MATCH(I$117,Listes!$K$15:$P$15,0))*INDEX(Listes!$K$29:$O$31,MATCH(C$116,Listes!$K$29:$K$31,0),MATCH(I$117,Listes!$K$29:$O$29,0)))</f>
        <v>0</v>
      </c>
      <c r="K123" s="472"/>
      <c r="L123" s="3">
        <v>6</v>
      </c>
      <c r="M123" s="45">
        <f t="shared" si="64"/>
        <v>0</v>
      </c>
      <c r="N123" s="11">
        <f t="shared" si="65"/>
        <v>0</v>
      </c>
      <c r="O123" s="45">
        <f>IF(OR(N123=0,N123="",L$116=0),0,N123*INDEX(Listes!$K$1:$Q$12,MATCH(L$116,Listes!$K$1:$K$12,0),MATCH(O$117,Listes!$K$1:$Q$1,0)))</f>
        <v>0</v>
      </c>
      <c r="P123" s="45">
        <f t="shared" si="66"/>
        <v>0</v>
      </c>
      <c r="Q123" s="11">
        <f>IF(OR(L$116=0,L$116=""),0,P123*INDEX(Listes!$K$15:$P$26,MATCH(L$116,Listes!$K$15:$K$26,0),MATCH(Q$117,Listes!$K$15:$P$15,0))*INDEX(Listes!$K$29:$O$31,MATCH(M$116,Listes!$K$29:$K$31,0),MATCH(Q$117,Listes!$K$29:$O$29,0)))</f>
        <v>0</v>
      </c>
      <c r="R123" s="45">
        <f>IF(OR(L$116=0,L$116=""),0,P123*INDEX(Listes!$K$15:$P$26,MATCH(L$116,Listes!$K$15:$K$26,0),MATCH(R$117,Listes!$K$15:$P$15,0))*INDEX(Listes!$K$29:$O$31,MATCH(M$116,Listes!$K$29:$K$31,0),MATCH(R$117,Listes!$K$29:$O$29,0)))</f>
        <v>0</v>
      </c>
      <c r="S123" s="45">
        <f>IF(OR(L$116=0,L$116=""),0,P123*INDEX(Listes!$K$15:$P$26,MATCH(L$116,Listes!$K$15:$K$26,0),MATCH(S$117,Listes!$K$15:$P$15,0))*INDEX(Listes!$K$29:$O$31,MATCH(M$116,Listes!$K$29:$K$31,0),MATCH(S$117,Listes!$K$29:$O$29,0)))</f>
        <v>0</v>
      </c>
      <c r="U123" s="472"/>
      <c r="V123" s="3">
        <v>6</v>
      </c>
      <c r="W123" s="45">
        <f t="shared" si="67"/>
        <v>0</v>
      </c>
      <c r="X123" s="11">
        <f t="shared" si="68"/>
        <v>0</v>
      </c>
      <c r="Y123" s="45">
        <f>IF(OR(X123=0,X123="",V$116=0),0,X123*INDEX(Listes!$K$1:$Q$12,MATCH(V$116,Listes!$K$1:$K$12,0),MATCH(Y$117,Listes!$K$1:$Q$1,0)))</f>
        <v>0</v>
      </c>
      <c r="Z123" s="45">
        <f t="shared" si="69"/>
        <v>0</v>
      </c>
      <c r="AA123" s="11">
        <f>IF(OR(V$116=0,V$116=""),0,Z123*INDEX(Listes!$K$15:$P$26,MATCH(V$116,Listes!$K$15:$K$26,0),MATCH(AA$117,Listes!$K$15:$P$15,0))*INDEX(Listes!$K$29:$O$31,MATCH(W$116,Listes!$K$29:$K$31,0),MATCH(AA$117,Listes!$K$29:$O$29,0)))</f>
        <v>0</v>
      </c>
      <c r="AB123" s="45">
        <f>IF(OR(V$116=0,V$116=""),0,Z123*INDEX(Listes!$K$15:$P$26,MATCH(V$116,Listes!$K$15:$K$26,0),MATCH(AB$117,Listes!$K$15:$P$15,0))*INDEX(Listes!$K$29:$O$31,MATCH(W$116,Listes!$K$29:$K$31,0),MATCH(AB$117,Listes!$K$29:$O$29,0)))</f>
        <v>0</v>
      </c>
      <c r="AC123" s="45">
        <f>IF(OR(V$116=0,V$116=""),0,Z123*INDEX(Listes!$K$15:$P$26,MATCH(V$116,Listes!$K$15:$K$26,0),MATCH(AC$117,Listes!$K$15:$P$15,0))*INDEX(Listes!$K$29:$O$31,MATCH(W$116,Listes!$K$29:$K$31,0),MATCH(AC$117,Listes!$K$29:$O$29,0)))</f>
        <v>0</v>
      </c>
      <c r="AE123" s="472"/>
      <c r="AF123" s="3">
        <v>6</v>
      </c>
      <c r="AG123" s="45">
        <f t="shared" si="70"/>
        <v>0</v>
      </c>
      <c r="AH123" s="11">
        <f t="shared" si="71"/>
        <v>0</v>
      </c>
      <c r="AI123" s="45">
        <f>IF(OR(AH123=0,AH123="",AF$116=0),0,AH123*INDEX(Listes!$K$1:$Q$12,MATCH(AF$116,Listes!$K$1:$K$12,0),MATCH(AI$117,Listes!$K$1:$Q$1,0)))</f>
        <v>0</v>
      </c>
      <c r="AJ123" s="45">
        <f t="shared" si="72"/>
        <v>0</v>
      </c>
      <c r="AK123" s="11">
        <f>IF(OR(AF$116=0,AF$116=""),0,AJ123*INDEX(Listes!$K$15:$P$26,MATCH(AF$116,Listes!$K$15:$K$26,0),MATCH(AK$117,Listes!$K$15:$P$15,0))*INDEX(Listes!$K$29:$O$31,MATCH(AG$116,Listes!$K$29:$K$31,0),MATCH(AK$117,Listes!$K$29:$O$29,0)))</f>
        <v>0</v>
      </c>
      <c r="AL123" s="45">
        <f>IF(OR(AF$116=0,AF$116=""),0,AJ123*INDEX(Listes!$K$15:$P$26,MATCH(AF$116,Listes!$K$15:$K$26,0),MATCH(AL$117,Listes!$K$15:$P$15,0))*INDEX(Listes!$K$29:$O$31,MATCH(AG$116,Listes!$K$29:$K$31,0),MATCH(AL$117,Listes!$K$29:$O$29,0)))</f>
        <v>0</v>
      </c>
      <c r="AM123" s="45">
        <f>IF(OR(AF$116=0,AF$116=""),0,AJ123*INDEX(Listes!$K$15:$P$26,MATCH(AF$116,Listes!$K$15:$K$26,0),MATCH(AM$117,Listes!$K$15:$P$15,0))*INDEX(Listes!$K$29:$O$31,MATCH(AG$116,Listes!$K$29:$K$31,0),MATCH(AM$117,Listes!$K$29:$O$29,0)))</f>
        <v>0</v>
      </c>
      <c r="AN123" s="45"/>
      <c r="AO123" s="472"/>
      <c r="AP123" s="3">
        <v>6</v>
      </c>
      <c r="AQ123" s="11">
        <f t="shared" si="73"/>
        <v>0</v>
      </c>
      <c r="AR123" s="11">
        <f t="shared" si="74"/>
        <v>0</v>
      </c>
      <c r="AS123" s="11">
        <f t="shared" si="75"/>
        <v>0</v>
      </c>
      <c r="AT123" s="11">
        <f>AQ123*VLOOKUP(AQ$117,Tableau17[],4,FALSE)+AR123*VLOOKUP(AR$117,Tableau17[],4,FALSE)+AS123*VLOOKUP(AS$117,Tableau17[],4,FALSE)</f>
        <v>0</v>
      </c>
      <c r="AU123" s="11">
        <f>AQ123*VLOOKUP(AQ$117,Tableau17[],3,FALSE)+AR123*VLOOKUP(AR$117,Tableau17[],3,FALSE)+AS123*VLOOKUP(AS$117,Tableau17[],3,FALSE)</f>
        <v>0</v>
      </c>
      <c r="AW123" s="11"/>
      <c r="AX123" s="113"/>
    </row>
    <row r="124" spans="1:52" x14ac:dyDescent="0.2">
      <c r="A124" s="472"/>
      <c r="B124" s="3">
        <v>7</v>
      </c>
      <c r="C124" s="45">
        <f t="shared" si="76"/>
        <v>0</v>
      </c>
      <c r="D124" s="11">
        <f t="shared" si="77"/>
        <v>0</v>
      </c>
      <c r="E124" s="45">
        <f>IF(OR(D124=0,D124="",B$116=0),0,D124*INDEX(Listes!$K$1:$Q$12,MATCH(B$116,Listes!$K$1:$K$12,0),MATCH(E$117,Listes!$K$1:$Q$1,0)))</f>
        <v>0</v>
      </c>
      <c r="F124" s="45">
        <f t="shared" si="78"/>
        <v>0</v>
      </c>
      <c r="G124" s="11">
        <f>IF(OR(B$116=0,B$116=""),0,F124*INDEX(Listes!$K$15:$P$26,MATCH(B$116,Listes!$K$15:$K$26,0),MATCH(G$117,Listes!$K$15:$P$15,0))*INDEX(Listes!$K$29:$O$31,MATCH(C$116,Listes!$K$29:$K$31,0),MATCH(G$117,Listes!$K$29:$O$29,0)))</f>
        <v>0</v>
      </c>
      <c r="H124" s="45">
        <f>IF(OR(B$116=0,B$116=""),0,F124*INDEX(Listes!$K$15:$P$26,MATCH(B$116,Listes!$K$15:$K$26,0),MATCH(H$117,Listes!$K$15:$P$15,0))*INDEX(Listes!$K$29:$O$31,MATCH(C$116,Listes!$K$29:$K$31,0),MATCH(H$117,Listes!$K$29:$O$29,0)))</f>
        <v>0</v>
      </c>
      <c r="I124" s="45">
        <f>IF(OR(B$116=0,B$116=""),0,F124*INDEX(Listes!$K$15:$P$26,MATCH(B$116,Listes!$K$15:$K$26,0),MATCH(I$117,Listes!$K$15:$P$15,0))*INDEX(Listes!$K$29:$O$31,MATCH(C$116,Listes!$K$29:$K$31,0),MATCH(I$117,Listes!$K$29:$O$29,0)))</f>
        <v>0</v>
      </c>
      <c r="K124" s="472"/>
      <c r="L124" s="3">
        <v>7</v>
      </c>
      <c r="M124" s="45">
        <f t="shared" si="64"/>
        <v>0</v>
      </c>
      <c r="N124" s="11">
        <f t="shared" si="65"/>
        <v>0</v>
      </c>
      <c r="O124" s="45">
        <f>IF(OR(N124=0,N124="",L$116=0),0,N124*INDEX(Listes!$K$1:$Q$12,MATCH(L$116,Listes!$K$1:$K$12,0),MATCH(O$117,Listes!$K$1:$Q$1,0)))</f>
        <v>0</v>
      </c>
      <c r="P124" s="45">
        <f t="shared" si="66"/>
        <v>0</v>
      </c>
      <c r="Q124" s="11">
        <f>IF(OR(L$116=0,L$116=""),0,P124*INDEX(Listes!$K$15:$P$26,MATCH(L$116,Listes!$K$15:$K$26,0),MATCH(Q$117,Listes!$K$15:$P$15,0))*INDEX(Listes!$K$29:$O$31,MATCH(M$116,Listes!$K$29:$K$31,0),MATCH(Q$117,Listes!$K$29:$O$29,0)))</f>
        <v>0</v>
      </c>
      <c r="R124" s="45">
        <f>IF(OR(L$116=0,L$116=""),0,P124*INDEX(Listes!$K$15:$P$26,MATCH(L$116,Listes!$K$15:$K$26,0),MATCH(R$117,Listes!$K$15:$P$15,0))*INDEX(Listes!$K$29:$O$31,MATCH(M$116,Listes!$K$29:$K$31,0),MATCH(R$117,Listes!$K$29:$O$29,0)))</f>
        <v>0</v>
      </c>
      <c r="S124" s="45">
        <f>IF(OR(L$116=0,L$116=""),0,P124*INDEX(Listes!$K$15:$P$26,MATCH(L$116,Listes!$K$15:$K$26,0),MATCH(S$117,Listes!$K$15:$P$15,0))*INDEX(Listes!$K$29:$O$31,MATCH(M$116,Listes!$K$29:$K$31,0),MATCH(S$117,Listes!$K$29:$O$29,0)))</f>
        <v>0</v>
      </c>
      <c r="U124" s="472"/>
      <c r="V124" s="3">
        <v>7</v>
      </c>
      <c r="W124" s="45">
        <f t="shared" si="67"/>
        <v>0</v>
      </c>
      <c r="X124" s="11">
        <f t="shared" si="68"/>
        <v>0</v>
      </c>
      <c r="Y124" s="45">
        <f>IF(OR(X124=0,X124="",V$116=0),0,X124*INDEX(Listes!$K$1:$Q$12,MATCH(V$116,Listes!$K$1:$K$12,0),MATCH(Y$117,Listes!$K$1:$Q$1,0)))</f>
        <v>0</v>
      </c>
      <c r="Z124" s="45">
        <f t="shared" si="69"/>
        <v>0</v>
      </c>
      <c r="AA124" s="11">
        <f>IF(OR(V$116=0,V$116=""),0,Z124*INDEX(Listes!$K$15:$P$26,MATCH(V$116,Listes!$K$15:$K$26,0),MATCH(AA$117,Listes!$K$15:$P$15,0))*INDEX(Listes!$K$29:$O$31,MATCH(W$116,Listes!$K$29:$K$31,0),MATCH(AA$117,Listes!$K$29:$O$29,0)))</f>
        <v>0</v>
      </c>
      <c r="AB124" s="45">
        <f>IF(OR(V$116=0,V$116=""),0,Z124*INDEX(Listes!$K$15:$P$26,MATCH(V$116,Listes!$K$15:$K$26,0),MATCH(AB$117,Listes!$K$15:$P$15,0))*INDEX(Listes!$K$29:$O$31,MATCH(W$116,Listes!$K$29:$K$31,0),MATCH(AB$117,Listes!$K$29:$O$29,0)))</f>
        <v>0</v>
      </c>
      <c r="AC124" s="45">
        <f>IF(OR(V$116=0,V$116=""),0,Z124*INDEX(Listes!$K$15:$P$26,MATCH(V$116,Listes!$K$15:$K$26,0),MATCH(AC$117,Listes!$K$15:$P$15,0))*INDEX(Listes!$K$29:$O$31,MATCH(W$116,Listes!$K$29:$K$31,0),MATCH(AC$117,Listes!$K$29:$O$29,0)))</f>
        <v>0</v>
      </c>
      <c r="AE124" s="472"/>
      <c r="AF124" s="3">
        <v>7</v>
      </c>
      <c r="AG124" s="45">
        <f t="shared" si="70"/>
        <v>0</v>
      </c>
      <c r="AH124" s="11">
        <f t="shared" si="71"/>
        <v>0</v>
      </c>
      <c r="AI124" s="45">
        <f>IF(OR(AH124=0,AH124="",AF$116=0),0,AH124*INDEX(Listes!$K$1:$Q$12,MATCH(AF$116,Listes!$K$1:$K$12,0),MATCH(AI$117,Listes!$K$1:$Q$1,0)))</f>
        <v>0</v>
      </c>
      <c r="AJ124" s="45">
        <f t="shared" si="72"/>
        <v>0</v>
      </c>
      <c r="AK124" s="11">
        <f>IF(OR(AF$116=0,AF$116=""),0,AJ124*INDEX(Listes!$K$15:$P$26,MATCH(AF$116,Listes!$K$15:$K$26,0),MATCH(AK$117,Listes!$K$15:$P$15,0))*INDEX(Listes!$K$29:$O$31,MATCH(AG$116,Listes!$K$29:$K$31,0),MATCH(AK$117,Listes!$K$29:$O$29,0)))</f>
        <v>0</v>
      </c>
      <c r="AL124" s="45">
        <f>IF(OR(AF$116=0,AF$116=""),0,AJ124*INDEX(Listes!$K$15:$P$26,MATCH(AF$116,Listes!$K$15:$K$26,0),MATCH(AL$117,Listes!$K$15:$P$15,0))*INDEX(Listes!$K$29:$O$31,MATCH(AG$116,Listes!$K$29:$K$31,0),MATCH(AL$117,Listes!$K$29:$O$29,0)))</f>
        <v>0</v>
      </c>
      <c r="AM124" s="45">
        <f>IF(OR(AF$116=0,AF$116=""),0,AJ124*INDEX(Listes!$K$15:$P$26,MATCH(AF$116,Listes!$K$15:$K$26,0),MATCH(AM$117,Listes!$K$15:$P$15,0))*INDEX(Listes!$K$29:$O$31,MATCH(AG$116,Listes!$K$29:$K$31,0),MATCH(AM$117,Listes!$K$29:$O$29,0)))</f>
        <v>0</v>
      </c>
      <c r="AN124" s="45"/>
      <c r="AO124" s="472"/>
      <c r="AP124" s="3">
        <v>7</v>
      </c>
      <c r="AQ124" s="11">
        <f t="shared" si="73"/>
        <v>0</v>
      </c>
      <c r="AR124" s="11">
        <f t="shared" si="74"/>
        <v>0</v>
      </c>
      <c r="AS124" s="11">
        <f t="shared" si="75"/>
        <v>0</v>
      </c>
      <c r="AT124" s="11">
        <f>AQ124*VLOOKUP(AQ$117,Tableau17[],4,FALSE)+AR124*VLOOKUP(AR$117,Tableau17[],4,FALSE)+AS124*VLOOKUP(AS$117,Tableau17[],4,FALSE)</f>
        <v>0</v>
      </c>
      <c r="AU124" s="11">
        <f>AQ124*VLOOKUP(AQ$117,Tableau17[],3,FALSE)+AR124*VLOOKUP(AR$117,Tableau17[],3,FALSE)+AS124*VLOOKUP(AS$117,Tableau17[],3,FALSE)</f>
        <v>0</v>
      </c>
      <c r="AW124" s="11"/>
      <c r="AX124" s="113"/>
    </row>
    <row r="125" spans="1:52" x14ac:dyDescent="0.2">
      <c r="A125" s="472"/>
      <c r="B125" s="3">
        <v>8</v>
      </c>
      <c r="C125" s="45">
        <f t="shared" si="76"/>
        <v>0</v>
      </c>
      <c r="D125" s="11">
        <f t="shared" si="77"/>
        <v>0</v>
      </c>
      <c r="E125" s="45">
        <f>IF(OR(D125=0,D125="",B$116=0),0,D125*INDEX(Listes!$K$1:$Q$12,MATCH(B$116,Listes!$K$1:$K$12,0),MATCH(E$117,Listes!$K$1:$Q$1,0)))</f>
        <v>0</v>
      </c>
      <c r="F125" s="45">
        <f t="shared" si="78"/>
        <v>0</v>
      </c>
      <c r="G125" s="11">
        <f>IF(OR(B$116=0,B$116=""),0,F125*INDEX(Listes!$K$15:$P$26,MATCH(B$116,Listes!$K$15:$K$26,0),MATCH(G$117,Listes!$K$15:$P$15,0))*INDEX(Listes!$K$29:$O$31,MATCH(C$116,Listes!$K$29:$K$31,0),MATCH(G$117,Listes!$K$29:$O$29,0)))</f>
        <v>0</v>
      </c>
      <c r="H125" s="45">
        <f>IF(OR(B$116=0,B$116=""),0,F125*INDEX(Listes!$K$15:$P$26,MATCH(B$116,Listes!$K$15:$K$26,0),MATCH(H$117,Listes!$K$15:$P$15,0))*INDEX(Listes!$K$29:$O$31,MATCH(C$116,Listes!$K$29:$K$31,0),MATCH(H$117,Listes!$K$29:$O$29,0)))</f>
        <v>0</v>
      </c>
      <c r="I125" s="45">
        <f>IF(OR(B$116=0,B$116=""),0,F125*INDEX(Listes!$K$15:$P$26,MATCH(B$116,Listes!$K$15:$K$26,0),MATCH(I$117,Listes!$K$15:$P$15,0))*INDEX(Listes!$K$29:$O$31,MATCH(C$116,Listes!$K$29:$K$31,0),MATCH(I$117,Listes!$K$29:$O$29,0)))</f>
        <v>0</v>
      </c>
      <c r="K125" s="472"/>
      <c r="L125" s="3">
        <v>8</v>
      </c>
      <c r="M125" s="45">
        <f t="shared" si="64"/>
        <v>0</v>
      </c>
      <c r="N125" s="11">
        <f t="shared" si="65"/>
        <v>0</v>
      </c>
      <c r="O125" s="45">
        <f>IF(OR(N125=0,N125="",L$116=0),0,N125*INDEX(Listes!$K$1:$Q$12,MATCH(L$116,Listes!$K$1:$K$12,0),MATCH(O$117,Listes!$K$1:$Q$1,0)))</f>
        <v>0</v>
      </c>
      <c r="P125" s="45">
        <f t="shared" si="66"/>
        <v>0</v>
      </c>
      <c r="Q125" s="11">
        <f>IF(OR(L$116=0,L$116=""),0,P125*INDEX(Listes!$K$15:$P$26,MATCH(L$116,Listes!$K$15:$K$26,0),MATCH(Q$117,Listes!$K$15:$P$15,0))*INDEX(Listes!$K$29:$O$31,MATCH(M$116,Listes!$K$29:$K$31,0),MATCH(Q$117,Listes!$K$29:$O$29,0)))</f>
        <v>0</v>
      </c>
      <c r="R125" s="45">
        <f>IF(OR(L$116=0,L$116=""),0,P125*INDEX(Listes!$K$15:$P$26,MATCH(L$116,Listes!$K$15:$K$26,0),MATCH(R$117,Listes!$K$15:$P$15,0))*INDEX(Listes!$K$29:$O$31,MATCH(M$116,Listes!$K$29:$K$31,0),MATCH(R$117,Listes!$K$29:$O$29,0)))</f>
        <v>0</v>
      </c>
      <c r="S125" s="45">
        <f>IF(OR(L$116=0,L$116=""),0,P125*INDEX(Listes!$K$15:$P$26,MATCH(L$116,Listes!$K$15:$K$26,0),MATCH(S$117,Listes!$K$15:$P$15,0))*INDEX(Listes!$K$29:$O$31,MATCH(M$116,Listes!$K$29:$K$31,0),MATCH(S$117,Listes!$K$29:$O$29,0)))</f>
        <v>0</v>
      </c>
      <c r="U125" s="472"/>
      <c r="V125" s="3">
        <v>8</v>
      </c>
      <c r="W125" s="45">
        <f t="shared" si="67"/>
        <v>0</v>
      </c>
      <c r="X125" s="11">
        <f t="shared" si="68"/>
        <v>0</v>
      </c>
      <c r="Y125" s="45">
        <f>IF(OR(X125=0,X125="",V$116=0),0,X125*INDEX(Listes!$K$1:$Q$12,MATCH(V$116,Listes!$K$1:$K$12,0),MATCH(Y$117,Listes!$K$1:$Q$1,0)))</f>
        <v>0</v>
      </c>
      <c r="Z125" s="45">
        <f t="shared" si="69"/>
        <v>0</v>
      </c>
      <c r="AA125" s="11">
        <f>IF(OR(V$116=0,V$116=""),0,Z125*INDEX(Listes!$K$15:$P$26,MATCH(V$116,Listes!$K$15:$K$26,0),MATCH(AA$117,Listes!$K$15:$P$15,0))*INDEX(Listes!$K$29:$O$31,MATCH(W$116,Listes!$K$29:$K$31,0),MATCH(AA$117,Listes!$K$29:$O$29,0)))</f>
        <v>0</v>
      </c>
      <c r="AB125" s="45">
        <f>IF(OR(V$116=0,V$116=""),0,Z125*INDEX(Listes!$K$15:$P$26,MATCH(V$116,Listes!$K$15:$K$26,0),MATCH(AB$117,Listes!$K$15:$P$15,0))*INDEX(Listes!$K$29:$O$31,MATCH(W$116,Listes!$K$29:$K$31,0),MATCH(AB$117,Listes!$K$29:$O$29,0)))</f>
        <v>0</v>
      </c>
      <c r="AC125" s="45">
        <f>IF(OR(V$116=0,V$116=""),0,Z125*INDEX(Listes!$K$15:$P$26,MATCH(V$116,Listes!$K$15:$K$26,0),MATCH(AC$117,Listes!$K$15:$P$15,0))*INDEX(Listes!$K$29:$O$31,MATCH(W$116,Listes!$K$29:$K$31,0),MATCH(AC$117,Listes!$K$29:$O$29,0)))</f>
        <v>0</v>
      </c>
      <c r="AE125" s="472"/>
      <c r="AF125" s="3">
        <v>8</v>
      </c>
      <c r="AG125" s="45">
        <f t="shared" si="70"/>
        <v>0</v>
      </c>
      <c r="AH125" s="11">
        <f t="shared" si="71"/>
        <v>0</v>
      </c>
      <c r="AI125" s="45">
        <f>IF(OR(AH125=0,AH125="",AF$116=0),0,AH125*INDEX(Listes!$K$1:$Q$12,MATCH(AF$116,Listes!$K$1:$K$12,0),MATCH(AI$117,Listes!$K$1:$Q$1,0)))</f>
        <v>0</v>
      </c>
      <c r="AJ125" s="45">
        <f t="shared" si="72"/>
        <v>0</v>
      </c>
      <c r="AK125" s="11">
        <f>IF(OR(AF$116=0,AF$116=""),0,AJ125*INDEX(Listes!$K$15:$P$26,MATCH(AF$116,Listes!$K$15:$K$26,0),MATCH(AK$117,Listes!$K$15:$P$15,0))*INDEX(Listes!$K$29:$O$31,MATCH(AG$116,Listes!$K$29:$K$31,0),MATCH(AK$117,Listes!$K$29:$O$29,0)))</f>
        <v>0</v>
      </c>
      <c r="AL125" s="45">
        <f>IF(OR(AF$116=0,AF$116=""),0,AJ125*INDEX(Listes!$K$15:$P$26,MATCH(AF$116,Listes!$K$15:$K$26,0),MATCH(AL$117,Listes!$K$15:$P$15,0))*INDEX(Listes!$K$29:$O$31,MATCH(AG$116,Listes!$K$29:$K$31,0),MATCH(AL$117,Listes!$K$29:$O$29,0)))</f>
        <v>0</v>
      </c>
      <c r="AM125" s="45">
        <f>IF(OR(AF$116=0,AF$116=""),0,AJ125*INDEX(Listes!$K$15:$P$26,MATCH(AF$116,Listes!$K$15:$K$26,0),MATCH(AM$117,Listes!$K$15:$P$15,0))*INDEX(Listes!$K$29:$O$31,MATCH(AG$116,Listes!$K$29:$K$31,0),MATCH(AM$117,Listes!$K$29:$O$29,0)))</f>
        <v>0</v>
      </c>
      <c r="AN125" s="45"/>
      <c r="AO125" s="472"/>
      <c r="AP125" s="3">
        <v>8</v>
      </c>
      <c r="AQ125" s="11">
        <f t="shared" si="73"/>
        <v>0</v>
      </c>
      <c r="AR125" s="11">
        <f t="shared" si="74"/>
        <v>0</v>
      </c>
      <c r="AS125" s="11">
        <f t="shared" si="75"/>
        <v>0</v>
      </c>
      <c r="AT125" s="11">
        <f>AQ125*VLOOKUP(AQ$117,Tableau17[],4,FALSE)+AR125*VLOOKUP(AR$117,Tableau17[],4,FALSE)+AS125*VLOOKUP(AS$117,Tableau17[],4,FALSE)</f>
        <v>0</v>
      </c>
      <c r="AU125" s="11">
        <f>AQ125*VLOOKUP(AQ$117,Tableau17[],3,FALSE)+AR125*VLOOKUP(AR$117,Tableau17[],3,FALSE)+AS125*VLOOKUP(AS$117,Tableau17[],3,FALSE)</f>
        <v>0</v>
      </c>
      <c r="AW125" s="11"/>
      <c r="AX125" s="113"/>
    </row>
    <row r="126" spans="1:52" x14ac:dyDescent="0.2">
      <c r="A126" s="472"/>
      <c r="B126" s="3">
        <v>9</v>
      </c>
      <c r="C126" s="45">
        <f t="shared" si="76"/>
        <v>0</v>
      </c>
      <c r="D126" s="11">
        <f t="shared" si="77"/>
        <v>0</v>
      </c>
      <c r="E126" s="45">
        <f>IF(OR(D126=0,D126="",B$116=0),0,D126*INDEX(Listes!$K$1:$Q$12,MATCH(B$116,Listes!$K$1:$K$12,0),MATCH(E$117,Listes!$K$1:$Q$1,0)))</f>
        <v>0</v>
      </c>
      <c r="F126" s="45">
        <f t="shared" si="78"/>
        <v>0</v>
      </c>
      <c r="G126" s="11">
        <f>IF(OR(B$116=0,B$116=""),0,F126*INDEX(Listes!$K$15:$P$26,MATCH(B$116,Listes!$K$15:$K$26,0),MATCH(G$117,Listes!$K$15:$P$15,0))*INDEX(Listes!$K$29:$O$31,MATCH(C$116,Listes!$K$29:$K$31,0),MATCH(G$117,Listes!$K$29:$O$29,0)))</f>
        <v>0</v>
      </c>
      <c r="H126" s="45">
        <f>IF(OR(B$116=0,B$116=""),0,F126*INDEX(Listes!$K$15:$P$26,MATCH(B$116,Listes!$K$15:$K$26,0),MATCH(H$117,Listes!$K$15:$P$15,0))*INDEX(Listes!$K$29:$O$31,MATCH(C$116,Listes!$K$29:$K$31,0),MATCH(H$117,Listes!$K$29:$O$29,0)))</f>
        <v>0</v>
      </c>
      <c r="I126" s="45">
        <f>IF(OR(B$116=0,B$116=""),0,F126*INDEX(Listes!$K$15:$P$26,MATCH(B$116,Listes!$K$15:$K$26,0),MATCH(I$117,Listes!$K$15:$P$15,0))*INDEX(Listes!$K$29:$O$31,MATCH(C$116,Listes!$K$29:$K$31,0),MATCH(I$117,Listes!$K$29:$O$29,0)))</f>
        <v>0</v>
      </c>
      <c r="K126" s="472"/>
      <c r="L126" s="3">
        <v>9</v>
      </c>
      <c r="M126" s="45">
        <f t="shared" si="64"/>
        <v>0</v>
      </c>
      <c r="N126" s="11">
        <f t="shared" si="65"/>
        <v>0</v>
      </c>
      <c r="O126" s="45">
        <f>IF(OR(N126=0,N126="",L$116=0),0,N126*INDEX(Listes!$K$1:$Q$12,MATCH(L$116,Listes!$K$1:$K$12,0),MATCH(O$117,Listes!$K$1:$Q$1,0)))</f>
        <v>0</v>
      </c>
      <c r="P126" s="45">
        <f t="shared" si="66"/>
        <v>0</v>
      </c>
      <c r="Q126" s="11">
        <f>IF(OR(L$116=0,L$116=""),0,P126*INDEX(Listes!$K$15:$P$26,MATCH(L$116,Listes!$K$15:$K$26,0),MATCH(Q$117,Listes!$K$15:$P$15,0))*INDEX(Listes!$K$29:$O$31,MATCH(M$116,Listes!$K$29:$K$31,0),MATCH(Q$117,Listes!$K$29:$O$29,0)))</f>
        <v>0</v>
      </c>
      <c r="R126" s="45">
        <f>IF(OR(L$116=0,L$116=""),0,P126*INDEX(Listes!$K$15:$P$26,MATCH(L$116,Listes!$K$15:$K$26,0),MATCH(R$117,Listes!$K$15:$P$15,0))*INDEX(Listes!$K$29:$O$31,MATCH(M$116,Listes!$K$29:$K$31,0),MATCH(R$117,Listes!$K$29:$O$29,0)))</f>
        <v>0</v>
      </c>
      <c r="S126" s="45">
        <f>IF(OR(L$116=0,L$116=""),0,P126*INDEX(Listes!$K$15:$P$26,MATCH(L$116,Listes!$K$15:$K$26,0),MATCH(S$117,Listes!$K$15:$P$15,0))*INDEX(Listes!$K$29:$O$31,MATCH(M$116,Listes!$K$29:$K$31,0),MATCH(S$117,Listes!$K$29:$O$29,0)))</f>
        <v>0</v>
      </c>
      <c r="U126" s="472"/>
      <c r="V126" s="3">
        <v>9</v>
      </c>
      <c r="W126" s="45">
        <f t="shared" si="67"/>
        <v>0</v>
      </c>
      <c r="X126" s="11">
        <f t="shared" si="68"/>
        <v>0</v>
      </c>
      <c r="Y126" s="45">
        <f>IF(OR(X126=0,X126="",V$116=0),0,X126*INDEX(Listes!$K$1:$Q$12,MATCH(V$116,Listes!$K$1:$K$12,0),MATCH(Y$117,Listes!$K$1:$Q$1,0)))</f>
        <v>0</v>
      </c>
      <c r="Z126" s="45">
        <f t="shared" si="69"/>
        <v>0</v>
      </c>
      <c r="AA126" s="11">
        <f>IF(OR(V$116=0,V$116=""),0,Z126*INDEX(Listes!$K$15:$P$26,MATCH(V$116,Listes!$K$15:$K$26,0),MATCH(AA$117,Listes!$K$15:$P$15,0))*INDEX(Listes!$K$29:$O$31,MATCH(W$116,Listes!$K$29:$K$31,0),MATCH(AA$117,Listes!$K$29:$O$29,0)))</f>
        <v>0</v>
      </c>
      <c r="AB126" s="45">
        <f>IF(OR(V$116=0,V$116=""),0,Z126*INDEX(Listes!$K$15:$P$26,MATCH(V$116,Listes!$K$15:$K$26,0),MATCH(AB$117,Listes!$K$15:$P$15,0))*INDEX(Listes!$K$29:$O$31,MATCH(W$116,Listes!$K$29:$K$31,0),MATCH(AB$117,Listes!$K$29:$O$29,0)))</f>
        <v>0</v>
      </c>
      <c r="AC126" s="45">
        <f>IF(OR(V$116=0,V$116=""),0,Z126*INDEX(Listes!$K$15:$P$26,MATCH(V$116,Listes!$K$15:$K$26,0),MATCH(AC$117,Listes!$K$15:$P$15,0))*INDEX(Listes!$K$29:$O$31,MATCH(W$116,Listes!$K$29:$K$31,0),MATCH(AC$117,Listes!$K$29:$O$29,0)))</f>
        <v>0</v>
      </c>
      <c r="AE126" s="472"/>
      <c r="AF126" s="3">
        <v>9</v>
      </c>
      <c r="AG126" s="45">
        <f t="shared" si="70"/>
        <v>0</v>
      </c>
      <c r="AH126" s="11">
        <f t="shared" si="71"/>
        <v>0</v>
      </c>
      <c r="AI126" s="45">
        <f>IF(OR(AH126=0,AH126="",AF$116=0),0,AH126*INDEX(Listes!$K$1:$Q$12,MATCH(AF$116,Listes!$K$1:$K$12,0),MATCH(AI$117,Listes!$K$1:$Q$1,0)))</f>
        <v>0</v>
      </c>
      <c r="AJ126" s="45">
        <f t="shared" si="72"/>
        <v>0</v>
      </c>
      <c r="AK126" s="11">
        <f>IF(OR(AF$116=0,AF$116=""),0,AJ126*INDEX(Listes!$K$15:$P$26,MATCH(AF$116,Listes!$K$15:$K$26,0),MATCH(AK$117,Listes!$K$15:$P$15,0))*INDEX(Listes!$K$29:$O$31,MATCH(AG$116,Listes!$K$29:$K$31,0),MATCH(AK$117,Listes!$K$29:$O$29,0)))</f>
        <v>0</v>
      </c>
      <c r="AL126" s="45">
        <f>IF(OR(AF$116=0,AF$116=""),0,AJ126*INDEX(Listes!$K$15:$P$26,MATCH(AF$116,Listes!$K$15:$K$26,0),MATCH(AL$117,Listes!$K$15:$P$15,0))*INDEX(Listes!$K$29:$O$31,MATCH(AG$116,Listes!$K$29:$K$31,0),MATCH(AL$117,Listes!$K$29:$O$29,0)))</f>
        <v>0</v>
      </c>
      <c r="AM126" s="45">
        <f>IF(OR(AF$116=0,AF$116=""),0,AJ126*INDEX(Listes!$K$15:$P$26,MATCH(AF$116,Listes!$K$15:$K$26,0),MATCH(AM$117,Listes!$K$15:$P$15,0))*INDEX(Listes!$K$29:$O$31,MATCH(AG$116,Listes!$K$29:$K$31,0),MATCH(AM$117,Listes!$K$29:$O$29,0)))</f>
        <v>0</v>
      </c>
      <c r="AN126" s="45"/>
      <c r="AO126" s="472"/>
      <c r="AP126" s="3">
        <v>9</v>
      </c>
      <c r="AQ126" s="11">
        <f t="shared" si="73"/>
        <v>0</v>
      </c>
      <c r="AR126" s="11">
        <f t="shared" si="74"/>
        <v>0</v>
      </c>
      <c r="AS126" s="11">
        <f t="shared" si="75"/>
        <v>0</v>
      </c>
      <c r="AT126" s="11">
        <f>AQ126*VLOOKUP(AQ$117,Tableau17[],4,FALSE)+AR126*VLOOKUP(AR$117,Tableau17[],4,FALSE)+AS126*VLOOKUP(AS$117,Tableau17[],4,FALSE)</f>
        <v>0</v>
      </c>
      <c r="AU126" s="11">
        <f>AQ126*VLOOKUP(AQ$117,Tableau17[],3,FALSE)+AR126*VLOOKUP(AR$117,Tableau17[],3,FALSE)+AS126*VLOOKUP(AS$117,Tableau17[],3,FALSE)</f>
        <v>0</v>
      </c>
      <c r="AW126" s="11"/>
      <c r="AX126" s="113"/>
    </row>
    <row r="127" spans="1:52" x14ac:dyDescent="0.2">
      <c r="A127" s="472"/>
      <c r="B127" s="3">
        <v>10</v>
      </c>
      <c r="C127" s="45">
        <f t="shared" si="76"/>
        <v>0</v>
      </c>
      <c r="D127" s="11">
        <f t="shared" si="77"/>
        <v>0</v>
      </c>
      <c r="E127" s="45">
        <f>IF(OR(D127=0,D127="",B$116=0),0,D127*INDEX(Listes!$K$1:$Q$12,MATCH(B$116,Listes!$K$1:$K$12,0),MATCH(E$117,Listes!$K$1:$Q$1,0)))</f>
        <v>0</v>
      </c>
      <c r="F127" s="45">
        <f t="shared" si="78"/>
        <v>0</v>
      </c>
      <c r="G127" s="11">
        <f>IF(OR(B$116=0,B$116=""),0,F127*INDEX(Listes!$K$15:$P$26,MATCH(B$116,Listes!$K$15:$K$26,0),MATCH(G$117,Listes!$K$15:$P$15,0))*INDEX(Listes!$K$29:$O$31,MATCH(C$116,Listes!$K$29:$K$31,0),MATCH(G$117,Listes!$K$29:$O$29,0)))</f>
        <v>0</v>
      </c>
      <c r="H127" s="45">
        <f>IF(OR(B$116=0,B$116=""),0,F127*INDEX(Listes!$K$15:$P$26,MATCH(B$116,Listes!$K$15:$K$26,0),MATCH(H$117,Listes!$K$15:$P$15,0))*INDEX(Listes!$K$29:$O$31,MATCH(C$116,Listes!$K$29:$K$31,0),MATCH(H$117,Listes!$K$29:$O$29,0)))</f>
        <v>0</v>
      </c>
      <c r="I127" s="45">
        <f>IF(OR(B$116=0,B$116=""),0,F127*INDEX(Listes!$K$15:$P$26,MATCH(B$116,Listes!$K$15:$K$26,0),MATCH(I$117,Listes!$K$15:$P$15,0))*INDEX(Listes!$K$29:$O$31,MATCH(C$116,Listes!$K$29:$K$31,0),MATCH(I$117,Listes!$K$29:$O$29,0)))</f>
        <v>0</v>
      </c>
      <c r="K127" s="472"/>
      <c r="L127" s="3">
        <v>10</v>
      </c>
      <c r="M127" s="45">
        <f t="shared" si="64"/>
        <v>0</v>
      </c>
      <c r="N127" s="11">
        <f t="shared" si="65"/>
        <v>0</v>
      </c>
      <c r="O127" s="45">
        <f>IF(OR(N127=0,N127="",L$116=0),0,N127*INDEX(Listes!$K$1:$Q$12,MATCH(L$116,Listes!$K$1:$K$12,0),MATCH(O$117,Listes!$K$1:$Q$1,0)))</f>
        <v>0</v>
      </c>
      <c r="P127" s="45">
        <f t="shared" si="66"/>
        <v>0</v>
      </c>
      <c r="Q127" s="11">
        <f>IF(OR(L$116=0,L$116=""),0,P127*INDEX(Listes!$K$15:$P$26,MATCH(L$116,Listes!$K$15:$K$26,0),MATCH(Q$117,Listes!$K$15:$P$15,0))*INDEX(Listes!$K$29:$O$31,MATCH(M$116,Listes!$K$29:$K$31,0),MATCH(Q$117,Listes!$K$29:$O$29,0)))</f>
        <v>0</v>
      </c>
      <c r="R127" s="45">
        <f>IF(OR(L$116=0,L$116=""),0,P127*INDEX(Listes!$K$15:$P$26,MATCH(L$116,Listes!$K$15:$K$26,0),MATCH(R$117,Listes!$K$15:$P$15,0))*INDEX(Listes!$K$29:$O$31,MATCH(M$116,Listes!$K$29:$K$31,0),MATCH(R$117,Listes!$K$29:$O$29,0)))</f>
        <v>0</v>
      </c>
      <c r="S127" s="45">
        <f>IF(OR(L$116=0,L$116=""),0,P127*INDEX(Listes!$K$15:$P$26,MATCH(L$116,Listes!$K$15:$K$26,0),MATCH(S$117,Listes!$K$15:$P$15,0))*INDEX(Listes!$K$29:$O$31,MATCH(M$116,Listes!$K$29:$K$31,0),MATCH(S$117,Listes!$K$29:$O$29,0)))</f>
        <v>0</v>
      </c>
      <c r="U127" s="472"/>
      <c r="V127" s="3">
        <v>10</v>
      </c>
      <c r="W127" s="45">
        <f t="shared" si="67"/>
        <v>0</v>
      </c>
      <c r="X127" s="11">
        <f t="shared" si="68"/>
        <v>0</v>
      </c>
      <c r="Y127" s="45">
        <f>IF(OR(X127=0,X127="",V$116=0),0,X127*INDEX(Listes!$K$1:$Q$12,MATCH(V$116,Listes!$K$1:$K$12,0),MATCH(Y$117,Listes!$K$1:$Q$1,0)))</f>
        <v>0</v>
      </c>
      <c r="Z127" s="45">
        <f t="shared" si="69"/>
        <v>0</v>
      </c>
      <c r="AA127" s="11">
        <f>IF(OR(V$116=0,V$116=""),0,Z127*INDEX(Listes!$K$15:$P$26,MATCH(V$116,Listes!$K$15:$K$26,0),MATCH(AA$117,Listes!$K$15:$P$15,0))*INDEX(Listes!$K$29:$O$31,MATCH(W$116,Listes!$K$29:$K$31,0),MATCH(AA$117,Listes!$K$29:$O$29,0)))</f>
        <v>0</v>
      </c>
      <c r="AB127" s="45">
        <f>IF(OR(V$116=0,V$116=""),0,Z127*INDEX(Listes!$K$15:$P$26,MATCH(V$116,Listes!$K$15:$K$26,0),MATCH(AB$117,Listes!$K$15:$P$15,0))*INDEX(Listes!$K$29:$O$31,MATCH(W$116,Listes!$K$29:$K$31,0),MATCH(AB$117,Listes!$K$29:$O$29,0)))</f>
        <v>0</v>
      </c>
      <c r="AC127" s="45">
        <f>IF(OR(V$116=0,V$116=""),0,Z127*INDEX(Listes!$K$15:$P$26,MATCH(V$116,Listes!$K$15:$K$26,0),MATCH(AC$117,Listes!$K$15:$P$15,0))*INDEX(Listes!$K$29:$O$31,MATCH(W$116,Listes!$K$29:$K$31,0),MATCH(AC$117,Listes!$K$29:$O$29,0)))</f>
        <v>0</v>
      </c>
      <c r="AE127" s="472"/>
      <c r="AF127" s="3">
        <v>10</v>
      </c>
      <c r="AG127" s="45">
        <f t="shared" si="70"/>
        <v>0</v>
      </c>
      <c r="AH127" s="11">
        <f t="shared" si="71"/>
        <v>0</v>
      </c>
      <c r="AI127" s="45">
        <f>IF(OR(AH127=0,AH127="",AF$116=0),0,AH127*INDEX(Listes!$K$1:$Q$12,MATCH(AF$116,Listes!$K$1:$K$12,0),MATCH(AI$117,Listes!$K$1:$Q$1,0)))</f>
        <v>0</v>
      </c>
      <c r="AJ127" s="45">
        <f t="shared" si="72"/>
        <v>0</v>
      </c>
      <c r="AK127" s="11">
        <f>IF(OR(AF$116=0,AF$116=""),0,AJ127*INDEX(Listes!$K$15:$P$26,MATCH(AF$116,Listes!$K$15:$K$26,0),MATCH(AK$117,Listes!$K$15:$P$15,0))*INDEX(Listes!$K$29:$O$31,MATCH(AG$116,Listes!$K$29:$K$31,0),MATCH(AK$117,Listes!$K$29:$O$29,0)))</f>
        <v>0</v>
      </c>
      <c r="AL127" s="45">
        <f>IF(OR(AF$116=0,AF$116=""),0,AJ127*INDEX(Listes!$K$15:$P$26,MATCH(AF$116,Listes!$K$15:$K$26,0),MATCH(AL$117,Listes!$K$15:$P$15,0))*INDEX(Listes!$K$29:$O$31,MATCH(AG$116,Listes!$K$29:$K$31,0),MATCH(AL$117,Listes!$K$29:$O$29,0)))</f>
        <v>0</v>
      </c>
      <c r="AM127" s="45">
        <f>IF(OR(AF$116=0,AF$116=""),0,AJ127*INDEX(Listes!$K$15:$P$26,MATCH(AF$116,Listes!$K$15:$K$26,0),MATCH(AM$117,Listes!$K$15:$P$15,0))*INDEX(Listes!$K$29:$O$31,MATCH(AG$116,Listes!$K$29:$K$31,0),MATCH(AM$117,Listes!$K$29:$O$29,0)))</f>
        <v>0</v>
      </c>
      <c r="AN127" s="45"/>
      <c r="AO127" s="472"/>
      <c r="AP127" s="3">
        <v>10</v>
      </c>
      <c r="AQ127" s="11">
        <f t="shared" si="73"/>
        <v>0</v>
      </c>
      <c r="AR127" s="11">
        <f t="shared" si="74"/>
        <v>0</v>
      </c>
      <c r="AS127" s="11">
        <f t="shared" si="75"/>
        <v>0</v>
      </c>
      <c r="AT127" s="11">
        <f>AQ127*VLOOKUP(AQ$117,Tableau17[],4,FALSE)+AR127*VLOOKUP(AR$117,Tableau17[],4,FALSE)+AS127*VLOOKUP(AS$117,Tableau17[],4,FALSE)</f>
        <v>0</v>
      </c>
      <c r="AU127" s="11">
        <f>AQ127*VLOOKUP(AQ$117,Tableau17[],3,FALSE)+AR127*VLOOKUP(AR$117,Tableau17[],3,FALSE)+AS127*VLOOKUP(AS$117,Tableau17[],3,FALSE)</f>
        <v>0</v>
      </c>
      <c r="AW127" s="11"/>
      <c r="AX127" s="113"/>
    </row>
    <row r="128" spans="1:52" x14ac:dyDescent="0.2">
      <c r="A128" s="472"/>
      <c r="B128" s="3">
        <v>11</v>
      </c>
      <c r="C128" s="45">
        <f t="shared" si="76"/>
        <v>0</v>
      </c>
      <c r="D128" s="11">
        <f t="shared" si="77"/>
        <v>0</v>
      </c>
      <c r="E128" s="45">
        <f>IF(OR(D128=0,D128="",B$116=0),0,D128*INDEX(Listes!$K$1:$Q$12,MATCH(B$116,Listes!$K$1:$K$12,0),MATCH(E$117,Listes!$K$1:$Q$1,0)))</f>
        <v>0</v>
      </c>
      <c r="F128" s="45">
        <f t="shared" si="78"/>
        <v>0</v>
      </c>
      <c r="G128" s="11">
        <f>IF(OR(B$116=0,B$116=""),0,F128*INDEX(Listes!$K$15:$P$26,MATCH(B$116,Listes!$K$15:$K$26,0),MATCH(G$117,Listes!$K$15:$P$15,0))*INDEX(Listes!$K$29:$O$31,MATCH(C$116,Listes!$K$29:$K$31,0),MATCH(G$117,Listes!$K$29:$O$29,0)))</f>
        <v>0</v>
      </c>
      <c r="H128" s="45">
        <f>IF(OR(B$116=0,B$116=""),0,F128*INDEX(Listes!$K$15:$P$26,MATCH(B$116,Listes!$K$15:$K$26,0),MATCH(H$117,Listes!$K$15:$P$15,0))*INDEX(Listes!$K$29:$O$31,MATCH(C$116,Listes!$K$29:$K$31,0),MATCH(H$117,Listes!$K$29:$O$29,0)))</f>
        <v>0</v>
      </c>
      <c r="I128" s="45">
        <f>IF(OR(B$116=0,B$116=""),0,F128*INDEX(Listes!$K$15:$P$26,MATCH(B$116,Listes!$K$15:$K$26,0),MATCH(I$117,Listes!$K$15:$P$15,0))*INDEX(Listes!$K$29:$O$31,MATCH(C$116,Listes!$K$29:$K$31,0),MATCH(I$117,Listes!$K$29:$O$29,0)))</f>
        <v>0</v>
      </c>
      <c r="K128" s="472"/>
      <c r="L128" s="3">
        <v>11</v>
      </c>
      <c r="M128" s="45">
        <f t="shared" si="64"/>
        <v>0</v>
      </c>
      <c r="N128" s="11">
        <f t="shared" si="65"/>
        <v>0</v>
      </c>
      <c r="O128" s="45">
        <f>IF(OR(N128=0,N128="",L$116=0),0,N128*INDEX(Listes!$K$1:$Q$12,MATCH(L$116,Listes!$K$1:$K$12,0),MATCH(O$117,Listes!$K$1:$Q$1,0)))</f>
        <v>0</v>
      </c>
      <c r="P128" s="45">
        <f t="shared" si="66"/>
        <v>0</v>
      </c>
      <c r="Q128" s="11">
        <f>IF(OR(L$116=0,L$116=""),0,P128*INDEX(Listes!$K$15:$P$26,MATCH(L$116,Listes!$K$15:$K$26,0),MATCH(Q$117,Listes!$K$15:$P$15,0))*INDEX(Listes!$K$29:$O$31,MATCH(M$116,Listes!$K$29:$K$31,0),MATCH(Q$117,Listes!$K$29:$O$29,0)))</f>
        <v>0</v>
      </c>
      <c r="R128" s="45">
        <f>IF(OR(L$116=0,L$116=""),0,P128*INDEX(Listes!$K$15:$P$26,MATCH(L$116,Listes!$K$15:$K$26,0),MATCH(R$117,Listes!$K$15:$P$15,0))*INDEX(Listes!$K$29:$O$31,MATCH(M$116,Listes!$K$29:$K$31,0),MATCH(R$117,Listes!$K$29:$O$29,0)))</f>
        <v>0</v>
      </c>
      <c r="S128" s="45">
        <f>IF(OR(L$116=0,L$116=""),0,P128*INDEX(Listes!$K$15:$P$26,MATCH(L$116,Listes!$K$15:$K$26,0),MATCH(S$117,Listes!$K$15:$P$15,0))*INDEX(Listes!$K$29:$O$31,MATCH(M$116,Listes!$K$29:$K$31,0),MATCH(S$117,Listes!$K$29:$O$29,0)))</f>
        <v>0</v>
      </c>
      <c r="U128" s="472"/>
      <c r="V128" s="3">
        <v>11</v>
      </c>
      <c r="W128" s="45">
        <f t="shared" si="67"/>
        <v>0</v>
      </c>
      <c r="X128" s="11">
        <f t="shared" si="68"/>
        <v>0</v>
      </c>
      <c r="Y128" s="45">
        <f>IF(OR(X128=0,X128="",V$116=0),0,X128*INDEX(Listes!$K$1:$Q$12,MATCH(V$116,Listes!$K$1:$K$12,0),MATCH(Y$117,Listes!$K$1:$Q$1,0)))</f>
        <v>0</v>
      </c>
      <c r="Z128" s="45">
        <f t="shared" si="69"/>
        <v>0</v>
      </c>
      <c r="AA128" s="11">
        <f>IF(OR(V$116=0,V$116=""),0,Z128*INDEX(Listes!$K$15:$P$26,MATCH(V$116,Listes!$K$15:$K$26,0),MATCH(AA$117,Listes!$K$15:$P$15,0))*INDEX(Listes!$K$29:$O$31,MATCH(W$116,Listes!$K$29:$K$31,0),MATCH(AA$117,Listes!$K$29:$O$29,0)))</f>
        <v>0</v>
      </c>
      <c r="AB128" s="45">
        <f>IF(OR(V$116=0,V$116=""),0,Z128*INDEX(Listes!$K$15:$P$26,MATCH(V$116,Listes!$K$15:$K$26,0),MATCH(AB$117,Listes!$K$15:$P$15,0))*INDEX(Listes!$K$29:$O$31,MATCH(W$116,Listes!$K$29:$K$31,0),MATCH(AB$117,Listes!$K$29:$O$29,0)))</f>
        <v>0</v>
      </c>
      <c r="AC128" s="45">
        <f>IF(OR(V$116=0,V$116=""),0,Z128*INDEX(Listes!$K$15:$P$26,MATCH(V$116,Listes!$K$15:$K$26,0),MATCH(AC$117,Listes!$K$15:$P$15,0))*INDEX(Listes!$K$29:$O$31,MATCH(W$116,Listes!$K$29:$K$31,0),MATCH(AC$117,Listes!$K$29:$O$29,0)))</f>
        <v>0</v>
      </c>
      <c r="AE128" s="472"/>
      <c r="AF128" s="3">
        <v>11</v>
      </c>
      <c r="AG128" s="45">
        <f t="shared" si="70"/>
        <v>0</v>
      </c>
      <c r="AH128" s="11">
        <f t="shared" si="71"/>
        <v>0</v>
      </c>
      <c r="AI128" s="45">
        <f>IF(OR(AH128=0,AH128="",AF$116=0),0,AH128*INDEX(Listes!$K$1:$Q$12,MATCH(AF$116,Listes!$K$1:$K$12,0),MATCH(AI$117,Listes!$K$1:$Q$1,0)))</f>
        <v>0</v>
      </c>
      <c r="AJ128" s="45">
        <f t="shared" si="72"/>
        <v>0</v>
      </c>
      <c r="AK128" s="11">
        <f>IF(OR(AF$116=0,AF$116=""),0,AJ128*INDEX(Listes!$K$15:$P$26,MATCH(AF$116,Listes!$K$15:$K$26,0),MATCH(AK$117,Listes!$K$15:$P$15,0))*INDEX(Listes!$K$29:$O$31,MATCH(AG$116,Listes!$K$29:$K$31,0),MATCH(AK$117,Listes!$K$29:$O$29,0)))</f>
        <v>0</v>
      </c>
      <c r="AL128" s="45">
        <f>IF(OR(AF$116=0,AF$116=""),0,AJ128*INDEX(Listes!$K$15:$P$26,MATCH(AF$116,Listes!$K$15:$K$26,0),MATCH(AL$117,Listes!$K$15:$P$15,0))*INDEX(Listes!$K$29:$O$31,MATCH(AG$116,Listes!$K$29:$K$31,0),MATCH(AL$117,Listes!$K$29:$O$29,0)))</f>
        <v>0</v>
      </c>
      <c r="AM128" s="45">
        <f>IF(OR(AF$116=0,AF$116=""),0,AJ128*INDEX(Listes!$K$15:$P$26,MATCH(AF$116,Listes!$K$15:$K$26,0),MATCH(AM$117,Listes!$K$15:$P$15,0))*INDEX(Listes!$K$29:$O$31,MATCH(AG$116,Listes!$K$29:$K$31,0),MATCH(AM$117,Listes!$K$29:$O$29,0)))</f>
        <v>0</v>
      </c>
      <c r="AN128" s="45"/>
      <c r="AO128" s="472"/>
      <c r="AP128" s="3">
        <v>11</v>
      </c>
      <c r="AQ128" s="11">
        <f t="shared" si="73"/>
        <v>0</v>
      </c>
      <c r="AR128" s="11">
        <f t="shared" si="74"/>
        <v>0</v>
      </c>
      <c r="AS128" s="11">
        <f t="shared" si="75"/>
        <v>0</v>
      </c>
      <c r="AT128" s="11">
        <f>AQ128*VLOOKUP(AQ$117,Tableau17[],4,FALSE)+AR128*VLOOKUP(AR$117,Tableau17[],4,FALSE)+AS128*VLOOKUP(AS$117,Tableau17[],4,FALSE)</f>
        <v>0</v>
      </c>
      <c r="AU128" s="11">
        <f>AQ128*VLOOKUP(AQ$117,Tableau17[],3,FALSE)+AR128*VLOOKUP(AR$117,Tableau17[],3,FALSE)+AS128*VLOOKUP(AS$117,Tableau17[],3,FALSE)</f>
        <v>0</v>
      </c>
      <c r="AW128" s="11"/>
      <c r="AX128" s="113"/>
    </row>
    <row r="129" spans="1:52" x14ac:dyDescent="0.2">
      <c r="A129" s="472"/>
      <c r="B129" s="3">
        <v>12</v>
      </c>
      <c r="C129" s="45">
        <f t="shared" si="76"/>
        <v>0</v>
      </c>
      <c r="D129" s="11">
        <f t="shared" si="77"/>
        <v>0</v>
      </c>
      <c r="E129" s="45">
        <f>IF(OR(D129=0,D129="",B$116=0),0,D129*INDEX(Listes!$K$1:$Q$12,MATCH(B$116,Listes!$K$1:$K$12,0),MATCH(E$117,Listes!$K$1:$Q$1,0)))</f>
        <v>0</v>
      </c>
      <c r="F129" s="45">
        <f t="shared" si="78"/>
        <v>0</v>
      </c>
      <c r="G129" s="11">
        <f>IF(OR(B$116=0,B$116=""),0,F129*INDEX(Listes!$K$15:$P$26,MATCH(B$116,Listes!$K$15:$K$26,0),MATCH(G$117,Listes!$K$15:$P$15,0))*INDEX(Listes!$K$29:$O$31,MATCH(C$116,Listes!$K$29:$K$31,0),MATCH(G$117,Listes!$K$29:$O$29,0)))</f>
        <v>0</v>
      </c>
      <c r="H129" s="45">
        <f>IF(OR(B$116=0,B$116=""),0,F129*INDEX(Listes!$K$15:$P$26,MATCH(B$116,Listes!$K$15:$K$26,0),MATCH(H$117,Listes!$K$15:$P$15,0))*INDEX(Listes!$K$29:$O$31,MATCH(C$116,Listes!$K$29:$K$31,0),MATCH(H$117,Listes!$K$29:$O$29,0)))</f>
        <v>0</v>
      </c>
      <c r="I129" s="45">
        <f>IF(OR(B$116=0,B$116=""),0,F129*INDEX(Listes!$K$15:$P$26,MATCH(B$116,Listes!$K$15:$K$26,0),MATCH(I$117,Listes!$K$15:$P$15,0))*INDEX(Listes!$K$29:$O$31,MATCH(C$116,Listes!$K$29:$K$31,0),MATCH(I$117,Listes!$K$29:$O$29,0)))</f>
        <v>0</v>
      </c>
      <c r="K129" s="472"/>
      <c r="L129" s="3">
        <v>12</v>
      </c>
      <c r="M129" s="45">
        <f t="shared" si="64"/>
        <v>0</v>
      </c>
      <c r="N129" s="11">
        <f t="shared" si="65"/>
        <v>0</v>
      </c>
      <c r="O129" s="45">
        <f>IF(OR(N129=0,N129="",L$116=0),0,N129*INDEX(Listes!$K$1:$Q$12,MATCH(L$116,Listes!$K$1:$K$12,0),MATCH(O$117,Listes!$K$1:$Q$1,0)))</f>
        <v>0</v>
      </c>
      <c r="P129" s="45">
        <f t="shared" si="66"/>
        <v>0</v>
      </c>
      <c r="Q129" s="11">
        <f>IF(OR(L$116=0,L$116=""),0,P129*INDEX(Listes!$K$15:$P$26,MATCH(L$116,Listes!$K$15:$K$26,0),MATCH(Q$117,Listes!$K$15:$P$15,0))*INDEX(Listes!$K$29:$O$31,MATCH(M$116,Listes!$K$29:$K$31,0),MATCH(Q$117,Listes!$K$29:$O$29,0)))</f>
        <v>0</v>
      </c>
      <c r="R129" s="45">
        <f>IF(OR(L$116=0,L$116=""),0,P129*INDEX(Listes!$K$15:$P$26,MATCH(L$116,Listes!$K$15:$K$26,0),MATCH(R$117,Listes!$K$15:$P$15,0))*INDEX(Listes!$K$29:$O$31,MATCH(M$116,Listes!$K$29:$K$31,0),MATCH(R$117,Listes!$K$29:$O$29,0)))</f>
        <v>0</v>
      </c>
      <c r="S129" s="45">
        <f>IF(OR(L$116=0,L$116=""),0,P129*INDEX(Listes!$K$15:$P$26,MATCH(L$116,Listes!$K$15:$K$26,0),MATCH(S$117,Listes!$K$15:$P$15,0))*INDEX(Listes!$K$29:$O$31,MATCH(M$116,Listes!$K$29:$K$31,0),MATCH(S$117,Listes!$K$29:$O$29,0)))</f>
        <v>0</v>
      </c>
      <c r="U129" s="472"/>
      <c r="V129" s="3">
        <v>12</v>
      </c>
      <c r="W129" s="45">
        <f t="shared" si="67"/>
        <v>0</v>
      </c>
      <c r="X129" s="11">
        <f t="shared" si="68"/>
        <v>0</v>
      </c>
      <c r="Y129" s="45">
        <f>IF(OR(X129=0,X129="",V$116=0),0,X129*INDEX(Listes!$K$1:$Q$12,MATCH(V$116,Listes!$K$1:$K$12,0),MATCH(Y$117,Listes!$K$1:$Q$1,0)))</f>
        <v>0</v>
      </c>
      <c r="Z129" s="45">
        <f t="shared" si="69"/>
        <v>0</v>
      </c>
      <c r="AA129" s="11">
        <f>IF(OR(V$116=0,V$116=""),0,Z129*INDEX(Listes!$K$15:$P$26,MATCH(V$116,Listes!$K$15:$K$26,0),MATCH(AA$117,Listes!$K$15:$P$15,0))*INDEX(Listes!$K$29:$O$31,MATCH(W$116,Listes!$K$29:$K$31,0),MATCH(AA$117,Listes!$K$29:$O$29,0)))</f>
        <v>0</v>
      </c>
      <c r="AB129" s="45">
        <f>IF(OR(V$116=0,V$116=""),0,Z129*INDEX(Listes!$K$15:$P$26,MATCH(V$116,Listes!$K$15:$K$26,0),MATCH(AB$117,Listes!$K$15:$P$15,0))*INDEX(Listes!$K$29:$O$31,MATCH(W$116,Listes!$K$29:$K$31,0),MATCH(AB$117,Listes!$K$29:$O$29,0)))</f>
        <v>0</v>
      </c>
      <c r="AC129" s="45">
        <f>IF(OR(V$116=0,V$116=""),0,Z129*INDEX(Listes!$K$15:$P$26,MATCH(V$116,Listes!$K$15:$K$26,0),MATCH(AC$117,Listes!$K$15:$P$15,0))*INDEX(Listes!$K$29:$O$31,MATCH(W$116,Listes!$K$29:$K$31,0),MATCH(AC$117,Listes!$K$29:$O$29,0)))</f>
        <v>0</v>
      </c>
      <c r="AE129" s="472"/>
      <c r="AF129" s="3">
        <v>12</v>
      </c>
      <c r="AG129" s="45">
        <f t="shared" si="70"/>
        <v>0</v>
      </c>
      <c r="AH129" s="11">
        <f t="shared" si="71"/>
        <v>0</v>
      </c>
      <c r="AI129" s="45">
        <f>IF(OR(AH129=0,AH129="",AF$116=0),0,AH129*INDEX(Listes!$K$1:$Q$12,MATCH(AF$116,Listes!$K$1:$K$12,0),MATCH(AI$117,Listes!$K$1:$Q$1,0)))</f>
        <v>0</v>
      </c>
      <c r="AJ129" s="45">
        <f t="shared" si="72"/>
        <v>0</v>
      </c>
      <c r="AK129" s="11">
        <f>IF(OR(AF$116=0,AF$116=""),0,AJ129*INDEX(Listes!$K$15:$P$26,MATCH(AF$116,Listes!$K$15:$K$26,0),MATCH(AK$117,Listes!$K$15:$P$15,0))*INDEX(Listes!$K$29:$O$31,MATCH(AG$116,Listes!$K$29:$K$31,0),MATCH(AK$117,Listes!$K$29:$O$29,0)))</f>
        <v>0</v>
      </c>
      <c r="AL129" s="45">
        <f>IF(OR(AF$116=0,AF$116=""),0,AJ129*INDEX(Listes!$K$15:$P$26,MATCH(AF$116,Listes!$K$15:$K$26,0),MATCH(AL$117,Listes!$K$15:$P$15,0))*INDEX(Listes!$K$29:$O$31,MATCH(AG$116,Listes!$K$29:$K$31,0),MATCH(AL$117,Listes!$K$29:$O$29,0)))</f>
        <v>0</v>
      </c>
      <c r="AM129" s="45">
        <f>IF(OR(AF$116=0,AF$116=""),0,AJ129*INDEX(Listes!$K$15:$P$26,MATCH(AF$116,Listes!$K$15:$K$26,0),MATCH(AM$117,Listes!$K$15:$P$15,0))*INDEX(Listes!$K$29:$O$31,MATCH(AG$116,Listes!$K$29:$K$31,0),MATCH(AM$117,Listes!$K$29:$O$29,0)))</f>
        <v>0</v>
      </c>
      <c r="AN129" s="45"/>
      <c r="AO129" s="472"/>
      <c r="AP129" s="3">
        <v>12</v>
      </c>
      <c r="AQ129" s="11">
        <f t="shared" si="73"/>
        <v>0</v>
      </c>
      <c r="AR129" s="11">
        <f t="shared" si="74"/>
        <v>0</v>
      </c>
      <c r="AS129" s="11">
        <f t="shared" si="75"/>
        <v>0</v>
      </c>
      <c r="AT129" s="11">
        <f>AQ129*VLOOKUP(AQ$117,Tableau17[],4,FALSE)+AR129*VLOOKUP(AR$117,Tableau17[],4,FALSE)+AS129*VLOOKUP(AS$117,Tableau17[],4,FALSE)</f>
        <v>0</v>
      </c>
      <c r="AU129" s="11">
        <f>AQ129*VLOOKUP(AQ$117,Tableau17[],3,FALSE)+AR129*VLOOKUP(AR$117,Tableau17[],3,FALSE)+AS129*VLOOKUP(AS$117,Tableau17[],3,FALSE)</f>
        <v>0</v>
      </c>
      <c r="AW129" s="11"/>
      <c r="AX129" s="113"/>
    </row>
    <row r="130" spans="1:52" x14ac:dyDescent="0.2">
      <c r="A130" s="472"/>
      <c r="B130" s="3">
        <v>13</v>
      </c>
      <c r="C130" s="45">
        <f t="shared" si="76"/>
        <v>0</v>
      </c>
      <c r="D130" s="11">
        <f t="shared" si="77"/>
        <v>0</v>
      </c>
      <c r="E130" s="45">
        <f>IF(OR(D130=0,D130="",B$116=0),0,D130*INDEX(Listes!$K$1:$Q$12,MATCH(B$116,Listes!$K$1:$K$12,0),MATCH(E$117,Listes!$K$1:$Q$1,0)))</f>
        <v>0</v>
      </c>
      <c r="F130" s="45">
        <f t="shared" si="78"/>
        <v>0</v>
      </c>
      <c r="G130" s="11">
        <f>IF(OR(B$116=0,B$116=""),0,F130*INDEX(Listes!$K$15:$P$26,MATCH(B$116,Listes!$K$15:$K$26,0),MATCH(G$117,Listes!$K$15:$P$15,0))*INDEX(Listes!$K$29:$O$31,MATCH(C$116,Listes!$K$29:$K$31,0),MATCH(G$117,Listes!$K$29:$O$29,0)))</f>
        <v>0</v>
      </c>
      <c r="H130" s="45">
        <f>IF(OR(B$116=0,B$116=""),0,F130*INDEX(Listes!$K$15:$P$26,MATCH(B$116,Listes!$K$15:$K$26,0),MATCH(H$117,Listes!$K$15:$P$15,0))*INDEX(Listes!$K$29:$O$31,MATCH(C$116,Listes!$K$29:$K$31,0),MATCH(H$117,Listes!$K$29:$O$29,0)))</f>
        <v>0</v>
      </c>
      <c r="I130" s="45">
        <f>IF(OR(B$116=0,B$116=""),0,F130*INDEX(Listes!$K$15:$P$26,MATCH(B$116,Listes!$K$15:$K$26,0),MATCH(I$117,Listes!$K$15:$P$15,0))*INDEX(Listes!$K$29:$O$31,MATCH(C$116,Listes!$K$29:$K$31,0),MATCH(I$117,Listes!$K$29:$O$29,0)))</f>
        <v>0</v>
      </c>
      <c r="K130" s="472"/>
      <c r="L130" s="3">
        <v>13</v>
      </c>
      <c r="M130" s="45">
        <f t="shared" si="64"/>
        <v>0</v>
      </c>
      <c r="N130" s="11">
        <f t="shared" si="65"/>
        <v>0</v>
      </c>
      <c r="O130" s="45">
        <f>IF(OR(N130=0,N130="",L$116=0),0,N130*INDEX(Listes!$K$1:$Q$12,MATCH(L$116,Listes!$K$1:$K$12,0),MATCH(O$117,Listes!$K$1:$Q$1,0)))</f>
        <v>0</v>
      </c>
      <c r="P130" s="45">
        <f t="shared" si="66"/>
        <v>0</v>
      </c>
      <c r="Q130" s="11">
        <f>IF(OR(L$116=0,L$116=""),0,P130*INDEX(Listes!$K$15:$P$26,MATCH(L$116,Listes!$K$15:$K$26,0),MATCH(Q$117,Listes!$K$15:$P$15,0))*INDEX(Listes!$K$29:$O$31,MATCH(M$116,Listes!$K$29:$K$31,0),MATCH(Q$117,Listes!$K$29:$O$29,0)))</f>
        <v>0</v>
      </c>
      <c r="R130" s="45">
        <f>IF(OR(L$116=0,L$116=""),0,P130*INDEX(Listes!$K$15:$P$26,MATCH(L$116,Listes!$K$15:$K$26,0),MATCH(R$117,Listes!$K$15:$P$15,0))*INDEX(Listes!$K$29:$O$31,MATCH(M$116,Listes!$K$29:$K$31,0),MATCH(R$117,Listes!$K$29:$O$29,0)))</f>
        <v>0</v>
      </c>
      <c r="S130" s="45">
        <f>IF(OR(L$116=0,L$116=""),0,P130*INDEX(Listes!$K$15:$P$26,MATCH(L$116,Listes!$K$15:$K$26,0),MATCH(S$117,Listes!$K$15:$P$15,0))*INDEX(Listes!$K$29:$O$31,MATCH(M$116,Listes!$K$29:$K$31,0),MATCH(S$117,Listes!$K$29:$O$29,0)))</f>
        <v>0</v>
      </c>
      <c r="U130" s="472"/>
      <c r="V130" s="3">
        <v>13</v>
      </c>
      <c r="W130" s="45">
        <f t="shared" si="67"/>
        <v>0</v>
      </c>
      <c r="X130" s="11">
        <f t="shared" si="68"/>
        <v>0</v>
      </c>
      <c r="Y130" s="45">
        <f>IF(OR(X130=0,X130="",V$116=0),0,X130*INDEX(Listes!$K$1:$Q$12,MATCH(V$116,Listes!$K$1:$K$12,0),MATCH(Y$117,Listes!$K$1:$Q$1,0)))</f>
        <v>0</v>
      </c>
      <c r="Z130" s="45">
        <f t="shared" si="69"/>
        <v>0</v>
      </c>
      <c r="AA130" s="11">
        <f>IF(OR(V$116=0,V$116=""),0,Z130*INDEX(Listes!$K$15:$P$26,MATCH(V$116,Listes!$K$15:$K$26,0),MATCH(AA$117,Listes!$K$15:$P$15,0))*INDEX(Listes!$K$29:$O$31,MATCH(W$116,Listes!$K$29:$K$31,0),MATCH(AA$117,Listes!$K$29:$O$29,0)))</f>
        <v>0</v>
      </c>
      <c r="AB130" s="45">
        <f>IF(OR(V$116=0,V$116=""),0,Z130*INDEX(Listes!$K$15:$P$26,MATCH(V$116,Listes!$K$15:$K$26,0),MATCH(AB$117,Listes!$K$15:$P$15,0))*INDEX(Listes!$K$29:$O$31,MATCH(W$116,Listes!$K$29:$K$31,0),MATCH(AB$117,Listes!$K$29:$O$29,0)))</f>
        <v>0</v>
      </c>
      <c r="AC130" s="45">
        <f>IF(OR(V$116=0,V$116=""),0,Z130*INDEX(Listes!$K$15:$P$26,MATCH(V$116,Listes!$K$15:$K$26,0),MATCH(AC$117,Listes!$K$15:$P$15,0))*INDEX(Listes!$K$29:$O$31,MATCH(W$116,Listes!$K$29:$K$31,0),MATCH(AC$117,Listes!$K$29:$O$29,0)))</f>
        <v>0</v>
      </c>
      <c r="AE130" s="472"/>
      <c r="AF130" s="3">
        <v>13</v>
      </c>
      <c r="AG130" s="45">
        <f t="shared" si="70"/>
        <v>0</v>
      </c>
      <c r="AH130" s="11">
        <f t="shared" si="71"/>
        <v>0</v>
      </c>
      <c r="AI130" s="45">
        <f>IF(OR(AH130=0,AH130="",AF$116=0),0,AH130*INDEX(Listes!$K$1:$Q$12,MATCH(AF$116,Listes!$K$1:$K$12,0),MATCH(AI$117,Listes!$K$1:$Q$1,0)))</f>
        <v>0</v>
      </c>
      <c r="AJ130" s="45">
        <f t="shared" si="72"/>
        <v>0</v>
      </c>
      <c r="AK130" s="11">
        <f>IF(OR(AF$116=0,AF$116=""),0,AJ130*INDEX(Listes!$K$15:$P$26,MATCH(AF$116,Listes!$K$15:$K$26,0),MATCH(AK$117,Listes!$K$15:$P$15,0))*INDEX(Listes!$K$29:$O$31,MATCH(AG$116,Listes!$K$29:$K$31,0),MATCH(AK$117,Listes!$K$29:$O$29,0)))</f>
        <v>0</v>
      </c>
      <c r="AL130" s="45">
        <f>IF(OR(AF$116=0,AF$116=""),0,AJ130*INDEX(Listes!$K$15:$P$26,MATCH(AF$116,Listes!$K$15:$K$26,0),MATCH(AL$117,Listes!$K$15:$P$15,0))*INDEX(Listes!$K$29:$O$31,MATCH(AG$116,Listes!$K$29:$K$31,0),MATCH(AL$117,Listes!$K$29:$O$29,0)))</f>
        <v>0</v>
      </c>
      <c r="AM130" s="45">
        <f>IF(OR(AF$116=0,AF$116=""),0,AJ130*INDEX(Listes!$K$15:$P$26,MATCH(AF$116,Listes!$K$15:$K$26,0),MATCH(AM$117,Listes!$K$15:$P$15,0))*INDEX(Listes!$K$29:$O$31,MATCH(AG$116,Listes!$K$29:$K$31,0),MATCH(AM$117,Listes!$K$29:$O$29,0)))</f>
        <v>0</v>
      </c>
      <c r="AN130" s="45"/>
      <c r="AO130" s="472"/>
      <c r="AP130" s="3">
        <v>13</v>
      </c>
      <c r="AQ130" s="11">
        <f t="shared" si="73"/>
        <v>0</v>
      </c>
      <c r="AR130" s="11">
        <f t="shared" si="74"/>
        <v>0</v>
      </c>
      <c r="AS130" s="11">
        <f t="shared" si="75"/>
        <v>0</v>
      </c>
      <c r="AT130" s="11">
        <f>AQ130*VLOOKUP(AQ$117,Tableau17[],4,FALSE)+AR130*VLOOKUP(AR$117,Tableau17[],4,FALSE)+AS130*VLOOKUP(AS$117,Tableau17[],4,FALSE)</f>
        <v>0</v>
      </c>
      <c r="AU130" s="11">
        <f>AQ130*VLOOKUP(AQ$117,Tableau17[],3,FALSE)+AR130*VLOOKUP(AR$117,Tableau17[],3,FALSE)+AS130*VLOOKUP(AS$117,Tableau17[],3,FALSE)</f>
        <v>0</v>
      </c>
      <c r="AW130" s="11"/>
      <c r="AX130" s="113"/>
    </row>
    <row r="131" spans="1:52" x14ac:dyDescent="0.2">
      <c r="A131" s="472"/>
      <c r="B131" s="3">
        <v>14</v>
      </c>
      <c r="C131" s="45">
        <f t="shared" si="76"/>
        <v>0</v>
      </c>
      <c r="D131" s="11">
        <f t="shared" si="77"/>
        <v>0</v>
      </c>
      <c r="E131" s="45">
        <f>IF(OR(D131=0,D131="",B$116=0),0,D131*INDEX(Listes!$K$1:$Q$12,MATCH(B$116,Listes!$K$1:$K$12,0),MATCH(E$117,Listes!$K$1:$Q$1,0)))</f>
        <v>0</v>
      </c>
      <c r="F131" s="45">
        <f t="shared" si="78"/>
        <v>0</v>
      </c>
      <c r="G131" s="11">
        <f>IF(OR(B$116=0,B$116=""),0,F131*INDEX(Listes!$K$15:$P$26,MATCH(B$116,Listes!$K$15:$K$26,0),MATCH(G$117,Listes!$K$15:$P$15,0))*INDEX(Listes!$K$29:$O$31,MATCH(C$116,Listes!$K$29:$K$31,0),MATCH(G$117,Listes!$K$29:$O$29,0)))</f>
        <v>0</v>
      </c>
      <c r="H131" s="45">
        <f>IF(OR(B$116=0,B$116=""),0,F131*INDEX(Listes!$K$15:$P$26,MATCH(B$116,Listes!$K$15:$K$26,0),MATCH(H$117,Listes!$K$15:$P$15,0))*INDEX(Listes!$K$29:$O$31,MATCH(C$116,Listes!$K$29:$K$31,0),MATCH(H$117,Listes!$K$29:$O$29,0)))</f>
        <v>0</v>
      </c>
      <c r="I131" s="45">
        <f>IF(OR(B$116=0,B$116=""),0,F131*INDEX(Listes!$K$15:$P$26,MATCH(B$116,Listes!$K$15:$K$26,0),MATCH(I$117,Listes!$K$15:$P$15,0))*INDEX(Listes!$K$29:$O$31,MATCH(C$116,Listes!$K$29:$K$31,0),MATCH(I$117,Listes!$K$29:$O$29,0)))</f>
        <v>0</v>
      </c>
      <c r="K131" s="472"/>
      <c r="L131" s="3">
        <v>14</v>
      </c>
      <c r="M131" s="45">
        <f t="shared" si="64"/>
        <v>0</v>
      </c>
      <c r="N131" s="11">
        <f t="shared" si="65"/>
        <v>0</v>
      </c>
      <c r="O131" s="45">
        <f>IF(OR(N131=0,N131="",L$116=0),0,N131*INDEX(Listes!$K$1:$Q$12,MATCH(L$116,Listes!$K$1:$K$12,0),MATCH(O$117,Listes!$K$1:$Q$1,0)))</f>
        <v>0</v>
      </c>
      <c r="P131" s="45">
        <f t="shared" si="66"/>
        <v>0</v>
      </c>
      <c r="Q131" s="11">
        <f>IF(OR(L$116=0,L$116=""),0,P131*INDEX(Listes!$K$15:$P$26,MATCH(L$116,Listes!$K$15:$K$26,0),MATCH(Q$117,Listes!$K$15:$P$15,0))*INDEX(Listes!$K$29:$O$31,MATCH(M$116,Listes!$K$29:$K$31,0),MATCH(Q$117,Listes!$K$29:$O$29,0)))</f>
        <v>0</v>
      </c>
      <c r="R131" s="45">
        <f>IF(OR(L$116=0,L$116=""),0,P131*INDEX(Listes!$K$15:$P$26,MATCH(L$116,Listes!$K$15:$K$26,0),MATCH(R$117,Listes!$K$15:$P$15,0))*INDEX(Listes!$K$29:$O$31,MATCH(M$116,Listes!$K$29:$K$31,0),MATCH(R$117,Listes!$K$29:$O$29,0)))</f>
        <v>0</v>
      </c>
      <c r="S131" s="45">
        <f>IF(OR(L$116=0,L$116=""),0,P131*INDEX(Listes!$K$15:$P$26,MATCH(L$116,Listes!$K$15:$K$26,0),MATCH(S$117,Listes!$K$15:$P$15,0))*INDEX(Listes!$K$29:$O$31,MATCH(M$116,Listes!$K$29:$K$31,0),MATCH(S$117,Listes!$K$29:$O$29,0)))</f>
        <v>0</v>
      </c>
      <c r="U131" s="472"/>
      <c r="V131" s="3">
        <v>14</v>
      </c>
      <c r="W131" s="45">
        <f t="shared" si="67"/>
        <v>0</v>
      </c>
      <c r="X131" s="11">
        <f t="shared" si="68"/>
        <v>0</v>
      </c>
      <c r="Y131" s="45">
        <f>IF(OR(X131=0,X131="",V$116=0),0,X131*INDEX(Listes!$K$1:$Q$12,MATCH(V$116,Listes!$K$1:$K$12,0),MATCH(Y$117,Listes!$K$1:$Q$1,0)))</f>
        <v>0</v>
      </c>
      <c r="Z131" s="45">
        <f t="shared" si="69"/>
        <v>0</v>
      </c>
      <c r="AA131" s="11">
        <f>IF(OR(V$116=0,V$116=""),0,Z131*INDEX(Listes!$K$15:$P$26,MATCH(V$116,Listes!$K$15:$K$26,0),MATCH(AA$117,Listes!$K$15:$P$15,0))*INDEX(Listes!$K$29:$O$31,MATCH(W$116,Listes!$K$29:$K$31,0),MATCH(AA$117,Listes!$K$29:$O$29,0)))</f>
        <v>0</v>
      </c>
      <c r="AB131" s="45">
        <f>IF(OR(V$116=0,V$116=""),0,Z131*INDEX(Listes!$K$15:$P$26,MATCH(V$116,Listes!$K$15:$K$26,0),MATCH(AB$117,Listes!$K$15:$P$15,0))*INDEX(Listes!$K$29:$O$31,MATCH(W$116,Listes!$K$29:$K$31,0),MATCH(AB$117,Listes!$K$29:$O$29,0)))</f>
        <v>0</v>
      </c>
      <c r="AC131" s="45">
        <f>IF(OR(V$116=0,V$116=""),0,Z131*INDEX(Listes!$K$15:$P$26,MATCH(V$116,Listes!$K$15:$K$26,0),MATCH(AC$117,Listes!$K$15:$P$15,0))*INDEX(Listes!$K$29:$O$31,MATCH(W$116,Listes!$K$29:$K$31,0),MATCH(AC$117,Listes!$K$29:$O$29,0)))</f>
        <v>0</v>
      </c>
      <c r="AE131" s="472"/>
      <c r="AF131" s="3">
        <v>14</v>
      </c>
      <c r="AG131" s="45">
        <f t="shared" si="70"/>
        <v>0</v>
      </c>
      <c r="AH131" s="11">
        <f t="shared" si="71"/>
        <v>0</v>
      </c>
      <c r="AI131" s="45">
        <f>IF(OR(AH131=0,AH131="",AF$116=0),0,AH131*INDEX(Listes!$K$1:$Q$12,MATCH(AF$116,Listes!$K$1:$K$12,0),MATCH(AI$117,Listes!$K$1:$Q$1,0)))</f>
        <v>0</v>
      </c>
      <c r="AJ131" s="45">
        <f t="shared" si="72"/>
        <v>0</v>
      </c>
      <c r="AK131" s="11">
        <f>IF(OR(AF$116=0,AF$116=""),0,AJ131*INDEX(Listes!$K$15:$P$26,MATCH(AF$116,Listes!$K$15:$K$26,0),MATCH(AK$117,Listes!$K$15:$P$15,0))*INDEX(Listes!$K$29:$O$31,MATCH(AG$116,Listes!$K$29:$K$31,0),MATCH(AK$117,Listes!$K$29:$O$29,0)))</f>
        <v>0</v>
      </c>
      <c r="AL131" s="45">
        <f>IF(OR(AF$116=0,AF$116=""),0,AJ131*INDEX(Listes!$K$15:$P$26,MATCH(AF$116,Listes!$K$15:$K$26,0),MATCH(AL$117,Listes!$K$15:$P$15,0))*INDEX(Listes!$K$29:$O$31,MATCH(AG$116,Listes!$K$29:$K$31,0),MATCH(AL$117,Listes!$K$29:$O$29,0)))</f>
        <v>0</v>
      </c>
      <c r="AM131" s="45">
        <f>IF(OR(AF$116=0,AF$116=""),0,AJ131*INDEX(Listes!$K$15:$P$26,MATCH(AF$116,Listes!$K$15:$K$26,0),MATCH(AM$117,Listes!$K$15:$P$15,0))*INDEX(Listes!$K$29:$O$31,MATCH(AG$116,Listes!$K$29:$K$31,0),MATCH(AM$117,Listes!$K$29:$O$29,0)))</f>
        <v>0</v>
      </c>
      <c r="AN131" s="45"/>
      <c r="AO131" s="472"/>
      <c r="AP131" s="3">
        <v>14</v>
      </c>
      <c r="AQ131" s="11">
        <f t="shared" si="73"/>
        <v>0</v>
      </c>
      <c r="AR131" s="11">
        <f t="shared" si="74"/>
        <v>0</v>
      </c>
      <c r="AS131" s="11">
        <f t="shared" si="75"/>
        <v>0</v>
      </c>
      <c r="AT131" s="11">
        <f>AQ131*VLOOKUP(AQ$117,Tableau17[],4,FALSE)+AR131*VLOOKUP(AR$117,Tableau17[],4,FALSE)+AS131*VLOOKUP(AS$117,Tableau17[],4,FALSE)</f>
        <v>0</v>
      </c>
      <c r="AU131" s="11">
        <f>AQ131*VLOOKUP(AQ$117,Tableau17[],3,FALSE)+AR131*VLOOKUP(AR$117,Tableau17[],3,FALSE)+AS131*VLOOKUP(AS$117,Tableau17[],3,FALSE)</f>
        <v>0</v>
      </c>
      <c r="AW131" s="11"/>
      <c r="AX131" s="113"/>
    </row>
    <row r="132" spans="1:52" x14ac:dyDescent="0.2">
      <c r="A132" s="472"/>
      <c r="B132" s="3">
        <v>15</v>
      </c>
      <c r="C132" s="45">
        <f t="shared" si="76"/>
        <v>0</v>
      </c>
      <c r="D132" s="11">
        <f t="shared" si="77"/>
        <v>0</v>
      </c>
      <c r="E132" s="45">
        <f>IF(OR(D132=0,D132="",B$116=0),0,D132*INDEX(Listes!$K$1:$Q$12,MATCH(B$116,Listes!$K$1:$K$12,0),MATCH(E$117,Listes!$K$1:$Q$1,0)))</f>
        <v>0</v>
      </c>
      <c r="F132" s="45">
        <f t="shared" si="78"/>
        <v>0</v>
      </c>
      <c r="G132" s="45">
        <f>IF(OR(B$116=0,B$116=""),0,F132*INDEX(Listes!$K$15:$P$26,MATCH(B$116,Listes!$K$15:$K$26,0),MATCH(G$117,Listes!$K$15:$P$15,0))*INDEX(Listes!$K$29:$O$31,MATCH(C$116,Listes!$K$29:$K$31,0),MATCH(G$117,Listes!$K$29:$O$29,0)))</f>
        <v>0</v>
      </c>
      <c r="H132" s="45">
        <f>IF(OR(B$116=0,B$116=""),0,F132*INDEX(Listes!$K$15:$P$26,MATCH(B$116,Listes!$K$15:$K$26,0),MATCH(H$117,Listes!$K$15:$P$15,0))*INDEX(Listes!$K$29:$O$31,MATCH(C$116,Listes!$K$29:$K$31,0),MATCH(H$117,Listes!$K$29:$O$29,0)))</f>
        <v>0</v>
      </c>
      <c r="I132" s="45">
        <f>IF(OR(B$116=0,B$116=""),0,F132*INDEX(Listes!$K$15:$P$26,MATCH(B$116,Listes!$K$15:$K$26,0),MATCH(I$117,Listes!$K$15:$P$15,0))*INDEX(Listes!$K$29:$O$31,MATCH(C$116,Listes!$K$29:$K$31,0),MATCH(I$117,Listes!$K$29:$O$29,0)))</f>
        <v>0</v>
      </c>
      <c r="K132" s="472"/>
      <c r="L132" s="3">
        <v>15</v>
      </c>
      <c r="M132" s="45">
        <f t="shared" si="64"/>
        <v>0</v>
      </c>
      <c r="N132" s="11">
        <f t="shared" si="65"/>
        <v>0</v>
      </c>
      <c r="O132" s="45">
        <f>IF(OR(N132=0,N132="",L$116=0),0,N132*INDEX(Listes!$K$1:$Q$12,MATCH(L$116,Listes!$K$1:$K$12,0),MATCH(O$117,Listes!$K$1:$Q$1,0)))</f>
        <v>0</v>
      </c>
      <c r="P132" s="45">
        <f t="shared" si="66"/>
        <v>0</v>
      </c>
      <c r="Q132" s="45">
        <f>IF(OR(L$116=0,L$116=""),0,P132*INDEX(Listes!$K$15:$P$26,MATCH(L$116,Listes!$K$15:$K$26,0),MATCH(Q$117,Listes!$K$15:$P$15,0))*INDEX(Listes!$K$29:$O$31,MATCH(M$116,Listes!$K$29:$K$31,0),MATCH(Q$117,Listes!$K$29:$O$29,0)))</f>
        <v>0</v>
      </c>
      <c r="R132" s="45">
        <f>IF(OR(L$116=0,L$116=""),0,P132*INDEX(Listes!$K$15:$P$26,MATCH(L$116,Listes!$K$15:$K$26,0),MATCH(R$117,Listes!$K$15:$P$15,0))*INDEX(Listes!$K$29:$O$31,MATCH(M$116,Listes!$K$29:$K$31,0),MATCH(R$117,Listes!$K$29:$O$29,0)))</f>
        <v>0</v>
      </c>
      <c r="S132" s="45">
        <f>IF(OR(L$116=0,L$116=""),0,P132*INDEX(Listes!$K$15:$P$26,MATCH(L$116,Listes!$K$15:$K$26,0),MATCH(S$117,Listes!$K$15:$P$15,0))*INDEX(Listes!$K$29:$O$31,MATCH(M$116,Listes!$K$29:$K$31,0),MATCH(S$117,Listes!$K$29:$O$29,0)))</f>
        <v>0</v>
      </c>
      <c r="U132" s="472"/>
      <c r="V132" s="3">
        <v>15</v>
      </c>
      <c r="W132" s="45">
        <f t="shared" si="67"/>
        <v>0</v>
      </c>
      <c r="X132" s="11">
        <f t="shared" si="68"/>
        <v>0</v>
      </c>
      <c r="Y132" s="45">
        <f>IF(OR(X132=0,X132="",V$116=0),0,X132*INDEX(Listes!$K$1:$Q$12,MATCH(V$116,Listes!$K$1:$K$12,0),MATCH(Y$117,Listes!$K$1:$Q$1,0)))</f>
        <v>0</v>
      </c>
      <c r="Z132" s="45">
        <f t="shared" si="69"/>
        <v>0</v>
      </c>
      <c r="AA132" s="45">
        <f>IF(OR(V$116=0,V$116=""),0,Z132*INDEX(Listes!$K$15:$P$26,MATCH(V$116,Listes!$K$15:$K$26,0),MATCH(AA$117,Listes!$K$15:$P$15,0))*INDEX(Listes!$K$29:$O$31,MATCH(W$116,Listes!$K$29:$K$31,0),MATCH(AA$117,Listes!$K$29:$O$29,0)))</f>
        <v>0</v>
      </c>
      <c r="AB132" s="45">
        <f>IF(OR(V$116=0,V$116=""),0,Z132*INDEX(Listes!$K$15:$P$26,MATCH(V$116,Listes!$K$15:$K$26,0),MATCH(AB$117,Listes!$K$15:$P$15,0))*INDEX(Listes!$K$29:$O$31,MATCH(W$116,Listes!$K$29:$K$31,0),MATCH(AB$117,Listes!$K$29:$O$29,0)))</f>
        <v>0</v>
      </c>
      <c r="AC132" s="45">
        <f>IF(OR(V$116=0,V$116=""),0,Z132*INDEX(Listes!$K$15:$P$26,MATCH(V$116,Listes!$K$15:$K$26,0),MATCH(AC$117,Listes!$K$15:$P$15,0))*INDEX(Listes!$K$29:$O$31,MATCH(W$116,Listes!$K$29:$K$31,0),MATCH(AC$117,Listes!$K$29:$O$29,0)))</f>
        <v>0</v>
      </c>
      <c r="AE132" s="472"/>
      <c r="AF132" s="3">
        <v>15</v>
      </c>
      <c r="AG132" s="45">
        <f t="shared" si="70"/>
        <v>0</v>
      </c>
      <c r="AH132" s="11">
        <f t="shared" si="71"/>
        <v>0</v>
      </c>
      <c r="AI132" s="45">
        <f>IF(OR(AH132=0,AH132="",AF$116=0),0,AH132*INDEX(Listes!$K$1:$Q$12,MATCH(AF$116,Listes!$K$1:$K$12,0),MATCH(AI$117,Listes!$K$1:$Q$1,0)))</f>
        <v>0</v>
      </c>
      <c r="AJ132" s="45">
        <f t="shared" si="72"/>
        <v>0</v>
      </c>
      <c r="AK132" s="45">
        <f>IF(OR(AF$116=0,AF$116=""),0,AJ132*INDEX(Listes!$K$15:$P$26,MATCH(AF$116,Listes!$K$15:$K$26,0),MATCH(AK$117,Listes!$K$15:$P$15,0))*INDEX(Listes!$K$29:$O$31,MATCH(AG$116,Listes!$K$29:$K$31,0),MATCH(AK$117,Listes!$K$29:$O$29,0)))</f>
        <v>0</v>
      </c>
      <c r="AL132" s="45">
        <f>IF(OR(AF$116=0,AF$116=""),0,AJ132*INDEX(Listes!$K$15:$P$26,MATCH(AF$116,Listes!$K$15:$K$26,0),MATCH(AL$117,Listes!$K$15:$P$15,0))*INDEX(Listes!$K$29:$O$31,MATCH(AG$116,Listes!$K$29:$K$31,0),MATCH(AL$117,Listes!$K$29:$O$29,0)))</f>
        <v>0</v>
      </c>
      <c r="AM132" s="45">
        <f>IF(OR(AF$116=0,AF$116=""),0,AJ132*INDEX(Listes!$K$15:$P$26,MATCH(AF$116,Listes!$K$15:$K$26,0),MATCH(AM$117,Listes!$K$15:$P$15,0))*INDEX(Listes!$K$29:$O$31,MATCH(AG$116,Listes!$K$29:$K$31,0),MATCH(AM$117,Listes!$K$29:$O$29,0)))</f>
        <v>0</v>
      </c>
      <c r="AN132" s="45"/>
      <c r="AO132" s="472"/>
      <c r="AP132" s="3">
        <v>15</v>
      </c>
      <c r="AQ132" s="11">
        <f t="shared" si="73"/>
        <v>0</v>
      </c>
      <c r="AR132" s="11">
        <f t="shared" si="74"/>
        <v>0</v>
      </c>
      <c r="AS132" s="11">
        <f t="shared" si="75"/>
        <v>0</v>
      </c>
      <c r="AT132" s="11">
        <f>AQ132*VLOOKUP(AQ$117,Tableau17[],4,FALSE)+AR132*VLOOKUP(AR$117,Tableau17[],4,FALSE)+AS132*VLOOKUP(AS$117,Tableau17[],4,FALSE)</f>
        <v>0</v>
      </c>
      <c r="AU132" s="11">
        <f>AQ132*VLOOKUP(AQ$117,Tableau17[],3,FALSE)+AR132*VLOOKUP(AR$117,Tableau17[],3,FALSE)+AS132*VLOOKUP(AS$117,Tableau17[],3,FALSE)</f>
        <v>0</v>
      </c>
      <c r="AW132" s="11"/>
      <c r="AX132" s="113"/>
    </row>
    <row r="133" spans="1:52" x14ac:dyDescent="0.2">
      <c r="A133" s="472"/>
      <c r="B133" s="3">
        <v>16</v>
      </c>
      <c r="C133" s="45">
        <f t="shared" si="76"/>
        <v>0</v>
      </c>
      <c r="D133" s="11">
        <f t="shared" si="77"/>
        <v>0</v>
      </c>
      <c r="E133" s="45">
        <f>IF(OR(D133=0,D133="",B$116=0),0,D133*INDEX(Listes!$K$1:$Q$12,MATCH(B$116,Listes!$K$1:$K$12,0),MATCH(E$117,Listes!$K$1:$Q$1,0)))</f>
        <v>0</v>
      </c>
      <c r="F133" s="45">
        <f t="shared" si="78"/>
        <v>0</v>
      </c>
      <c r="G133" s="11">
        <f>IF(OR(B$116=0,B$116=""),0,F133*INDEX(Listes!$K$15:$P$26,MATCH(B$116,Listes!$K$15:$K$26,0),MATCH(G$117,Listes!$K$15:$P$15,0))*INDEX(Listes!$K$29:$O$31,MATCH(C$116,Listes!$K$29:$K$31,0),MATCH(G$117,Listes!$K$29:$O$29,0)))</f>
        <v>0</v>
      </c>
      <c r="H133" s="45">
        <f>IF(OR(B$116=0,B$116=""),0,F133*INDEX(Listes!$K$15:$P$26,MATCH(B$116,Listes!$K$15:$K$26,0),MATCH(H$117,Listes!$K$15:$P$15,0))*INDEX(Listes!$K$29:$O$31,MATCH(C$116,Listes!$K$29:$K$31,0),MATCH(H$117,Listes!$K$29:$O$29,0)))</f>
        <v>0</v>
      </c>
      <c r="I133" s="45">
        <f>IF(OR(B$116=0,B$116=""),0,F133*INDEX(Listes!$K$15:$P$26,MATCH(B$116,Listes!$K$15:$K$26,0),MATCH(I$117,Listes!$K$15:$P$15,0))*INDEX(Listes!$K$29:$O$31,MATCH(C$116,Listes!$K$29:$K$31,0),MATCH(I$117,Listes!$K$29:$O$29,0)))</f>
        <v>0</v>
      </c>
      <c r="K133" s="472"/>
      <c r="L133" s="3">
        <v>16</v>
      </c>
      <c r="M133" s="45">
        <f t="shared" si="64"/>
        <v>0</v>
      </c>
      <c r="N133" s="11">
        <f t="shared" si="65"/>
        <v>0</v>
      </c>
      <c r="O133" s="45">
        <f>IF(OR(N133=0,N133="",L$116=0),0,N133*INDEX(Listes!$K$1:$Q$12,MATCH(L$116,Listes!$K$1:$K$12,0),MATCH(O$117,Listes!$K$1:$Q$1,0)))</f>
        <v>0</v>
      </c>
      <c r="P133" s="45">
        <f t="shared" si="66"/>
        <v>0</v>
      </c>
      <c r="Q133" s="11">
        <f>IF(OR(L$116=0,L$116=""),0,P133*INDEX(Listes!$K$15:$P$26,MATCH(L$116,Listes!$K$15:$K$26,0),MATCH(Q$117,Listes!$K$15:$P$15,0))*INDEX(Listes!$K$29:$O$31,MATCH(M$116,Listes!$K$29:$K$31,0),MATCH(Q$117,Listes!$K$29:$O$29,0)))</f>
        <v>0</v>
      </c>
      <c r="R133" s="45">
        <f>IF(OR(L$116=0,L$116=""),0,P133*INDEX(Listes!$K$15:$P$26,MATCH(L$116,Listes!$K$15:$K$26,0),MATCH(R$117,Listes!$K$15:$P$15,0))*INDEX(Listes!$K$29:$O$31,MATCH(M$116,Listes!$K$29:$K$31,0),MATCH(R$117,Listes!$K$29:$O$29,0)))</f>
        <v>0</v>
      </c>
      <c r="S133" s="45">
        <f>IF(OR(L$116=0,L$116=""),0,P133*INDEX(Listes!$K$15:$P$26,MATCH(L$116,Listes!$K$15:$K$26,0),MATCH(S$117,Listes!$K$15:$P$15,0))*INDEX(Listes!$K$29:$O$31,MATCH(M$116,Listes!$K$29:$K$31,0),MATCH(S$117,Listes!$K$29:$O$29,0)))</f>
        <v>0</v>
      </c>
      <c r="U133" s="472"/>
      <c r="V133" s="3">
        <v>16</v>
      </c>
      <c r="W133" s="45">
        <f t="shared" si="67"/>
        <v>0</v>
      </c>
      <c r="X133" s="11">
        <f t="shared" si="68"/>
        <v>0</v>
      </c>
      <c r="Y133" s="45">
        <f>IF(OR(X133=0,X133="",V$116=0),0,X133*INDEX(Listes!$K$1:$Q$12,MATCH(V$116,Listes!$K$1:$K$12,0),MATCH(Y$117,Listes!$K$1:$Q$1,0)))</f>
        <v>0</v>
      </c>
      <c r="Z133" s="45">
        <f t="shared" si="69"/>
        <v>0</v>
      </c>
      <c r="AA133" s="11">
        <f>IF(OR(V$116=0,V$116=""),0,Z133*INDEX(Listes!$K$15:$P$26,MATCH(V$116,Listes!$K$15:$K$26,0),MATCH(AA$117,Listes!$K$15:$P$15,0))*INDEX(Listes!$K$29:$O$31,MATCH(W$116,Listes!$K$29:$K$31,0),MATCH(AA$117,Listes!$K$29:$O$29,0)))</f>
        <v>0</v>
      </c>
      <c r="AB133" s="45">
        <f>IF(OR(V$116=0,V$116=""),0,Z133*INDEX(Listes!$K$15:$P$26,MATCH(V$116,Listes!$K$15:$K$26,0),MATCH(AB$117,Listes!$K$15:$P$15,0))*INDEX(Listes!$K$29:$O$31,MATCH(W$116,Listes!$K$29:$K$31,0),MATCH(AB$117,Listes!$K$29:$O$29,0)))</f>
        <v>0</v>
      </c>
      <c r="AC133" s="45">
        <f>IF(OR(V$116=0,V$116=""),0,Z133*INDEX(Listes!$K$15:$P$26,MATCH(V$116,Listes!$K$15:$K$26,0),MATCH(AC$117,Listes!$K$15:$P$15,0))*INDEX(Listes!$K$29:$O$31,MATCH(W$116,Listes!$K$29:$K$31,0),MATCH(AC$117,Listes!$K$29:$O$29,0)))</f>
        <v>0</v>
      </c>
      <c r="AE133" s="472"/>
      <c r="AF133" s="3">
        <v>16</v>
      </c>
      <c r="AG133" s="45">
        <f t="shared" si="70"/>
        <v>0</v>
      </c>
      <c r="AH133" s="11">
        <f t="shared" si="71"/>
        <v>0</v>
      </c>
      <c r="AI133" s="45">
        <f>IF(OR(AH133=0,AH133="",AF$116=0),0,AH133*INDEX(Listes!$K$1:$Q$12,MATCH(AF$116,Listes!$K$1:$K$12,0),MATCH(AI$117,Listes!$K$1:$Q$1,0)))</f>
        <v>0</v>
      </c>
      <c r="AJ133" s="45">
        <f t="shared" si="72"/>
        <v>0</v>
      </c>
      <c r="AK133" s="11">
        <f>IF(OR(AF$116=0,AF$116=""),0,AJ133*INDEX(Listes!$K$15:$P$26,MATCH(AF$116,Listes!$K$15:$K$26,0),MATCH(AK$117,Listes!$K$15:$P$15,0))*INDEX(Listes!$K$29:$O$31,MATCH(AG$116,Listes!$K$29:$K$31,0),MATCH(AK$117,Listes!$K$29:$O$29,0)))</f>
        <v>0</v>
      </c>
      <c r="AL133" s="45">
        <f>IF(OR(AF$116=0,AF$116=""),0,AJ133*INDEX(Listes!$K$15:$P$26,MATCH(AF$116,Listes!$K$15:$K$26,0),MATCH(AL$117,Listes!$K$15:$P$15,0))*INDEX(Listes!$K$29:$O$31,MATCH(AG$116,Listes!$K$29:$K$31,0),MATCH(AL$117,Listes!$K$29:$O$29,0)))</f>
        <v>0</v>
      </c>
      <c r="AM133" s="45">
        <f>IF(OR(AF$116=0,AF$116=""),0,AJ133*INDEX(Listes!$K$15:$P$26,MATCH(AF$116,Listes!$K$15:$K$26,0),MATCH(AM$117,Listes!$K$15:$P$15,0))*INDEX(Listes!$K$29:$O$31,MATCH(AG$116,Listes!$K$29:$K$31,0),MATCH(AM$117,Listes!$K$29:$O$29,0)))</f>
        <v>0</v>
      </c>
      <c r="AN133" s="45"/>
      <c r="AO133" s="472"/>
      <c r="AP133" s="3">
        <v>16</v>
      </c>
      <c r="AQ133" s="11">
        <f t="shared" si="73"/>
        <v>0</v>
      </c>
      <c r="AR133" s="11">
        <f t="shared" si="74"/>
        <v>0</v>
      </c>
      <c r="AS133" s="11">
        <f t="shared" si="75"/>
        <v>0</v>
      </c>
      <c r="AT133" s="11">
        <f>AQ133*VLOOKUP(AQ$117,Tableau17[],4,FALSE)+AR133*VLOOKUP(AR$117,Tableau17[],4,FALSE)+AS133*VLOOKUP(AS$117,Tableau17[],4,FALSE)</f>
        <v>0</v>
      </c>
      <c r="AU133" s="11">
        <f>AQ133*VLOOKUP(AQ$117,Tableau17[],3,FALSE)+AR133*VLOOKUP(AR$117,Tableau17[],3,FALSE)+AS133*VLOOKUP(AS$117,Tableau17[],3,FALSE)</f>
        <v>0</v>
      </c>
      <c r="AW133" s="11"/>
      <c r="AX133" s="113"/>
    </row>
    <row r="134" spans="1:52" x14ac:dyDescent="0.2">
      <c r="A134" s="472"/>
      <c r="B134" s="3">
        <v>17</v>
      </c>
      <c r="C134" s="45">
        <f t="shared" si="76"/>
        <v>0</v>
      </c>
      <c r="D134" s="11">
        <f t="shared" si="77"/>
        <v>0</v>
      </c>
      <c r="E134" s="45">
        <f>IF(OR(D134=0,D134="",B$116=0),0,D134*INDEX(Listes!$K$1:$Q$12,MATCH(B$116,Listes!$K$1:$K$12,0),MATCH(E$117,Listes!$K$1:$Q$1,0)))</f>
        <v>0</v>
      </c>
      <c r="F134" s="45">
        <f t="shared" si="78"/>
        <v>0</v>
      </c>
      <c r="G134" s="11">
        <f>IF(OR(B$116=0,B$116=""),0,F134*INDEX(Listes!$K$15:$P$26,MATCH(B$116,Listes!$K$15:$K$26,0),MATCH(G$117,Listes!$K$15:$P$15,0))*INDEX(Listes!$K$29:$O$31,MATCH(C$116,Listes!$K$29:$K$31,0),MATCH(G$117,Listes!$K$29:$O$29,0)))</f>
        <v>0</v>
      </c>
      <c r="H134" s="45">
        <f>IF(OR(B$116=0,B$116=""),0,F134*INDEX(Listes!$K$15:$P$26,MATCH(B$116,Listes!$K$15:$K$26,0),MATCH(H$117,Listes!$K$15:$P$15,0))*INDEX(Listes!$K$29:$O$31,MATCH(C$116,Listes!$K$29:$K$31,0),MATCH(H$117,Listes!$K$29:$O$29,0)))</f>
        <v>0</v>
      </c>
      <c r="I134" s="45">
        <f>IF(OR(B$116=0,B$116=""),0,F134*INDEX(Listes!$K$15:$P$26,MATCH(B$116,Listes!$K$15:$K$26,0),MATCH(I$117,Listes!$K$15:$P$15,0))*INDEX(Listes!$K$29:$O$31,MATCH(C$116,Listes!$K$29:$K$31,0),MATCH(I$117,Listes!$K$29:$O$29,0)))</f>
        <v>0</v>
      </c>
      <c r="K134" s="472"/>
      <c r="L134" s="3">
        <v>17</v>
      </c>
      <c r="M134" s="45">
        <f t="shared" si="64"/>
        <v>0</v>
      </c>
      <c r="N134" s="11">
        <f t="shared" si="65"/>
        <v>0</v>
      </c>
      <c r="O134" s="45">
        <f>IF(OR(N134=0,N134="",L$116=0),0,N134*INDEX(Listes!$K$1:$Q$12,MATCH(L$116,Listes!$K$1:$K$12,0),MATCH(O$117,Listes!$K$1:$Q$1,0)))</f>
        <v>0</v>
      </c>
      <c r="P134" s="45">
        <f t="shared" si="66"/>
        <v>0</v>
      </c>
      <c r="Q134" s="11">
        <f>IF(OR(L$116=0,L$116=""),0,P134*INDEX(Listes!$K$15:$P$26,MATCH(L$116,Listes!$K$15:$K$26,0),MATCH(Q$117,Listes!$K$15:$P$15,0))*INDEX(Listes!$K$29:$O$31,MATCH(M$116,Listes!$K$29:$K$31,0),MATCH(Q$117,Listes!$K$29:$O$29,0)))</f>
        <v>0</v>
      </c>
      <c r="R134" s="45">
        <f>IF(OR(L$116=0,L$116=""),0,P134*INDEX(Listes!$K$15:$P$26,MATCH(L$116,Listes!$K$15:$K$26,0),MATCH(R$117,Listes!$K$15:$P$15,0))*INDEX(Listes!$K$29:$O$31,MATCH(M$116,Listes!$K$29:$K$31,0),MATCH(R$117,Listes!$K$29:$O$29,0)))</f>
        <v>0</v>
      </c>
      <c r="S134" s="45">
        <f>IF(OR(L$116=0,L$116=""),0,P134*INDEX(Listes!$K$15:$P$26,MATCH(L$116,Listes!$K$15:$K$26,0),MATCH(S$117,Listes!$K$15:$P$15,0))*INDEX(Listes!$K$29:$O$31,MATCH(M$116,Listes!$K$29:$K$31,0),MATCH(S$117,Listes!$K$29:$O$29,0)))</f>
        <v>0</v>
      </c>
      <c r="U134" s="472"/>
      <c r="V134" s="3">
        <v>17</v>
      </c>
      <c r="W134" s="45">
        <f t="shared" si="67"/>
        <v>0</v>
      </c>
      <c r="X134" s="11">
        <f t="shared" si="68"/>
        <v>0</v>
      </c>
      <c r="Y134" s="45">
        <f>IF(OR(X134=0,X134="",V$116=0),0,X134*INDEX(Listes!$K$1:$Q$12,MATCH(V$116,Listes!$K$1:$K$12,0),MATCH(Y$117,Listes!$K$1:$Q$1,0)))</f>
        <v>0</v>
      </c>
      <c r="Z134" s="45">
        <f t="shared" si="69"/>
        <v>0</v>
      </c>
      <c r="AA134" s="11">
        <f>IF(OR(V$116=0,V$116=""),0,Z134*INDEX(Listes!$K$15:$P$26,MATCH(V$116,Listes!$K$15:$K$26,0),MATCH(AA$117,Listes!$K$15:$P$15,0))*INDEX(Listes!$K$29:$O$31,MATCH(W$116,Listes!$K$29:$K$31,0),MATCH(AA$117,Listes!$K$29:$O$29,0)))</f>
        <v>0</v>
      </c>
      <c r="AB134" s="45">
        <f>IF(OR(V$116=0,V$116=""),0,Z134*INDEX(Listes!$K$15:$P$26,MATCH(V$116,Listes!$K$15:$K$26,0),MATCH(AB$117,Listes!$K$15:$P$15,0))*INDEX(Listes!$K$29:$O$31,MATCH(W$116,Listes!$K$29:$K$31,0),MATCH(AB$117,Listes!$K$29:$O$29,0)))</f>
        <v>0</v>
      </c>
      <c r="AC134" s="45">
        <f>IF(OR(V$116=0,V$116=""),0,Z134*INDEX(Listes!$K$15:$P$26,MATCH(V$116,Listes!$K$15:$K$26,0),MATCH(AC$117,Listes!$K$15:$P$15,0))*INDEX(Listes!$K$29:$O$31,MATCH(W$116,Listes!$K$29:$K$31,0),MATCH(AC$117,Listes!$K$29:$O$29,0)))</f>
        <v>0</v>
      </c>
      <c r="AE134" s="472"/>
      <c r="AF134" s="3">
        <v>17</v>
      </c>
      <c r="AG134" s="45">
        <f t="shared" si="70"/>
        <v>0</v>
      </c>
      <c r="AH134" s="11">
        <f t="shared" si="71"/>
        <v>0</v>
      </c>
      <c r="AI134" s="45">
        <f>IF(OR(AH134=0,AH134="",AF$116=0),0,AH134*INDEX(Listes!$K$1:$Q$12,MATCH(AF$116,Listes!$K$1:$K$12,0),MATCH(AI$117,Listes!$K$1:$Q$1,0)))</f>
        <v>0</v>
      </c>
      <c r="AJ134" s="45">
        <f t="shared" si="72"/>
        <v>0</v>
      </c>
      <c r="AK134" s="11">
        <f>IF(OR(AF$116=0,AF$116=""),0,AJ134*INDEX(Listes!$K$15:$P$26,MATCH(AF$116,Listes!$K$15:$K$26,0),MATCH(AK$117,Listes!$K$15:$P$15,0))*INDEX(Listes!$K$29:$O$31,MATCH(AG$116,Listes!$K$29:$K$31,0),MATCH(AK$117,Listes!$K$29:$O$29,0)))</f>
        <v>0</v>
      </c>
      <c r="AL134" s="45">
        <f>IF(OR(AF$116=0,AF$116=""),0,AJ134*INDEX(Listes!$K$15:$P$26,MATCH(AF$116,Listes!$K$15:$K$26,0),MATCH(AL$117,Listes!$K$15:$P$15,0))*INDEX(Listes!$K$29:$O$31,MATCH(AG$116,Listes!$K$29:$K$31,0),MATCH(AL$117,Listes!$K$29:$O$29,0)))</f>
        <v>0</v>
      </c>
      <c r="AM134" s="45">
        <f>IF(OR(AF$116=0,AF$116=""),0,AJ134*INDEX(Listes!$K$15:$P$26,MATCH(AF$116,Listes!$K$15:$K$26,0),MATCH(AM$117,Listes!$K$15:$P$15,0))*INDEX(Listes!$K$29:$O$31,MATCH(AG$116,Listes!$K$29:$K$31,0),MATCH(AM$117,Listes!$K$29:$O$29,0)))</f>
        <v>0</v>
      </c>
      <c r="AN134" s="45"/>
      <c r="AO134" s="472"/>
      <c r="AP134" s="3">
        <v>17</v>
      </c>
      <c r="AQ134" s="11">
        <f t="shared" si="73"/>
        <v>0</v>
      </c>
      <c r="AR134" s="11">
        <f t="shared" si="74"/>
        <v>0</v>
      </c>
      <c r="AS134" s="11">
        <f t="shared" si="75"/>
        <v>0</v>
      </c>
      <c r="AT134" s="11">
        <f>AQ134*VLOOKUP(AQ$117,Tableau17[],4,FALSE)+AR134*VLOOKUP(AR$117,Tableau17[],4,FALSE)+AS134*VLOOKUP(AS$117,Tableau17[],4,FALSE)</f>
        <v>0</v>
      </c>
      <c r="AU134" s="11">
        <f>AQ134*VLOOKUP(AQ$117,Tableau17[],3,FALSE)+AR134*VLOOKUP(AR$117,Tableau17[],3,FALSE)+AS134*VLOOKUP(AS$117,Tableau17[],3,FALSE)</f>
        <v>0</v>
      </c>
      <c r="AW134" s="11"/>
      <c r="AX134" s="113"/>
    </row>
    <row r="135" spans="1:52" x14ac:dyDescent="0.2">
      <c r="A135" s="472"/>
      <c r="B135" s="3">
        <v>18</v>
      </c>
      <c r="C135" s="45">
        <f t="shared" si="76"/>
        <v>0</v>
      </c>
      <c r="D135" s="11">
        <f t="shared" si="77"/>
        <v>0</v>
      </c>
      <c r="E135" s="45">
        <f>IF(OR(D135=0,D135="",B$116=0),0,D135*INDEX(Listes!$K$1:$Q$12,MATCH(B$116,Listes!$K$1:$K$12,0),MATCH(E$117,Listes!$K$1:$Q$1,0)))</f>
        <v>0</v>
      </c>
      <c r="F135" s="45">
        <f t="shared" si="78"/>
        <v>0</v>
      </c>
      <c r="G135" s="11">
        <f>IF(OR(B$116=0,B$116=""),0,F135*INDEX(Listes!$K$15:$P$26,MATCH(B$116,Listes!$K$15:$K$26,0),MATCH(G$117,Listes!$K$15:$P$15,0))*INDEX(Listes!$K$29:$O$31,MATCH(C$116,Listes!$K$29:$K$31,0),MATCH(G$117,Listes!$K$29:$O$29,0)))</f>
        <v>0</v>
      </c>
      <c r="H135" s="45">
        <f>IF(OR(B$116=0,B$116=""),0,F135*INDEX(Listes!$K$15:$P$26,MATCH(B$116,Listes!$K$15:$K$26,0),MATCH(H$117,Listes!$K$15:$P$15,0))*INDEX(Listes!$K$29:$O$31,MATCH(C$116,Listes!$K$29:$K$31,0),MATCH(H$117,Listes!$K$29:$O$29,0)))</f>
        <v>0</v>
      </c>
      <c r="I135" s="45">
        <f>IF(OR(B$116=0,B$116=""),0,F135*INDEX(Listes!$K$15:$P$26,MATCH(B$116,Listes!$K$15:$K$26,0),MATCH(I$117,Listes!$K$15:$P$15,0))*INDEX(Listes!$K$29:$O$31,MATCH(C$116,Listes!$K$29:$K$31,0),MATCH(I$117,Listes!$K$29:$O$29,0)))</f>
        <v>0</v>
      </c>
      <c r="K135" s="472"/>
      <c r="L135" s="3">
        <v>18</v>
      </c>
      <c r="M135" s="45">
        <f t="shared" si="64"/>
        <v>0</v>
      </c>
      <c r="N135" s="11">
        <f t="shared" si="65"/>
        <v>0</v>
      </c>
      <c r="O135" s="45">
        <f>IF(OR(N135=0,N135="",L$116=0),0,N135*INDEX(Listes!$K$1:$Q$12,MATCH(L$116,Listes!$K$1:$K$12,0),MATCH(O$117,Listes!$K$1:$Q$1,0)))</f>
        <v>0</v>
      </c>
      <c r="P135" s="45">
        <f t="shared" si="66"/>
        <v>0</v>
      </c>
      <c r="Q135" s="11">
        <f>IF(OR(L$116=0,L$116=""),0,P135*INDEX(Listes!$K$15:$P$26,MATCH(L$116,Listes!$K$15:$K$26,0),MATCH(Q$117,Listes!$K$15:$P$15,0))*INDEX(Listes!$K$29:$O$31,MATCH(M$116,Listes!$K$29:$K$31,0),MATCH(Q$117,Listes!$K$29:$O$29,0)))</f>
        <v>0</v>
      </c>
      <c r="R135" s="45">
        <f>IF(OR(L$116=0,L$116=""),0,P135*INDEX(Listes!$K$15:$P$26,MATCH(L$116,Listes!$K$15:$K$26,0),MATCH(R$117,Listes!$K$15:$P$15,0))*INDEX(Listes!$K$29:$O$31,MATCH(M$116,Listes!$K$29:$K$31,0),MATCH(R$117,Listes!$K$29:$O$29,0)))</f>
        <v>0</v>
      </c>
      <c r="S135" s="45">
        <f>IF(OR(L$116=0,L$116=""),0,P135*INDEX(Listes!$K$15:$P$26,MATCH(L$116,Listes!$K$15:$K$26,0),MATCH(S$117,Listes!$K$15:$P$15,0))*INDEX(Listes!$K$29:$O$31,MATCH(M$116,Listes!$K$29:$K$31,0),MATCH(S$117,Listes!$K$29:$O$29,0)))</f>
        <v>0</v>
      </c>
      <c r="U135" s="472"/>
      <c r="V135" s="3">
        <v>18</v>
      </c>
      <c r="W135" s="45">
        <f t="shared" si="67"/>
        <v>0</v>
      </c>
      <c r="X135" s="11">
        <f t="shared" si="68"/>
        <v>0</v>
      </c>
      <c r="Y135" s="45">
        <f>IF(OR(X135=0,X135="",V$116=0),0,X135*INDEX(Listes!$K$1:$Q$12,MATCH(V$116,Listes!$K$1:$K$12,0),MATCH(Y$117,Listes!$K$1:$Q$1,0)))</f>
        <v>0</v>
      </c>
      <c r="Z135" s="45">
        <f t="shared" si="69"/>
        <v>0</v>
      </c>
      <c r="AA135" s="11">
        <f>IF(OR(V$116=0,V$116=""),0,Z135*INDEX(Listes!$K$15:$P$26,MATCH(V$116,Listes!$K$15:$K$26,0),MATCH(AA$117,Listes!$K$15:$P$15,0))*INDEX(Listes!$K$29:$O$31,MATCH(W$116,Listes!$K$29:$K$31,0),MATCH(AA$117,Listes!$K$29:$O$29,0)))</f>
        <v>0</v>
      </c>
      <c r="AB135" s="45">
        <f>IF(OR(V$116=0,V$116=""),0,Z135*INDEX(Listes!$K$15:$P$26,MATCH(V$116,Listes!$K$15:$K$26,0),MATCH(AB$117,Listes!$K$15:$P$15,0))*INDEX(Listes!$K$29:$O$31,MATCH(W$116,Listes!$K$29:$K$31,0),MATCH(AB$117,Listes!$K$29:$O$29,0)))</f>
        <v>0</v>
      </c>
      <c r="AC135" s="45">
        <f>IF(OR(V$116=0,V$116=""),0,Z135*INDEX(Listes!$K$15:$P$26,MATCH(V$116,Listes!$K$15:$K$26,0),MATCH(AC$117,Listes!$K$15:$P$15,0))*INDEX(Listes!$K$29:$O$31,MATCH(W$116,Listes!$K$29:$K$31,0),MATCH(AC$117,Listes!$K$29:$O$29,0)))</f>
        <v>0</v>
      </c>
      <c r="AE135" s="472"/>
      <c r="AF135" s="3">
        <v>18</v>
      </c>
      <c r="AG135" s="45">
        <f t="shared" si="70"/>
        <v>0</v>
      </c>
      <c r="AH135" s="11">
        <f t="shared" si="71"/>
        <v>0</v>
      </c>
      <c r="AI135" s="45">
        <f>IF(OR(AH135=0,AH135="",AF$116=0),0,AH135*INDEX(Listes!$K$1:$Q$12,MATCH(AF$116,Listes!$K$1:$K$12,0),MATCH(AI$117,Listes!$K$1:$Q$1,0)))</f>
        <v>0</v>
      </c>
      <c r="AJ135" s="45">
        <f t="shared" si="72"/>
        <v>0</v>
      </c>
      <c r="AK135" s="11">
        <f>IF(OR(AF$116=0,AF$116=""),0,AJ135*INDEX(Listes!$K$15:$P$26,MATCH(AF$116,Listes!$K$15:$K$26,0),MATCH(AK$117,Listes!$K$15:$P$15,0))*INDEX(Listes!$K$29:$O$31,MATCH(AG$116,Listes!$K$29:$K$31,0),MATCH(AK$117,Listes!$K$29:$O$29,0)))</f>
        <v>0</v>
      </c>
      <c r="AL135" s="45">
        <f>IF(OR(AF$116=0,AF$116=""),0,AJ135*INDEX(Listes!$K$15:$P$26,MATCH(AF$116,Listes!$K$15:$K$26,0),MATCH(AL$117,Listes!$K$15:$P$15,0))*INDEX(Listes!$K$29:$O$31,MATCH(AG$116,Listes!$K$29:$K$31,0),MATCH(AL$117,Listes!$K$29:$O$29,0)))</f>
        <v>0</v>
      </c>
      <c r="AM135" s="45">
        <f>IF(OR(AF$116=0,AF$116=""),0,AJ135*INDEX(Listes!$K$15:$P$26,MATCH(AF$116,Listes!$K$15:$K$26,0),MATCH(AM$117,Listes!$K$15:$P$15,0))*INDEX(Listes!$K$29:$O$31,MATCH(AG$116,Listes!$K$29:$K$31,0),MATCH(AM$117,Listes!$K$29:$O$29,0)))</f>
        <v>0</v>
      </c>
      <c r="AN135" s="45"/>
      <c r="AO135" s="472"/>
      <c r="AP135" s="3">
        <v>18</v>
      </c>
      <c r="AQ135" s="11">
        <f t="shared" si="73"/>
        <v>0</v>
      </c>
      <c r="AR135" s="11">
        <f t="shared" si="74"/>
        <v>0</v>
      </c>
      <c r="AS135" s="11">
        <f t="shared" si="75"/>
        <v>0</v>
      </c>
      <c r="AT135" s="11">
        <f>AQ135*VLOOKUP(AQ$117,Tableau17[],4,FALSE)+AR135*VLOOKUP(AR$117,Tableau17[],4,FALSE)+AS135*VLOOKUP(AS$117,Tableau17[],4,FALSE)</f>
        <v>0</v>
      </c>
      <c r="AU135" s="11">
        <f>AQ135*VLOOKUP(AQ$117,Tableau17[],3,FALSE)+AR135*VLOOKUP(AR$117,Tableau17[],3,FALSE)+AS135*VLOOKUP(AS$117,Tableau17[],3,FALSE)</f>
        <v>0</v>
      </c>
      <c r="AW135" s="11"/>
      <c r="AX135" s="113"/>
    </row>
    <row r="136" spans="1:52" x14ac:dyDescent="0.2">
      <c r="A136" s="472"/>
      <c r="B136" s="3">
        <v>19</v>
      </c>
      <c r="C136" s="45">
        <f t="shared" si="76"/>
        <v>0</v>
      </c>
      <c r="D136" s="11">
        <f t="shared" si="77"/>
        <v>0</v>
      </c>
      <c r="E136" s="45">
        <f>IF(OR(D136=0,D136="",B$116=0),0,D136*INDEX(Listes!$K$1:$Q$12,MATCH(B$116,Listes!$K$1:$K$12,0),MATCH(E$117,Listes!$K$1:$Q$1,0)))</f>
        <v>0</v>
      </c>
      <c r="F136" s="45">
        <f t="shared" si="78"/>
        <v>0</v>
      </c>
      <c r="G136" s="11">
        <f>IF(OR(B$116=0,B$116=""),0,F136*INDEX(Listes!$K$15:$P$26,MATCH(B$116,Listes!$K$15:$K$26,0),MATCH(G$117,Listes!$K$15:$P$15,0))*INDEX(Listes!$K$29:$O$31,MATCH(C$116,Listes!$K$29:$K$31,0),MATCH(G$117,Listes!$K$29:$O$29,0)))</f>
        <v>0</v>
      </c>
      <c r="H136" s="45">
        <f>IF(OR(B$116=0,B$116=""),0,F136*INDEX(Listes!$K$15:$P$26,MATCH(B$116,Listes!$K$15:$K$26,0),MATCH(H$117,Listes!$K$15:$P$15,0))*INDEX(Listes!$K$29:$O$31,MATCH(C$116,Listes!$K$29:$K$31,0),MATCH(H$117,Listes!$K$29:$O$29,0)))</f>
        <v>0</v>
      </c>
      <c r="I136" s="45">
        <f>IF(OR(B$116=0,B$116=""),0,F136*INDEX(Listes!$K$15:$P$26,MATCH(B$116,Listes!$K$15:$K$26,0),MATCH(I$117,Listes!$K$15:$P$15,0))*INDEX(Listes!$K$29:$O$31,MATCH(C$116,Listes!$K$29:$K$31,0),MATCH(I$117,Listes!$K$29:$O$29,0)))</f>
        <v>0</v>
      </c>
      <c r="K136" s="472"/>
      <c r="L136" s="3">
        <v>19</v>
      </c>
      <c r="M136" s="45">
        <f t="shared" si="64"/>
        <v>0</v>
      </c>
      <c r="N136" s="11">
        <f t="shared" si="65"/>
        <v>0</v>
      </c>
      <c r="O136" s="45">
        <f>IF(OR(N136=0,N136="",L$116=0),0,N136*INDEX(Listes!$K$1:$Q$12,MATCH(L$116,Listes!$K$1:$K$12,0),MATCH(O$117,Listes!$K$1:$Q$1,0)))</f>
        <v>0</v>
      </c>
      <c r="P136" s="45">
        <f t="shared" si="66"/>
        <v>0</v>
      </c>
      <c r="Q136" s="11">
        <f>IF(OR(L$116=0,L$116=""),0,P136*INDEX(Listes!$K$15:$P$26,MATCH(L$116,Listes!$K$15:$K$26,0),MATCH(Q$117,Listes!$K$15:$P$15,0))*INDEX(Listes!$K$29:$O$31,MATCH(M$116,Listes!$K$29:$K$31,0),MATCH(Q$117,Listes!$K$29:$O$29,0)))</f>
        <v>0</v>
      </c>
      <c r="R136" s="45">
        <f>IF(OR(L$116=0,L$116=""),0,P136*INDEX(Listes!$K$15:$P$26,MATCH(L$116,Listes!$K$15:$K$26,0),MATCH(R$117,Listes!$K$15:$P$15,0))*INDEX(Listes!$K$29:$O$31,MATCH(M$116,Listes!$K$29:$K$31,0),MATCH(R$117,Listes!$K$29:$O$29,0)))</f>
        <v>0</v>
      </c>
      <c r="S136" s="45">
        <f>IF(OR(L$116=0,L$116=""),0,P136*INDEX(Listes!$K$15:$P$26,MATCH(L$116,Listes!$K$15:$K$26,0),MATCH(S$117,Listes!$K$15:$P$15,0))*INDEX(Listes!$K$29:$O$31,MATCH(M$116,Listes!$K$29:$K$31,0),MATCH(S$117,Listes!$K$29:$O$29,0)))</f>
        <v>0</v>
      </c>
      <c r="U136" s="472"/>
      <c r="V136" s="3">
        <v>19</v>
      </c>
      <c r="W136" s="45">
        <f t="shared" si="67"/>
        <v>0</v>
      </c>
      <c r="X136" s="11">
        <f t="shared" si="68"/>
        <v>0</v>
      </c>
      <c r="Y136" s="45">
        <f>IF(OR(X136=0,X136="",V$116=0),0,X136*INDEX(Listes!$K$1:$Q$12,MATCH(V$116,Listes!$K$1:$K$12,0),MATCH(Y$117,Listes!$K$1:$Q$1,0)))</f>
        <v>0</v>
      </c>
      <c r="Z136" s="45">
        <f t="shared" si="69"/>
        <v>0</v>
      </c>
      <c r="AA136" s="11">
        <f>IF(OR(V$116=0,V$116=""),0,Z136*INDEX(Listes!$K$15:$P$26,MATCH(V$116,Listes!$K$15:$K$26,0),MATCH(AA$117,Listes!$K$15:$P$15,0))*INDEX(Listes!$K$29:$O$31,MATCH(W$116,Listes!$K$29:$K$31,0),MATCH(AA$117,Listes!$K$29:$O$29,0)))</f>
        <v>0</v>
      </c>
      <c r="AB136" s="45">
        <f>IF(OR(V$116=0,V$116=""),0,Z136*INDEX(Listes!$K$15:$P$26,MATCH(V$116,Listes!$K$15:$K$26,0),MATCH(AB$117,Listes!$K$15:$P$15,0))*INDEX(Listes!$K$29:$O$31,MATCH(W$116,Listes!$K$29:$K$31,0),MATCH(AB$117,Listes!$K$29:$O$29,0)))</f>
        <v>0</v>
      </c>
      <c r="AC136" s="45">
        <f>IF(OR(V$116=0,V$116=""),0,Z136*INDEX(Listes!$K$15:$P$26,MATCH(V$116,Listes!$K$15:$K$26,0),MATCH(AC$117,Listes!$K$15:$P$15,0))*INDEX(Listes!$K$29:$O$31,MATCH(W$116,Listes!$K$29:$K$31,0),MATCH(AC$117,Listes!$K$29:$O$29,0)))</f>
        <v>0</v>
      </c>
      <c r="AE136" s="472"/>
      <c r="AF136" s="3">
        <v>19</v>
      </c>
      <c r="AG136" s="45">
        <f t="shared" si="70"/>
        <v>0</v>
      </c>
      <c r="AH136" s="11">
        <f t="shared" si="71"/>
        <v>0</v>
      </c>
      <c r="AI136" s="45">
        <f>IF(OR(AH136=0,AH136="",AF$116=0),0,AH136*INDEX(Listes!$K$1:$Q$12,MATCH(AF$116,Listes!$K$1:$K$12,0),MATCH(AI$117,Listes!$K$1:$Q$1,0)))</f>
        <v>0</v>
      </c>
      <c r="AJ136" s="45">
        <f t="shared" si="72"/>
        <v>0</v>
      </c>
      <c r="AK136" s="11">
        <f>IF(OR(AF$116=0,AF$116=""),0,AJ136*INDEX(Listes!$K$15:$P$26,MATCH(AF$116,Listes!$K$15:$K$26,0),MATCH(AK$117,Listes!$K$15:$P$15,0))*INDEX(Listes!$K$29:$O$31,MATCH(AG$116,Listes!$K$29:$K$31,0),MATCH(AK$117,Listes!$K$29:$O$29,0)))</f>
        <v>0</v>
      </c>
      <c r="AL136" s="45">
        <f>IF(OR(AF$116=0,AF$116=""),0,AJ136*INDEX(Listes!$K$15:$P$26,MATCH(AF$116,Listes!$K$15:$K$26,0),MATCH(AL$117,Listes!$K$15:$P$15,0))*INDEX(Listes!$K$29:$O$31,MATCH(AG$116,Listes!$K$29:$K$31,0),MATCH(AL$117,Listes!$K$29:$O$29,0)))</f>
        <v>0</v>
      </c>
      <c r="AM136" s="45">
        <f>IF(OR(AF$116=0,AF$116=""),0,AJ136*INDEX(Listes!$K$15:$P$26,MATCH(AF$116,Listes!$K$15:$K$26,0),MATCH(AM$117,Listes!$K$15:$P$15,0))*INDEX(Listes!$K$29:$O$31,MATCH(AG$116,Listes!$K$29:$K$31,0),MATCH(AM$117,Listes!$K$29:$O$29,0)))</f>
        <v>0</v>
      </c>
      <c r="AN136" s="45"/>
      <c r="AO136" s="472"/>
      <c r="AP136" s="3">
        <v>19</v>
      </c>
      <c r="AQ136" s="11">
        <f t="shared" si="73"/>
        <v>0</v>
      </c>
      <c r="AR136" s="11">
        <f t="shared" si="74"/>
        <v>0</v>
      </c>
      <c r="AS136" s="11">
        <f t="shared" si="75"/>
        <v>0</v>
      </c>
      <c r="AT136" s="11">
        <f>AQ136*VLOOKUP(AQ$117,Tableau17[],4,FALSE)+AR136*VLOOKUP(AR$117,Tableau17[],4,FALSE)+AS136*VLOOKUP(AS$117,Tableau17[],4,FALSE)</f>
        <v>0</v>
      </c>
      <c r="AU136" s="11">
        <f>AQ136*VLOOKUP(AQ$117,Tableau17[],3,FALSE)+AR136*VLOOKUP(AR$117,Tableau17[],3,FALSE)+AS136*VLOOKUP(AS$117,Tableau17[],3,FALSE)</f>
        <v>0</v>
      </c>
      <c r="AW136" s="11"/>
      <c r="AX136" s="113"/>
    </row>
    <row r="137" spans="1:52" x14ac:dyDescent="0.2">
      <c r="A137" s="472"/>
      <c r="B137" s="3">
        <v>20</v>
      </c>
      <c r="C137" s="45">
        <f t="shared" si="76"/>
        <v>0</v>
      </c>
      <c r="D137" s="11">
        <f t="shared" si="77"/>
        <v>0</v>
      </c>
      <c r="E137" s="45">
        <f>IF(OR(D137=0,D137="",B$116=0),0,D137*INDEX(Listes!$K$1:$Q$12,MATCH(B$116,Listes!$K$1:$K$12,0),MATCH(E$117,Listes!$K$1:$Q$1,0)))</f>
        <v>0</v>
      </c>
      <c r="F137" s="45">
        <f t="shared" si="78"/>
        <v>0</v>
      </c>
      <c r="G137" s="11">
        <f>IF(OR(B$116=0,B$116=""),0,F137*INDEX(Listes!$K$15:$P$26,MATCH(B$116,Listes!$K$15:$K$26,0),MATCH(G$117,Listes!$K$15:$P$15,0))*INDEX(Listes!$K$29:$O$31,MATCH(C$116,Listes!$K$29:$K$31,0),MATCH(G$117,Listes!$K$29:$O$29,0)))</f>
        <v>0</v>
      </c>
      <c r="H137" s="45">
        <f>IF(OR(B$116=0,B$116=""),0,F137*INDEX(Listes!$K$15:$P$26,MATCH(B$116,Listes!$K$15:$K$26,0),MATCH(H$117,Listes!$K$15:$P$15,0))*INDEX(Listes!$K$29:$O$31,MATCH(C$116,Listes!$K$29:$K$31,0),MATCH(H$117,Listes!$K$29:$O$29,0)))</f>
        <v>0</v>
      </c>
      <c r="I137" s="45">
        <f>IF(OR(B$116=0,B$116=""),0,F137*INDEX(Listes!$K$15:$P$26,MATCH(B$116,Listes!$K$15:$K$26,0),MATCH(I$117,Listes!$K$15:$P$15,0))*INDEX(Listes!$K$29:$O$31,MATCH(C$116,Listes!$K$29:$K$31,0),MATCH(I$117,Listes!$K$29:$O$29,0)))</f>
        <v>0</v>
      </c>
      <c r="K137" s="472"/>
      <c r="L137" s="3">
        <v>20</v>
      </c>
      <c r="M137" s="45">
        <f t="shared" si="64"/>
        <v>0</v>
      </c>
      <c r="N137" s="11">
        <f t="shared" si="65"/>
        <v>0</v>
      </c>
      <c r="O137" s="45">
        <f>IF(OR(N137=0,N137="",L$116=0),0,N137*INDEX(Listes!$K$1:$Q$12,MATCH(L$116,Listes!$K$1:$K$12,0),MATCH(O$117,Listes!$K$1:$Q$1,0)))</f>
        <v>0</v>
      </c>
      <c r="P137" s="45">
        <f t="shared" si="66"/>
        <v>0</v>
      </c>
      <c r="Q137" s="11">
        <f>IF(OR(L$116=0,L$116=""),0,P137*INDEX(Listes!$K$15:$P$26,MATCH(L$116,Listes!$K$15:$K$26,0),MATCH(Q$117,Listes!$K$15:$P$15,0))*INDEX(Listes!$K$29:$O$31,MATCH(M$116,Listes!$K$29:$K$31,0),MATCH(Q$117,Listes!$K$29:$O$29,0)))</f>
        <v>0</v>
      </c>
      <c r="R137" s="45">
        <f>IF(OR(L$116=0,L$116=""),0,P137*INDEX(Listes!$K$15:$P$26,MATCH(L$116,Listes!$K$15:$K$26,0),MATCH(R$117,Listes!$K$15:$P$15,0))*INDEX(Listes!$K$29:$O$31,MATCH(M$116,Listes!$K$29:$K$31,0),MATCH(R$117,Listes!$K$29:$O$29,0)))</f>
        <v>0</v>
      </c>
      <c r="S137" s="45">
        <f>IF(OR(L$116=0,L$116=""),0,P137*INDEX(Listes!$K$15:$P$26,MATCH(L$116,Listes!$K$15:$K$26,0),MATCH(S$117,Listes!$K$15:$P$15,0))*INDEX(Listes!$K$29:$O$31,MATCH(M$116,Listes!$K$29:$K$31,0),MATCH(S$117,Listes!$K$29:$O$29,0)))</f>
        <v>0</v>
      </c>
      <c r="U137" s="472"/>
      <c r="V137" s="3">
        <v>20</v>
      </c>
      <c r="W137" s="45">
        <f t="shared" si="67"/>
        <v>0</v>
      </c>
      <c r="X137" s="11">
        <f t="shared" si="68"/>
        <v>0</v>
      </c>
      <c r="Y137" s="45">
        <f>IF(OR(X137=0,X137="",V$116=0),0,X137*INDEX(Listes!$K$1:$Q$12,MATCH(V$116,Listes!$K$1:$K$12,0),MATCH(Y$117,Listes!$K$1:$Q$1,0)))</f>
        <v>0</v>
      </c>
      <c r="Z137" s="45">
        <f t="shared" si="69"/>
        <v>0</v>
      </c>
      <c r="AA137" s="11">
        <f>IF(OR(V$116=0,V$116=""),0,Z137*INDEX(Listes!$K$15:$P$26,MATCH(V$116,Listes!$K$15:$K$26,0),MATCH(AA$117,Listes!$K$15:$P$15,0))*INDEX(Listes!$K$29:$O$31,MATCH(W$116,Listes!$K$29:$K$31,0),MATCH(AA$117,Listes!$K$29:$O$29,0)))</f>
        <v>0</v>
      </c>
      <c r="AB137" s="45">
        <f>IF(OR(V$116=0,V$116=""),0,Z137*INDEX(Listes!$K$15:$P$26,MATCH(V$116,Listes!$K$15:$K$26,0),MATCH(AB$117,Listes!$K$15:$P$15,0))*INDEX(Listes!$K$29:$O$31,MATCH(W$116,Listes!$K$29:$K$31,0),MATCH(AB$117,Listes!$K$29:$O$29,0)))</f>
        <v>0</v>
      </c>
      <c r="AC137" s="45">
        <f>IF(OR(V$116=0,V$116=""),0,Z137*INDEX(Listes!$K$15:$P$26,MATCH(V$116,Listes!$K$15:$K$26,0),MATCH(AC$117,Listes!$K$15:$P$15,0))*INDEX(Listes!$K$29:$O$31,MATCH(W$116,Listes!$K$29:$K$31,0),MATCH(AC$117,Listes!$K$29:$O$29,0)))</f>
        <v>0</v>
      </c>
      <c r="AE137" s="472"/>
      <c r="AF137" s="3">
        <v>20</v>
      </c>
      <c r="AG137" s="45">
        <f t="shared" si="70"/>
        <v>0</v>
      </c>
      <c r="AH137" s="11">
        <f t="shared" si="71"/>
        <v>0</v>
      </c>
      <c r="AI137" s="45">
        <f>IF(OR(AH137=0,AH137="",AF$116=0),0,AH137*INDEX(Listes!$K$1:$Q$12,MATCH(AF$116,Listes!$K$1:$K$12,0),MATCH(AI$117,Listes!$K$1:$Q$1,0)))</f>
        <v>0</v>
      </c>
      <c r="AJ137" s="45">
        <f t="shared" si="72"/>
        <v>0</v>
      </c>
      <c r="AK137" s="11">
        <f>IF(OR(AF$116=0,AF$116=""),0,AJ137*INDEX(Listes!$K$15:$P$26,MATCH(AF$116,Listes!$K$15:$K$26,0),MATCH(AK$117,Listes!$K$15:$P$15,0))*INDEX(Listes!$K$29:$O$31,MATCH(AG$116,Listes!$K$29:$K$31,0),MATCH(AK$117,Listes!$K$29:$O$29,0)))</f>
        <v>0</v>
      </c>
      <c r="AL137" s="45">
        <f>IF(OR(AF$116=0,AF$116=""),0,AJ137*INDEX(Listes!$K$15:$P$26,MATCH(AF$116,Listes!$K$15:$K$26,0),MATCH(AL$117,Listes!$K$15:$P$15,0))*INDEX(Listes!$K$29:$O$31,MATCH(AG$116,Listes!$K$29:$K$31,0),MATCH(AL$117,Listes!$K$29:$O$29,0)))</f>
        <v>0</v>
      </c>
      <c r="AM137" s="45">
        <f>IF(OR(AF$116=0,AF$116=""),0,AJ137*INDEX(Listes!$K$15:$P$26,MATCH(AF$116,Listes!$K$15:$K$26,0),MATCH(AM$117,Listes!$K$15:$P$15,0))*INDEX(Listes!$K$29:$O$31,MATCH(AG$116,Listes!$K$29:$K$31,0),MATCH(AM$117,Listes!$K$29:$O$29,0)))</f>
        <v>0</v>
      </c>
      <c r="AN137" s="45"/>
      <c r="AO137" s="472"/>
      <c r="AP137" s="3">
        <v>20</v>
      </c>
      <c r="AQ137" s="11">
        <f t="shared" si="73"/>
        <v>0</v>
      </c>
      <c r="AR137" s="11">
        <f t="shared" si="74"/>
        <v>0</v>
      </c>
      <c r="AS137" s="11">
        <f t="shared" si="75"/>
        <v>0</v>
      </c>
      <c r="AT137" s="11">
        <f>AQ137*VLOOKUP(AQ$117,Tableau17[],4,FALSE)+AR137*VLOOKUP(AR$117,Tableau17[],4,FALSE)+AS137*VLOOKUP(AS$117,Tableau17[],4,FALSE)</f>
        <v>0</v>
      </c>
      <c r="AU137" s="11">
        <f>AQ137*VLOOKUP(AQ$117,Tableau17[],3,FALSE)+AR137*VLOOKUP(AR$117,Tableau17[],3,FALSE)+AS137*VLOOKUP(AS$117,Tableau17[],3,FALSE)</f>
        <v>0</v>
      </c>
      <c r="AW137" s="11"/>
      <c r="AX137" s="113"/>
    </row>
    <row r="139" spans="1:52" x14ac:dyDescent="0.2">
      <c r="A139" s="134" t="s">
        <v>633</v>
      </c>
      <c r="B139" s="134"/>
      <c r="C139" s="134"/>
      <c r="D139" s="134"/>
      <c r="E139" s="134"/>
      <c r="F139" s="134"/>
      <c r="G139" s="134"/>
      <c r="H139" s="134"/>
      <c r="I139" s="134"/>
      <c r="J139" s="134"/>
      <c r="K139" s="134"/>
      <c r="L139" s="134"/>
      <c r="M139" s="133"/>
      <c r="N139" s="133"/>
      <c r="O139" s="133"/>
      <c r="P139" s="133"/>
      <c r="Q139" s="133"/>
      <c r="R139" s="133"/>
      <c r="S139" s="133"/>
      <c r="T139" s="133"/>
      <c r="U139" s="133"/>
      <c r="V139" s="133"/>
      <c r="W139" s="133"/>
      <c r="X139" s="133"/>
      <c r="Y139" s="133"/>
      <c r="Z139" s="133"/>
      <c r="AA139" s="133"/>
      <c r="AB139" s="133"/>
      <c r="AC139" s="133"/>
      <c r="AD139" s="133"/>
      <c r="AE139" s="133"/>
      <c r="AF139" s="133"/>
      <c r="AG139" s="133"/>
      <c r="AH139" s="133"/>
      <c r="AI139" s="133"/>
      <c r="AJ139" s="133"/>
      <c r="AK139" s="133"/>
      <c r="AL139" s="133"/>
      <c r="AM139" s="133"/>
      <c r="AN139" s="133"/>
      <c r="AO139" s="133"/>
      <c r="AP139" s="133"/>
      <c r="AQ139" s="133"/>
      <c r="AR139" s="133"/>
      <c r="AS139" s="133"/>
      <c r="AT139" s="133"/>
      <c r="AU139" s="133"/>
      <c r="AV139" s="133"/>
      <c r="AW139" s="133"/>
      <c r="AX139" s="133"/>
      <c r="AY139" s="133"/>
      <c r="AZ139" s="133"/>
    </row>
    <row r="141" spans="1:52" x14ac:dyDescent="0.2">
      <c r="A141" s="472" t="s">
        <v>183</v>
      </c>
      <c r="B141" s="3" t="s">
        <v>28</v>
      </c>
      <c r="C141" s="3">
        <v>1</v>
      </c>
      <c r="D141" s="3">
        <v>2</v>
      </c>
      <c r="E141" s="3">
        <v>3</v>
      </c>
      <c r="F141" s="3">
        <v>4</v>
      </c>
      <c r="G141" s="3">
        <v>5</v>
      </c>
      <c r="H141" s="3">
        <v>6</v>
      </c>
      <c r="I141" s="3">
        <v>7</v>
      </c>
      <c r="J141" s="3">
        <v>8</v>
      </c>
      <c r="K141" s="3">
        <v>9</v>
      </c>
      <c r="L141" s="3">
        <v>10</v>
      </c>
      <c r="M141" s="3">
        <v>11</v>
      </c>
      <c r="N141" s="3">
        <v>12</v>
      </c>
      <c r="O141" s="3">
        <v>13</v>
      </c>
      <c r="P141" s="3">
        <v>14</v>
      </c>
      <c r="Q141" s="3">
        <v>15</v>
      </c>
      <c r="R141" s="3">
        <v>16</v>
      </c>
      <c r="S141" s="3">
        <v>17</v>
      </c>
      <c r="T141" s="3">
        <v>18</v>
      </c>
      <c r="U141" s="3">
        <v>19</v>
      </c>
      <c r="V141" s="3">
        <v>20</v>
      </c>
    </row>
    <row r="142" spans="1:52" x14ac:dyDescent="0.2">
      <c r="A142" s="472"/>
      <c r="B142" s="3" t="s">
        <v>86</v>
      </c>
      <c r="C142" s="11">
        <f>VLOOKUP(C141,$AP$118:$AU$137,6,FALSE)</f>
        <v>0</v>
      </c>
      <c r="D142" s="11">
        <f t="shared" ref="D142:I142" si="79">VLOOKUP(D141,$AP$118:$AU$137,6,FALSE)</f>
        <v>0</v>
      </c>
      <c r="E142" s="11">
        <f t="shared" si="79"/>
        <v>0</v>
      </c>
      <c r="F142" s="11">
        <f t="shared" si="79"/>
        <v>0</v>
      </c>
      <c r="G142" s="11">
        <f t="shared" si="79"/>
        <v>0</v>
      </c>
      <c r="H142" s="11">
        <f t="shared" si="79"/>
        <v>0</v>
      </c>
      <c r="I142" s="11">
        <f t="shared" si="79"/>
        <v>0</v>
      </c>
      <c r="J142" s="11">
        <f t="shared" ref="J142" si="80">VLOOKUP(J141,$AP$118:$AU$137,6,FALSE)</f>
        <v>0</v>
      </c>
      <c r="K142" s="11">
        <f t="shared" ref="K142" si="81">VLOOKUP(K141,$AP$118:$AU$137,6,FALSE)</f>
        <v>0</v>
      </c>
      <c r="L142" s="11">
        <f t="shared" ref="L142" si="82">VLOOKUP(L141,$AP$118:$AU$137,6,FALSE)</f>
        <v>0</v>
      </c>
      <c r="M142" s="11">
        <f t="shared" ref="M142" si="83">VLOOKUP(M141,$AP$118:$AU$137,6,FALSE)</f>
        <v>0</v>
      </c>
      <c r="N142" s="11">
        <f t="shared" ref="N142:O142" si="84">VLOOKUP(N141,$AP$118:$AU$137,6,FALSE)</f>
        <v>0</v>
      </c>
      <c r="O142" s="11">
        <f t="shared" si="84"/>
        <v>0</v>
      </c>
      <c r="P142" s="11">
        <f t="shared" ref="P142" si="85">VLOOKUP(P141,$AP$118:$AU$137,6,FALSE)</f>
        <v>0</v>
      </c>
      <c r="Q142" s="11">
        <f t="shared" ref="Q142" si="86">VLOOKUP(Q141,$AP$118:$AU$137,6,FALSE)</f>
        <v>0</v>
      </c>
      <c r="R142" s="11">
        <f t="shared" ref="R142" si="87">VLOOKUP(R141,$AP$118:$AU$137,6,FALSE)</f>
        <v>0</v>
      </c>
      <c r="S142" s="11">
        <f t="shared" ref="S142" si="88">VLOOKUP(S141,$AP$118:$AU$137,6,FALSE)</f>
        <v>0</v>
      </c>
      <c r="T142" s="11">
        <f t="shared" ref="T142:U142" si="89">VLOOKUP(T141,$AP$118:$AU$137,6,FALSE)</f>
        <v>0</v>
      </c>
      <c r="U142" s="11">
        <f t="shared" si="89"/>
        <v>0</v>
      </c>
      <c r="V142" s="11">
        <f t="shared" ref="V142" si="90">VLOOKUP(V141,$AP$118:$AU$137,6,FALSE)</f>
        <v>0</v>
      </c>
      <c r="W142" s="11"/>
      <c r="X142" s="11"/>
      <c r="Y142" s="11"/>
      <c r="Z142" s="11"/>
      <c r="AA142" s="11"/>
      <c r="AB142" s="11"/>
      <c r="AC142" s="11"/>
      <c r="AD142" s="11"/>
      <c r="AE142" s="11"/>
      <c r="AF142" s="11"/>
    </row>
    <row r="144" spans="1:52" ht="16" customHeight="1" x14ac:dyDescent="0.2">
      <c r="A144" s="472" t="str">
        <f>CONCATENATE("ST_REF_",C1)</f>
        <v>ST_REF_A</v>
      </c>
      <c r="B144" s="3" t="s">
        <v>28</v>
      </c>
      <c r="C144" s="3" t="s">
        <v>27</v>
      </c>
      <c r="D144" s="3" t="s">
        <v>29</v>
      </c>
      <c r="E144" s="3" t="s">
        <v>30</v>
      </c>
      <c r="F144" s="3" t="s">
        <v>31</v>
      </c>
      <c r="G144" s="3" t="s">
        <v>32</v>
      </c>
      <c r="H144" s="3" t="s">
        <v>33</v>
      </c>
      <c r="I144" s="3" t="s">
        <v>34</v>
      </c>
      <c r="J144" s="3" t="s">
        <v>35</v>
      </c>
      <c r="K144" s="3" t="s">
        <v>36</v>
      </c>
      <c r="L144" s="3" t="s">
        <v>37</v>
      </c>
      <c r="M144" s="3" t="s">
        <v>38</v>
      </c>
      <c r="N144" s="3" t="s">
        <v>39</v>
      </c>
      <c r="O144" s="3" t="s">
        <v>40</v>
      </c>
      <c r="P144" s="3" t="s">
        <v>41</v>
      </c>
      <c r="Q144" s="3" t="s">
        <v>42</v>
      </c>
      <c r="R144" s="3" t="s">
        <v>43</v>
      </c>
      <c r="S144" s="3" t="s">
        <v>44</v>
      </c>
      <c r="T144" s="3" t="s">
        <v>45</v>
      </c>
      <c r="U144" s="3" t="s">
        <v>46</v>
      </c>
      <c r="V144" s="3" t="s">
        <v>47</v>
      </c>
      <c r="W144" s="3" t="s">
        <v>48</v>
      </c>
      <c r="X144" s="3" t="s">
        <v>49</v>
      </c>
    </row>
    <row r="145" spans="1:24" x14ac:dyDescent="0.2">
      <c r="A145" s="472"/>
      <c r="B145" s="3">
        <v>1</v>
      </c>
      <c r="C145" s="45">
        <f t="shared" ref="C145:C164" si="91">AT118+IF($B145=1,0,C144)</f>
        <v>0</v>
      </c>
      <c r="D145" s="45">
        <f t="shared" ref="D145:D164" si="92">IF($B145&gt;=C$141,IF($B145=C$141,C$142,C$142*((20+C$141)-$B145)/20),0)*IF((20+C$141)-$B145&lt;0,0,1)</f>
        <v>0</v>
      </c>
      <c r="E145" s="45">
        <f t="shared" ref="E145:E164" si="93">IF($B145&gt;=D$141,IF($B145=D$141,D$142,D$142*((20+D$141)-$B145)/20),0)*IF((20+D$141)-$B145&lt;0,0,1)</f>
        <v>0</v>
      </c>
      <c r="F145" s="45">
        <f t="shared" ref="F145:F164" si="94">IF($B145&gt;=E$141,IF($B145=E$141,E$142,E$142*((20+E$141)-$B145)/20),0)*IF((20+E$141)-$B145&lt;0,0,1)</f>
        <v>0</v>
      </c>
      <c r="G145" s="45">
        <f t="shared" ref="G145:G164" si="95">IF($B145&gt;=F$141,IF($B145=F$141,F$142,F$142*((20+F$141)-$B145)/20),0)*IF((20+F$141)-$B145&lt;0,0,1)</f>
        <v>0</v>
      </c>
      <c r="H145" s="45">
        <f t="shared" ref="H145:H164" si="96">IF($B145&gt;=G$141,IF($B145=G$141,G$142,G$142*((20+G$141)-$B145)/20),0)*IF((20+G$141)-$B145&lt;0,0,1)</f>
        <v>0</v>
      </c>
      <c r="I145" s="45">
        <f t="shared" ref="I145:I164" si="97">IF($B145&gt;=H$141,IF($B145=H$141,H$142,H$142*((20+H$141)-$B145)/20),0)*IF((20+H$141)-$B145&lt;0,0,1)</f>
        <v>0</v>
      </c>
      <c r="J145" s="45">
        <f t="shared" ref="J145:J164" si="98">IF($B145&gt;=I$141,IF($B145=I$141,I$142,I$142*((20+I$141)-$B145)/20),0)*IF((20+I$141)-$B145&lt;0,0,1)</f>
        <v>0</v>
      </c>
      <c r="K145" s="45">
        <f t="shared" ref="K145:K164" si="99">IF($B145&gt;=J$141,IF($B145=J$141,J$142,J$142*((20+J$141)-$B145)/20),0)*IF((20+J$141)-$B145&lt;0,0,1)</f>
        <v>0</v>
      </c>
      <c r="L145" s="45">
        <f t="shared" ref="L145:L164" si="100">IF($B145&gt;=K$141,IF($B145=K$141,K$142,K$142*((20+K$141)-$B145)/20),0)*IF((20+K$141)-$B145&lt;0,0,1)</f>
        <v>0</v>
      </c>
      <c r="M145" s="45">
        <f t="shared" ref="M145:M164" si="101">IF($B145&gt;=L$141,IF($B145=L$141,L$142,L$142*((20+L$141)-$B145)/20),0)*IF((20+L$141)-$B145&lt;0,0,1)</f>
        <v>0</v>
      </c>
      <c r="N145" s="45">
        <f t="shared" ref="N145:N164" si="102">IF($B145&gt;=M$141,IF($B145=M$141,M$142,M$142*((20+M$141)-$B145)/20),0)*IF((20+M$141)-$B145&lt;0,0,1)</f>
        <v>0</v>
      </c>
      <c r="O145" s="45">
        <f t="shared" ref="O145:O164" si="103">IF($B145&gt;=N$141,IF($B145=N$141,N$142,N$142*((20+N$141)-$B145)/20),0)*IF((20+N$141)-$B145&lt;0,0,1)</f>
        <v>0</v>
      </c>
      <c r="P145" s="45">
        <f t="shared" ref="P145:P164" si="104">IF($B145&gt;=O$141,IF($B145=O$141,O$142,O$142*((20+O$141)-$B145)/20),0)*IF((20+O$141)-$B145&lt;0,0,1)</f>
        <v>0</v>
      </c>
      <c r="Q145" s="45">
        <f t="shared" ref="Q145:Q164" si="105">IF($B145&gt;=P$141,IF($B145=P$141,P$142,P$142*((20+P$141)-$B145)/20),0)*IF((20+P$141)-$B145&lt;0,0,1)</f>
        <v>0</v>
      </c>
      <c r="R145" s="45">
        <f t="shared" ref="R145:R164" si="106">IF($B145&gt;=Q$141,IF($B145=Q$141,Q$142,Q$142*((20+Q$141)-$B145)/20),0)*IF((20+Q$141)-$B145&lt;0,0,1)</f>
        <v>0</v>
      </c>
      <c r="S145" s="45">
        <f t="shared" ref="S145:S164" si="107">IF($B145&gt;=R$141,IF($B145=R$141,R$142,R$142*((20+R$141)-$B145)/20),0)*IF((20+R$141)-$B145&lt;0,0,1)</f>
        <v>0</v>
      </c>
      <c r="T145" s="45">
        <f t="shared" ref="T145:T164" si="108">IF($B145&gt;=S$141,IF($B145=S$141,S$142,S$142*((20+S$141)-$B145)/20),0)*IF((20+S$141)-$B145&lt;0,0,1)</f>
        <v>0</v>
      </c>
      <c r="U145" s="45">
        <f t="shared" ref="U145:U164" si="109">IF($B145&gt;=T$141,IF($B145=T$141,T$142,T$142*((20+T$141)-$B145)/20),0)*IF((20+T$141)-$B145&lt;0,0,1)</f>
        <v>0</v>
      </c>
      <c r="V145" s="45">
        <f t="shared" ref="V145:V164" si="110">IF($B145&gt;=U$141,IF($B145=U$141,U$142,U$142*((20+U$141)-$B145)/20),0)*IF((20+U$141)-$B145&lt;0,0,1)</f>
        <v>0</v>
      </c>
      <c r="W145" s="45">
        <f t="shared" ref="W145:W164" si="111">IF($B145&gt;=V$141,IF($B145=V$141,V$142,V$142*((20+V$141)-$B145)/20),0)*IF((20+V$141)-$B145&lt;0,0,1)</f>
        <v>0</v>
      </c>
      <c r="X145" s="45">
        <f>SUM(C145:W145)*44/12</f>
        <v>0</v>
      </c>
    </row>
    <row r="146" spans="1:24" x14ac:dyDescent="0.2">
      <c r="A146" s="472"/>
      <c r="B146" s="3">
        <v>2</v>
      </c>
      <c r="C146" s="11">
        <f t="shared" si="91"/>
        <v>0</v>
      </c>
      <c r="D146" s="45">
        <f t="shared" si="92"/>
        <v>0</v>
      </c>
      <c r="E146" s="45">
        <f t="shared" si="93"/>
        <v>0</v>
      </c>
      <c r="F146" s="45">
        <f t="shared" si="94"/>
        <v>0</v>
      </c>
      <c r="G146" s="45">
        <f t="shared" si="95"/>
        <v>0</v>
      </c>
      <c r="H146" s="45">
        <f t="shared" si="96"/>
        <v>0</v>
      </c>
      <c r="I146" s="45">
        <f t="shared" si="97"/>
        <v>0</v>
      </c>
      <c r="J146" s="45">
        <f t="shared" si="98"/>
        <v>0</v>
      </c>
      <c r="K146" s="45">
        <f t="shared" si="99"/>
        <v>0</v>
      </c>
      <c r="L146" s="45">
        <f t="shared" si="100"/>
        <v>0</v>
      </c>
      <c r="M146" s="11">
        <f t="shared" si="101"/>
        <v>0</v>
      </c>
      <c r="N146" s="11">
        <f t="shared" si="102"/>
        <v>0</v>
      </c>
      <c r="O146" s="11">
        <f t="shared" si="103"/>
        <v>0</v>
      </c>
      <c r="P146" s="11">
        <f t="shared" si="104"/>
        <v>0</v>
      </c>
      <c r="Q146" s="11">
        <f t="shared" si="105"/>
        <v>0</v>
      </c>
      <c r="R146" s="11">
        <f t="shared" si="106"/>
        <v>0</v>
      </c>
      <c r="S146" s="11">
        <f t="shared" si="107"/>
        <v>0</v>
      </c>
      <c r="T146" s="11">
        <f t="shared" si="108"/>
        <v>0</v>
      </c>
      <c r="U146" s="11">
        <f t="shared" si="109"/>
        <v>0</v>
      </c>
      <c r="V146" s="11">
        <f t="shared" si="110"/>
        <v>0</v>
      </c>
      <c r="W146" s="11">
        <f t="shared" si="111"/>
        <v>0</v>
      </c>
      <c r="X146" s="45">
        <f t="shared" ref="X146:X164" si="112">SUM(C146:W146)*44/12</f>
        <v>0</v>
      </c>
    </row>
    <row r="147" spans="1:24" x14ac:dyDescent="0.2">
      <c r="A147" s="472"/>
      <c r="B147" s="3">
        <v>3</v>
      </c>
      <c r="C147" s="11">
        <f t="shared" si="91"/>
        <v>0</v>
      </c>
      <c r="D147" s="45">
        <f t="shared" si="92"/>
        <v>0</v>
      </c>
      <c r="E147" s="45">
        <f t="shared" si="93"/>
        <v>0</v>
      </c>
      <c r="F147" s="45">
        <f t="shared" si="94"/>
        <v>0</v>
      </c>
      <c r="G147" s="45">
        <f t="shared" si="95"/>
        <v>0</v>
      </c>
      <c r="H147" s="45">
        <f t="shared" si="96"/>
        <v>0</v>
      </c>
      <c r="I147" s="45">
        <f t="shared" si="97"/>
        <v>0</v>
      </c>
      <c r="J147" s="45">
        <f t="shared" si="98"/>
        <v>0</v>
      </c>
      <c r="K147" s="45">
        <f t="shared" si="99"/>
        <v>0</v>
      </c>
      <c r="L147" s="45">
        <f t="shared" si="100"/>
        <v>0</v>
      </c>
      <c r="M147" s="11">
        <f t="shared" si="101"/>
        <v>0</v>
      </c>
      <c r="N147" s="11">
        <f t="shared" si="102"/>
        <v>0</v>
      </c>
      <c r="O147" s="11">
        <f t="shared" si="103"/>
        <v>0</v>
      </c>
      <c r="P147" s="11">
        <f t="shared" si="104"/>
        <v>0</v>
      </c>
      <c r="Q147" s="11">
        <f t="shared" si="105"/>
        <v>0</v>
      </c>
      <c r="R147" s="11">
        <f t="shared" si="106"/>
        <v>0</v>
      </c>
      <c r="S147" s="11">
        <f t="shared" si="107"/>
        <v>0</v>
      </c>
      <c r="T147" s="11">
        <f t="shared" si="108"/>
        <v>0</v>
      </c>
      <c r="U147" s="11">
        <f t="shared" si="109"/>
        <v>0</v>
      </c>
      <c r="V147" s="11">
        <f t="shared" si="110"/>
        <v>0</v>
      </c>
      <c r="W147" s="11">
        <f t="shared" si="111"/>
        <v>0</v>
      </c>
      <c r="X147" s="45">
        <f t="shared" si="112"/>
        <v>0</v>
      </c>
    </row>
    <row r="148" spans="1:24" x14ac:dyDescent="0.2">
      <c r="A148" s="472"/>
      <c r="B148" s="3">
        <v>4</v>
      </c>
      <c r="C148" s="11">
        <f t="shared" si="91"/>
        <v>0</v>
      </c>
      <c r="D148" s="45">
        <f t="shared" si="92"/>
        <v>0</v>
      </c>
      <c r="E148" s="45">
        <f t="shared" si="93"/>
        <v>0</v>
      </c>
      <c r="F148" s="45">
        <f t="shared" si="94"/>
        <v>0</v>
      </c>
      <c r="G148" s="45">
        <f t="shared" si="95"/>
        <v>0</v>
      </c>
      <c r="H148" s="45">
        <f t="shared" si="96"/>
        <v>0</v>
      </c>
      <c r="I148" s="45">
        <f t="shared" si="97"/>
        <v>0</v>
      </c>
      <c r="J148" s="45">
        <f t="shared" si="98"/>
        <v>0</v>
      </c>
      <c r="K148" s="45">
        <f t="shared" si="99"/>
        <v>0</v>
      </c>
      <c r="L148" s="45">
        <f t="shared" si="100"/>
        <v>0</v>
      </c>
      <c r="M148" s="11">
        <f t="shared" si="101"/>
        <v>0</v>
      </c>
      <c r="N148" s="11">
        <f t="shared" si="102"/>
        <v>0</v>
      </c>
      <c r="O148" s="11">
        <f t="shared" si="103"/>
        <v>0</v>
      </c>
      <c r="P148" s="11">
        <f t="shared" si="104"/>
        <v>0</v>
      </c>
      <c r="Q148" s="11">
        <f t="shared" si="105"/>
        <v>0</v>
      </c>
      <c r="R148" s="11">
        <f t="shared" si="106"/>
        <v>0</v>
      </c>
      <c r="S148" s="11">
        <f t="shared" si="107"/>
        <v>0</v>
      </c>
      <c r="T148" s="11">
        <f t="shared" si="108"/>
        <v>0</v>
      </c>
      <c r="U148" s="11">
        <f t="shared" si="109"/>
        <v>0</v>
      </c>
      <c r="V148" s="11">
        <f t="shared" si="110"/>
        <v>0</v>
      </c>
      <c r="W148" s="11">
        <f t="shared" si="111"/>
        <v>0</v>
      </c>
      <c r="X148" s="45">
        <f t="shared" si="112"/>
        <v>0</v>
      </c>
    </row>
    <row r="149" spans="1:24" x14ac:dyDescent="0.2">
      <c r="A149" s="472"/>
      <c r="B149" s="3">
        <v>5</v>
      </c>
      <c r="C149" s="11">
        <f t="shared" si="91"/>
        <v>0</v>
      </c>
      <c r="D149" s="45">
        <f t="shared" si="92"/>
        <v>0</v>
      </c>
      <c r="E149" s="45">
        <f t="shared" si="93"/>
        <v>0</v>
      </c>
      <c r="F149" s="45">
        <f t="shared" si="94"/>
        <v>0</v>
      </c>
      <c r="G149" s="45">
        <f t="shared" si="95"/>
        <v>0</v>
      </c>
      <c r="H149" s="45">
        <f t="shared" si="96"/>
        <v>0</v>
      </c>
      <c r="I149" s="45">
        <f t="shared" si="97"/>
        <v>0</v>
      </c>
      <c r="J149" s="45">
        <f t="shared" si="98"/>
        <v>0</v>
      </c>
      <c r="K149" s="45">
        <f t="shared" si="99"/>
        <v>0</v>
      </c>
      <c r="L149" s="45">
        <f t="shared" si="100"/>
        <v>0</v>
      </c>
      <c r="M149" s="11">
        <f t="shared" si="101"/>
        <v>0</v>
      </c>
      <c r="N149" s="11">
        <f t="shared" si="102"/>
        <v>0</v>
      </c>
      <c r="O149" s="11">
        <f t="shared" si="103"/>
        <v>0</v>
      </c>
      <c r="P149" s="11">
        <f t="shared" si="104"/>
        <v>0</v>
      </c>
      <c r="Q149" s="11">
        <f t="shared" si="105"/>
        <v>0</v>
      </c>
      <c r="R149" s="11">
        <f t="shared" si="106"/>
        <v>0</v>
      </c>
      <c r="S149" s="11">
        <f t="shared" si="107"/>
        <v>0</v>
      </c>
      <c r="T149" s="11">
        <f t="shared" si="108"/>
        <v>0</v>
      </c>
      <c r="U149" s="11">
        <f t="shared" si="109"/>
        <v>0</v>
      </c>
      <c r="V149" s="11">
        <f t="shared" si="110"/>
        <v>0</v>
      </c>
      <c r="W149" s="11">
        <f t="shared" si="111"/>
        <v>0</v>
      </c>
      <c r="X149" s="45">
        <f t="shared" si="112"/>
        <v>0</v>
      </c>
    </row>
    <row r="150" spans="1:24" x14ac:dyDescent="0.2">
      <c r="A150" s="472"/>
      <c r="B150" s="3">
        <v>6</v>
      </c>
      <c r="C150" s="11">
        <f t="shared" si="91"/>
        <v>0</v>
      </c>
      <c r="D150" s="45">
        <f t="shared" si="92"/>
        <v>0</v>
      </c>
      <c r="E150" s="45">
        <f t="shared" si="93"/>
        <v>0</v>
      </c>
      <c r="F150" s="45">
        <f t="shared" si="94"/>
        <v>0</v>
      </c>
      <c r="G150" s="45">
        <f t="shared" si="95"/>
        <v>0</v>
      </c>
      <c r="H150" s="45">
        <f t="shared" si="96"/>
        <v>0</v>
      </c>
      <c r="I150" s="45">
        <f t="shared" si="97"/>
        <v>0</v>
      </c>
      <c r="J150" s="45">
        <f t="shared" si="98"/>
        <v>0</v>
      </c>
      <c r="K150" s="45">
        <f t="shared" si="99"/>
        <v>0</v>
      </c>
      <c r="L150" s="45">
        <f t="shared" si="100"/>
        <v>0</v>
      </c>
      <c r="M150" s="11">
        <f t="shared" si="101"/>
        <v>0</v>
      </c>
      <c r="N150" s="11">
        <f t="shared" si="102"/>
        <v>0</v>
      </c>
      <c r="O150" s="11">
        <f t="shared" si="103"/>
        <v>0</v>
      </c>
      <c r="P150" s="11">
        <f t="shared" si="104"/>
        <v>0</v>
      </c>
      <c r="Q150" s="11">
        <f t="shared" si="105"/>
        <v>0</v>
      </c>
      <c r="R150" s="11">
        <f t="shared" si="106"/>
        <v>0</v>
      </c>
      <c r="S150" s="11">
        <f t="shared" si="107"/>
        <v>0</v>
      </c>
      <c r="T150" s="11">
        <f t="shared" si="108"/>
        <v>0</v>
      </c>
      <c r="U150" s="11">
        <f t="shared" si="109"/>
        <v>0</v>
      </c>
      <c r="V150" s="11">
        <f t="shared" si="110"/>
        <v>0</v>
      </c>
      <c r="W150" s="11">
        <f t="shared" si="111"/>
        <v>0</v>
      </c>
      <c r="X150" s="45">
        <f t="shared" si="112"/>
        <v>0</v>
      </c>
    </row>
    <row r="151" spans="1:24" x14ac:dyDescent="0.2">
      <c r="A151" s="472"/>
      <c r="B151" s="3">
        <v>7</v>
      </c>
      <c r="C151" s="11">
        <f t="shared" si="91"/>
        <v>0</v>
      </c>
      <c r="D151" s="45">
        <f t="shared" si="92"/>
        <v>0</v>
      </c>
      <c r="E151" s="45">
        <f t="shared" si="93"/>
        <v>0</v>
      </c>
      <c r="F151" s="45">
        <f t="shared" si="94"/>
        <v>0</v>
      </c>
      <c r="G151" s="45">
        <f t="shared" si="95"/>
        <v>0</v>
      </c>
      <c r="H151" s="45">
        <f t="shared" si="96"/>
        <v>0</v>
      </c>
      <c r="I151" s="45">
        <f t="shared" si="97"/>
        <v>0</v>
      </c>
      <c r="J151" s="45">
        <f t="shared" si="98"/>
        <v>0</v>
      </c>
      <c r="K151" s="45">
        <f t="shared" si="99"/>
        <v>0</v>
      </c>
      <c r="L151" s="45">
        <f t="shared" si="100"/>
        <v>0</v>
      </c>
      <c r="M151" s="11">
        <f t="shared" si="101"/>
        <v>0</v>
      </c>
      <c r="N151" s="11">
        <f t="shared" si="102"/>
        <v>0</v>
      </c>
      <c r="O151" s="11">
        <f t="shared" si="103"/>
        <v>0</v>
      </c>
      <c r="P151" s="11">
        <f t="shared" si="104"/>
        <v>0</v>
      </c>
      <c r="Q151" s="11">
        <f t="shared" si="105"/>
        <v>0</v>
      </c>
      <c r="R151" s="11">
        <f t="shared" si="106"/>
        <v>0</v>
      </c>
      <c r="S151" s="11">
        <f t="shared" si="107"/>
        <v>0</v>
      </c>
      <c r="T151" s="11">
        <f t="shared" si="108"/>
        <v>0</v>
      </c>
      <c r="U151" s="11">
        <f t="shared" si="109"/>
        <v>0</v>
      </c>
      <c r="V151" s="11">
        <f t="shared" si="110"/>
        <v>0</v>
      </c>
      <c r="W151" s="11">
        <f t="shared" si="111"/>
        <v>0</v>
      </c>
      <c r="X151" s="45">
        <f t="shared" si="112"/>
        <v>0</v>
      </c>
    </row>
    <row r="152" spans="1:24" x14ac:dyDescent="0.2">
      <c r="A152" s="472"/>
      <c r="B152" s="3">
        <v>8</v>
      </c>
      <c r="C152" s="11">
        <f t="shared" si="91"/>
        <v>0</v>
      </c>
      <c r="D152" s="45">
        <f t="shared" si="92"/>
        <v>0</v>
      </c>
      <c r="E152" s="45">
        <f t="shared" si="93"/>
        <v>0</v>
      </c>
      <c r="F152" s="45">
        <f t="shared" si="94"/>
        <v>0</v>
      </c>
      <c r="G152" s="45">
        <f t="shared" si="95"/>
        <v>0</v>
      </c>
      <c r="H152" s="45">
        <f t="shared" si="96"/>
        <v>0</v>
      </c>
      <c r="I152" s="45">
        <f t="shared" si="97"/>
        <v>0</v>
      </c>
      <c r="J152" s="45">
        <f t="shared" si="98"/>
        <v>0</v>
      </c>
      <c r="K152" s="45">
        <f t="shared" si="99"/>
        <v>0</v>
      </c>
      <c r="L152" s="45">
        <f t="shared" si="100"/>
        <v>0</v>
      </c>
      <c r="M152" s="11">
        <f t="shared" si="101"/>
        <v>0</v>
      </c>
      <c r="N152" s="11">
        <f t="shared" si="102"/>
        <v>0</v>
      </c>
      <c r="O152" s="11">
        <f t="shared" si="103"/>
        <v>0</v>
      </c>
      <c r="P152" s="11">
        <f t="shared" si="104"/>
        <v>0</v>
      </c>
      <c r="Q152" s="11">
        <f t="shared" si="105"/>
        <v>0</v>
      </c>
      <c r="R152" s="11">
        <f t="shared" si="106"/>
        <v>0</v>
      </c>
      <c r="S152" s="11">
        <f t="shared" si="107"/>
        <v>0</v>
      </c>
      <c r="T152" s="11">
        <f t="shared" si="108"/>
        <v>0</v>
      </c>
      <c r="U152" s="11">
        <f t="shared" si="109"/>
        <v>0</v>
      </c>
      <c r="V152" s="11">
        <f t="shared" si="110"/>
        <v>0</v>
      </c>
      <c r="W152" s="11">
        <f t="shared" si="111"/>
        <v>0</v>
      </c>
      <c r="X152" s="45">
        <f t="shared" si="112"/>
        <v>0</v>
      </c>
    </row>
    <row r="153" spans="1:24" x14ac:dyDescent="0.2">
      <c r="A153" s="472"/>
      <c r="B153" s="3">
        <v>9</v>
      </c>
      <c r="C153" s="11">
        <f t="shared" si="91"/>
        <v>0</v>
      </c>
      <c r="D153" s="45">
        <f t="shared" si="92"/>
        <v>0</v>
      </c>
      <c r="E153" s="45">
        <f t="shared" si="93"/>
        <v>0</v>
      </c>
      <c r="F153" s="45">
        <f t="shared" si="94"/>
        <v>0</v>
      </c>
      <c r="G153" s="45">
        <f t="shared" si="95"/>
        <v>0</v>
      </c>
      <c r="H153" s="45">
        <f t="shared" si="96"/>
        <v>0</v>
      </c>
      <c r="I153" s="45">
        <f t="shared" si="97"/>
        <v>0</v>
      </c>
      <c r="J153" s="45">
        <f t="shared" si="98"/>
        <v>0</v>
      </c>
      <c r="K153" s="45">
        <f t="shared" si="99"/>
        <v>0</v>
      </c>
      <c r="L153" s="45">
        <f t="shared" si="100"/>
        <v>0</v>
      </c>
      <c r="M153" s="11">
        <f t="shared" si="101"/>
        <v>0</v>
      </c>
      <c r="N153" s="11">
        <f t="shared" si="102"/>
        <v>0</v>
      </c>
      <c r="O153" s="11">
        <f t="shared" si="103"/>
        <v>0</v>
      </c>
      <c r="P153" s="11">
        <f t="shared" si="104"/>
        <v>0</v>
      </c>
      <c r="Q153" s="11">
        <f t="shared" si="105"/>
        <v>0</v>
      </c>
      <c r="R153" s="11">
        <f t="shared" si="106"/>
        <v>0</v>
      </c>
      <c r="S153" s="11">
        <f t="shared" si="107"/>
        <v>0</v>
      </c>
      <c r="T153" s="11">
        <f t="shared" si="108"/>
        <v>0</v>
      </c>
      <c r="U153" s="11">
        <f t="shared" si="109"/>
        <v>0</v>
      </c>
      <c r="V153" s="11">
        <f t="shared" si="110"/>
        <v>0</v>
      </c>
      <c r="W153" s="11">
        <f t="shared" si="111"/>
        <v>0</v>
      </c>
      <c r="X153" s="45">
        <f t="shared" si="112"/>
        <v>0</v>
      </c>
    </row>
    <row r="154" spans="1:24" x14ac:dyDescent="0.2">
      <c r="A154" s="472"/>
      <c r="B154" s="3">
        <v>10</v>
      </c>
      <c r="C154" s="11">
        <f t="shared" si="91"/>
        <v>0</v>
      </c>
      <c r="D154" s="45">
        <f t="shared" si="92"/>
        <v>0</v>
      </c>
      <c r="E154" s="45">
        <f t="shared" si="93"/>
        <v>0</v>
      </c>
      <c r="F154" s="45">
        <f t="shared" si="94"/>
        <v>0</v>
      </c>
      <c r="G154" s="45">
        <f t="shared" si="95"/>
        <v>0</v>
      </c>
      <c r="H154" s="45">
        <f t="shared" si="96"/>
        <v>0</v>
      </c>
      <c r="I154" s="45">
        <f t="shared" si="97"/>
        <v>0</v>
      </c>
      <c r="J154" s="45">
        <f t="shared" si="98"/>
        <v>0</v>
      </c>
      <c r="K154" s="45">
        <f t="shared" si="99"/>
        <v>0</v>
      </c>
      <c r="L154" s="45">
        <f t="shared" si="100"/>
        <v>0</v>
      </c>
      <c r="M154" s="11">
        <f t="shared" si="101"/>
        <v>0</v>
      </c>
      <c r="N154" s="11">
        <f t="shared" si="102"/>
        <v>0</v>
      </c>
      <c r="O154" s="11">
        <f t="shared" si="103"/>
        <v>0</v>
      </c>
      <c r="P154" s="11">
        <f t="shared" si="104"/>
        <v>0</v>
      </c>
      <c r="Q154" s="11">
        <f t="shared" si="105"/>
        <v>0</v>
      </c>
      <c r="R154" s="11">
        <f t="shared" si="106"/>
        <v>0</v>
      </c>
      <c r="S154" s="11">
        <f t="shared" si="107"/>
        <v>0</v>
      </c>
      <c r="T154" s="11">
        <f t="shared" si="108"/>
        <v>0</v>
      </c>
      <c r="U154" s="11">
        <f t="shared" si="109"/>
        <v>0</v>
      </c>
      <c r="V154" s="11">
        <f t="shared" si="110"/>
        <v>0</v>
      </c>
      <c r="W154" s="11">
        <f t="shared" si="111"/>
        <v>0</v>
      </c>
      <c r="X154" s="45">
        <f t="shared" si="112"/>
        <v>0</v>
      </c>
    </row>
    <row r="155" spans="1:24" x14ac:dyDescent="0.2">
      <c r="A155" s="472"/>
      <c r="B155" s="3">
        <v>11</v>
      </c>
      <c r="C155" s="11">
        <f t="shared" si="91"/>
        <v>0</v>
      </c>
      <c r="D155" s="45">
        <f t="shared" si="92"/>
        <v>0</v>
      </c>
      <c r="E155" s="45">
        <f t="shared" si="93"/>
        <v>0</v>
      </c>
      <c r="F155" s="45">
        <f t="shared" si="94"/>
        <v>0</v>
      </c>
      <c r="G155" s="45">
        <f t="shared" si="95"/>
        <v>0</v>
      </c>
      <c r="H155" s="45">
        <f t="shared" si="96"/>
        <v>0</v>
      </c>
      <c r="I155" s="45">
        <f t="shared" si="97"/>
        <v>0</v>
      </c>
      <c r="J155" s="45">
        <f t="shared" si="98"/>
        <v>0</v>
      </c>
      <c r="K155" s="45">
        <f t="shared" si="99"/>
        <v>0</v>
      </c>
      <c r="L155" s="45">
        <f t="shared" si="100"/>
        <v>0</v>
      </c>
      <c r="M155" s="11">
        <f t="shared" si="101"/>
        <v>0</v>
      </c>
      <c r="N155" s="11">
        <f t="shared" si="102"/>
        <v>0</v>
      </c>
      <c r="O155" s="11">
        <f t="shared" si="103"/>
        <v>0</v>
      </c>
      <c r="P155" s="11">
        <f t="shared" si="104"/>
        <v>0</v>
      </c>
      <c r="Q155" s="11">
        <f t="shared" si="105"/>
        <v>0</v>
      </c>
      <c r="R155" s="11">
        <f t="shared" si="106"/>
        <v>0</v>
      </c>
      <c r="S155" s="11">
        <f t="shared" si="107"/>
        <v>0</v>
      </c>
      <c r="T155" s="11">
        <f t="shared" si="108"/>
        <v>0</v>
      </c>
      <c r="U155" s="11">
        <f t="shared" si="109"/>
        <v>0</v>
      </c>
      <c r="V155" s="11">
        <f t="shared" si="110"/>
        <v>0</v>
      </c>
      <c r="W155" s="11">
        <f t="shared" si="111"/>
        <v>0</v>
      </c>
      <c r="X155" s="45">
        <f t="shared" si="112"/>
        <v>0</v>
      </c>
    </row>
    <row r="156" spans="1:24" x14ac:dyDescent="0.2">
      <c r="A156" s="472"/>
      <c r="B156" s="3">
        <v>12</v>
      </c>
      <c r="C156" s="11">
        <f t="shared" si="91"/>
        <v>0</v>
      </c>
      <c r="D156" s="45">
        <f t="shared" si="92"/>
        <v>0</v>
      </c>
      <c r="E156" s="45">
        <f t="shared" si="93"/>
        <v>0</v>
      </c>
      <c r="F156" s="45">
        <f t="shared" si="94"/>
        <v>0</v>
      </c>
      <c r="G156" s="45">
        <f t="shared" si="95"/>
        <v>0</v>
      </c>
      <c r="H156" s="45">
        <f t="shared" si="96"/>
        <v>0</v>
      </c>
      <c r="I156" s="45">
        <f t="shared" si="97"/>
        <v>0</v>
      </c>
      <c r="J156" s="45">
        <f t="shared" si="98"/>
        <v>0</v>
      </c>
      <c r="K156" s="45">
        <f t="shared" si="99"/>
        <v>0</v>
      </c>
      <c r="L156" s="45">
        <f t="shared" si="100"/>
        <v>0</v>
      </c>
      <c r="M156" s="11">
        <f t="shared" si="101"/>
        <v>0</v>
      </c>
      <c r="N156" s="11">
        <f t="shared" si="102"/>
        <v>0</v>
      </c>
      <c r="O156" s="11">
        <f t="shared" si="103"/>
        <v>0</v>
      </c>
      <c r="P156" s="11">
        <f t="shared" si="104"/>
        <v>0</v>
      </c>
      <c r="Q156" s="11">
        <f t="shared" si="105"/>
        <v>0</v>
      </c>
      <c r="R156" s="11">
        <f t="shared" si="106"/>
        <v>0</v>
      </c>
      <c r="S156" s="11">
        <f t="shared" si="107"/>
        <v>0</v>
      </c>
      <c r="T156" s="11">
        <f t="shared" si="108"/>
        <v>0</v>
      </c>
      <c r="U156" s="11">
        <f t="shared" si="109"/>
        <v>0</v>
      </c>
      <c r="V156" s="11">
        <f t="shared" si="110"/>
        <v>0</v>
      </c>
      <c r="W156" s="11">
        <f t="shared" si="111"/>
        <v>0</v>
      </c>
      <c r="X156" s="45">
        <f t="shared" si="112"/>
        <v>0</v>
      </c>
    </row>
    <row r="157" spans="1:24" x14ac:dyDescent="0.2">
      <c r="A157" s="472"/>
      <c r="B157" s="3">
        <v>13</v>
      </c>
      <c r="C157" s="11">
        <f t="shared" si="91"/>
        <v>0</v>
      </c>
      <c r="D157" s="45">
        <f t="shared" si="92"/>
        <v>0</v>
      </c>
      <c r="E157" s="45">
        <f t="shared" si="93"/>
        <v>0</v>
      </c>
      <c r="F157" s="45">
        <f t="shared" si="94"/>
        <v>0</v>
      </c>
      <c r="G157" s="45">
        <f t="shared" si="95"/>
        <v>0</v>
      </c>
      <c r="H157" s="45">
        <f t="shared" si="96"/>
        <v>0</v>
      </c>
      <c r="I157" s="45">
        <f t="shared" si="97"/>
        <v>0</v>
      </c>
      <c r="J157" s="45">
        <f t="shared" si="98"/>
        <v>0</v>
      </c>
      <c r="K157" s="45">
        <f t="shared" si="99"/>
        <v>0</v>
      </c>
      <c r="L157" s="45">
        <f t="shared" si="100"/>
        <v>0</v>
      </c>
      <c r="M157" s="11">
        <f t="shared" si="101"/>
        <v>0</v>
      </c>
      <c r="N157" s="11">
        <f t="shared" si="102"/>
        <v>0</v>
      </c>
      <c r="O157" s="11">
        <f t="shared" si="103"/>
        <v>0</v>
      </c>
      <c r="P157" s="11">
        <f t="shared" si="104"/>
        <v>0</v>
      </c>
      <c r="Q157" s="11">
        <f t="shared" si="105"/>
        <v>0</v>
      </c>
      <c r="R157" s="11">
        <f t="shared" si="106"/>
        <v>0</v>
      </c>
      <c r="S157" s="11">
        <f t="shared" si="107"/>
        <v>0</v>
      </c>
      <c r="T157" s="11">
        <f t="shared" si="108"/>
        <v>0</v>
      </c>
      <c r="U157" s="11">
        <f t="shared" si="109"/>
        <v>0</v>
      </c>
      <c r="V157" s="11">
        <f t="shared" si="110"/>
        <v>0</v>
      </c>
      <c r="W157" s="11">
        <f t="shared" si="111"/>
        <v>0</v>
      </c>
      <c r="X157" s="45">
        <f t="shared" si="112"/>
        <v>0</v>
      </c>
    </row>
    <row r="158" spans="1:24" x14ac:dyDescent="0.2">
      <c r="A158" s="472"/>
      <c r="B158" s="3">
        <v>14</v>
      </c>
      <c r="C158" s="11">
        <f t="shared" si="91"/>
        <v>0</v>
      </c>
      <c r="D158" s="45">
        <f t="shared" si="92"/>
        <v>0</v>
      </c>
      <c r="E158" s="45">
        <f t="shared" si="93"/>
        <v>0</v>
      </c>
      <c r="F158" s="45">
        <f t="shared" si="94"/>
        <v>0</v>
      </c>
      <c r="G158" s="45">
        <f t="shared" si="95"/>
        <v>0</v>
      </c>
      <c r="H158" s="45">
        <f t="shared" si="96"/>
        <v>0</v>
      </c>
      <c r="I158" s="45">
        <f t="shared" si="97"/>
        <v>0</v>
      </c>
      <c r="J158" s="45">
        <f t="shared" si="98"/>
        <v>0</v>
      </c>
      <c r="K158" s="45">
        <f t="shared" si="99"/>
        <v>0</v>
      </c>
      <c r="L158" s="45">
        <f t="shared" si="100"/>
        <v>0</v>
      </c>
      <c r="M158" s="11">
        <f t="shared" si="101"/>
        <v>0</v>
      </c>
      <c r="N158" s="11">
        <f t="shared" si="102"/>
        <v>0</v>
      </c>
      <c r="O158" s="11">
        <f t="shared" si="103"/>
        <v>0</v>
      </c>
      <c r="P158" s="11">
        <f t="shared" si="104"/>
        <v>0</v>
      </c>
      <c r="Q158" s="11">
        <f t="shared" si="105"/>
        <v>0</v>
      </c>
      <c r="R158" s="11">
        <f t="shared" si="106"/>
        <v>0</v>
      </c>
      <c r="S158" s="11">
        <f t="shared" si="107"/>
        <v>0</v>
      </c>
      <c r="T158" s="11">
        <f t="shared" si="108"/>
        <v>0</v>
      </c>
      <c r="U158" s="11">
        <f t="shared" si="109"/>
        <v>0</v>
      </c>
      <c r="V158" s="11">
        <f t="shared" si="110"/>
        <v>0</v>
      </c>
      <c r="W158" s="11">
        <f t="shared" si="111"/>
        <v>0</v>
      </c>
      <c r="X158" s="45">
        <f t="shared" si="112"/>
        <v>0</v>
      </c>
    </row>
    <row r="159" spans="1:24" x14ac:dyDescent="0.2">
      <c r="A159" s="472"/>
      <c r="B159" s="3">
        <v>15</v>
      </c>
      <c r="C159" s="11">
        <f t="shared" si="91"/>
        <v>0</v>
      </c>
      <c r="D159" s="45">
        <f t="shared" si="92"/>
        <v>0</v>
      </c>
      <c r="E159" s="45">
        <f t="shared" si="93"/>
        <v>0</v>
      </c>
      <c r="F159" s="45">
        <f t="shared" si="94"/>
        <v>0</v>
      </c>
      <c r="G159" s="45">
        <f t="shared" si="95"/>
        <v>0</v>
      </c>
      <c r="H159" s="45">
        <f t="shared" si="96"/>
        <v>0</v>
      </c>
      <c r="I159" s="45">
        <f t="shared" si="97"/>
        <v>0</v>
      </c>
      <c r="J159" s="45">
        <f t="shared" si="98"/>
        <v>0</v>
      </c>
      <c r="K159" s="45">
        <f t="shared" si="99"/>
        <v>0</v>
      </c>
      <c r="L159" s="45">
        <f t="shared" si="100"/>
        <v>0</v>
      </c>
      <c r="M159" s="11">
        <f t="shared" si="101"/>
        <v>0</v>
      </c>
      <c r="N159" s="11">
        <f t="shared" si="102"/>
        <v>0</v>
      </c>
      <c r="O159" s="11">
        <f t="shared" si="103"/>
        <v>0</v>
      </c>
      <c r="P159" s="11">
        <f t="shared" si="104"/>
        <v>0</v>
      </c>
      <c r="Q159" s="11">
        <f t="shared" si="105"/>
        <v>0</v>
      </c>
      <c r="R159" s="11">
        <f t="shared" si="106"/>
        <v>0</v>
      </c>
      <c r="S159" s="11">
        <f t="shared" si="107"/>
        <v>0</v>
      </c>
      <c r="T159" s="11">
        <f t="shared" si="108"/>
        <v>0</v>
      </c>
      <c r="U159" s="11">
        <f t="shared" si="109"/>
        <v>0</v>
      </c>
      <c r="V159" s="11">
        <f t="shared" si="110"/>
        <v>0</v>
      </c>
      <c r="W159" s="11">
        <f t="shared" si="111"/>
        <v>0</v>
      </c>
      <c r="X159" s="45">
        <f t="shared" si="112"/>
        <v>0</v>
      </c>
    </row>
    <row r="160" spans="1:24" x14ac:dyDescent="0.2">
      <c r="A160" s="472"/>
      <c r="B160" s="3">
        <v>16</v>
      </c>
      <c r="C160" s="11">
        <f t="shared" si="91"/>
        <v>0</v>
      </c>
      <c r="D160" s="45">
        <f t="shared" si="92"/>
        <v>0</v>
      </c>
      <c r="E160" s="45">
        <f t="shared" si="93"/>
        <v>0</v>
      </c>
      <c r="F160" s="45">
        <f t="shared" si="94"/>
        <v>0</v>
      </c>
      <c r="G160" s="45">
        <f t="shared" si="95"/>
        <v>0</v>
      </c>
      <c r="H160" s="45">
        <f t="shared" si="96"/>
        <v>0</v>
      </c>
      <c r="I160" s="45">
        <f t="shared" si="97"/>
        <v>0</v>
      </c>
      <c r="J160" s="45">
        <f t="shared" si="98"/>
        <v>0</v>
      </c>
      <c r="K160" s="45">
        <f t="shared" si="99"/>
        <v>0</v>
      </c>
      <c r="L160" s="45">
        <f t="shared" si="100"/>
        <v>0</v>
      </c>
      <c r="M160" s="11">
        <f t="shared" si="101"/>
        <v>0</v>
      </c>
      <c r="N160" s="11">
        <f t="shared" si="102"/>
        <v>0</v>
      </c>
      <c r="O160" s="11">
        <f t="shared" si="103"/>
        <v>0</v>
      </c>
      <c r="P160" s="11">
        <f t="shared" si="104"/>
        <v>0</v>
      </c>
      <c r="Q160" s="11">
        <f t="shared" si="105"/>
        <v>0</v>
      </c>
      <c r="R160" s="11">
        <f t="shared" si="106"/>
        <v>0</v>
      </c>
      <c r="S160" s="11">
        <f t="shared" si="107"/>
        <v>0</v>
      </c>
      <c r="T160" s="11">
        <f t="shared" si="108"/>
        <v>0</v>
      </c>
      <c r="U160" s="11">
        <f t="shared" si="109"/>
        <v>0</v>
      </c>
      <c r="V160" s="11">
        <f t="shared" si="110"/>
        <v>0</v>
      </c>
      <c r="W160" s="11">
        <f t="shared" si="111"/>
        <v>0</v>
      </c>
      <c r="X160" s="45">
        <f t="shared" si="112"/>
        <v>0</v>
      </c>
    </row>
    <row r="161" spans="1:52" x14ac:dyDescent="0.2">
      <c r="A161" s="472"/>
      <c r="B161" s="3">
        <v>17</v>
      </c>
      <c r="C161" s="11">
        <f t="shared" si="91"/>
        <v>0</v>
      </c>
      <c r="D161" s="45">
        <f t="shared" si="92"/>
        <v>0</v>
      </c>
      <c r="E161" s="45">
        <f t="shared" si="93"/>
        <v>0</v>
      </c>
      <c r="F161" s="45">
        <f t="shared" si="94"/>
        <v>0</v>
      </c>
      <c r="G161" s="45">
        <f t="shared" si="95"/>
        <v>0</v>
      </c>
      <c r="H161" s="45">
        <f t="shared" si="96"/>
        <v>0</v>
      </c>
      <c r="I161" s="45">
        <f t="shared" si="97"/>
        <v>0</v>
      </c>
      <c r="J161" s="45">
        <f t="shared" si="98"/>
        <v>0</v>
      </c>
      <c r="K161" s="45">
        <f t="shared" si="99"/>
        <v>0</v>
      </c>
      <c r="L161" s="45">
        <f t="shared" si="100"/>
        <v>0</v>
      </c>
      <c r="M161" s="11">
        <f t="shared" si="101"/>
        <v>0</v>
      </c>
      <c r="N161" s="11">
        <f t="shared" si="102"/>
        <v>0</v>
      </c>
      <c r="O161" s="11">
        <f t="shared" si="103"/>
        <v>0</v>
      </c>
      <c r="P161" s="11">
        <f t="shared" si="104"/>
        <v>0</v>
      </c>
      <c r="Q161" s="11">
        <f t="shared" si="105"/>
        <v>0</v>
      </c>
      <c r="R161" s="11">
        <f t="shared" si="106"/>
        <v>0</v>
      </c>
      <c r="S161" s="11">
        <f t="shared" si="107"/>
        <v>0</v>
      </c>
      <c r="T161" s="11">
        <f t="shared" si="108"/>
        <v>0</v>
      </c>
      <c r="U161" s="11">
        <f t="shared" si="109"/>
        <v>0</v>
      </c>
      <c r="V161" s="11">
        <f t="shared" si="110"/>
        <v>0</v>
      </c>
      <c r="W161" s="11">
        <f t="shared" si="111"/>
        <v>0</v>
      </c>
      <c r="X161" s="45">
        <f t="shared" si="112"/>
        <v>0</v>
      </c>
    </row>
    <row r="162" spans="1:52" x14ac:dyDescent="0.2">
      <c r="A162" s="472"/>
      <c r="B162" s="3">
        <v>18</v>
      </c>
      <c r="C162" s="11">
        <f t="shared" si="91"/>
        <v>0</v>
      </c>
      <c r="D162" s="45">
        <f t="shared" si="92"/>
        <v>0</v>
      </c>
      <c r="E162" s="45">
        <f t="shared" si="93"/>
        <v>0</v>
      </c>
      <c r="F162" s="45">
        <f t="shared" si="94"/>
        <v>0</v>
      </c>
      <c r="G162" s="45">
        <f t="shared" si="95"/>
        <v>0</v>
      </c>
      <c r="H162" s="45">
        <f t="shared" si="96"/>
        <v>0</v>
      </c>
      <c r="I162" s="45">
        <f t="shared" si="97"/>
        <v>0</v>
      </c>
      <c r="J162" s="45">
        <f t="shared" si="98"/>
        <v>0</v>
      </c>
      <c r="K162" s="45">
        <f t="shared" si="99"/>
        <v>0</v>
      </c>
      <c r="L162" s="45">
        <f t="shared" si="100"/>
        <v>0</v>
      </c>
      <c r="M162" s="11">
        <f t="shared" si="101"/>
        <v>0</v>
      </c>
      <c r="N162" s="11">
        <f t="shared" si="102"/>
        <v>0</v>
      </c>
      <c r="O162" s="11">
        <f t="shared" si="103"/>
        <v>0</v>
      </c>
      <c r="P162" s="11">
        <f t="shared" si="104"/>
        <v>0</v>
      </c>
      <c r="Q162" s="11">
        <f t="shared" si="105"/>
        <v>0</v>
      </c>
      <c r="R162" s="11">
        <f t="shared" si="106"/>
        <v>0</v>
      </c>
      <c r="S162" s="11">
        <f t="shared" si="107"/>
        <v>0</v>
      </c>
      <c r="T162" s="11">
        <f t="shared" si="108"/>
        <v>0</v>
      </c>
      <c r="U162" s="11">
        <f t="shared" si="109"/>
        <v>0</v>
      </c>
      <c r="V162" s="11">
        <f t="shared" si="110"/>
        <v>0</v>
      </c>
      <c r="W162" s="11">
        <f t="shared" si="111"/>
        <v>0</v>
      </c>
      <c r="X162" s="45">
        <f t="shared" si="112"/>
        <v>0</v>
      </c>
    </row>
    <row r="163" spans="1:52" x14ac:dyDescent="0.2">
      <c r="A163" s="472"/>
      <c r="B163" s="3">
        <v>19</v>
      </c>
      <c r="C163" s="11">
        <f t="shared" si="91"/>
        <v>0</v>
      </c>
      <c r="D163" s="45">
        <f t="shared" si="92"/>
        <v>0</v>
      </c>
      <c r="E163" s="45">
        <f t="shared" si="93"/>
        <v>0</v>
      </c>
      <c r="F163" s="45">
        <f t="shared" si="94"/>
        <v>0</v>
      </c>
      <c r="G163" s="45">
        <f t="shared" si="95"/>
        <v>0</v>
      </c>
      <c r="H163" s="45">
        <f t="shared" si="96"/>
        <v>0</v>
      </c>
      <c r="I163" s="45">
        <f t="shared" si="97"/>
        <v>0</v>
      </c>
      <c r="J163" s="45">
        <f t="shared" si="98"/>
        <v>0</v>
      </c>
      <c r="K163" s="45">
        <f t="shared" si="99"/>
        <v>0</v>
      </c>
      <c r="L163" s="45">
        <f t="shared" si="100"/>
        <v>0</v>
      </c>
      <c r="M163" s="11">
        <f t="shared" si="101"/>
        <v>0</v>
      </c>
      <c r="N163" s="11">
        <f t="shared" si="102"/>
        <v>0</v>
      </c>
      <c r="O163" s="11">
        <f t="shared" si="103"/>
        <v>0</v>
      </c>
      <c r="P163" s="11">
        <f t="shared" si="104"/>
        <v>0</v>
      </c>
      <c r="Q163" s="11">
        <f t="shared" si="105"/>
        <v>0</v>
      </c>
      <c r="R163" s="11">
        <f t="shared" si="106"/>
        <v>0</v>
      </c>
      <c r="S163" s="11">
        <f t="shared" si="107"/>
        <v>0</v>
      </c>
      <c r="T163" s="11">
        <f t="shared" si="108"/>
        <v>0</v>
      </c>
      <c r="U163" s="11">
        <f t="shared" si="109"/>
        <v>0</v>
      </c>
      <c r="V163" s="11">
        <f t="shared" si="110"/>
        <v>0</v>
      </c>
      <c r="W163" s="11">
        <f t="shared" si="111"/>
        <v>0</v>
      </c>
      <c r="X163" s="45">
        <f t="shared" si="112"/>
        <v>0</v>
      </c>
    </row>
    <row r="164" spans="1:52" x14ac:dyDescent="0.2">
      <c r="A164" s="472"/>
      <c r="B164" s="3">
        <v>20</v>
      </c>
      <c r="C164" s="11">
        <f t="shared" si="91"/>
        <v>0</v>
      </c>
      <c r="D164" s="45">
        <f t="shared" si="92"/>
        <v>0</v>
      </c>
      <c r="E164" s="45">
        <f t="shared" si="93"/>
        <v>0</v>
      </c>
      <c r="F164" s="45">
        <f t="shared" si="94"/>
        <v>0</v>
      </c>
      <c r="G164" s="45">
        <f t="shared" si="95"/>
        <v>0</v>
      </c>
      <c r="H164" s="45">
        <f t="shared" si="96"/>
        <v>0</v>
      </c>
      <c r="I164" s="45">
        <f t="shared" si="97"/>
        <v>0</v>
      </c>
      <c r="J164" s="45">
        <f t="shared" si="98"/>
        <v>0</v>
      </c>
      <c r="K164" s="45">
        <f t="shared" si="99"/>
        <v>0</v>
      </c>
      <c r="L164" s="45">
        <f t="shared" si="100"/>
        <v>0</v>
      </c>
      <c r="M164" s="11">
        <f t="shared" si="101"/>
        <v>0</v>
      </c>
      <c r="N164" s="11">
        <f t="shared" si="102"/>
        <v>0</v>
      </c>
      <c r="O164" s="11">
        <f t="shared" si="103"/>
        <v>0</v>
      </c>
      <c r="P164" s="11">
        <f t="shared" si="104"/>
        <v>0</v>
      </c>
      <c r="Q164" s="11">
        <f t="shared" si="105"/>
        <v>0</v>
      </c>
      <c r="R164" s="11">
        <f t="shared" si="106"/>
        <v>0</v>
      </c>
      <c r="S164" s="11">
        <f t="shared" si="107"/>
        <v>0</v>
      </c>
      <c r="T164" s="11">
        <f t="shared" si="108"/>
        <v>0</v>
      </c>
      <c r="U164" s="11">
        <f t="shared" si="109"/>
        <v>0</v>
      </c>
      <c r="V164" s="11">
        <f t="shared" si="110"/>
        <v>0</v>
      </c>
      <c r="W164" s="11">
        <f t="shared" si="111"/>
        <v>0</v>
      </c>
      <c r="X164" s="45">
        <f t="shared" si="112"/>
        <v>0</v>
      </c>
    </row>
    <row r="167" spans="1:52" s="141" customFormat="1" x14ac:dyDescent="0.2">
      <c r="A167" s="475" t="s">
        <v>50</v>
      </c>
      <c r="B167" s="140" t="s">
        <v>6</v>
      </c>
      <c r="C167" s="140" t="s">
        <v>225</v>
      </c>
      <c r="D167" s="140"/>
    </row>
    <row r="168" spans="1:52" s="141" customFormat="1" x14ac:dyDescent="0.2">
      <c r="A168" s="475"/>
      <c r="B168" s="140" t="s">
        <v>87</v>
      </c>
      <c r="C168" s="142" t="str">
        <f>C5</f>
        <v/>
      </c>
      <c r="D168" s="140"/>
    </row>
    <row r="169" spans="1:52" s="141" customFormat="1" x14ac:dyDescent="0.2">
      <c r="A169" s="475"/>
      <c r="B169" s="140" t="s">
        <v>181</v>
      </c>
      <c r="C169" s="140" t="str">
        <f>C6</f>
        <v/>
      </c>
      <c r="D169" s="140"/>
    </row>
    <row r="171" spans="1:52" x14ac:dyDescent="0.2">
      <c r="A171" s="135" t="s">
        <v>626</v>
      </c>
      <c r="B171" s="135"/>
      <c r="C171" s="135"/>
      <c r="D171" s="135"/>
      <c r="E171" s="135"/>
      <c r="F171" s="135"/>
      <c r="G171" s="135"/>
      <c r="H171" s="135"/>
      <c r="I171" s="135"/>
      <c r="J171" s="135"/>
      <c r="K171" s="135"/>
      <c r="L171" s="135"/>
      <c r="M171" s="49"/>
      <c r="N171" s="49"/>
      <c r="O171" s="49"/>
      <c r="P171" s="49"/>
      <c r="Q171" s="49"/>
      <c r="R171" s="49"/>
      <c r="S171" s="49"/>
      <c r="T171" s="49"/>
      <c r="U171" s="49"/>
      <c r="V171" s="49"/>
      <c r="W171" s="49"/>
      <c r="X171" s="49"/>
      <c r="Y171" s="49"/>
      <c r="Z171" s="49"/>
      <c r="AA171" s="49"/>
      <c r="AB171" s="49"/>
      <c r="AC171" s="49"/>
      <c r="AD171" s="49"/>
      <c r="AE171" s="49"/>
      <c r="AF171" s="49"/>
      <c r="AG171" s="49"/>
      <c r="AH171" s="49"/>
      <c r="AI171" s="49"/>
      <c r="AJ171" s="49"/>
      <c r="AK171" s="49"/>
      <c r="AL171" s="49"/>
      <c r="AM171" s="49"/>
      <c r="AN171" s="49"/>
      <c r="AO171" s="49"/>
      <c r="AP171" s="49"/>
      <c r="AQ171" s="49"/>
      <c r="AR171" s="49"/>
      <c r="AS171" s="49"/>
      <c r="AT171" s="49"/>
      <c r="AU171" s="49"/>
      <c r="AV171" s="49"/>
      <c r="AW171" s="49"/>
      <c r="AX171" s="49"/>
      <c r="AY171" s="49"/>
      <c r="AZ171" s="49"/>
    </row>
    <row r="173" spans="1:52" ht="16" customHeight="1" x14ac:dyDescent="0.2">
      <c r="A173" s="463" t="s">
        <v>727</v>
      </c>
      <c r="B173" s="3" t="s">
        <v>8</v>
      </c>
      <c r="C173" s="3" t="s">
        <v>17</v>
      </c>
      <c r="D173" s="3" t="s">
        <v>61</v>
      </c>
      <c r="E173" s="3" t="s">
        <v>88</v>
      </c>
      <c r="F173" s="3" t="s">
        <v>297</v>
      </c>
      <c r="J173" s="463" t="s">
        <v>728</v>
      </c>
      <c r="K173" s="3" t="s">
        <v>8</v>
      </c>
      <c r="L173" s="3" t="s">
        <v>17</v>
      </c>
      <c r="M173" s="3" t="s">
        <v>61</v>
      </c>
      <c r="N173" s="3" t="s">
        <v>88</v>
      </c>
      <c r="O173" s="3" t="s">
        <v>297</v>
      </c>
      <c r="S173" s="463" t="s">
        <v>729</v>
      </c>
      <c r="T173" s="3" t="s">
        <v>8</v>
      </c>
      <c r="U173" s="3" t="s">
        <v>17</v>
      </c>
      <c r="V173" s="3" t="s">
        <v>61</v>
      </c>
      <c r="W173" s="3" t="s">
        <v>88</v>
      </c>
      <c r="X173" s="3" t="s">
        <v>297</v>
      </c>
      <c r="AB173" s="463" t="s">
        <v>730</v>
      </c>
      <c r="AC173" s="3" t="s">
        <v>8</v>
      </c>
      <c r="AD173" s="3" t="s">
        <v>17</v>
      </c>
      <c r="AE173" s="3" t="s">
        <v>61</v>
      </c>
      <c r="AF173" s="3" t="s">
        <v>88</v>
      </c>
      <c r="AG173" s="3" t="s">
        <v>297</v>
      </c>
    </row>
    <row r="174" spans="1:52" x14ac:dyDescent="0.2">
      <c r="A174" s="463"/>
      <c r="B174" s="3" t="str">
        <f>IF(B58="","",B58)</f>
        <v/>
      </c>
      <c r="C174" s="3">
        <f>IF(OR(B174=0,B174=""),0,VLOOKUP(B174,Tableau44[[Code_ess]:[FEB]],4,FALSE))</f>
        <v>0</v>
      </c>
      <c r="D174" s="3">
        <f>IF(OR(B174=0,B174=""),0,VLOOKUP(B174,Tableau44[[Code_ess]:[FEB]],5,FALSE))</f>
        <v>0</v>
      </c>
      <c r="E174" s="43">
        <f>IF(OR(B174=0,B174=""),0,VLOOKUP(B174,$G$4:$H$7,2,FALSE))</f>
        <v>0</v>
      </c>
      <c r="F174" s="3">
        <f>IF(OR(B174=0,B174=""),0,VLOOKUP(B174,Listes!$C$7:$D$36,2,FALSE))</f>
        <v>0</v>
      </c>
      <c r="H174" s="44"/>
      <c r="J174" s="463"/>
      <c r="K174" s="3" t="str">
        <f>IF(K58="","",K58)</f>
        <v/>
      </c>
      <c r="L174" s="3">
        <f>IF(OR(K174=0,K174=""),0,VLOOKUP(K174,Tableau44[[Code_ess]:[FEB]],4,FALSE))</f>
        <v>0</v>
      </c>
      <c r="M174" s="3">
        <f>IF(OR(K174=0,K174=""),0,VLOOKUP(K174,Tableau44[[Code_ess]:[FEB]],5,FALSE))</f>
        <v>0</v>
      </c>
      <c r="N174" s="43">
        <f>IF(OR(K174=0,K174=""),0,VLOOKUP(K174,$G$4:$H$7,2,FALSE))</f>
        <v>0</v>
      </c>
      <c r="O174" s="3">
        <f>IF(OR(K174=0,K174=""),0,VLOOKUP(K174,Listes!$C$7:$D$36,2,FALSE))</f>
        <v>0</v>
      </c>
      <c r="S174" s="463"/>
      <c r="T174" s="3" t="str">
        <f>IF(T58="","",T58)</f>
        <v/>
      </c>
      <c r="U174" s="3">
        <f>IF(OR(T174=0,T174=""),0,VLOOKUP(T174,Tableau44[[Code_ess]:[FEB]],4,FALSE))</f>
        <v>0</v>
      </c>
      <c r="V174" s="3">
        <f>IF(OR(T174=0,T174=""),0,VLOOKUP(T174,Tableau44[[Code_ess]:[FEB]],5,FALSE))</f>
        <v>0</v>
      </c>
      <c r="W174" s="43">
        <f>IF(OR(T174=0,T174=""),0,VLOOKUP(T174,$G$4:$H$7,2,FALSE))</f>
        <v>0</v>
      </c>
      <c r="X174" s="3">
        <f>IF(OR(T174=0,T174=""),0,VLOOKUP(T174,Listes!$C$7:$D$36,2,FALSE))</f>
        <v>0</v>
      </c>
      <c r="AB174" s="463"/>
      <c r="AC174" s="3" t="str">
        <f>IF(AC58="","",AC58)</f>
        <v/>
      </c>
      <c r="AD174" s="3">
        <f>IF(OR(AC174=0,AC174=""),0,VLOOKUP(AC174,Tableau44[[Code_ess]:[FEB]],4,FALSE))</f>
        <v>0</v>
      </c>
      <c r="AE174" s="3">
        <f>IF(OR(AC174=0,AC174=""),0,VLOOKUP(AC174,Tableau44[[Code_ess]:[FEB]],5,FALSE))</f>
        <v>0</v>
      </c>
      <c r="AF174" s="43">
        <f>IF(OR(AC174=0,AC174=""),0,VLOOKUP(AC174,$G$4:$H$7,2,FALSE))</f>
        <v>0</v>
      </c>
      <c r="AG174" s="3">
        <f>IF(OR(AC174=0,AC174=""),0,VLOOKUP(AC174,Listes!$C$7:$D$36,2,FALSE))</f>
        <v>0</v>
      </c>
    </row>
    <row r="176" spans="1:52" ht="16" customHeight="1" x14ac:dyDescent="0.2">
      <c r="A176" s="463" t="str">
        <f>CONCATENATE("SQ_PRJ_",A173)</f>
        <v>SQ_PRJ_A_ESS_1</v>
      </c>
      <c r="B176" s="3" t="s">
        <v>15</v>
      </c>
      <c r="C176" s="3" t="s">
        <v>19</v>
      </c>
      <c r="D176" s="3" t="s">
        <v>18</v>
      </c>
      <c r="E176" s="3" t="s">
        <v>16</v>
      </c>
      <c r="F176" s="3" t="s">
        <v>78</v>
      </c>
      <c r="G176" s="3" t="s">
        <v>79</v>
      </c>
      <c r="H176" s="3" t="s">
        <v>56</v>
      </c>
      <c r="J176" s="463" t="str">
        <f>CONCATENATE("SQ_PRJ_",J173)</f>
        <v>SQ_PRJ_A_ESS_2</v>
      </c>
      <c r="K176" s="3" t="s">
        <v>15</v>
      </c>
      <c r="L176" s="3" t="s">
        <v>19</v>
      </c>
      <c r="M176" s="3" t="s">
        <v>18</v>
      </c>
      <c r="N176" s="3" t="s">
        <v>16</v>
      </c>
      <c r="O176" s="3" t="s">
        <v>78</v>
      </c>
      <c r="P176" s="3" t="s">
        <v>79</v>
      </c>
      <c r="Q176" s="3" t="s">
        <v>56</v>
      </c>
      <c r="S176" s="463" t="str">
        <f>CONCATENATE("SQ_PRJ_",S173)</f>
        <v>SQ_PRJ_A_ESS_3</v>
      </c>
      <c r="T176" s="3" t="s">
        <v>15</v>
      </c>
      <c r="U176" s="3" t="s">
        <v>19</v>
      </c>
      <c r="V176" s="3" t="s">
        <v>18</v>
      </c>
      <c r="W176" s="3" t="s">
        <v>16</v>
      </c>
      <c r="X176" s="3" t="s">
        <v>78</v>
      </c>
      <c r="Y176" s="3" t="s">
        <v>79</v>
      </c>
      <c r="Z176" s="3" t="s">
        <v>56</v>
      </c>
      <c r="AB176" s="463" t="str">
        <f>CONCATENATE("SQ_PRJ_",AB173)</f>
        <v>SQ_PRJ_A_ESS_4</v>
      </c>
      <c r="AC176" s="3" t="s">
        <v>15</v>
      </c>
      <c r="AD176" s="3" t="s">
        <v>19</v>
      </c>
      <c r="AE176" s="3" t="s">
        <v>18</v>
      </c>
      <c r="AF176" s="3" t="s">
        <v>16</v>
      </c>
      <c r="AG176" s="3" t="s">
        <v>78</v>
      </c>
      <c r="AH176" s="3" t="s">
        <v>79</v>
      </c>
      <c r="AI176" s="3" t="s">
        <v>56</v>
      </c>
      <c r="AK176" s="463" t="s">
        <v>731</v>
      </c>
      <c r="AL176" s="3" t="s">
        <v>28</v>
      </c>
      <c r="AM176" s="3" t="s">
        <v>121</v>
      </c>
      <c r="AN176" s="3" t="s">
        <v>122</v>
      </c>
      <c r="AO176" s="3" t="s">
        <v>158</v>
      </c>
      <c r="AQ176" s="216"/>
      <c r="AR176" s="3" t="s">
        <v>94</v>
      </c>
      <c r="AS176" s="3" t="s">
        <v>758</v>
      </c>
    </row>
    <row r="177" spans="1:45" ht="16" customHeight="1" x14ac:dyDescent="0.2">
      <c r="A177" s="463"/>
      <c r="B177" s="3">
        <v>1</v>
      </c>
      <c r="C177" s="45">
        <f>IF(OR(B174="",B174=0),0,VLOOKUP(B174,$G$4:$M$7,6,FALSE))</f>
        <v>0</v>
      </c>
      <c r="D177" s="45">
        <f>IF(OR(C177="",C177=0),0,IF(B177=1,((VLOOKUP(B$174,$G$4:$N$7,6,FALSE)-VLOOKUP(B$174,$G$4:$N$7,8,FALSE))/20),((VLOOKUP(B$174,$G$4:$N$7,6,FALSE)-VLOOKUP(B$174,$G$4:$N$7,8,FALSE))/20)+C177-E176))</f>
        <v>0</v>
      </c>
      <c r="E177" s="45">
        <f t="shared" ref="E177:E196" si="113">IF(C177="",0,C177-D177)</f>
        <v>0</v>
      </c>
      <c r="F177" s="45">
        <f>IF(E177=0,0,E177*C$58)</f>
        <v>0</v>
      </c>
      <c r="G177" s="45">
        <f t="shared" ref="G177:G196" si="114">IF(F177&gt;0,EXP(-1.0587+0.8836*LN(F177)+0.284),0)</f>
        <v>0</v>
      </c>
      <c r="H177" s="45">
        <f t="shared" ref="H177:H196" si="115">SUM(F177:G177)*0.475*44/12</f>
        <v>0</v>
      </c>
      <c r="J177" s="463"/>
      <c r="K177" s="3">
        <v>1</v>
      </c>
      <c r="L177" s="45">
        <f>IF(OR(K174="",K174=0),0,VLOOKUP(K174,$G$4:$M$7,6,FALSE))</f>
        <v>0</v>
      </c>
      <c r="M177" s="45">
        <f t="shared" ref="M177:M196" si="116">IF(OR(L177="",L177=0),0,IF(K177=1,((VLOOKUP(K$174,$G$4:$N$7,6,FALSE)-VLOOKUP(K$174,$G$4:$N$7,8,FALSE))/20),((VLOOKUP(K$174,$G$4:$N$7,6,FALSE)-VLOOKUP(K$174,$G$4:$N$7,8,FALSE))/20)+L177-N176))</f>
        <v>0</v>
      </c>
      <c r="N177" s="45">
        <f t="shared" ref="N177:N196" si="117">IF(L177="",0,L177-M177)</f>
        <v>0</v>
      </c>
      <c r="O177" s="45">
        <f>IF(N177=0,0,N177*L$58)</f>
        <v>0</v>
      </c>
      <c r="P177" s="45">
        <f t="shared" ref="P177:P196" si="118">IF(O177&gt;0,EXP(-1.0587+0.8836*LN(O177)+0.284),0)</f>
        <v>0</v>
      </c>
      <c r="Q177" s="45">
        <f t="shared" ref="Q177:Q196" si="119">SUM(O177:P177)*0.475*44/12</f>
        <v>0</v>
      </c>
      <c r="R177" s="45"/>
      <c r="S177" s="463"/>
      <c r="T177" s="3">
        <v>1</v>
      </c>
      <c r="U177" s="45">
        <f>IF(OR(T174="",T174=0),0,VLOOKUP(T174,$G$4:$M$7,6,FALSE))</f>
        <v>0</v>
      </c>
      <c r="V177" s="45">
        <f t="shared" ref="V177:V196" si="120">IF(OR(U177="",U177=0),0,IF(T177=1,((VLOOKUP(T$174,$G$4:$N$7,6,FALSE)-VLOOKUP(T$174,$G$4:$N$7,8,FALSE))/20),((VLOOKUP(T$174,$G$4:$N$7,6,FALSE)-VLOOKUP(T$174,$G$4:$N$7,8,FALSE))/20)+U177-W176))</f>
        <v>0</v>
      </c>
      <c r="W177" s="45">
        <f t="shared" ref="W177:W196" si="121">IF(U177="",0,U177-V177)</f>
        <v>0</v>
      </c>
      <c r="X177" s="45">
        <f>IF(W177=0,0,W177*U$58)</f>
        <v>0</v>
      </c>
      <c r="Y177" s="45">
        <f t="shared" ref="Y177:Y196" si="122">IF(X177&gt;0,EXP(-1.0587+0.8836*LN(X177)+0.284),0)</f>
        <v>0</v>
      </c>
      <c r="Z177" s="45">
        <f t="shared" ref="Z177:Z196" si="123">SUM(X177:Y177)*0.475*44/12</f>
        <v>0</v>
      </c>
      <c r="AA177" s="45"/>
      <c r="AB177" s="463"/>
      <c r="AC177" s="3">
        <v>1</v>
      </c>
      <c r="AD177" s="45">
        <f>IF(OR(AC174="",AC174=0),0,VLOOKUP(AC174,$G$4:$M$7,6,FALSE))</f>
        <v>0</v>
      </c>
      <c r="AE177" s="45">
        <f t="shared" ref="AE177:AE196" si="124">IF(OR(AD177="",AD177=0),0,IF(AC177=1,((VLOOKUP(AC$174,$G$4:$N$7,6,FALSE)-VLOOKUP(AC$174,$G$4:$N$7,8,FALSE))/20),((VLOOKUP(AC$174,$G$4:$N$7,6,FALSE)-VLOOKUP(AC$174,$G$4:$N$7,8,FALSE))/20)+AD177-AF176))</f>
        <v>0</v>
      </c>
      <c r="AF177" s="45">
        <f t="shared" ref="AF177:AF196" si="125">IF(AD177="",0,AD177-AE177)</f>
        <v>0</v>
      </c>
      <c r="AG177" s="45">
        <f>IF(AF177=0,0,AF177*AD$58)</f>
        <v>0</v>
      </c>
      <c r="AH177" s="45">
        <f t="shared" ref="AH177:AH196" si="126">IF(AG177&gt;0,EXP(-1.0587+0.8836*LN(AG177)+0.284),0)</f>
        <v>0</v>
      </c>
      <c r="AI177" s="45">
        <f t="shared" ref="AI177:AI196" si="127">SUM(AG177:AH177)*0.475*44/12</f>
        <v>0</v>
      </c>
      <c r="AJ177" s="45"/>
      <c r="AK177" s="463"/>
      <c r="AL177" s="3">
        <v>1</v>
      </c>
      <c r="AM177" s="11">
        <f t="shared" ref="AM177:AM196" si="128">SUM(D177,M177,V177,AE177)</f>
        <v>0</v>
      </c>
      <c r="AN177" s="46">
        <f t="shared" ref="AN177:AN196" si="129">IF(OR($C$6=0,SUM($M$4:$M$7)=0),0,AM177/SUM($M$4:$M$7))</f>
        <v>0</v>
      </c>
      <c r="AO177" s="47">
        <f t="shared" ref="AO177:AO196" si="130">AN177*50%</f>
        <v>0</v>
      </c>
      <c r="AQ177" s="216"/>
      <c r="AR177" s="108">
        <v>1</v>
      </c>
      <c r="AS177" s="110">
        <f>C177+L177+U177+AD177</f>
        <v>0</v>
      </c>
    </row>
    <row r="178" spans="1:45" x14ac:dyDescent="0.2">
      <c r="A178" s="463"/>
      <c r="B178" s="3">
        <v>2</v>
      </c>
      <c r="C178" s="45">
        <f t="shared" ref="C178:C196" si="131">IF(E177=0,0,E177*(1+$E$174))</f>
        <v>0</v>
      </c>
      <c r="D178" s="45">
        <f t="shared" ref="D178:D196" si="132">IF(OR(C178="",C178=0),0,IF(B178=1,((VLOOKUP(B$174,$G$4:$N$7,6,FALSE)-VLOOKUP(B$174,$G$4:$N$7,8,FALSE))/20),((VLOOKUP(B$174,$G$4:$N$7,6,FALSE)-VLOOKUP(B$174,$G$4:$N$7,8,FALSE))/20)+C178-E177))</f>
        <v>0</v>
      </c>
      <c r="E178" s="11">
        <f t="shared" si="113"/>
        <v>0</v>
      </c>
      <c r="F178" s="45">
        <f>IF(E178=0,0,E178*C$58)</f>
        <v>0</v>
      </c>
      <c r="G178" s="45">
        <f t="shared" si="114"/>
        <v>0</v>
      </c>
      <c r="H178" s="11">
        <f t="shared" si="115"/>
        <v>0</v>
      </c>
      <c r="J178" s="463"/>
      <c r="K178" s="3">
        <v>2</v>
      </c>
      <c r="L178" s="45">
        <f>IF(N177=0,0,N177*(1+N$174))</f>
        <v>0</v>
      </c>
      <c r="M178" s="45">
        <f t="shared" si="116"/>
        <v>0</v>
      </c>
      <c r="N178" s="11">
        <f t="shared" si="117"/>
        <v>0</v>
      </c>
      <c r="O178" s="45">
        <f>IF(N178=0,0,N178*L$58)</f>
        <v>0</v>
      </c>
      <c r="P178" s="45">
        <f t="shared" si="118"/>
        <v>0</v>
      </c>
      <c r="Q178" s="11">
        <f t="shared" si="119"/>
        <v>0</v>
      </c>
      <c r="R178" s="11"/>
      <c r="S178" s="463"/>
      <c r="T178" s="3">
        <v>2</v>
      </c>
      <c r="U178" s="45">
        <f>IF(W177=0,0,W177*(1+W$174))</f>
        <v>0</v>
      </c>
      <c r="V178" s="45">
        <f t="shared" si="120"/>
        <v>0</v>
      </c>
      <c r="W178" s="11">
        <f t="shared" si="121"/>
        <v>0</v>
      </c>
      <c r="X178" s="45">
        <f>IF(W178=0,0,W178*U$58)</f>
        <v>0</v>
      </c>
      <c r="Y178" s="45">
        <f t="shared" si="122"/>
        <v>0</v>
      </c>
      <c r="Z178" s="11">
        <f t="shared" si="123"/>
        <v>0</v>
      </c>
      <c r="AA178" s="11"/>
      <c r="AB178" s="463"/>
      <c r="AC178" s="3">
        <v>2</v>
      </c>
      <c r="AD178" s="45">
        <f>IF(AF177=0,0,AF177*(1+AF$174))</f>
        <v>0</v>
      </c>
      <c r="AE178" s="45">
        <f t="shared" si="124"/>
        <v>0</v>
      </c>
      <c r="AF178" s="11">
        <f t="shared" si="125"/>
        <v>0</v>
      </c>
      <c r="AG178" s="45">
        <f>IF(AF178=0,0,AF178*AD$58)</f>
        <v>0</v>
      </c>
      <c r="AH178" s="45">
        <f t="shared" si="126"/>
        <v>0</v>
      </c>
      <c r="AI178" s="11">
        <f t="shared" si="127"/>
        <v>0</v>
      </c>
      <c r="AJ178" s="11"/>
      <c r="AK178" s="463"/>
      <c r="AL178" s="3">
        <v>2</v>
      </c>
      <c r="AM178" s="11">
        <f t="shared" si="128"/>
        <v>0</v>
      </c>
      <c r="AN178" s="46">
        <f t="shared" si="129"/>
        <v>0</v>
      </c>
      <c r="AO178" s="47">
        <f t="shared" si="130"/>
        <v>0</v>
      </c>
      <c r="AQ178" s="216"/>
      <c r="AR178" s="109">
        <v>2</v>
      </c>
      <c r="AS178" s="111">
        <f>E178+N178+W178+AF178</f>
        <v>0</v>
      </c>
    </row>
    <row r="179" spans="1:45" x14ac:dyDescent="0.2">
      <c r="A179" s="463"/>
      <c r="B179" s="3">
        <v>3</v>
      </c>
      <c r="C179" s="45">
        <f t="shared" si="131"/>
        <v>0</v>
      </c>
      <c r="D179" s="45">
        <f t="shared" si="132"/>
        <v>0</v>
      </c>
      <c r="E179" s="11">
        <f t="shared" si="113"/>
        <v>0</v>
      </c>
      <c r="F179" s="45">
        <f t="shared" ref="F179:F196" si="133">IF(E179=0,0,E179*C$58)</f>
        <v>0</v>
      </c>
      <c r="G179" s="45">
        <f t="shared" si="114"/>
        <v>0</v>
      </c>
      <c r="H179" s="11">
        <f t="shared" si="115"/>
        <v>0</v>
      </c>
      <c r="J179" s="463"/>
      <c r="K179" s="3">
        <v>3</v>
      </c>
      <c r="L179" s="45">
        <f t="shared" ref="L179:L196" si="134">IF(N178=0,0,N178*(1+N$174))</f>
        <v>0</v>
      </c>
      <c r="M179" s="45">
        <f t="shared" si="116"/>
        <v>0</v>
      </c>
      <c r="N179" s="11">
        <f t="shared" si="117"/>
        <v>0</v>
      </c>
      <c r="O179" s="45">
        <f t="shared" ref="O179:O196" si="135">IF(N179=0,0,N179*L$58)</f>
        <v>0</v>
      </c>
      <c r="P179" s="45">
        <f t="shared" si="118"/>
        <v>0</v>
      </c>
      <c r="Q179" s="11">
        <f t="shared" si="119"/>
        <v>0</v>
      </c>
      <c r="R179" s="11"/>
      <c r="S179" s="463"/>
      <c r="T179" s="3">
        <v>3</v>
      </c>
      <c r="U179" s="45">
        <f t="shared" ref="U179:U196" si="136">IF(W178=0,0,W178*(1+W$174))</f>
        <v>0</v>
      </c>
      <c r="V179" s="45">
        <f t="shared" si="120"/>
        <v>0</v>
      </c>
      <c r="W179" s="11">
        <f t="shared" si="121"/>
        <v>0</v>
      </c>
      <c r="X179" s="45">
        <f t="shared" ref="X179:X196" si="137">IF(W179=0,0,W179*U$58)</f>
        <v>0</v>
      </c>
      <c r="Y179" s="45">
        <f t="shared" si="122"/>
        <v>0</v>
      </c>
      <c r="Z179" s="11">
        <f t="shared" si="123"/>
        <v>0</v>
      </c>
      <c r="AA179" s="11"/>
      <c r="AB179" s="463"/>
      <c r="AC179" s="3">
        <v>3</v>
      </c>
      <c r="AD179" s="45">
        <f>IF(AF178=0,0,AF178*(1+AF$174))</f>
        <v>0</v>
      </c>
      <c r="AE179" s="45">
        <f t="shared" si="124"/>
        <v>0</v>
      </c>
      <c r="AF179" s="11">
        <f t="shared" si="125"/>
        <v>0</v>
      </c>
      <c r="AG179" s="45">
        <f t="shared" ref="AG179:AG196" si="138">IF(AF179=0,0,AF179*AD$58)</f>
        <v>0</v>
      </c>
      <c r="AH179" s="45">
        <f t="shared" si="126"/>
        <v>0</v>
      </c>
      <c r="AI179" s="11">
        <f t="shared" si="127"/>
        <v>0</v>
      </c>
      <c r="AJ179" s="11"/>
      <c r="AK179" s="463"/>
      <c r="AL179" s="3">
        <v>3</v>
      </c>
      <c r="AM179" s="11">
        <f t="shared" si="128"/>
        <v>0</v>
      </c>
      <c r="AN179" s="46">
        <f t="shared" si="129"/>
        <v>0</v>
      </c>
      <c r="AO179" s="47">
        <f t="shared" si="130"/>
        <v>0</v>
      </c>
      <c r="AQ179" s="216"/>
      <c r="AR179" s="108">
        <v>3</v>
      </c>
      <c r="AS179" s="111">
        <f t="shared" ref="AS179:AS196" si="139">E179+N179+W179+AF179</f>
        <v>0</v>
      </c>
    </row>
    <row r="180" spans="1:45" x14ac:dyDescent="0.2">
      <c r="A180" s="463"/>
      <c r="B180" s="3">
        <v>4</v>
      </c>
      <c r="C180" s="45">
        <f t="shared" si="131"/>
        <v>0</v>
      </c>
      <c r="D180" s="45">
        <f t="shared" si="132"/>
        <v>0</v>
      </c>
      <c r="E180" s="11">
        <f t="shared" si="113"/>
        <v>0</v>
      </c>
      <c r="F180" s="45">
        <f t="shared" si="133"/>
        <v>0</v>
      </c>
      <c r="G180" s="45">
        <f t="shared" si="114"/>
        <v>0</v>
      </c>
      <c r="H180" s="11">
        <f t="shared" si="115"/>
        <v>0</v>
      </c>
      <c r="J180" s="463"/>
      <c r="K180" s="3">
        <v>4</v>
      </c>
      <c r="L180" s="45">
        <f t="shared" si="134"/>
        <v>0</v>
      </c>
      <c r="M180" s="45">
        <f t="shared" si="116"/>
        <v>0</v>
      </c>
      <c r="N180" s="11">
        <f t="shared" si="117"/>
        <v>0</v>
      </c>
      <c r="O180" s="45">
        <f t="shared" si="135"/>
        <v>0</v>
      </c>
      <c r="P180" s="45">
        <f t="shared" si="118"/>
        <v>0</v>
      </c>
      <c r="Q180" s="11">
        <f t="shared" si="119"/>
        <v>0</v>
      </c>
      <c r="R180" s="11"/>
      <c r="S180" s="463"/>
      <c r="T180" s="3">
        <v>4</v>
      </c>
      <c r="U180" s="45">
        <f t="shared" si="136"/>
        <v>0</v>
      </c>
      <c r="V180" s="45">
        <f t="shared" si="120"/>
        <v>0</v>
      </c>
      <c r="W180" s="11">
        <f t="shared" si="121"/>
        <v>0</v>
      </c>
      <c r="X180" s="45">
        <f t="shared" si="137"/>
        <v>0</v>
      </c>
      <c r="Y180" s="45">
        <f t="shared" si="122"/>
        <v>0</v>
      </c>
      <c r="Z180" s="11">
        <f t="shared" si="123"/>
        <v>0</v>
      </c>
      <c r="AA180" s="11"/>
      <c r="AB180" s="463"/>
      <c r="AC180" s="3">
        <v>4</v>
      </c>
      <c r="AD180" s="45">
        <f t="shared" ref="AD180:AD196" si="140">IF(AF179=0,0,AF179*(1+AF$174))</f>
        <v>0</v>
      </c>
      <c r="AE180" s="45">
        <f t="shared" si="124"/>
        <v>0</v>
      </c>
      <c r="AF180" s="11">
        <f t="shared" si="125"/>
        <v>0</v>
      </c>
      <c r="AG180" s="45">
        <f t="shared" si="138"/>
        <v>0</v>
      </c>
      <c r="AH180" s="45">
        <f t="shared" si="126"/>
        <v>0</v>
      </c>
      <c r="AI180" s="11">
        <f t="shared" si="127"/>
        <v>0</v>
      </c>
      <c r="AJ180" s="11"/>
      <c r="AK180" s="463"/>
      <c r="AL180" s="3">
        <v>4</v>
      </c>
      <c r="AM180" s="11">
        <f t="shared" si="128"/>
        <v>0</v>
      </c>
      <c r="AN180" s="46">
        <f t="shared" si="129"/>
        <v>0</v>
      </c>
      <c r="AO180" s="47">
        <f t="shared" si="130"/>
        <v>0</v>
      </c>
      <c r="AQ180" s="216"/>
      <c r="AR180" s="109">
        <v>4</v>
      </c>
      <c r="AS180" s="111">
        <f t="shared" si="139"/>
        <v>0</v>
      </c>
    </row>
    <row r="181" spans="1:45" x14ac:dyDescent="0.2">
      <c r="A181" s="463"/>
      <c r="B181" s="3">
        <v>5</v>
      </c>
      <c r="C181" s="45">
        <f t="shared" si="131"/>
        <v>0</v>
      </c>
      <c r="D181" s="45">
        <f t="shared" si="132"/>
        <v>0</v>
      </c>
      <c r="E181" s="11">
        <f t="shared" si="113"/>
        <v>0</v>
      </c>
      <c r="F181" s="45">
        <f t="shared" si="133"/>
        <v>0</v>
      </c>
      <c r="G181" s="45">
        <f t="shared" si="114"/>
        <v>0</v>
      </c>
      <c r="H181" s="11">
        <f t="shared" si="115"/>
        <v>0</v>
      </c>
      <c r="J181" s="463"/>
      <c r="K181" s="3">
        <v>5</v>
      </c>
      <c r="L181" s="45">
        <f t="shared" si="134"/>
        <v>0</v>
      </c>
      <c r="M181" s="45">
        <f t="shared" si="116"/>
        <v>0</v>
      </c>
      <c r="N181" s="11">
        <f t="shared" si="117"/>
        <v>0</v>
      </c>
      <c r="O181" s="45">
        <f t="shared" si="135"/>
        <v>0</v>
      </c>
      <c r="P181" s="45">
        <f t="shared" si="118"/>
        <v>0</v>
      </c>
      <c r="Q181" s="11">
        <f t="shared" si="119"/>
        <v>0</v>
      </c>
      <c r="R181" s="11"/>
      <c r="S181" s="463"/>
      <c r="T181" s="3">
        <v>5</v>
      </c>
      <c r="U181" s="45">
        <f t="shared" si="136"/>
        <v>0</v>
      </c>
      <c r="V181" s="45">
        <f t="shared" si="120"/>
        <v>0</v>
      </c>
      <c r="W181" s="11">
        <f t="shared" si="121"/>
        <v>0</v>
      </c>
      <c r="X181" s="45">
        <f t="shared" si="137"/>
        <v>0</v>
      </c>
      <c r="Y181" s="45">
        <f t="shared" si="122"/>
        <v>0</v>
      </c>
      <c r="Z181" s="11">
        <f t="shared" si="123"/>
        <v>0</v>
      </c>
      <c r="AA181" s="11"/>
      <c r="AB181" s="463"/>
      <c r="AC181" s="3">
        <v>5</v>
      </c>
      <c r="AD181" s="45">
        <f t="shared" si="140"/>
        <v>0</v>
      </c>
      <c r="AE181" s="45">
        <f t="shared" si="124"/>
        <v>0</v>
      </c>
      <c r="AF181" s="11">
        <f t="shared" si="125"/>
        <v>0</v>
      </c>
      <c r="AG181" s="45">
        <f t="shared" si="138"/>
        <v>0</v>
      </c>
      <c r="AH181" s="45">
        <f t="shared" si="126"/>
        <v>0</v>
      </c>
      <c r="AI181" s="11">
        <f t="shared" si="127"/>
        <v>0</v>
      </c>
      <c r="AJ181" s="11"/>
      <c r="AK181" s="463"/>
      <c r="AL181" s="3">
        <v>5</v>
      </c>
      <c r="AM181" s="11">
        <f t="shared" si="128"/>
        <v>0</v>
      </c>
      <c r="AN181" s="46">
        <f t="shared" si="129"/>
        <v>0</v>
      </c>
      <c r="AO181" s="47">
        <f t="shared" si="130"/>
        <v>0</v>
      </c>
      <c r="AQ181" s="216"/>
      <c r="AR181" s="108">
        <v>5</v>
      </c>
      <c r="AS181" s="111">
        <f t="shared" si="139"/>
        <v>0</v>
      </c>
    </row>
    <row r="182" spans="1:45" x14ac:dyDescent="0.2">
      <c r="A182" s="463"/>
      <c r="B182" s="3">
        <v>6</v>
      </c>
      <c r="C182" s="45">
        <f t="shared" si="131"/>
        <v>0</v>
      </c>
      <c r="D182" s="45">
        <f t="shared" si="132"/>
        <v>0</v>
      </c>
      <c r="E182" s="11">
        <f t="shared" si="113"/>
        <v>0</v>
      </c>
      <c r="F182" s="45">
        <f t="shared" si="133"/>
        <v>0</v>
      </c>
      <c r="G182" s="45">
        <f t="shared" si="114"/>
        <v>0</v>
      </c>
      <c r="H182" s="11">
        <f t="shared" si="115"/>
        <v>0</v>
      </c>
      <c r="J182" s="463"/>
      <c r="K182" s="3">
        <v>6</v>
      </c>
      <c r="L182" s="45">
        <f t="shared" si="134"/>
        <v>0</v>
      </c>
      <c r="M182" s="45">
        <f t="shared" si="116"/>
        <v>0</v>
      </c>
      <c r="N182" s="11">
        <f t="shared" si="117"/>
        <v>0</v>
      </c>
      <c r="O182" s="45">
        <f t="shared" si="135"/>
        <v>0</v>
      </c>
      <c r="P182" s="45">
        <f t="shared" si="118"/>
        <v>0</v>
      </c>
      <c r="Q182" s="11">
        <f t="shared" si="119"/>
        <v>0</v>
      </c>
      <c r="R182" s="11"/>
      <c r="S182" s="463"/>
      <c r="T182" s="3">
        <v>6</v>
      </c>
      <c r="U182" s="45">
        <f t="shared" si="136"/>
        <v>0</v>
      </c>
      <c r="V182" s="45">
        <f t="shared" si="120"/>
        <v>0</v>
      </c>
      <c r="W182" s="11">
        <f t="shared" si="121"/>
        <v>0</v>
      </c>
      <c r="X182" s="45">
        <f t="shared" si="137"/>
        <v>0</v>
      </c>
      <c r="Y182" s="45">
        <f t="shared" si="122"/>
        <v>0</v>
      </c>
      <c r="Z182" s="11">
        <f t="shared" si="123"/>
        <v>0</v>
      </c>
      <c r="AA182" s="11"/>
      <c r="AB182" s="463"/>
      <c r="AC182" s="3">
        <v>6</v>
      </c>
      <c r="AD182" s="45">
        <f t="shared" si="140"/>
        <v>0</v>
      </c>
      <c r="AE182" s="45">
        <f t="shared" si="124"/>
        <v>0</v>
      </c>
      <c r="AF182" s="11">
        <f t="shared" si="125"/>
        <v>0</v>
      </c>
      <c r="AG182" s="45">
        <f t="shared" si="138"/>
        <v>0</v>
      </c>
      <c r="AH182" s="45">
        <f t="shared" si="126"/>
        <v>0</v>
      </c>
      <c r="AI182" s="11">
        <f t="shared" si="127"/>
        <v>0</v>
      </c>
      <c r="AJ182" s="11"/>
      <c r="AK182" s="463"/>
      <c r="AL182" s="3">
        <v>6</v>
      </c>
      <c r="AM182" s="11">
        <f t="shared" si="128"/>
        <v>0</v>
      </c>
      <c r="AN182" s="46">
        <f t="shared" si="129"/>
        <v>0</v>
      </c>
      <c r="AO182" s="47">
        <f t="shared" si="130"/>
        <v>0</v>
      </c>
      <c r="AQ182" s="216"/>
      <c r="AR182" s="109">
        <v>6</v>
      </c>
      <c r="AS182" s="111">
        <f t="shared" si="139"/>
        <v>0</v>
      </c>
    </row>
    <row r="183" spans="1:45" x14ac:dyDescent="0.2">
      <c r="A183" s="463"/>
      <c r="B183" s="3">
        <v>7</v>
      </c>
      <c r="C183" s="45">
        <f t="shared" si="131"/>
        <v>0</v>
      </c>
      <c r="D183" s="45">
        <f t="shared" si="132"/>
        <v>0</v>
      </c>
      <c r="E183" s="11">
        <f t="shared" si="113"/>
        <v>0</v>
      </c>
      <c r="F183" s="45">
        <f t="shared" si="133"/>
        <v>0</v>
      </c>
      <c r="G183" s="45">
        <f t="shared" si="114"/>
        <v>0</v>
      </c>
      <c r="H183" s="11">
        <f t="shared" si="115"/>
        <v>0</v>
      </c>
      <c r="J183" s="463"/>
      <c r="K183" s="3">
        <v>7</v>
      </c>
      <c r="L183" s="45">
        <f t="shared" si="134"/>
        <v>0</v>
      </c>
      <c r="M183" s="45">
        <f t="shared" si="116"/>
        <v>0</v>
      </c>
      <c r="N183" s="11">
        <f t="shared" si="117"/>
        <v>0</v>
      </c>
      <c r="O183" s="45">
        <f t="shared" si="135"/>
        <v>0</v>
      </c>
      <c r="P183" s="45">
        <f t="shared" si="118"/>
        <v>0</v>
      </c>
      <c r="Q183" s="11">
        <f t="shared" si="119"/>
        <v>0</v>
      </c>
      <c r="R183" s="11"/>
      <c r="S183" s="463"/>
      <c r="T183" s="3">
        <v>7</v>
      </c>
      <c r="U183" s="45">
        <f t="shared" si="136"/>
        <v>0</v>
      </c>
      <c r="V183" s="45">
        <f t="shared" si="120"/>
        <v>0</v>
      </c>
      <c r="W183" s="11">
        <f t="shared" si="121"/>
        <v>0</v>
      </c>
      <c r="X183" s="45">
        <f t="shared" si="137"/>
        <v>0</v>
      </c>
      <c r="Y183" s="45">
        <f t="shared" si="122"/>
        <v>0</v>
      </c>
      <c r="Z183" s="11">
        <f t="shared" si="123"/>
        <v>0</v>
      </c>
      <c r="AA183" s="11"/>
      <c r="AB183" s="463"/>
      <c r="AC183" s="3">
        <v>7</v>
      </c>
      <c r="AD183" s="45">
        <f t="shared" si="140"/>
        <v>0</v>
      </c>
      <c r="AE183" s="45">
        <f t="shared" si="124"/>
        <v>0</v>
      </c>
      <c r="AF183" s="11">
        <f t="shared" si="125"/>
        <v>0</v>
      </c>
      <c r="AG183" s="45">
        <f t="shared" si="138"/>
        <v>0</v>
      </c>
      <c r="AH183" s="45">
        <f t="shared" si="126"/>
        <v>0</v>
      </c>
      <c r="AI183" s="11">
        <f t="shared" si="127"/>
        <v>0</v>
      </c>
      <c r="AJ183" s="11"/>
      <c r="AK183" s="463"/>
      <c r="AL183" s="3">
        <v>7</v>
      </c>
      <c r="AM183" s="11">
        <f t="shared" si="128"/>
        <v>0</v>
      </c>
      <c r="AN183" s="46">
        <f t="shared" si="129"/>
        <v>0</v>
      </c>
      <c r="AO183" s="47">
        <f t="shared" si="130"/>
        <v>0</v>
      </c>
      <c r="AQ183" s="216"/>
      <c r="AR183" s="108">
        <v>7</v>
      </c>
      <c r="AS183" s="111">
        <f t="shared" si="139"/>
        <v>0</v>
      </c>
    </row>
    <row r="184" spans="1:45" x14ac:dyDescent="0.2">
      <c r="A184" s="463"/>
      <c r="B184" s="3">
        <v>8</v>
      </c>
      <c r="C184" s="45">
        <f t="shared" si="131"/>
        <v>0</v>
      </c>
      <c r="D184" s="45">
        <f t="shared" si="132"/>
        <v>0</v>
      </c>
      <c r="E184" s="11">
        <f t="shared" si="113"/>
        <v>0</v>
      </c>
      <c r="F184" s="45">
        <f t="shared" si="133"/>
        <v>0</v>
      </c>
      <c r="G184" s="45">
        <f t="shared" si="114"/>
        <v>0</v>
      </c>
      <c r="H184" s="11">
        <f t="shared" si="115"/>
        <v>0</v>
      </c>
      <c r="J184" s="463"/>
      <c r="K184" s="3">
        <v>8</v>
      </c>
      <c r="L184" s="45">
        <f t="shared" si="134"/>
        <v>0</v>
      </c>
      <c r="M184" s="45">
        <f t="shared" si="116"/>
        <v>0</v>
      </c>
      <c r="N184" s="11">
        <f t="shared" si="117"/>
        <v>0</v>
      </c>
      <c r="O184" s="45">
        <f t="shared" si="135"/>
        <v>0</v>
      </c>
      <c r="P184" s="45">
        <f t="shared" si="118"/>
        <v>0</v>
      </c>
      <c r="Q184" s="11">
        <f t="shared" si="119"/>
        <v>0</v>
      </c>
      <c r="R184" s="11"/>
      <c r="S184" s="463"/>
      <c r="T184" s="3">
        <v>8</v>
      </c>
      <c r="U184" s="45">
        <f t="shared" si="136"/>
        <v>0</v>
      </c>
      <c r="V184" s="45">
        <f t="shared" si="120"/>
        <v>0</v>
      </c>
      <c r="W184" s="11">
        <f t="shared" si="121"/>
        <v>0</v>
      </c>
      <c r="X184" s="45">
        <f t="shared" si="137"/>
        <v>0</v>
      </c>
      <c r="Y184" s="45">
        <f t="shared" si="122"/>
        <v>0</v>
      </c>
      <c r="Z184" s="11">
        <f t="shared" si="123"/>
        <v>0</v>
      </c>
      <c r="AA184" s="11"/>
      <c r="AB184" s="463"/>
      <c r="AC184" s="3">
        <v>8</v>
      </c>
      <c r="AD184" s="45">
        <f t="shared" si="140"/>
        <v>0</v>
      </c>
      <c r="AE184" s="45">
        <f t="shared" si="124"/>
        <v>0</v>
      </c>
      <c r="AF184" s="11">
        <f t="shared" si="125"/>
        <v>0</v>
      </c>
      <c r="AG184" s="45">
        <f t="shared" si="138"/>
        <v>0</v>
      </c>
      <c r="AH184" s="45">
        <f t="shared" si="126"/>
        <v>0</v>
      </c>
      <c r="AI184" s="11">
        <f t="shared" si="127"/>
        <v>0</v>
      </c>
      <c r="AJ184" s="11"/>
      <c r="AK184" s="463"/>
      <c r="AL184" s="3">
        <v>8</v>
      </c>
      <c r="AM184" s="11">
        <f t="shared" si="128"/>
        <v>0</v>
      </c>
      <c r="AN184" s="46">
        <f t="shared" si="129"/>
        <v>0</v>
      </c>
      <c r="AO184" s="47">
        <f t="shared" si="130"/>
        <v>0</v>
      </c>
      <c r="AQ184" s="216"/>
      <c r="AR184" s="109">
        <v>8</v>
      </c>
      <c r="AS184" s="111">
        <f t="shared" si="139"/>
        <v>0</v>
      </c>
    </row>
    <row r="185" spans="1:45" x14ac:dyDescent="0.2">
      <c r="A185" s="463"/>
      <c r="B185" s="3">
        <v>9</v>
      </c>
      <c r="C185" s="45">
        <f t="shared" si="131"/>
        <v>0</v>
      </c>
      <c r="D185" s="45">
        <f t="shared" si="132"/>
        <v>0</v>
      </c>
      <c r="E185" s="11">
        <f t="shared" si="113"/>
        <v>0</v>
      </c>
      <c r="F185" s="45">
        <f t="shared" si="133"/>
        <v>0</v>
      </c>
      <c r="G185" s="45">
        <f t="shared" si="114"/>
        <v>0</v>
      </c>
      <c r="H185" s="11">
        <f t="shared" si="115"/>
        <v>0</v>
      </c>
      <c r="J185" s="463"/>
      <c r="K185" s="3">
        <v>9</v>
      </c>
      <c r="L185" s="45">
        <f t="shared" si="134"/>
        <v>0</v>
      </c>
      <c r="M185" s="45">
        <f t="shared" si="116"/>
        <v>0</v>
      </c>
      <c r="N185" s="11">
        <f t="shared" si="117"/>
        <v>0</v>
      </c>
      <c r="O185" s="45">
        <f t="shared" si="135"/>
        <v>0</v>
      </c>
      <c r="P185" s="45">
        <f t="shared" si="118"/>
        <v>0</v>
      </c>
      <c r="Q185" s="11">
        <f t="shared" si="119"/>
        <v>0</v>
      </c>
      <c r="R185" s="11"/>
      <c r="S185" s="463"/>
      <c r="T185" s="3">
        <v>9</v>
      </c>
      <c r="U185" s="45">
        <f t="shared" si="136"/>
        <v>0</v>
      </c>
      <c r="V185" s="45">
        <f t="shared" si="120"/>
        <v>0</v>
      </c>
      <c r="W185" s="11">
        <f t="shared" si="121"/>
        <v>0</v>
      </c>
      <c r="X185" s="45">
        <f t="shared" si="137"/>
        <v>0</v>
      </c>
      <c r="Y185" s="45">
        <f t="shared" si="122"/>
        <v>0</v>
      </c>
      <c r="Z185" s="11">
        <f t="shared" si="123"/>
        <v>0</v>
      </c>
      <c r="AA185" s="11"/>
      <c r="AB185" s="463"/>
      <c r="AC185" s="3">
        <v>9</v>
      </c>
      <c r="AD185" s="45">
        <f t="shared" si="140"/>
        <v>0</v>
      </c>
      <c r="AE185" s="45">
        <f t="shared" si="124"/>
        <v>0</v>
      </c>
      <c r="AF185" s="11">
        <f t="shared" si="125"/>
        <v>0</v>
      </c>
      <c r="AG185" s="45">
        <f t="shared" si="138"/>
        <v>0</v>
      </c>
      <c r="AH185" s="45">
        <f t="shared" si="126"/>
        <v>0</v>
      </c>
      <c r="AI185" s="11">
        <f t="shared" si="127"/>
        <v>0</v>
      </c>
      <c r="AJ185" s="11"/>
      <c r="AK185" s="463"/>
      <c r="AL185" s="3">
        <v>9</v>
      </c>
      <c r="AM185" s="11">
        <f t="shared" si="128"/>
        <v>0</v>
      </c>
      <c r="AN185" s="46">
        <f t="shared" si="129"/>
        <v>0</v>
      </c>
      <c r="AO185" s="47">
        <f t="shared" si="130"/>
        <v>0</v>
      </c>
      <c r="AQ185" s="216"/>
      <c r="AR185" s="108">
        <v>9</v>
      </c>
      <c r="AS185" s="111">
        <f t="shared" si="139"/>
        <v>0</v>
      </c>
    </row>
    <row r="186" spans="1:45" x14ac:dyDescent="0.2">
      <c r="A186" s="463"/>
      <c r="B186" s="3">
        <v>10</v>
      </c>
      <c r="C186" s="45">
        <f t="shared" si="131"/>
        <v>0</v>
      </c>
      <c r="D186" s="45">
        <f t="shared" si="132"/>
        <v>0</v>
      </c>
      <c r="E186" s="11">
        <f t="shared" si="113"/>
        <v>0</v>
      </c>
      <c r="F186" s="45">
        <f t="shared" si="133"/>
        <v>0</v>
      </c>
      <c r="G186" s="45">
        <f t="shared" si="114"/>
        <v>0</v>
      </c>
      <c r="H186" s="11">
        <f t="shared" si="115"/>
        <v>0</v>
      </c>
      <c r="J186" s="463"/>
      <c r="K186" s="3">
        <v>10</v>
      </c>
      <c r="L186" s="45">
        <f t="shared" si="134"/>
        <v>0</v>
      </c>
      <c r="M186" s="45">
        <f t="shared" si="116"/>
        <v>0</v>
      </c>
      <c r="N186" s="11">
        <f t="shared" si="117"/>
        <v>0</v>
      </c>
      <c r="O186" s="45">
        <f t="shared" si="135"/>
        <v>0</v>
      </c>
      <c r="P186" s="45">
        <f t="shared" si="118"/>
        <v>0</v>
      </c>
      <c r="Q186" s="11">
        <f t="shared" si="119"/>
        <v>0</v>
      </c>
      <c r="R186" s="11"/>
      <c r="S186" s="463"/>
      <c r="T186" s="3">
        <v>10</v>
      </c>
      <c r="U186" s="45">
        <f t="shared" si="136"/>
        <v>0</v>
      </c>
      <c r="V186" s="45">
        <f t="shared" si="120"/>
        <v>0</v>
      </c>
      <c r="W186" s="11">
        <f t="shared" si="121"/>
        <v>0</v>
      </c>
      <c r="X186" s="45">
        <f t="shared" si="137"/>
        <v>0</v>
      </c>
      <c r="Y186" s="45">
        <f t="shared" si="122"/>
        <v>0</v>
      </c>
      <c r="Z186" s="11">
        <f t="shared" si="123"/>
        <v>0</v>
      </c>
      <c r="AA186" s="11"/>
      <c r="AB186" s="463"/>
      <c r="AC186" s="3">
        <v>10</v>
      </c>
      <c r="AD186" s="45">
        <f t="shared" si="140"/>
        <v>0</v>
      </c>
      <c r="AE186" s="45">
        <f t="shared" si="124"/>
        <v>0</v>
      </c>
      <c r="AF186" s="11">
        <f t="shared" si="125"/>
        <v>0</v>
      </c>
      <c r="AG186" s="45">
        <f t="shared" si="138"/>
        <v>0</v>
      </c>
      <c r="AH186" s="45">
        <f t="shared" si="126"/>
        <v>0</v>
      </c>
      <c r="AI186" s="11">
        <f t="shared" si="127"/>
        <v>0</v>
      </c>
      <c r="AJ186" s="11"/>
      <c r="AK186" s="463"/>
      <c r="AL186" s="3">
        <v>10</v>
      </c>
      <c r="AM186" s="11">
        <f t="shared" si="128"/>
        <v>0</v>
      </c>
      <c r="AN186" s="46">
        <f t="shared" si="129"/>
        <v>0</v>
      </c>
      <c r="AO186" s="47">
        <f t="shared" si="130"/>
        <v>0</v>
      </c>
      <c r="AQ186" s="216"/>
      <c r="AR186" s="109">
        <v>10</v>
      </c>
      <c r="AS186" s="111">
        <f t="shared" si="139"/>
        <v>0</v>
      </c>
    </row>
    <row r="187" spans="1:45" ht="16" customHeight="1" x14ac:dyDescent="0.2">
      <c r="A187" s="463"/>
      <c r="B187" s="3">
        <v>11</v>
      </c>
      <c r="C187" s="45">
        <f t="shared" si="131"/>
        <v>0</v>
      </c>
      <c r="D187" s="45">
        <f t="shared" si="132"/>
        <v>0</v>
      </c>
      <c r="E187" s="11">
        <f t="shared" si="113"/>
        <v>0</v>
      </c>
      <c r="F187" s="45">
        <f t="shared" si="133"/>
        <v>0</v>
      </c>
      <c r="G187" s="45">
        <f t="shared" si="114"/>
        <v>0</v>
      </c>
      <c r="H187" s="11">
        <f t="shared" si="115"/>
        <v>0</v>
      </c>
      <c r="J187" s="463"/>
      <c r="K187" s="3">
        <v>11</v>
      </c>
      <c r="L187" s="45">
        <f t="shared" si="134"/>
        <v>0</v>
      </c>
      <c r="M187" s="45">
        <f t="shared" si="116"/>
        <v>0</v>
      </c>
      <c r="N187" s="11">
        <f t="shared" si="117"/>
        <v>0</v>
      </c>
      <c r="O187" s="45">
        <f t="shared" si="135"/>
        <v>0</v>
      </c>
      <c r="P187" s="45">
        <f t="shared" si="118"/>
        <v>0</v>
      </c>
      <c r="Q187" s="11">
        <f t="shared" si="119"/>
        <v>0</v>
      </c>
      <c r="R187" s="11"/>
      <c r="S187" s="463"/>
      <c r="T187" s="3">
        <v>11</v>
      </c>
      <c r="U187" s="45">
        <f t="shared" si="136"/>
        <v>0</v>
      </c>
      <c r="V187" s="45">
        <f t="shared" si="120"/>
        <v>0</v>
      </c>
      <c r="W187" s="11">
        <f t="shared" si="121"/>
        <v>0</v>
      </c>
      <c r="X187" s="45">
        <f t="shared" si="137"/>
        <v>0</v>
      </c>
      <c r="Y187" s="45">
        <f t="shared" si="122"/>
        <v>0</v>
      </c>
      <c r="Z187" s="11">
        <f t="shared" si="123"/>
        <v>0</v>
      </c>
      <c r="AA187" s="11"/>
      <c r="AB187" s="463"/>
      <c r="AC187" s="3">
        <v>11</v>
      </c>
      <c r="AD187" s="45">
        <f t="shared" si="140"/>
        <v>0</v>
      </c>
      <c r="AE187" s="45">
        <f t="shared" si="124"/>
        <v>0</v>
      </c>
      <c r="AF187" s="11">
        <f t="shared" si="125"/>
        <v>0</v>
      </c>
      <c r="AG187" s="45">
        <f t="shared" si="138"/>
        <v>0</v>
      </c>
      <c r="AH187" s="45">
        <f t="shared" si="126"/>
        <v>0</v>
      </c>
      <c r="AI187" s="11">
        <f t="shared" si="127"/>
        <v>0</v>
      </c>
      <c r="AJ187" s="11"/>
      <c r="AK187" s="463"/>
      <c r="AL187" s="3">
        <v>11</v>
      </c>
      <c r="AM187" s="11">
        <f t="shared" si="128"/>
        <v>0</v>
      </c>
      <c r="AN187" s="46">
        <f t="shared" si="129"/>
        <v>0</v>
      </c>
      <c r="AO187" s="47">
        <f t="shared" si="130"/>
        <v>0</v>
      </c>
      <c r="AQ187" s="216"/>
      <c r="AR187" s="108">
        <v>11</v>
      </c>
      <c r="AS187" s="111">
        <f t="shared" si="139"/>
        <v>0</v>
      </c>
    </row>
    <row r="188" spans="1:45" x14ac:dyDescent="0.2">
      <c r="A188" s="463"/>
      <c r="B188" s="3">
        <v>12</v>
      </c>
      <c r="C188" s="45">
        <f t="shared" si="131"/>
        <v>0</v>
      </c>
      <c r="D188" s="45">
        <f t="shared" si="132"/>
        <v>0</v>
      </c>
      <c r="E188" s="11">
        <f t="shared" si="113"/>
        <v>0</v>
      </c>
      <c r="F188" s="45">
        <f t="shared" si="133"/>
        <v>0</v>
      </c>
      <c r="G188" s="45">
        <f t="shared" si="114"/>
        <v>0</v>
      </c>
      <c r="H188" s="11">
        <f t="shared" si="115"/>
        <v>0</v>
      </c>
      <c r="J188" s="463"/>
      <c r="K188" s="3">
        <v>12</v>
      </c>
      <c r="L188" s="45">
        <f t="shared" si="134"/>
        <v>0</v>
      </c>
      <c r="M188" s="45">
        <f t="shared" si="116"/>
        <v>0</v>
      </c>
      <c r="N188" s="11">
        <f t="shared" si="117"/>
        <v>0</v>
      </c>
      <c r="O188" s="45">
        <f t="shared" si="135"/>
        <v>0</v>
      </c>
      <c r="P188" s="45">
        <f t="shared" si="118"/>
        <v>0</v>
      </c>
      <c r="Q188" s="11">
        <f t="shared" si="119"/>
        <v>0</v>
      </c>
      <c r="R188" s="11"/>
      <c r="S188" s="463"/>
      <c r="T188" s="3">
        <v>12</v>
      </c>
      <c r="U188" s="45">
        <f t="shared" si="136"/>
        <v>0</v>
      </c>
      <c r="V188" s="45">
        <f t="shared" si="120"/>
        <v>0</v>
      </c>
      <c r="W188" s="11">
        <f t="shared" si="121"/>
        <v>0</v>
      </c>
      <c r="X188" s="45">
        <f t="shared" si="137"/>
        <v>0</v>
      </c>
      <c r="Y188" s="45">
        <f t="shared" si="122"/>
        <v>0</v>
      </c>
      <c r="Z188" s="11">
        <f t="shared" si="123"/>
        <v>0</v>
      </c>
      <c r="AA188" s="11"/>
      <c r="AB188" s="463"/>
      <c r="AC188" s="3">
        <v>12</v>
      </c>
      <c r="AD188" s="45">
        <f t="shared" si="140"/>
        <v>0</v>
      </c>
      <c r="AE188" s="45">
        <f t="shared" si="124"/>
        <v>0</v>
      </c>
      <c r="AF188" s="11">
        <f t="shared" si="125"/>
        <v>0</v>
      </c>
      <c r="AG188" s="45">
        <f t="shared" si="138"/>
        <v>0</v>
      </c>
      <c r="AH188" s="45">
        <f t="shared" si="126"/>
        <v>0</v>
      </c>
      <c r="AI188" s="11">
        <f t="shared" si="127"/>
        <v>0</v>
      </c>
      <c r="AJ188" s="11"/>
      <c r="AK188" s="463"/>
      <c r="AL188" s="3">
        <v>12</v>
      </c>
      <c r="AM188" s="11">
        <f t="shared" si="128"/>
        <v>0</v>
      </c>
      <c r="AN188" s="46">
        <f t="shared" si="129"/>
        <v>0</v>
      </c>
      <c r="AO188" s="47">
        <f t="shared" si="130"/>
        <v>0</v>
      </c>
      <c r="AQ188" s="216"/>
      <c r="AR188" s="109">
        <v>12</v>
      </c>
      <c r="AS188" s="111">
        <f t="shared" si="139"/>
        <v>0</v>
      </c>
    </row>
    <row r="189" spans="1:45" x14ac:dyDescent="0.2">
      <c r="A189" s="463"/>
      <c r="B189" s="3">
        <v>13</v>
      </c>
      <c r="C189" s="45">
        <f t="shared" si="131"/>
        <v>0</v>
      </c>
      <c r="D189" s="45">
        <f t="shared" si="132"/>
        <v>0</v>
      </c>
      <c r="E189" s="11">
        <f t="shared" si="113"/>
        <v>0</v>
      </c>
      <c r="F189" s="45">
        <f t="shared" si="133"/>
        <v>0</v>
      </c>
      <c r="G189" s="45">
        <f t="shared" si="114"/>
        <v>0</v>
      </c>
      <c r="H189" s="11">
        <f t="shared" si="115"/>
        <v>0</v>
      </c>
      <c r="J189" s="463"/>
      <c r="K189" s="3">
        <v>13</v>
      </c>
      <c r="L189" s="45">
        <f t="shared" si="134"/>
        <v>0</v>
      </c>
      <c r="M189" s="45">
        <f t="shared" si="116"/>
        <v>0</v>
      </c>
      <c r="N189" s="11">
        <f t="shared" si="117"/>
        <v>0</v>
      </c>
      <c r="O189" s="45">
        <f t="shared" si="135"/>
        <v>0</v>
      </c>
      <c r="P189" s="45">
        <f t="shared" si="118"/>
        <v>0</v>
      </c>
      <c r="Q189" s="11">
        <f t="shared" si="119"/>
        <v>0</v>
      </c>
      <c r="R189" s="11"/>
      <c r="S189" s="463"/>
      <c r="T189" s="3">
        <v>13</v>
      </c>
      <c r="U189" s="45">
        <f t="shared" si="136"/>
        <v>0</v>
      </c>
      <c r="V189" s="45">
        <f t="shared" si="120"/>
        <v>0</v>
      </c>
      <c r="W189" s="11">
        <f t="shared" si="121"/>
        <v>0</v>
      </c>
      <c r="X189" s="45">
        <f t="shared" si="137"/>
        <v>0</v>
      </c>
      <c r="Y189" s="45">
        <f t="shared" si="122"/>
        <v>0</v>
      </c>
      <c r="Z189" s="11">
        <f t="shared" si="123"/>
        <v>0</v>
      </c>
      <c r="AA189" s="11"/>
      <c r="AB189" s="463"/>
      <c r="AC189" s="3">
        <v>13</v>
      </c>
      <c r="AD189" s="45">
        <f t="shared" si="140"/>
        <v>0</v>
      </c>
      <c r="AE189" s="45">
        <f t="shared" si="124"/>
        <v>0</v>
      </c>
      <c r="AF189" s="11">
        <f t="shared" si="125"/>
        <v>0</v>
      </c>
      <c r="AG189" s="45">
        <f t="shared" si="138"/>
        <v>0</v>
      </c>
      <c r="AH189" s="45">
        <f t="shared" si="126"/>
        <v>0</v>
      </c>
      <c r="AI189" s="11">
        <f t="shared" si="127"/>
        <v>0</v>
      </c>
      <c r="AJ189" s="11"/>
      <c r="AK189" s="463"/>
      <c r="AL189" s="3">
        <v>13</v>
      </c>
      <c r="AM189" s="11">
        <f t="shared" si="128"/>
        <v>0</v>
      </c>
      <c r="AN189" s="46">
        <f t="shared" si="129"/>
        <v>0</v>
      </c>
      <c r="AO189" s="47">
        <f t="shared" si="130"/>
        <v>0</v>
      </c>
      <c r="AQ189" s="216"/>
      <c r="AR189" s="108">
        <v>13</v>
      </c>
      <c r="AS189" s="111">
        <f t="shared" si="139"/>
        <v>0</v>
      </c>
    </row>
    <row r="190" spans="1:45" x14ac:dyDescent="0.2">
      <c r="A190" s="463"/>
      <c r="B190" s="3">
        <v>14</v>
      </c>
      <c r="C190" s="45">
        <f t="shared" si="131"/>
        <v>0</v>
      </c>
      <c r="D190" s="45">
        <f t="shared" si="132"/>
        <v>0</v>
      </c>
      <c r="E190" s="11">
        <f t="shared" si="113"/>
        <v>0</v>
      </c>
      <c r="F190" s="45">
        <f>IF(E190=0,0,E190*C$58)</f>
        <v>0</v>
      </c>
      <c r="G190" s="45">
        <f t="shared" si="114"/>
        <v>0</v>
      </c>
      <c r="H190" s="11">
        <f t="shared" si="115"/>
        <v>0</v>
      </c>
      <c r="I190" s="48"/>
      <c r="J190" s="463"/>
      <c r="K190" s="3">
        <v>14</v>
      </c>
      <c r="L190" s="45">
        <f t="shared" si="134"/>
        <v>0</v>
      </c>
      <c r="M190" s="45">
        <f t="shared" si="116"/>
        <v>0</v>
      </c>
      <c r="N190" s="11">
        <f t="shared" si="117"/>
        <v>0</v>
      </c>
      <c r="O190" s="45">
        <f t="shared" si="135"/>
        <v>0</v>
      </c>
      <c r="P190" s="45">
        <f t="shared" si="118"/>
        <v>0</v>
      </c>
      <c r="Q190" s="11">
        <f t="shared" si="119"/>
        <v>0</v>
      </c>
      <c r="R190" s="11"/>
      <c r="S190" s="463"/>
      <c r="T190" s="3">
        <v>14</v>
      </c>
      <c r="U190" s="45">
        <f t="shared" si="136"/>
        <v>0</v>
      </c>
      <c r="V190" s="45">
        <f t="shared" si="120"/>
        <v>0</v>
      </c>
      <c r="W190" s="11">
        <f t="shared" si="121"/>
        <v>0</v>
      </c>
      <c r="X190" s="45">
        <f t="shared" si="137"/>
        <v>0</v>
      </c>
      <c r="Y190" s="45">
        <f t="shared" si="122"/>
        <v>0</v>
      </c>
      <c r="Z190" s="11">
        <f t="shared" si="123"/>
        <v>0</v>
      </c>
      <c r="AA190" s="11"/>
      <c r="AB190" s="463"/>
      <c r="AC190" s="3">
        <v>14</v>
      </c>
      <c r="AD190" s="45">
        <f t="shared" si="140"/>
        <v>0</v>
      </c>
      <c r="AE190" s="45">
        <f t="shared" si="124"/>
        <v>0</v>
      </c>
      <c r="AF190" s="11">
        <f t="shared" si="125"/>
        <v>0</v>
      </c>
      <c r="AG190" s="45">
        <f t="shared" si="138"/>
        <v>0</v>
      </c>
      <c r="AH190" s="45">
        <f t="shared" si="126"/>
        <v>0</v>
      </c>
      <c r="AI190" s="11">
        <f t="shared" si="127"/>
        <v>0</v>
      </c>
      <c r="AJ190" s="11"/>
      <c r="AK190" s="463"/>
      <c r="AL190" s="3">
        <v>14</v>
      </c>
      <c r="AM190" s="11">
        <f t="shared" si="128"/>
        <v>0</v>
      </c>
      <c r="AN190" s="46">
        <f t="shared" si="129"/>
        <v>0</v>
      </c>
      <c r="AO190" s="47">
        <f t="shared" si="130"/>
        <v>0</v>
      </c>
      <c r="AQ190" s="216"/>
      <c r="AR190" s="109">
        <v>14</v>
      </c>
      <c r="AS190" s="111">
        <f t="shared" si="139"/>
        <v>0</v>
      </c>
    </row>
    <row r="191" spans="1:45" x14ac:dyDescent="0.2">
      <c r="A191" s="463"/>
      <c r="B191" s="3">
        <v>15</v>
      </c>
      <c r="C191" s="45">
        <f t="shared" si="131"/>
        <v>0</v>
      </c>
      <c r="D191" s="45">
        <f t="shared" si="132"/>
        <v>0</v>
      </c>
      <c r="E191" s="45">
        <f t="shared" si="113"/>
        <v>0</v>
      </c>
      <c r="F191" s="45">
        <f t="shared" si="133"/>
        <v>0</v>
      </c>
      <c r="G191" s="45">
        <f t="shared" si="114"/>
        <v>0</v>
      </c>
      <c r="H191" s="45">
        <f t="shared" si="115"/>
        <v>0</v>
      </c>
      <c r="J191" s="463"/>
      <c r="K191" s="3">
        <v>15</v>
      </c>
      <c r="L191" s="45">
        <f t="shared" si="134"/>
        <v>0</v>
      </c>
      <c r="M191" s="45">
        <f t="shared" si="116"/>
        <v>0</v>
      </c>
      <c r="N191" s="45">
        <f t="shared" si="117"/>
        <v>0</v>
      </c>
      <c r="O191" s="45">
        <f t="shared" si="135"/>
        <v>0</v>
      </c>
      <c r="P191" s="45">
        <f t="shared" si="118"/>
        <v>0</v>
      </c>
      <c r="Q191" s="45">
        <f t="shared" si="119"/>
        <v>0</v>
      </c>
      <c r="R191" s="45"/>
      <c r="S191" s="463"/>
      <c r="T191" s="3">
        <v>15</v>
      </c>
      <c r="U191" s="45">
        <f t="shared" si="136"/>
        <v>0</v>
      </c>
      <c r="V191" s="45">
        <f t="shared" si="120"/>
        <v>0</v>
      </c>
      <c r="W191" s="45">
        <f t="shared" si="121"/>
        <v>0</v>
      </c>
      <c r="X191" s="45">
        <f t="shared" si="137"/>
        <v>0</v>
      </c>
      <c r="Y191" s="45">
        <f t="shared" si="122"/>
        <v>0</v>
      </c>
      <c r="Z191" s="45">
        <f t="shared" si="123"/>
        <v>0</v>
      </c>
      <c r="AA191" s="45"/>
      <c r="AB191" s="463"/>
      <c r="AC191" s="3">
        <v>15</v>
      </c>
      <c r="AD191" s="45">
        <f t="shared" si="140"/>
        <v>0</v>
      </c>
      <c r="AE191" s="45">
        <f t="shared" si="124"/>
        <v>0</v>
      </c>
      <c r="AF191" s="45">
        <f t="shared" si="125"/>
        <v>0</v>
      </c>
      <c r="AG191" s="45">
        <f t="shared" si="138"/>
        <v>0</v>
      </c>
      <c r="AH191" s="45">
        <f t="shared" si="126"/>
        <v>0</v>
      </c>
      <c r="AI191" s="45">
        <f t="shared" si="127"/>
        <v>0</v>
      </c>
      <c r="AJ191" s="45"/>
      <c r="AK191" s="463"/>
      <c r="AL191" s="3">
        <v>15</v>
      </c>
      <c r="AM191" s="11">
        <f t="shared" si="128"/>
        <v>0</v>
      </c>
      <c r="AN191" s="46">
        <f t="shared" si="129"/>
        <v>0</v>
      </c>
      <c r="AO191" s="47">
        <f t="shared" si="130"/>
        <v>0</v>
      </c>
      <c r="AQ191" s="216"/>
      <c r="AR191" s="108">
        <v>15</v>
      </c>
      <c r="AS191" s="111">
        <f t="shared" si="139"/>
        <v>0</v>
      </c>
    </row>
    <row r="192" spans="1:45" x14ac:dyDescent="0.2">
      <c r="A192" s="463"/>
      <c r="B192" s="3">
        <v>16</v>
      </c>
      <c r="C192" s="45">
        <f t="shared" si="131"/>
        <v>0</v>
      </c>
      <c r="D192" s="45">
        <f t="shared" si="132"/>
        <v>0</v>
      </c>
      <c r="E192" s="45">
        <f t="shared" si="113"/>
        <v>0</v>
      </c>
      <c r="F192" s="45">
        <f t="shared" si="133"/>
        <v>0</v>
      </c>
      <c r="G192" s="45">
        <f t="shared" si="114"/>
        <v>0</v>
      </c>
      <c r="H192" s="11">
        <f t="shared" si="115"/>
        <v>0</v>
      </c>
      <c r="J192" s="463"/>
      <c r="K192" s="3">
        <v>16</v>
      </c>
      <c r="L192" s="45">
        <f t="shared" si="134"/>
        <v>0</v>
      </c>
      <c r="M192" s="45">
        <f t="shared" si="116"/>
        <v>0</v>
      </c>
      <c r="N192" s="45">
        <f t="shared" si="117"/>
        <v>0</v>
      </c>
      <c r="O192" s="45">
        <f t="shared" si="135"/>
        <v>0</v>
      </c>
      <c r="P192" s="45">
        <f t="shared" si="118"/>
        <v>0</v>
      </c>
      <c r="Q192" s="11">
        <f t="shared" si="119"/>
        <v>0</v>
      </c>
      <c r="R192" s="11"/>
      <c r="S192" s="463"/>
      <c r="T192" s="3">
        <v>16</v>
      </c>
      <c r="U192" s="45">
        <f t="shared" si="136"/>
        <v>0</v>
      </c>
      <c r="V192" s="45">
        <f t="shared" si="120"/>
        <v>0</v>
      </c>
      <c r="W192" s="45">
        <f t="shared" si="121"/>
        <v>0</v>
      </c>
      <c r="X192" s="45">
        <f t="shared" si="137"/>
        <v>0</v>
      </c>
      <c r="Y192" s="45">
        <f t="shared" si="122"/>
        <v>0</v>
      </c>
      <c r="Z192" s="11">
        <f t="shared" si="123"/>
        <v>0</v>
      </c>
      <c r="AA192" s="11"/>
      <c r="AB192" s="463"/>
      <c r="AC192" s="3">
        <v>16</v>
      </c>
      <c r="AD192" s="45">
        <f t="shared" si="140"/>
        <v>0</v>
      </c>
      <c r="AE192" s="45">
        <f t="shared" si="124"/>
        <v>0</v>
      </c>
      <c r="AF192" s="45">
        <f t="shared" si="125"/>
        <v>0</v>
      </c>
      <c r="AG192" s="45">
        <f t="shared" si="138"/>
        <v>0</v>
      </c>
      <c r="AH192" s="45">
        <f t="shared" si="126"/>
        <v>0</v>
      </c>
      <c r="AI192" s="11">
        <f t="shared" si="127"/>
        <v>0</v>
      </c>
      <c r="AJ192" s="11"/>
      <c r="AK192" s="463"/>
      <c r="AL192" s="3">
        <v>16</v>
      </c>
      <c r="AM192" s="11">
        <f t="shared" si="128"/>
        <v>0</v>
      </c>
      <c r="AN192" s="46">
        <f t="shared" si="129"/>
        <v>0</v>
      </c>
      <c r="AO192" s="47">
        <f t="shared" si="130"/>
        <v>0</v>
      </c>
      <c r="AQ192" s="216"/>
      <c r="AR192" s="109">
        <v>16</v>
      </c>
      <c r="AS192" s="111">
        <f t="shared" si="139"/>
        <v>0</v>
      </c>
    </row>
    <row r="193" spans="1:52" x14ac:dyDescent="0.2">
      <c r="A193" s="463"/>
      <c r="B193" s="3">
        <v>17</v>
      </c>
      <c r="C193" s="45">
        <f t="shared" si="131"/>
        <v>0</v>
      </c>
      <c r="D193" s="45">
        <f t="shared" si="132"/>
        <v>0</v>
      </c>
      <c r="E193" s="11">
        <f t="shared" si="113"/>
        <v>0</v>
      </c>
      <c r="F193" s="45">
        <f t="shared" si="133"/>
        <v>0</v>
      </c>
      <c r="G193" s="11">
        <f t="shared" si="114"/>
        <v>0</v>
      </c>
      <c r="H193" s="11">
        <f t="shared" si="115"/>
        <v>0</v>
      </c>
      <c r="J193" s="463"/>
      <c r="K193" s="3">
        <v>17</v>
      </c>
      <c r="L193" s="45">
        <f t="shared" si="134"/>
        <v>0</v>
      </c>
      <c r="M193" s="45">
        <f t="shared" si="116"/>
        <v>0</v>
      </c>
      <c r="N193" s="11">
        <f t="shared" si="117"/>
        <v>0</v>
      </c>
      <c r="O193" s="45">
        <f t="shared" si="135"/>
        <v>0</v>
      </c>
      <c r="P193" s="11">
        <f t="shared" si="118"/>
        <v>0</v>
      </c>
      <c r="Q193" s="11">
        <f t="shared" si="119"/>
        <v>0</v>
      </c>
      <c r="R193" s="11"/>
      <c r="S193" s="463"/>
      <c r="T193" s="3">
        <v>17</v>
      </c>
      <c r="U193" s="45">
        <f t="shared" si="136"/>
        <v>0</v>
      </c>
      <c r="V193" s="45">
        <f t="shared" si="120"/>
        <v>0</v>
      </c>
      <c r="W193" s="11">
        <f t="shared" si="121"/>
        <v>0</v>
      </c>
      <c r="X193" s="45">
        <f t="shared" si="137"/>
        <v>0</v>
      </c>
      <c r="Y193" s="11">
        <f t="shared" si="122"/>
        <v>0</v>
      </c>
      <c r="Z193" s="11">
        <f t="shared" si="123"/>
        <v>0</v>
      </c>
      <c r="AA193" s="11"/>
      <c r="AB193" s="463"/>
      <c r="AC193" s="3">
        <v>17</v>
      </c>
      <c r="AD193" s="45">
        <f t="shared" si="140"/>
        <v>0</v>
      </c>
      <c r="AE193" s="45">
        <f t="shared" si="124"/>
        <v>0</v>
      </c>
      <c r="AF193" s="11">
        <f t="shared" si="125"/>
        <v>0</v>
      </c>
      <c r="AG193" s="45">
        <f t="shared" si="138"/>
        <v>0</v>
      </c>
      <c r="AH193" s="11">
        <f t="shared" si="126"/>
        <v>0</v>
      </c>
      <c r="AI193" s="11">
        <f t="shared" si="127"/>
        <v>0</v>
      </c>
      <c r="AJ193" s="11"/>
      <c r="AK193" s="463"/>
      <c r="AL193" s="3">
        <v>17</v>
      </c>
      <c r="AM193" s="11">
        <f t="shared" si="128"/>
        <v>0</v>
      </c>
      <c r="AN193" s="46">
        <f t="shared" si="129"/>
        <v>0</v>
      </c>
      <c r="AO193" s="47">
        <f t="shared" si="130"/>
        <v>0</v>
      </c>
      <c r="AQ193" s="216"/>
      <c r="AR193" s="108">
        <v>17</v>
      </c>
      <c r="AS193" s="111">
        <f t="shared" si="139"/>
        <v>0</v>
      </c>
    </row>
    <row r="194" spans="1:52" x14ac:dyDescent="0.2">
      <c r="A194" s="463"/>
      <c r="B194" s="3">
        <v>18</v>
      </c>
      <c r="C194" s="45">
        <f t="shared" si="131"/>
        <v>0</v>
      </c>
      <c r="D194" s="45">
        <f t="shared" si="132"/>
        <v>0</v>
      </c>
      <c r="E194" s="11">
        <f t="shared" si="113"/>
        <v>0</v>
      </c>
      <c r="F194" s="45">
        <f t="shared" si="133"/>
        <v>0</v>
      </c>
      <c r="G194" s="11">
        <f t="shared" si="114"/>
        <v>0</v>
      </c>
      <c r="H194" s="11">
        <f t="shared" si="115"/>
        <v>0</v>
      </c>
      <c r="J194" s="463"/>
      <c r="K194" s="3">
        <v>18</v>
      </c>
      <c r="L194" s="45">
        <f t="shared" si="134"/>
        <v>0</v>
      </c>
      <c r="M194" s="45">
        <f t="shared" si="116"/>
        <v>0</v>
      </c>
      <c r="N194" s="11">
        <f t="shared" si="117"/>
        <v>0</v>
      </c>
      <c r="O194" s="45">
        <f t="shared" si="135"/>
        <v>0</v>
      </c>
      <c r="P194" s="11">
        <f t="shared" si="118"/>
        <v>0</v>
      </c>
      <c r="Q194" s="11">
        <f t="shared" si="119"/>
        <v>0</v>
      </c>
      <c r="R194" s="11"/>
      <c r="S194" s="463"/>
      <c r="T194" s="3">
        <v>18</v>
      </c>
      <c r="U194" s="45">
        <f t="shared" si="136"/>
        <v>0</v>
      </c>
      <c r="V194" s="45">
        <f t="shared" si="120"/>
        <v>0</v>
      </c>
      <c r="W194" s="11">
        <f t="shared" si="121"/>
        <v>0</v>
      </c>
      <c r="X194" s="45">
        <f t="shared" si="137"/>
        <v>0</v>
      </c>
      <c r="Y194" s="11">
        <f t="shared" si="122"/>
        <v>0</v>
      </c>
      <c r="Z194" s="11">
        <f t="shared" si="123"/>
        <v>0</v>
      </c>
      <c r="AA194" s="11"/>
      <c r="AB194" s="463"/>
      <c r="AC194" s="3">
        <v>18</v>
      </c>
      <c r="AD194" s="45">
        <f t="shared" si="140"/>
        <v>0</v>
      </c>
      <c r="AE194" s="45">
        <f t="shared" si="124"/>
        <v>0</v>
      </c>
      <c r="AF194" s="11">
        <f t="shared" si="125"/>
        <v>0</v>
      </c>
      <c r="AG194" s="45">
        <f t="shared" si="138"/>
        <v>0</v>
      </c>
      <c r="AH194" s="11">
        <f t="shared" si="126"/>
        <v>0</v>
      </c>
      <c r="AI194" s="11">
        <f t="shared" si="127"/>
        <v>0</v>
      </c>
      <c r="AJ194" s="11"/>
      <c r="AK194" s="463"/>
      <c r="AL194" s="3">
        <v>18</v>
      </c>
      <c r="AM194" s="11">
        <f t="shared" si="128"/>
        <v>0</v>
      </c>
      <c r="AN194" s="46">
        <f t="shared" si="129"/>
        <v>0</v>
      </c>
      <c r="AO194" s="47">
        <f t="shared" si="130"/>
        <v>0</v>
      </c>
      <c r="AQ194" s="216"/>
      <c r="AR194" s="109">
        <v>18</v>
      </c>
      <c r="AS194" s="111">
        <f t="shared" si="139"/>
        <v>0</v>
      </c>
    </row>
    <row r="195" spans="1:52" x14ac:dyDescent="0.2">
      <c r="A195" s="463"/>
      <c r="B195" s="3">
        <v>19</v>
      </c>
      <c r="C195" s="45">
        <f t="shared" si="131"/>
        <v>0</v>
      </c>
      <c r="D195" s="45">
        <f t="shared" si="132"/>
        <v>0</v>
      </c>
      <c r="E195" s="11">
        <f t="shared" si="113"/>
        <v>0</v>
      </c>
      <c r="F195" s="45">
        <f t="shared" si="133"/>
        <v>0</v>
      </c>
      <c r="G195" s="11">
        <f t="shared" si="114"/>
        <v>0</v>
      </c>
      <c r="H195" s="11">
        <f t="shared" si="115"/>
        <v>0</v>
      </c>
      <c r="J195" s="463"/>
      <c r="K195" s="3">
        <v>19</v>
      </c>
      <c r="L195" s="45">
        <f t="shared" si="134"/>
        <v>0</v>
      </c>
      <c r="M195" s="45">
        <f t="shared" si="116"/>
        <v>0</v>
      </c>
      <c r="N195" s="11">
        <f t="shared" si="117"/>
        <v>0</v>
      </c>
      <c r="O195" s="45">
        <f t="shared" si="135"/>
        <v>0</v>
      </c>
      <c r="P195" s="11">
        <f t="shared" si="118"/>
        <v>0</v>
      </c>
      <c r="Q195" s="11">
        <f t="shared" si="119"/>
        <v>0</v>
      </c>
      <c r="R195" s="11"/>
      <c r="S195" s="463"/>
      <c r="T195" s="3">
        <v>19</v>
      </c>
      <c r="U195" s="45">
        <f t="shared" si="136"/>
        <v>0</v>
      </c>
      <c r="V195" s="45">
        <f t="shared" si="120"/>
        <v>0</v>
      </c>
      <c r="W195" s="11">
        <f t="shared" si="121"/>
        <v>0</v>
      </c>
      <c r="X195" s="45">
        <f t="shared" si="137"/>
        <v>0</v>
      </c>
      <c r="Y195" s="11">
        <f t="shared" si="122"/>
        <v>0</v>
      </c>
      <c r="Z195" s="11">
        <f t="shared" si="123"/>
        <v>0</v>
      </c>
      <c r="AA195" s="11"/>
      <c r="AB195" s="463"/>
      <c r="AC195" s="3">
        <v>19</v>
      </c>
      <c r="AD195" s="45">
        <f t="shared" si="140"/>
        <v>0</v>
      </c>
      <c r="AE195" s="45">
        <f t="shared" si="124"/>
        <v>0</v>
      </c>
      <c r="AF195" s="11">
        <f t="shared" si="125"/>
        <v>0</v>
      </c>
      <c r="AG195" s="45">
        <f t="shared" si="138"/>
        <v>0</v>
      </c>
      <c r="AH195" s="11">
        <f t="shared" si="126"/>
        <v>0</v>
      </c>
      <c r="AI195" s="11">
        <f t="shared" si="127"/>
        <v>0</v>
      </c>
      <c r="AJ195" s="11"/>
      <c r="AK195" s="463"/>
      <c r="AL195" s="3">
        <v>19</v>
      </c>
      <c r="AM195" s="11">
        <f t="shared" si="128"/>
        <v>0</v>
      </c>
      <c r="AN195" s="46">
        <f t="shared" si="129"/>
        <v>0</v>
      </c>
      <c r="AO195" s="47">
        <f t="shared" si="130"/>
        <v>0</v>
      </c>
      <c r="AQ195" s="216"/>
      <c r="AR195" s="108">
        <v>19</v>
      </c>
      <c r="AS195" s="111">
        <f t="shared" si="139"/>
        <v>0</v>
      </c>
    </row>
    <row r="196" spans="1:52" x14ac:dyDescent="0.2">
      <c r="A196" s="463"/>
      <c r="B196" s="3">
        <v>20</v>
      </c>
      <c r="C196" s="45">
        <f t="shared" si="131"/>
        <v>0</v>
      </c>
      <c r="D196" s="45">
        <f t="shared" si="132"/>
        <v>0</v>
      </c>
      <c r="E196" s="11">
        <f t="shared" si="113"/>
        <v>0</v>
      </c>
      <c r="F196" s="45">
        <f t="shared" si="133"/>
        <v>0</v>
      </c>
      <c r="G196" s="11">
        <f t="shared" si="114"/>
        <v>0</v>
      </c>
      <c r="H196" s="11">
        <f t="shared" si="115"/>
        <v>0</v>
      </c>
      <c r="J196" s="463"/>
      <c r="K196" s="3">
        <v>20</v>
      </c>
      <c r="L196" s="45">
        <f t="shared" si="134"/>
        <v>0</v>
      </c>
      <c r="M196" s="45">
        <f t="shared" si="116"/>
        <v>0</v>
      </c>
      <c r="N196" s="11">
        <f t="shared" si="117"/>
        <v>0</v>
      </c>
      <c r="O196" s="45">
        <f t="shared" si="135"/>
        <v>0</v>
      </c>
      <c r="P196" s="11">
        <f t="shared" si="118"/>
        <v>0</v>
      </c>
      <c r="Q196" s="11">
        <f t="shared" si="119"/>
        <v>0</v>
      </c>
      <c r="R196" s="11"/>
      <c r="S196" s="463"/>
      <c r="T196" s="3">
        <v>20</v>
      </c>
      <c r="U196" s="45">
        <f t="shared" si="136"/>
        <v>0</v>
      </c>
      <c r="V196" s="45">
        <f t="shared" si="120"/>
        <v>0</v>
      </c>
      <c r="W196" s="11">
        <f t="shared" si="121"/>
        <v>0</v>
      </c>
      <c r="X196" s="45">
        <f t="shared" si="137"/>
        <v>0</v>
      </c>
      <c r="Y196" s="11">
        <f t="shared" si="122"/>
        <v>0</v>
      </c>
      <c r="Z196" s="11">
        <f t="shared" si="123"/>
        <v>0</v>
      </c>
      <c r="AA196" s="11"/>
      <c r="AB196" s="463"/>
      <c r="AC196" s="3">
        <v>20</v>
      </c>
      <c r="AD196" s="45">
        <f t="shared" si="140"/>
        <v>0</v>
      </c>
      <c r="AE196" s="45">
        <f t="shared" si="124"/>
        <v>0</v>
      </c>
      <c r="AF196" s="11">
        <f t="shared" si="125"/>
        <v>0</v>
      </c>
      <c r="AG196" s="45">
        <f t="shared" si="138"/>
        <v>0</v>
      </c>
      <c r="AH196" s="11">
        <f t="shared" si="126"/>
        <v>0</v>
      </c>
      <c r="AI196" s="11">
        <f t="shared" si="127"/>
        <v>0</v>
      </c>
      <c r="AJ196" s="11"/>
      <c r="AK196" s="463"/>
      <c r="AL196" s="3">
        <v>20</v>
      </c>
      <c r="AM196" s="11">
        <f t="shared" si="128"/>
        <v>0</v>
      </c>
      <c r="AN196" s="46">
        <f t="shared" si="129"/>
        <v>0</v>
      </c>
      <c r="AO196" s="47">
        <f t="shared" si="130"/>
        <v>0</v>
      </c>
      <c r="AQ196" s="216"/>
      <c r="AR196" s="109">
        <v>20</v>
      </c>
      <c r="AS196" s="111">
        <f t="shared" si="139"/>
        <v>0</v>
      </c>
    </row>
    <row r="198" spans="1:52" x14ac:dyDescent="0.2">
      <c r="A198" s="135" t="s">
        <v>627</v>
      </c>
      <c r="B198" s="135"/>
      <c r="C198" s="135"/>
      <c r="D198" s="135"/>
      <c r="E198" s="135"/>
      <c r="F198" s="135"/>
      <c r="G198" s="135"/>
      <c r="H198" s="135"/>
      <c r="I198" s="135"/>
      <c r="J198" s="135"/>
      <c r="K198" s="135"/>
      <c r="L198" s="135"/>
      <c r="M198" s="49"/>
      <c r="N198" s="49"/>
      <c r="O198" s="49"/>
      <c r="P198" s="49"/>
      <c r="Q198" s="49"/>
      <c r="R198" s="49"/>
      <c r="S198" s="49"/>
      <c r="T198" s="49"/>
      <c r="U198" s="49"/>
      <c r="V198" s="49"/>
      <c r="W198" s="49"/>
      <c r="X198" s="49"/>
      <c r="Y198" s="49"/>
      <c r="Z198" s="49"/>
      <c r="AA198" s="49"/>
      <c r="AB198" s="49"/>
      <c r="AC198" s="49"/>
      <c r="AD198" s="49"/>
      <c r="AE198" s="49"/>
      <c r="AF198" s="49"/>
      <c r="AG198" s="49"/>
      <c r="AH198" s="49"/>
      <c r="AI198" s="49"/>
      <c r="AJ198" s="49"/>
      <c r="AK198" s="49"/>
      <c r="AL198" s="49"/>
      <c r="AM198" s="49"/>
      <c r="AN198" s="49"/>
      <c r="AO198" s="49"/>
      <c r="AP198" s="49"/>
      <c r="AQ198" s="49"/>
      <c r="AR198" s="49"/>
      <c r="AS198" s="49"/>
      <c r="AT198" s="49"/>
      <c r="AU198" s="49"/>
      <c r="AV198" s="49"/>
      <c r="AW198" s="49"/>
      <c r="AX198" s="49"/>
      <c r="AY198" s="49"/>
      <c r="AZ198" s="49"/>
    </row>
    <row r="200" spans="1:52" x14ac:dyDescent="0.2">
      <c r="A200" s="463" t="s">
        <v>732</v>
      </c>
      <c r="B200" s="4" t="s">
        <v>94</v>
      </c>
      <c r="C200" s="4">
        <v>1</v>
      </c>
      <c r="D200" s="4">
        <v>2</v>
      </c>
      <c r="E200" s="4">
        <v>3</v>
      </c>
      <c r="F200" s="4">
        <v>4</v>
      </c>
      <c r="G200" s="4">
        <v>5</v>
      </c>
      <c r="H200" s="4">
        <v>6</v>
      </c>
      <c r="I200" s="4">
        <v>7</v>
      </c>
      <c r="J200" s="4">
        <v>8</v>
      </c>
      <c r="K200" s="4">
        <v>9</v>
      </c>
      <c r="L200" s="4">
        <v>10</v>
      </c>
      <c r="M200" s="4">
        <v>11</v>
      </c>
      <c r="N200" s="4">
        <v>12</v>
      </c>
      <c r="O200" s="4">
        <v>13</v>
      </c>
      <c r="P200" s="4">
        <v>14</v>
      </c>
      <c r="Q200" s="4">
        <v>15</v>
      </c>
      <c r="R200" s="4">
        <v>16</v>
      </c>
      <c r="S200" s="4">
        <v>17</v>
      </c>
      <c r="T200" s="4">
        <v>18</v>
      </c>
      <c r="U200" s="4">
        <v>19</v>
      </c>
      <c r="V200" s="4">
        <v>20</v>
      </c>
      <c r="W200" s="4"/>
      <c r="X200" s="4"/>
      <c r="Y200" s="4"/>
      <c r="Z200" s="4"/>
      <c r="AA200" s="4"/>
      <c r="AB200" s="4"/>
      <c r="AC200" s="4"/>
      <c r="AD200" s="4"/>
      <c r="AE200" s="4"/>
      <c r="AF200" s="4"/>
    </row>
    <row r="201" spans="1:52" x14ac:dyDescent="0.2">
      <c r="A201" s="463"/>
      <c r="B201" s="3" t="s">
        <v>629</v>
      </c>
      <c r="C201" s="50" t="str">
        <f>IF(C200=1,$C$6,B204)</f>
        <v/>
      </c>
      <c r="D201" s="50" t="e">
        <f t="shared" ref="D201:V201" si="141">IF(D200=1,$C$6,C204)</f>
        <v>#VALUE!</v>
      </c>
      <c r="E201" s="50" t="e">
        <f t="shared" si="141"/>
        <v>#VALUE!</v>
      </c>
      <c r="F201" s="50" t="e">
        <f t="shared" si="141"/>
        <v>#VALUE!</v>
      </c>
      <c r="G201" s="50" t="e">
        <f t="shared" si="141"/>
        <v>#VALUE!</v>
      </c>
      <c r="H201" s="50" t="e">
        <f t="shared" si="141"/>
        <v>#VALUE!</v>
      </c>
      <c r="I201" s="50" t="e">
        <f t="shared" si="141"/>
        <v>#VALUE!</v>
      </c>
      <c r="J201" s="50" t="e">
        <f t="shared" si="141"/>
        <v>#VALUE!</v>
      </c>
      <c r="K201" s="50" t="e">
        <f t="shared" si="141"/>
        <v>#VALUE!</v>
      </c>
      <c r="L201" s="50" t="e">
        <f t="shared" si="141"/>
        <v>#VALUE!</v>
      </c>
      <c r="M201" s="50" t="e">
        <f t="shared" si="141"/>
        <v>#VALUE!</v>
      </c>
      <c r="N201" s="50" t="e">
        <f t="shared" si="141"/>
        <v>#VALUE!</v>
      </c>
      <c r="O201" s="50" t="e">
        <f t="shared" si="141"/>
        <v>#VALUE!</v>
      </c>
      <c r="P201" s="50" t="e">
        <f t="shared" si="141"/>
        <v>#VALUE!</v>
      </c>
      <c r="Q201" s="50" t="e">
        <f t="shared" si="141"/>
        <v>#VALUE!</v>
      </c>
      <c r="R201" s="50" t="e">
        <f t="shared" si="141"/>
        <v>#VALUE!</v>
      </c>
      <c r="S201" s="50" t="e">
        <f t="shared" si="141"/>
        <v>#VALUE!</v>
      </c>
      <c r="T201" s="50" t="e">
        <f t="shared" si="141"/>
        <v>#VALUE!</v>
      </c>
      <c r="U201" s="50" t="e">
        <f t="shared" si="141"/>
        <v>#VALUE!</v>
      </c>
      <c r="V201" s="50" t="e">
        <f t="shared" si="141"/>
        <v>#VALUE!</v>
      </c>
      <c r="W201" s="50"/>
      <c r="X201" s="50"/>
      <c r="Y201" s="50"/>
      <c r="Z201" s="50"/>
      <c r="AA201" s="50"/>
      <c r="AB201" s="50"/>
      <c r="AC201" s="50"/>
      <c r="AD201" s="50"/>
      <c r="AE201" s="50"/>
      <c r="AF201" s="50"/>
    </row>
    <row r="202" spans="1:52" x14ac:dyDescent="0.2">
      <c r="A202" s="463"/>
      <c r="B202" s="3" t="s">
        <v>630</v>
      </c>
      <c r="C202" s="50">
        <f>IF(OR($C$6="",$C$6=0),0,IF(OR(ROUND(C201,2)&lt;=0,$C$168=100%),0,VLOOKUP(C200,$AL$177:$AO$196,4,FALSE)*C201))</f>
        <v>0</v>
      </c>
      <c r="D202" s="50">
        <f>IF(OR($C$6="",$C$6=0),0,IF(OR(ROUND(D201,2)&lt;=0,$C$168=100%),0,VLOOKUP(D200,$AL$177:$AO$196,4,FALSE)*D201))</f>
        <v>0</v>
      </c>
      <c r="E202" s="50">
        <f t="shared" ref="E202:V202" si="142">IF(OR($C$6="",$C$6=0),0,IF(OR(ROUND(E201,2)&lt;=0,$C$168=100%),0,VLOOKUP(E200,$AL$177:$AO$196,4,FALSE)*E201))</f>
        <v>0</v>
      </c>
      <c r="F202" s="50">
        <f t="shared" si="142"/>
        <v>0</v>
      </c>
      <c r="G202" s="50">
        <f t="shared" si="142"/>
        <v>0</v>
      </c>
      <c r="H202" s="50">
        <f t="shared" si="142"/>
        <v>0</v>
      </c>
      <c r="I202" s="50">
        <f t="shared" si="142"/>
        <v>0</v>
      </c>
      <c r="J202" s="50">
        <f t="shared" si="142"/>
        <v>0</v>
      </c>
      <c r="K202" s="50">
        <f t="shared" si="142"/>
        <v>0</v>
      </c>
      <c r="L202" s="50">
        <f t="shared" si="142"/>
        <v>0</v>
      </c>
      <c r="M202" s="50">
        <f t="shared" si="142"/>
        <v>0</v>
      </c>
      <c r="N202" s="50">
        <f t="shared" si="142"/>
        <v>0</v>
      </c>
      <c r="O202" s="50">
        <f t="shared" si="142"/>
        <v>0</v>
      </c>
      <c r="P202" s="50">
        <f t="shared" si="142"/>
        <v>0</v>
      </c>
      <c r="Q202" s="50">
        <f t="shared" si="142"/>
        <v>0</v>
      </c>
      <c r="R202" s="50">
        <f t="shared" si="142"/>
        <v>0</v>
      </c>
      <c r="S202" s="50">
        <f t="shared" si="142"/>
        <v>0</v>
      </c>
      <c r="T202" s="50">
        <f t="shared" si="142"/>
        <v>0</v>
      </c>
      <c r="U202" s="50">
        <f t="shared" si="142"/>
        <v>0</v>
      </c>
      <c r="V202" s="50">
        <f t="shared" si="142"/>
        <v>0</v>
      </c>
      <c r="W202" s="50"/>
      <c r="X202" s="50"/>
      <c r="Y202" s="50"/>
      <c r="Z202" s="50"/>
      <c r="AA202" s="50"/>
      <c r="AB202" s="50"/>
      <c r="AC202" s="50"/>
      <c r="AD202" s="50"/>
      <c r="AE202" s="50"/>
      <c r="AF202" s="50"/>
    </row>
    <row r="203" spans="1:52" x14ac:dyDescent="0.2">
      <c r="A203" s="463"/>
      <c r="B203" s="3" t="s">
        <v>631</v>
      </c>
      <c r="C203" s="50">
        <f>IF(C200=1,C202,C202+B203)</f>
        <v>0</v>
      </c>
      <c r="D203" s="50">
        <f t="shared" ref="D203:V203" si="143">IF(D200=1,D202,D202+C203)</f>
        <v>0</v>
      </c>
      <c r="E203" s="50">
        <f t="shared" si="143"/>
        <v>0</v>
      </c>
      <c r="F203" s="50">
        <f t="shared" si="143"/>
        <v>0</v>
      </c>
      <c r="G203" s="50">
        <f t="shared" si="143"/>
        <v>0</v>
      </c>
      <c r="H203" s="50">
        <f t="shared" si="143"/>
        <v>0</v>
      </c>
      <c r="I203" s="50">
        <f t="shared" si="143"/>
        <v>0</v>
      </c>
      <c r="J203" s="50">
        <f t="shared" si="143"/>
        <v>0</v>
      </c>
      <c r="K203" s="50">
        <f t="shared" si="143"/>
        <v>0</v>
      </c>
      <c r="L203" s="50">
        <f t="shared" si="143"/>
        <v>0</v>
      </c>
      <c r="M203" s="50">
        <f t="shared" si="143"/>
        <v>0</v>
      </c>
      <c r="N203" s="50">
        <f t="shared" si="143"/>
        <v>0</v>
      </c>
      <c r="O203" s="50">
        <f t="shared" si="143"/>
        <v>0</v>
      </c>
      <c r="P203" s="50">
        <f t="shared" si="143"/>
        <v>0</v>
      </c>
      <c r="Q203" s="50">
        <f t="shared" si="143"/>
        <v>0</v>
      </c>
      <c r="R203" s="50">
        <f t="shared" si="143"/>
        <v>0</v>
      </c>
      <c r="S203" s="50">
        <f t="shared" si="143"/>
        <v>0</v>
      </c>
      <c r="T203" s="50">
        <f t="shared" si="143"/>
        <v>0</v>
      </c>
      <c r="U203" s="50">
        <f t="shared" si="143"/>
        <v>0</v>
      </c>
      <c r="V203" s="50">
        <f t="shared" si="143"/>
        <v>0</v>
      </c>
      <c r="W203" s="50"/>
      <c r="X203" s="50"/>
      <c r="Y203" s="50"/>
      <c r="Z203" s="50"/>
      <c r="AA203" s="50"/>
      <c r="AB203" s="50"/>
      <c r="AC203" s="50"/>
      <c r="AD203" s="50"/>
      <c r="AE203" s="50"/>
      <c r="AF203" s="50"/>
      <c r="AH203" s="72"/>
    </row>
    <row r="204" spans="1:52" ht="17" x14ac:dyDescent="0.2">
      <c r="A204" s="463"/>
      <c r="B204" s="38" t="s">
        <v>632</v>
      </c>
      <c r="C204" s="50" t="e">
        <f>C201-C202</f>
        <v>#VALUE!</v>
      </c>
      <c r="D204" s="50" t="e">
        <f t="shared" ref="D204:V204" si="144">D201-D202</f>
        <v>#VALUE!</v>
      </c>
      <c r="E204" s="50" t="e">
        <f t="shared" si="144"/>
        <v>#VALUE!</v>
      </c>
      <c r="F204" s="50" t="e">
        <f t="shared" si="144"/>
        <v>#VALUE!</v>
      </c>
      <c r="G204" s="50" t="e">
        <f t="shared" si="144"/>
        <v>#VALUE!</v>
      </c>
      <c r="H204" s="50" t="e">
        <f t="shared" si="144"/>
        <v>#VALUE!</v>
      </c>
      <c r="I204" s="50" t="e">
        <f t="shared" si="144"/>
        <v>#VALUE!</v>
      </c>
      <c r="J204" s="50" t="e">
        <f t="shared" si="144"/>
        <v>#VALUE!</v>
      </c>
      <c r="K204" s="50" t="e">
        <f t="shared" si="144"/>
        <v>#VALUE!</v>
      </c>
      <c r="L204" s="50" t="e">
        <f t="shared" si="144"/>
        <v>#VALUE!</v>
      </c>
      <c r="M204" s="50" t="e">
        <f t="shared" si="144"/>
        <v>#VALUE!</v>
      </c>
      <c r="N204" s="50" t="e">
        <f t="shared" si="144"/>
        <v>#VALUE!</v>
      </c>
      <c r="O204" s="50" t="e">
        <f t="shared" si="144"/>
        <v>#VALUE!</v>
      </c>
      <c r="P204" s="50" t="e">
        <f t="shared" si="144"/>
        <v>#VALUE!</v>
      </c>
      <c r="Q204" s="50" t="e">
        <f t="shared" si="144"/>
        <v>#VALUE!</v>
      </c>
      <c r="R204" s="50" t="e">
        <f t="shared" si="144"/>
        <v>#VALUE!</v>
      </c>
      <c r="S204" s="50" t="e">
        <f t="shared" si="144"/>
        <v>#VALUE!</v>
      </c>
      <c r="T204" s="50" t="e">
        <f t="shared" si="144"/>
        <v>#VALUE!</v>
      </c>
      <c r="U204" s="50" t="e">
        <f t="shared" si="144"/>
        <v>#VALUE!</v>
      </c>
      <c r="V204" s="50" t="e">
        <f t="shared" si="144"/>
        <v>#VALUE!</v>
      </c>
      <c r="W204" s="50"/>
      <c r="X204" s="50"/>
      <c r="Y204" s="50"/>
      <c r="Z204" s="50"/>
      <c r="AA204" s="50"/>
      <c r="AB204" s="50"/>
      <c r="AC204" s="50"/>
      <c r="AD204" s="50"/>
      <c r="AE204" s="50"/>
      <c r="AF204" s="50"/>
    </row>
    <row r="205" spans="1:52" x14ac:dyDescent="0.2">
      <c r="A205" s="463"/>
      <c r="B205" s="53" t="s">
        <v>189</v>
      </c>
      <c r="C205" s="54" t="e">
        <f>SUM(C204,C203)</f>
        <v>#VALUE!</v>
      </c>
      <c r="D205" s="54" t="e">
        <f t="shared" ref="D205:V205" si="145">SUM(D204,D203)</f>
        <v>#VALUE!</v>
      </c>
      <c r="E205" s="54" t="e">
        <f t="shared" si="145"/>
        <v>#VALUE!</v>
      </c>
      <c r="F205" s="54" t="e">
        <f t="shared" si="145"/>
        <v>#VALUE!</v>
      </c>
      <c r="G205" s="54" t="e">
        <f t="shared" si="145"/>
        <v>#VALUE!</v>
      </c>
      <c r="H205" s="54" t="e">
        <f t="shared" si="145"/>
        <v>#VALUE!</v>
      </c>
      <c r="I205" s="54" t="e">
        <f t="shared" si="145"/>
        <v>#VALUE!</v>
      </c>
      <c r="J205" s="54" t="e">
        <f t="shared" si="145"/>
        <v>#VALUE!</v>
      </c>
      <c r="K205" s="54" t="e">
        <f t="shared" si="145"/>
        <v>#VALUE!</v>
      </c>
      <c r="L205" s="54" t="e">
        <f t="shared" si="145"/>
        <v>#VALUE!</v>
      </c>
      <c r="M205" s="54" t="e">
        <f t="shared" si="145"/>
        <v>#VALUE!</v>
      </c>
      <c r="N205" s="54" t="e">
        <f t="shared" si="145"/>
        <v>#VALUE!</v>
      </c>
      <c r="O205" s="54" t="e">
        <f t="shared" si="145"/>
        <v>#VALUE!</v>
      </c>
      <c r="P205" s="54" t="e">
        <f t="shared" si="145"/>
        <v>#VALUE!</v>
      </c>
      <c r="Q205" s="54" t="e">
        <f t="shared" si="145"/>
        <v>#VALUE!</v>
      </c>
      <c r="R205" s="54" t="e">
        <f t="shared" si="145"/>
        <v>#VALUE!</v>
      </c>
      <c r="S205" s="54" t="e">
        <f t="shared" si="145"/>
        <v>#VALUE!</v>
      </c>
      <c r="T205" s="54" t="e">
        <f t="shared" si="145"/>
        <v>#VALUE!</v>
      </c>
      <c r="U205" s="54" t="e">
        <f t="shared" si="145"/>
        <v>#VALUE!</v>
      </c>
      <c r="V205" s="54" t="e">
        <f t="shared" si="145"/>
        <v>#VALUE!</v>
      </c>
      <c r="W205" s="54"/>
      <c r="X205" s="54"/>
      <c r="Y205" s="54"/>
      <c r="Z205" s="54"/>
      <c r="AA205" s="54"/>
      <c r="AB205" s="54"/>
      <c r="AC205" s="54"/>
      <c r="AD205" s="54"/>
      <c r="AE205" s="54"/>
      <c r="AF205" s="54"/>
    </row>
    <row r="207" spans="1:52" ht="16" customHeight="1" x14ac:dyDescent="0.2">
      <c r="A207" s="463" t="s">
        <v>733</v>
      </c>
      <c r="B207" s="3" t="s">
        <v>94</v>
      </c>
      <c r="C207" s="3" t="s">
        <v>95</v>
      </c>
      <c r="D207" s="3" t="s">
        <v>96</v>
      </c>
      <c r="E207" s="3" t="s">
        <v>97</v>
      </c>
      <c r="F207" s="3" t="s">
        <v>98</v>
      </c>
      <c r="G207" s="3" t="s">
        <v>99</v>
      </c>
      <c r="H207" s="3" t="s">
        <v>100</v>
      </c>
      <c r="I207" s="3" t="s">
        <v>101</v>
      </c>
      <c r="J207" s="3" t="s">
        <v>102</v>
      </c>
      <c r="K207" s="3" t="s">
        <v>103</v>
      </c>
      <c r="L207" s="3" t="s">
        <v>104</v>
      </c>
      <c r="M207" s="3" t="s">
        <v>105</v>
      </c>
      <c r="N207" s="3" t="s">
        <v>106</v>
      </c>
      <c r="O207" s="3" t="s">
        <v>107</v>
      </c>
      <c r="P207" s="3" t="s">
        <v>108</v>
      </c>
      <c r="Q207" s="3" t="s">
        <v>109</v>
      </c>
      <c r="R207" s="3" t="s">
        <v>110</v>
      </c>
      <c r="S207" s="3" t="s">
        <v>111</v>
      </c>
      <c r="T207" s="3" t="s">
        <v>112</v>
      </c>
      <c r="U207" s="3" t="s">
        <v>113</v>
      </c>
      <c r="V207" s="3" t="s">
        <v>114</v>
      </c>
      <c r="W207" s="3" t="s">
        <v>117</v>
      </c>
      <c r="X207" s="3" t="s">
        <v>116</v>
      </c>
      <c r="Y207" s="3" t="s">
        <v>115</v>
      </c>
      <c r="Z207" s="3" t="s">
        <v>229</v>
      </c>
    </row>
    <row r="208" spans="1:52" ht="16" customHeight="1" x14ac:dyDescent="0.2">
      <c r="A208" s="463"/>
      <c r="B208" s="3">
        <v>1</v>
      </c>
      <c r="C208" s="11">
        <f>(C$202)*IF($B208&gt;=C$200,IF($B208=C$200,$E$19,VLOOKUP($B208-C$200,$B$19:$E$49,4,FALSE)),0)</f>
        <v>0</v>
      </c>
      <c r="D208" s="11">
        <f t="shared" ref="D208:D227" si="146">(D$202)*IF($B208&gt;=D$200,IF($B208=D$200,$E$19,VLOOKUP($B208-D$200,$B$19:$E$49,4,FALSE)),0)</f>
        <v>0</v>
      </c>
      <c r="E208" s="11">
        <f t="shared" ref="E208:E227" si="147">(E$202)*IF($B208&gt;=E$200,IF($B208=E$200,$E$19,VLOOKUP($B208-E$200,$B$19:$E$49,4,FALSE)),0)</f>
        <v>0</v>
      </c>
      <c r="F208" s="11">
        <f t="shared" ref="F208:F227" si="148">(F$202)*IF($B208&gt;=F$200,IF($B208=F$200,$E$19,VLOOKUP($B208-F$200,$B$19:$E$49,4,FALSE)),0)</f>
        <v>0</v>
      </c>
      <c r="G208" s="11">
        <f t="shared" ref="G208:G227" si="149">(G$202)*IF($B208&gt;=G$200,IF($B208=G$200,$E$19,VLOOKUP($B208-G$200,$B$19:$E$49,4,FALSE)),0)</f>
        <v>0</v>
      </c>
      <c r="H208" s="11">
        <f t="shared" ref="H208:H227" si="150">(H$202)*IF($B208&gt;=H$200,IF($B208=H$200,$E$19,VLOOKUP($B208-H$200,$B$19:$E$49,4,FALSE)),0)</f>
        <v>0</v>
      </c>
      <c r="I208" s="11">
        <f t="shared" ref="I208:I227" si="151">(I$202)*IF($B208&gt;=I$200,IF($B208=I$200,$E$19,VLOOKUP($B208-I$200,$B$19:$E$49,4,FALSE)),0)</f>
        <v>0</v>
      </c>
      <c r="J208" s="11">
        <f t="shared" ref="J208:J227" si="152">(J$202)*IF($B208&gt;=J$200,IF($B208=J$200,$E$19,VLOOKUP($B208-J$200,$B$19:$E$49,4,FALSE)),0)</f>
        <v>0</v>
      </c>
      <c r="K208" s="11">
        <f t="shared" ref="K208:K227" si="153">(K$202)*IF($B208&gt;=K$200,IF($B208=K$200,$E$19,VLOOKUP($B208-K$200,$B$19:$E$49,4,FALSE)),0)</f>
        <v>0</v>
      </c>
      <c r="L208" s="11">
        <f t="shared" ref="L208:L227" si="154">(L$202)*IF($B208&gt;=L$200,IF($B208=L$200,$E$19,VLOOKUP($B208-L$200,$B$19:$E$49,4,FALSE)),0)</f>
        <v>0</v>
      </c>
      <c r="M208" s="11">
        <f t="shared" ref="M208:M227" si="155">(M$202)*IF($B208&gt;=M$200,IF($B208=M$200,$E$19,VLOOKUP($B208-M$200,$B$19:$E$49,4,FALSE)),0)</f>
        <v>0</v>
      </c>
      <c r="N208" s="11">
        <f t="shared" ref="N208:N227" si="156">(N$202)*IF($B208&gt;=N$200,IF($B208=N$200,$E$19,VLOOKUP($B208-N$200,$B$19:$E$49,4,FALSE)),0)</f>
        <v>0</v>
      </c>
      <c r="O208" s="11">
        <f t="shared" ref="O208:O227" si="157">(O$202)*IF($B208&gt;=O$200,IF($B208=O$200,$E$19,VLOOKUP($B208-O$200,$B$19:$E$49,4,FALSE)),0)</f>
        <v>0</v>
      </c>
      <c r="P208" s="11">
        <f t="shared" ref="P208:P227" si="158">(P$202)*IF($B208&gt;=P$200,IF($B208=P$200,$E$19,VLOOKUP($B208-P$200,$B$19:$E$49,4,FALSE)),0)</f>
        <v>0</v>
      </c>
      <c r="Q208" s="11">
        <f t="shared" ref="Q208:Q227" si="159">(Q$202)*IF($B208&gt;=Q$200,IF($B208=Q$200,$E$19,VLOOKUP($B208-Q$200,$B$19:$E$49,4,FALSE)),0)</f>
        <v>0</v>
      </c>
      <c r="R208" s="11">
        <f t="shared" ref="R208:R227" si="160">(R$202)*IF($B208&gt;=R$200,IF($B208=R$200,$E$19,VLOOKUP($B208-R$200,$B$19:$E$49,4,FALSE)),0)</f>
        <v>0</v>
      </c>
      <c r="S208" s="11">
        <f t="shared" ref="S208:S227" si="161">(S$202)*IF($B208&gt;=S$200,IF($B208=S$200,$E$19,VLOOKUP($B208-S$200,$B$19:$E$49,4,FALSE)),0)</f>
        <v>0</v>
      </c>
      <c r="T208" s="11">
        <f t="shared" ref="T208:T227" si="162">(T$202)*IF($B208&gt;=T$200,IF($B208=T$200,$E$19,VLOOKUP($B208-T$200,$B$19:$E$49,4,FALSE)),0)</f>
        <v>0</v>
      </c>
      <c r="U208" s="11">
        <f t="shared" ref="U208:U227" si="163">(U$202)*IF($B208&gt;=U$200,IF($B208=U$200,$E$19,VLOOKUP($B208-U$200,$B$19:$E$49,4,FALSE)),0)</f>
        <v>0</v>
      </c>
      <c r="V208" s="11">
        <f t="shared" ref="V208:V227" si="164">(V$202)*IF($B208&gt;=V$200,IF($B208=V$200,$E$19,VLOOKUP($B208-V$200,$B$19:$E$49,4,FALSE)),0)</f>
        <v>0</v>
      </c>
      <c r="W208" s="11">
        <f>SUM(C208:V208)*D$11*C$11</f>
        <v>0</v>
      </c>
      <c r="X208" s="11">
        <f t="shared" ref="X208:X227" si="165">IF(W208&gt;0,EXP(-1.0587+0.8836*LN(W208)+0.284),0)</f>
        <v>0</v>
      </c>
      <c r="Y208" s="11">
        <f t="shared" ref="Y208:Y227" si="166">SUM(W208:X208)*0.475*44/12</f>
        <v>0</v>
      </c>
      <c r="Z208" s="11">
        <f>SUM(C208:V208)</f>
        <v>0</v>
      </c>
      <c r="AH208" s="11"/>
    </row>
    <row r="209" spans="1:34" x14ac:dyDescent="0.2">
      <c r="A209" s="463"/>
      <c r="B209" s="3">
        <v>2</v>
      </c>
      <c r="C209" s="11">
        <f t="shared" ref="C209:C227" si="167">(C$202)*IF($B209&gt;=C$200,IF($B209=C$200,$E$19,VLOOKUP($B209-C$200,$B$19:$E$49,4,FALSE)),0)</f>
        <v>0</v>
      </c>
      <c r="D209" s="11">
        <f t="shared" si="146"/>
        <v>0</v>
      </c>
      <c r="E209" s="11">
        <f t="shared" si="147"/>
        <v>0</v>
      </c>
      <c r="F209" s="11">
        <f t="shared" si="148"/>
        <v>0</v>
      </c>
      <c r="G209" s="11">
        <f t="shared" si="149"/>
        <v>0</v>
      </c>
      <c r="H209" s="11">
        <f t="shared" si="150"/>
        <v>0</v>
      </c>
      <c r="I209" s="11">
        <f t="shared" si="151"/>
        <v>0</v>
      </c>
      <c r="J209" s="11">
        <f t="shared" si="152"/>
        <v>0</v>
      </c>
      <c r="K209" s="11">
        <f t="shared" si="153"/>
        <v>0</v>
      </c>
      <c r="L209" s="11">
        <f t="shared" si="154"/>
        <v>0</v>
      </c>
      <c r="M209" s="11">
        <f t="shared" si="155"/>
        <v>0</v>
      </c>
      <c r="N209" s="11">
        <f t="shared" si="156"/>
        <v>0</v>
      </c>
      <c r="O209" s="11">
        <f t="shared" si="157"/>
        <v>0</v>
      </c>
      <c r="P209" s="11">
        <f t="shared" si="158"/>
        <v>0</v>
      </c>
      <c r="Q209" s="11">
        <f t="shared" si="159"/>
        <v>0</v>
      </c>
      <c r="R209" s="11">
        <f t="shared" si="160"/>
        <v>0</v>
      </c>
      <c r="S209" s="11">
        <f t="shared" si="161"/>
        <v>0</v>
      </c>
      <c r="T209" s="11">
        <f t="shared" si="162"/>
        <v>0</v>
      </c>
      <c r="U209" s="11">
        <f t="shared" si="163"/>
        <v>0</v>
      </c>
      <c r="V209" s="11">
        <f t="shared" si="164"/>
        <v>0</v>
      </c>
      <c r="W209" s="11">
        <f t="shared" ref="W209:W227" si="168">SUM(C209:V209)*D$11*C$11</f>
        <v>0</v>
      </c>
      <c r="X209" s="11">
        <f t="shared" si="165"/>
        <v>0</v>
      </c>
      <c r="Y209" s="11">
        <f t="shared" si="166"/>
        <v>0</v>
      </c>
      <c r="Z209" s="11">
        <f t="shared" ref="Z209:Z227" si="169">SUM(C209:V209)</f>
        <v>0</v>
      </c>
      <c r="AB209" s="474" t="s">
        <v>118</v>
      </c>
      <c r="AC209" s="474"/>
      <c r="AD209" s="474"/>
      <c r="AE209" s="474"/>
      <c r="AH209" s="11"/>
    </row>
    <row r="210" spans="1:34" x14ac:dyDescent="0.2">
      <c r="A210" s="463"/>
      <c r="B210" s="3">
        <v>3</v>
      </c>
      <c r="C210" s="11">
        <f t="shared" si="167"/>
        <v>0</v>
      </c>
      <c r="D210" s="11">
        <f t="shared" si="146"/>
        <v>0</v>
      </c>
      <c r="E210" s="11">
        <f t="shared" si="147"/>
        <v>0</v>
      </c>
      <c r="F210" s="11">
        <f t="shared" si="148"/>
        <v>0</v>
      </c>
      <c r="G210" s="11">
        <f t="shared" si="149"/>
        <v>0</v>
      </c>
      <c r="H210" s="11">
        <f t="shared" si="150"/>
        <v>0</v>
      </c>
      <c r="I210" s="11">
        <f t="shared" si="151"/>
        <v>0</v>
      </c>
      <c r="J210" s="11">
        <f t="shared" si="152"/>
        <v>0</v>
      </c>
      <c r="K210" s="11">
        <f t="shared" si="153"/>
        <v>0</v>
      </c>
      <c r="L210" s="11">
        <f t="shared" si="154"/>
        <v>0</v>
      </c>
      <c r="M210" s="11">
        <f t="shared" si="155"/>
        <v>0</v>
      </c>
      <c r="N210" s="11">
        <f t="shared" si="156"/>
        <v>0</v>
      </c>
      <c r="O210" s="11">
        <f t="shared" si="157"/>
        <v>0</v>
      </c>
      <c r="P210" s="11">
        <f t="shared" si="158"/>
        <v>0</v>
      </c>
      <c r="Q210" s="11">
        <f t="shared" si="159"/>
        <v>0</v>
      </c>
      <c r="R210" s="11">
        <f t="shared" si="160"/>
        <v>0</v>
      </c>
      <c r="S210" s="11">
        <f t="shared" si="161"/>
        <v>0</v>
      </c>
      <c r="T210" s="11">
        <f t="shared" si="162"/>
        <v>0</v>
      </c>
      <c r="U210" s="11">
        <f t="shared" si="163"/>
        <v>0</v>
      </c>
      <c r="V210" s="11">
        <f t="shared" si="164"/>
        <v>0</v>
      </c>
      <c r="W210" s="11">
        <f t="shared" si="168"/>
        <v>0</v>
      </c>
      <c r="X210" s="11">
        <f t="shared" si="165"/>
        <v>0</v>
      </c>
      <c r="Y210" s="11">
        <f t="shared" si="166"/>
        <v>0</v>
      </c>
      <c r="Z210" s="11">
        <f t="shared" si="169"/>
        <v>0</v>
      </c>
      <c r="AB210" s="474"/>
      <c r="AC210" s="474"/>
      <c r="AD210" s="474"/>
      <c r="AE210" s="474"/>
      <c r="AH210" s="11"/>
    </row>
    <row r="211" spans="1:34" x14ac:dyDescent="0.2">
      <c r="A211" s="463"/>
      <c r="B211" s="3">
        <v>4</v>
      </c>
      <c r="C211" s="11">
        <f t="shared" si="167"/>
        <v>0</v>
      </c>
      <c r="D211" s="11">
        <f t="shared" si="146"/>
        <v>0</v>
      </c>
      <c r="E211" s="11">
        <f t="shared" si="147"/>
        <v>0</v>
      </c>
      <c r="F211" s="11">
        <f t="shared" si="148"/>
        <v>0</v>
      </c>
      <c r="G211" s="11">
        <f t="shared" si="149"/>
        <v>0</v>
      </c>
      <c r="H211" s="11">
        <f t="shared" si="150"/>
        <v>0</v>
      </c>
      <c r="I211" s="11">
        <f t="shared" si="151"/>
        <v>0</v>
      </c>
      <c r="J211" s="11">
        <f t="shared" si="152"/>
        <v>0</v>
      </c>
      <c r="K211" s="11">
        <f t="shared" si="153"/>
        <v>0</v>
      </c>
      <c r="L211" s="11">
        <f t="shared" si="154"/>
        <v>0</v>
      </c>
      <c r="M211" s="11">
        <f t="shared" si="155"/>
        <v>0</v>
      </c>
      <c r="N211" s="11">
        <f t="shared" si="156"/>
        <v>0</v>
      </c>
      <c r="O211" s="11">
        <f t="shared" si="157"/>
        <v>0</v>
      </c>
      <c r="P211" s="11">
        <f t="shared" si="158"/>
        <v>0</v>
      </c>
      <c r="Q211" s="11">
        <f t="shared" si="159"/>
        <v>0</v>
      </c>
      <c r="R211" s="11">
        <f t="shared" si="160"/>
        <v>0</v>
      </c>
      <c r="S211" s="11">
        <f t="shared" si="161"/>
        <v>0</v>
      </c>
      <c r="T211" s="11">
        <f t="shared" si="162"/>
        <v>0</v>
      </c>
      <c r="U211" s="11">
        <f t="shared" si="163"/>
        <v>0</v>
      </c>
      <c r="V211" s="11">
        <f t="shared" si="164"/>
        <v>0</v>
      </c>
      <c r="W211" s="11">
        <f t="shared" si="168"/>
        <v>0</v>
      </c>
      <c r="X211" s="11">
        <f t="shared" si="165"/>
        <v>0</v>
      </c>
      <c r="Y211" s="11">
        <f t="shared" si="166"/>
        <v>0</v>
      </c>
      <c r="Z211" s="11">
        <f t="shared" si="169"/>
        <v>0</v>
      </c>
      <c r="AB211" s="474"/>
      <c r="AC211" s="474"/>
      <c r="AD211" s="474"/>
      <c r="AE211" s="474"/>
      <c r="AH211" s="11"/>
    </row>
    <row r="212" spans="1:34" x14ac:dyDescent="0.2">
      <c r="A212" s="463"/>
      <c r="B212" s="3">
        <v>5</v>
      </c>
      <c r="C212" s="11">
        <f t="shared" si="167"/>
        <v>0</v>
      </c>
      <c r="D212" s="11">
        <f t="shared" si="146"/>
        <v>0</v>
      </c>
      <c r="E212" s="11">
        <f t="shared" si="147"/>
        <v>0</v>
      </c>
      <c r="F212" s="11">
        <f t="shared" si="148"/>
        <v>0</v>
      </c>
      <c r="G212" s="11">
        <f t="shared" si="149"/>
        <v>0</v>
      </c>
      <c r="H212" s="11">
        <f t="shared" si="150"/>
        <v>0</v>
      </c>
      <c r="I212" s="11">
        <f t="shared" si="151"/>
        <v>0</v>
      </c>
      <c r="J212" s="11">
        <f t="shared" si="152"/>
        <v>0</v>
      </c>
      <c r="K212" s="11">
        <f t="shared" si="153"/>
        <v>0</v>
      </c>
      <c r="L212" s="11">
        <f t="shared" si="154"/>
        <v>0</v>
      </c>
      <c r="M212" s="11">
        <f t="shared" si="155"/>
        <v>0</v>
      </c>
      <c r="N212" s="11">
        <f t="shared" si="156"/>
        <v>0</v>
      </c>
      <c r="O212" s="11">
        <f t="shared" si="157"/>
        <v>0</v>
      </c>
      <c r="P212" s="11">
        <f t="shared" si="158"/>
        <v>0</v>
      </c>
      <c r="Q212" s="11">
        <f t="shared" si="159"/>
        <v>0</v>
      </c>
      <c r="R212" s="11">
        <f t="shared" si="160"/>
        <v>0</v>
      </c>
      <c r="S212" s="11">
        <f t="shared" si="161"/>
        <v>0</v>
      </c>
      <c r="T212" s="11">
        <f t="shared" si="162"/>
        <v>0</v>
      </c>
      <c r="U212" s="11">
        <f t="shared" si="163"/>
        <v>0</v>
      </c>
      <c r="V212" s="11">
        <f t="shared" si="164"/>
        <v>0</v>
      </c>
      <c r="W212" s="11">
        <f t="shared" si="168"/>
        <v>0</v>
      </c>
      <c r="X212" s="11">
        <f t="shared" si="165"/>
        <v>0</v>
      </c>
      <c r="Y212" s="11">
        <f t="shared" si="166"/>
        <v>0</v>
      </c>
      <c r="Z212" s="11">
        <f t="shared" si="169"/>
        <v>0</v>
      </c>
      <c r="AB212" s="474"/>
      <c r="AC212" s="474"/>
      <c r="AD212" s="474"/>
      <c r="AE212" s="474"/>
      <c r="AH212" s="11"/>
    </row>
    <row r="213" spans="1:34" x14ac:dyDescent="0.2">
      <c r="A213" s="463"/>
      <c r="B213" s="3">
        <v>6</v>
      </c>
      <c r="C213" s="11">
        <f t="shared" si="167"/>
        <v>0</v>
      </c>
      <c r="D213" s="11">
        <f t="shared" si="146"/>
        <v>0</v>
      </c>
      <c r="E213" s="11">
        <f t="shared" si="147"/>
        <v>0</v>
      </c>
      <c r="F213" s="11">
        <f t="shared" si="148"/>
        <v>0</v>
      </c>
      <c r="G213" s="11">
        <f t="shared" si="149"/>
        <v>0</v>
      </c>
      <c r="H213" s="11">
        <f t="shared" si="150"/>
        <v>0</v>
      </c>
      <c r="I213" s="11">
        <f t="shared" si="151"/>
        <v>0</v>
      </c>
      <c r="J213" s="11">
        <f t="shared" si="152"/>
        <v>0</v>
      </c>
      <c r="K213" s="11">
        <f t="shared" si="153"/>
        <v>0</v>
      </c>
      <c r="L213" s="11">
        <f t="shared" si="154"/>
        <v>0</v>
      </c>
      <c r="M213" s="11">
        <f t="shared" si="155"/>
        <v>0</v>
      </c>
      <c r="N213" s="11">
        <f t="shared" si="156"/>
        <v>0</v>
      </c>
      <c r="O213" s="11">
        <f t="shared" si="157"/>
        <v>0</v>
      </c>
      <c r="P213" s="11">
        <f t="shared" si="158"/>
        <v>0</v>
      </c>
      <c r="Q213" s="11">
        <f t="shared" si="159"/>
        <v>0</v>
      </c>
      <c r="R213" s="11">
        <f t="shared" si="160"/>
        <v>0</v>
      </c>
      <c r="S213" s="11">
        <f t="shared" si="161"/>
        <v>0</v>
      </c>
      <c r="T213" s="11">
        <f t="shared" si="162"/>
        <v>0</v>
      </c>
      <c r="U213" s="11">
        <f t="shared" si="163"/>
        <v>0</v>
      </c>
      <c r="V213" s="11">
        <f t="shared" si="164"/>
        <v>0</v>
      </c>
      <c r="W213" s="11">
        <f t="shared" si="168"/>
        <v>0</v>
      </c>
      <c r="X213" s="11">
        <f t="shared" si="165"/>
        <v>0</v>
      </c>
      <c r="Y213" s="11">
        <f t="shared" si="166"/>
        <v>0</v>
      </c>
      <c r="Z213" s="11">
        <f t="shared" si="169"/>
        <v>0</v>
      </c>
      <c r="AB213" s="474"/>
      <c r="AC213" s="474"/>
      <c r="AD213" s="474"/>
      <c r="AE213" s="474"/>
      <c r="AH213" s="11"/>
    </row>
    <row r="214" spans="1:34" x14ac:dyDescent="0.2">
      <c r="A214" s="463"/>
      <c r="B214" s="3">
        <v>7</v>
      </c>
      <c r="C214" s="11">
        <f t="shared" si="167"/>
        <v>0</v>
      </c>
      <c r="D214" s="11">
        <f t="shared" si="146"/>
        <v>0</v>
      </c>
      <c r="E214" s="11">
        <f t="shared" si="147"/>
        <v>0</v>
      </c>
      <c r="F214" s="11">
        <f t="shared" si="148"/>
        <v>0</v>
      </c>
      <c r="G214" s="11">
        <f t="shared" si="149"/>
        <v>0</v>
      </c>
      <c r="H214" s="11">
        <f t="shared" si="150"/>
        <v>0</v>
      </c>
      <c r="I214" s="11">
        <f t="shared" si="151"/>
        <v>0</v>
      </c>
      <c r="J214" s="11">
        <f t="shared" si="152"/>
        <v>0</v>
      </c>
      <c r="K214" s="11">
        <f t="shared" si="153"/>
        <v>0</v>
      </c>
      <c r="L214" s="11">
        <f t="shared" si="154"/>
        <v>0</v>
      </c>
      <c r="M214" s="11">
        <f t="shared" si="155"/>
        <v>0</v>
      </c>
      <c r="N214" s="11">
        <f t="shared" si="156"/>
        <v>0</v>
      </c>
      <c r="O214" s="11">
        <f t="shared" si="157"/>
        <v>0</v>
      </c>
      <c r="P214" s="11">
        <f t="shared" si="158"/>
        <v>0</v>
      </c>
      <c r="Q214" s="11">
        <f t="shared" si="159"/>
        <v>0</v>
      </c>
      <c r="R214" s="11">
        <f t="shared" si="160"/>
        <v>0</v>
      </c>
      <c r="S214" s="11">
        <f t="shared" si="161"/>
        <v>0</v>
      </c>
      <c r="T214" s="11">
        <f t="shared" si="162"/>
        <v>0</v>
      </c>
      <c r="U214" s="11">
        <f t="shared" si="163"/>
        <v>0</v>
      </c>
      <c r="V214" s="11">
        <f t="shared" si="164"/>
        <v>0</v>
      </c>
      <c r="W214" s="11">
        <f t="shared" si="168"/>
        <v>0</v>
      </c>
      <c r="X214" s="11">
        <f t="shared" si="165"/>
        <v>0</v>
      </c>
      <c r="Y214" s="11">
        <f t="shared" si="166"/>
        <v>0</v>
      </c>
      <c r="Z214" s="11">
        <f t="shared" si="169"/>
        <v>0</v>
      </c>
      <c r="AB214" s="474"/>
      <c r="AC214" s="474"/>
      <c r="AD214" s="474"/>
      <c r="AE214" s="474"/>
      <c r="AH214" s="11"/>
    </row>
    <row r="215" spans="1:34" ht="16" customHeight="1" x14ac:dyDescent="0.2">
      <c r="A215" s="463"/>
      <c r="B215" s="3">
        <v>8</v>
      </c>
      <c r="C215" s="11">
        <f t="shared" si="167"/>
        <v>0</v>
      </c>
      <c r="D215" s="11">
        <f t="shared" si="146"/>
        <v>0</v>
      </c>
      <c r="E215" s="11">
        <f t="shared" si="147"/>
        <v>0</v>
      </c>
      <c r="F215" s="11">
        <f t="shared" si="148"/>
        <v>0</v>
      </c>
      <c r="G215" s="11">
        <f t="shared" si="149"/>
        <v>0</v>
      </c>
      <c r="H215" s="11">
        <f t="shared" si="150"/>
        <v>0</v>
      </c>
      <c r="I215" s="11">
        <f t="shared" si="151"/>
        <v>0</v>
      </c>
      <c r="J215" s="11">
        <f t="shared" si="152"/>
        <v>0</v>
      </c>
      <c r="K215" s="11">
        <f t="shared" si="153"/>
        <v>0</v>
      </c>
      <c r="L215" s="11">
        <f t="shared" si="154"/>
        <v>0</v>
      </c>
      <c r="M215" s="11">
        <f t="shared" si="155"/>
        <v>0</v>
      </c>
      <c r="N215" s="11">
        <f t="shared" si="156"/>
        <v>0</v>
      </c>
      <c r="O215" s="11">
        <f t="shared" si="157"/>
        <v>0</v>
      </c>
      <c r="P215" s="11">
        <f t="shared" si="158"/>
        <v>0</v>
      </c>
      <c r="Q215" s="11">
        <f t="shared" si="159"/>
        <v>0</v>
      </c>
      <c r="R215" s="11">
        <f t="shared" si="160"/>
        <v>0</v>
      </c>
      <c r="S215" s="11">
        <f t="shared" si="161"/>
        <v>0</v>
      </c>
      <c r="T215" s="11">
        <f t="shared" si="162"/>
        <v>0</v>
      </c>
      <c r="U215" s="11">
        <f t="shared" si="163"/>
        <v>0</v>
      </c>
      <c r="V215" s="11">
        <f t="shared" si="164"/>
        <v>0</v>
      </c>
      <c r="W215" s="11">
        <f t="shared" si="168"/>
        <v>0</v>
      </c>
      <c r="X215" s="11">
        <f t="shared" si="165"/>
        <v>0</v>
      </c>
      <c r="Y215" s="11">
        <f t="shared" si="166"/>
        <v>0</v>
      </c>
      <c r="Z215" s="11">
        <f t="shared" si="169"/>
        <v>0</v>
      </c>
      <c r="AC215" s="31"/>
      <c r="AD215" s="31"/>
      <c r="AE215" s="31"/>
      <c r="AH215" s="11"/>
    </row>
    <row r="216" spans="1:34" x14ac:dyDescent="0.2">
      <c r="A216" s="463"/>
      <c r="B216" s="3">
        <v>9</v>
      </c>
      <c r="C216" s="11">
        <f t="shared" si="167"/>
        <v>0</v>
      </c>
      <c r="D216" s="11">
        <f t="shared" si="146"/>
        <v>0</v>
      </c>
      <c r="E216" s="11">
        <f t="shared" si="147"/>
        <v>0</v>
      </c>
      <c r="F216" s="11">
        <f t="shared" si="148"/>
        <v>0</v>
      </c>
      <c r="G216" s="11">
        <f t="shared" si="149"/>
        <v>0</v>
      </c>
      <c r="H216" s="11">
        <f t="shared" si="150"/>
        <v>0</v>
      </c>
      <c r="I216" s="11">
        <f t="shared" si="151"/>
        <v>0</v>
      </c>
      <c r="J216" s="11">
        <f t="shared" si="152"/>
        <v>0</v>
      </c>
      <c r="K216" s="11">
        <f t="shared" si="153"/>
        <v>0</v>
      </c>
      <c r="L216" s="11">
        <f t="shared" si="154"/>
        <v>0</v>
      </c>
      <c r="M216" s="11">
        <f t="shared" si="155"/>
        <v>0</v>
      </c>
      <c r="N216" s="11">
        <f t="shared" si="156"/>
        <v>0</v>
      </c>
      <c r="O216" s="11">
        <f t="shared" si="157"/>
        <v>0</v>
      </c>
      <c r="P216" s="11">
        <f t="shared" si="158"/>
        <v>0</v>
      </c>
      <c r="Q216" s="11">
        <f t="shared" si="159"/>
        <v>0</v>
      </c>
      <c r="R216" s="11">
        <f t="shared" si="160"/>
        <v>0</v>
      </c>
      <c r="S216" s="11">
        <f t="shared" si="161"/>
        <v>0</v>
      </c>
      <c r="T216" s="11">
        <f t="shared" si="162"/>
        <v>0</v>
      </c>
      <c r="U216" s="11">
        <f t="shared" si="163"/>
        <v>0</v>
      </c>
      <c r="V216" s="11">
        <f t="shared" si="164"/>
        <v>0</v>
      </c>
      <c r="W216" s="11">
        <f t="shared" si="168"/>
        <v>0</v>
      </c>
      <c r="X216" s="11">
        <f t="shared" si="165"/>
        <v>0</v>
      </c>
      <c r="Y216" s="11">
        <f t="shared" si="166"/>
        <v>0</v>
      </c>
      <c r="Z216" s="11">
        <f t="shared" si="169"/>
        <v>0</v>
      </c>
      <c r="AB216" s="31"/>
      <c r="AC216" s="31"/>
      <c r="AD216" s="31"/>
      <c r="AE216" s="31"/>
      <c r="AH216" s="11"/>
    </row>
    <row r="217" spans="1:34" x14ac:dyDescent="0.2">
      <c r="A217" s="463"/>
      <c r="B217" s="3">
        <v>10</v>
      </c>
      <c r="C217" s="11">
        <f t="shared" si="167"/>
        <v>0</v>
      </c>
      <c r="D217" s="11">
        <f t="shared" si="146"/>
        <v>0</v>
      </c>
      <c r="E217" s="11">
        <f t="shared" si="147"/>
        <v>0</v>
      </c>
      <c r="F217" s="11">
        <f t="shared" si="148"/>
        <v>0</v>
      </c>
      <c r="G217" s="11">
        <f t="shared" si="149"/>
        <v>0</v>
      </c>
      <c r="H217" s="11">
        <f t="shared" si="150"/>
        <v>0</v>
      </c>
      <c r="I217" s="11">
        <f t="shared" si="151"/>
        <v>0</v>
      </c>
      <c r="J217" s="11">
        <f t="shared" si="152"/>
        <v>0</v>
      </c>
      <c r="K217" s="11">
        <f t="shared" si="153"/>
        <v>0</v>
      </c>
      <c r="L217" s="11">
        <f t="shared" si="154"/>
        <v>0</v>
      </c>
      <c r="M217" s="11">
        <f t="shared" si="155"/>
        <v>0</v>
      </c>
      <c r="N217" s="11">
        <f t="shared" si="156"/>
        <v>0</v>
      </c>
      <c r="O217" s="11">
        <f t="shared" si="157"/>
        <v>0</v>
      </c>
      <c r="P217" s="11">
        <f t="shared" si="158"/>
        <v>0</v>
      </c>
      <c r="Q217" s="11">
        <f t="shared" si="159"/>
        <v>0</v>
      </c>
      <c r="R217" s="11">
        <f t="shared" si="160"/>
        <v>0</v>
      </c>
      <c r="S217" s="11">
        <f t="shared" si="161"/>
        <v>0</v>
      </c>
      <c r="T217" s="11">
        <f t="shared" si="162"/>
        <v>0</v>
      </c>
      <c r="U217" s="11">
        <f t="shared" si="163"/>
        <v>0</v>
      </c>
      <c r="V217" s="11">
        <f t="shared" si="164"/>
        <v>0</v>
      </c>
      <c r="W217" s="11">
        <f t="shared" si="168"/>
        <v>0</v>
      </c>
      <c r="X217" s="11">
        <f t="shared" si="165"/>
        <v>0</v>
      </c>
      <c r="Y217" s="11">
        <f t="shared" si="166"/>
        <v>0</v>
      </c>
      <c r="Z217" s="11">
        <f t="shared" si="169"/>
        <v>0</v>
      </c>
      <c r="AB217" s="86"/>
      <c r="AC217" s="86"/>
      <c r="AD217" s="86"/>
      <c r="AE217" s="86"/>
      <c r="AH217" s="11"/>
    </row>
    <row r="218" spans="1:34" x14ac:dyDescent="0.2">
      <c r="A218" s="463"/>
      <c r="B218" s="3">
        <v>11</v>
      </c>
      <c r="C218" s="11">
        <f t="shared" si="167"/>
        <v>0</v>
      </c>
      <c r="D218" s="11">
        <f t="shared" si="146"/>
        <v>0</v>
      </c>
      <c r="E218" s="11">
        <f t="shared" si="147"/>
        <v>0</v>
      </c>
      <c r="F218" s="11">
        <f t="shared" si="148"/>
        <v>0</v>
      </c>
      <c r="G218" s="11">
        <f t="shared" si="149"/>
        <v>0</v>
      </c>
      <c r="H218" s="11">
        <f t="shared" si="150"/>
        <v>0</v>
      </c>
      <c r="I218" s="11">
        <f t="shared" si="151"/>
        <v>0</v>
      </c>
      <c r="J218" s="11">
        <f t="shared" si="152"/>
        <v>0</v>
      </c>
      <c r="K218" s="11">
        <f t="shared" si="153"/>
        <v>0</v>
      </c>
      <c r="L218" s="11">
        <f t="shared" si="154"/>
        <v>0</v>
      </c>
      <c r="M218" s="11">
        <f t="shared" si="155"/>
        <v>0</v>
      </c>
      <c r="N218" s="11">
        <f t="shared" si="156"/>
        <v>0</v>
      </c>
      <c r="O218" s="11">
        <f t="shared" si="157"/>
        <v>0</v>
      </c>
      <c r="P218" s="11">
        <f t="shared" si="158"/>
        <v>0</v>
      </c>
      <c r="Q218" s="11">
        <f t="shared" si="159"/>
        <v>0</v>
      </c>
      <c r="R218" s="11">
        <f t="shared" si="160"/>
        <v>0</v>
      </c>
      <c r="S218" s="11">
        <f t="shared" si="161"/>
        <v>0</v>
      </c>
      <c r="T218" s="11">
        <f t="shared" si="162"/>
        <v>0</v>
      </c>
      <c r="U218" s="11">
        <f t="shared" si="163"/>
        <v>0</v>
      </c>
      <c r="V218" s="11">
        <f t="shared" si="164"/>
        <v>0</v>
      </c>
      <c r="W218" s="11">
        <f t="shared" si="168"/>
        <v>0</v>
      </c>
      <c r="X218" s="11">
        <f t="shared" si="165"/>
        <v>0</v>
      </c>
      <c r="Y218" s="11">
        <f t="shared" si="166"/>
        <v>0</v>
      </c>
      <c r="Z218" s="11">
        <f t="shared" si="169"/>
        <v>0</v>
      </c>
      <c r="AB218" s="86"/>
      <c r="AC218" s="86"/>
      <c r="AD218" s="86"/>
      <c r="AE218" s="86"/>
      <c r="AH218" s="11"/>
    </row>
    <row r="219" spans="1:34" x14ac:dyDescent="0.2">
      <c r="A219" s="463"/>
      <c r="B219" s="3">
        <v>12</v>
      </c>
      <c r="C219" s="11">
        <f t="shared" si="167"/>
        <v>0</v>
      </c>
      <c r="D219" s="11">
        <f t="shared" si="146"/>
        <v>0</v>
      </c>
      <c r="E219" s="11">
        <f t="shared" si="147"/>
        <v>0</v>
      </c>
      <c r="F219" s="11">
        <f t="shared" si="148"/>
        <v>0</v>
      </c>
      <c r="G219" s="11">
        <f t="shared" si="149"/>
        <v>0</v>
      </c>
      <c r="H219" s="11">
        <f t="shared" si="150"/>
        <v>0</v>
      </c>
      <c r="I219" s="11">
        <f t="shared" si="151"/>
        <v>0</v>
      </c>
      <c r="J219" s="11">
        <f t="shared" si="152"/>
        <v>0</v>
      </c>
      <c r="K219" s="11">
        <f t="shared" si="153"/>
        <v>0</v>
      </c>
      <c r="L219" s="11">
        <f t="shared" si="154"/>
        <v>0</v>
      </c>
      <c r="M219" s="11">
        <f t="shared" si="155"/>
        <v>0</v>
      </c>
      <c r="N219" s="11">
        <f t="shared" si="156"/>
        <v>0</v>
      </c>
      <c r="O219" s="11">
        <f t="shared" si="157"/>
        <v>0</v>
      </c>
      <c r="P219" s="11">
        <f t="shared" si="158"/>
        <v>0</v>
      </c>
      <c r="Q219" s="11">
        <f t="shared" si="159"/>
        <v>0</v>
      </c>
      <c r="R219" s="11">
        <f t="shared" si="160"/>
        <v>0</v>
      </c>
      <c r="S219" s="11">
        <f t="shared" si="161"/>
        <v>0</v>
      </c>
      <c r="T219" s="11">
        <f t="shared" si="162"/>
        <v>0</v>
      </c>
      <c r="U219" s="11">
        <f t="shared" si="163"/>
        <v>0</v>
      </c>
      <c r="V219" s="11">
        <f t="shared" si="164"/>
        <v>0</v>
      </c>
      <c r="W219" s="11">
        <f t="shared" si="168"/>
        <v>0</v>
      </c>
      <c r="X219" s="11">
        <f t="shared" si="165"/>
        <v>0</v>
      </c>
      <c r="Y219" s="11">
        <f t="shared" si="166"/>
        <v>0</v>
      </c>
      <c r="Z219" s="11">
        <f t="shared" si="169"/>
        <v>0</v>
      </c>
      <c r="AB219" s="86"/>
      <c r="AC219" s="86"/>
      <c r="AD219" s="86"/>
      <c r="AE219" s="86"/>
      <c r="AH219" s="11"/>
    </row>
    <row r="220" spans="1:34" x14ac:dyDescent="0.2">
      <c r="A220" s="463"/>
      <c r="B220" s="3">
        <v>13</v>
      </c>
      <c r="C220" s="11">
        <f t="shared" si="167"/>
        <v>0</v>
      </c>
      <c r="D220" s="11">
        <f t="shared" si="146"/>
        <v>0</v>
      </c>
      <c r="E220" s="11">
        <f t="shared" si="147"/>
        <v>0</v>
      </c>
      <c r="F220" s="11">
        <f t="shared" si="148"/>
        <v>0</v>
      </c>
      <c r="G220" s="11">
        <f t="shared" si="149"/>
        <v>0</v>
      </c>
      <c r="H220" s="11">
        <f t="shared" si="150"/>
        <v>0</v>
      </c>
      <c r="I220" s="11">
        <f t="shared" si="151"/>
        <v>0</v>
      </c>
      <c r="J220" s="11">
        <f t="shared" si="152"/>
        <v>0</v>
      </c>
      <c r="K220" s="11">
        <f t="shared" si="153"/>
        <v>0</v>
      </c>
      <c r="L220" s="11">
        <f t="shared" si="154"/>
        <v>0</v>
      </c>
      <c r="M220" s="11">
        <f t="shared" si="155"/>
        <v>0</v>
      </c>
      <c r="N220" s="11">
        <f t="shared" si="156"/>
        <v>0</v>
      </c>
      <c r="O220" s="11">
        <f t="shared" si="157"/>
        <v>0</v>
      </c>
      <c r="P220" s="11">
        <f t="shared" si="158"/>
        <v>0</v>
      </c>
      <c r="Q220" s="11">
        <f t="shared" si="159"/>
        <v>0</v>
      </c>
      <c r="R220" s="11">
        <f t="shared" si="160"/>
        <v>0</v>
      </c>
      <c r="S220" s="11">
        <f t="shared" si="161"/>
        <v>0</v>
      </c>
      <c r="T220" s="11">
        <f t="shared" si="162"/>
        <v>0</v>
      </c>
      <c r="U220" s="11">
        <f t="shared" si="163"/>
        <v>0</v>
      </c>
      <c r="V220" s="11">
        <f t="shared" si="164"/>
        <v>0</v>
      </c>
      <c r="W220" s="11">
        <f t="shared" si="168"/>
        <v>0</v>
      </c>
      <c r="X220" s="11">
        <f t="shared" si="165"/>
        <v>0</v>
      </c>
      <c r="Y220" s="11">
        <f t="shared" si="166"/>
        <v>0</v>
      </c>
      <c r="Z220" s="11">
        <f t="shared" si="169"/>
        <v>0</v>
      </c>
      <c r="AB220" s="86"/>
      <c r="AC220" s="86"/>
      <c r="AD220" s="86"/>
      <c r="AE220" s="86"/>
      <c r="AH220" s="11"/>
    </row>
    <row r="221" spans="1:34" x14ac:dyDescent="0.2">
      <c r="A221" s="463"/>
      <c r="B221" s="3">
        <v>14</v>
      </c>
      <c r="C221" s="11">
        <f t="shared" si="167"/>
        <v>0</v>
      </c>
      <c r="D221" s="11">
        <f t="shared" si="146"/>
        <v>0</v>
      </c>
      <c r="E221" s="11">
        <f t="shared" si="147"/>
        <v>0</v>
      </c>
      <c r="F221" s="11">
        <f t="shared" si="148"/>
        <v>0</v>
      </c>
      <c r="G221" s="11">
        <f t="shared" si="149"/>
        <v>0</v>
      </c>
      <c r="H221" s="11">
        <f t="shared" si="150"/>
        <v>0</v>
      </c>
      <c r="I221" s="11">
        <f t="shared" si="151"/>
        <v>0</v>
      </c>
      <c r="J221" s="11">
        <f t="shared" si="152"/>
        <v>0</v>
      </c>
      <c r="K221" s="11">
        <f t="shared" si="153"/>
        <v>0</v>
      </c>
      <c r="L221" s="11">
        <f t="shared" si="154"/>
        <v>0</v>
      </c>
      <c r="M221" s="11">
        <f t="shared" si="155"/>
        <v>0</v>
      </c>
      <c r="N221" s="11">
        <f t="shared" si="156"/>
        <v>0</v>
      </c>
      <c r="O221" s="11">
        <f t="shared" si="157"/>
        <v>0</v>
      </c>
      <c r="P221" s="11">
        <f t="shared" si="158"/>
        <v>0</v>
      </c>
      <c r="Q221" s="11">
        <f t="shared" si="159"/>
        <v>0</v>
      </c>
      <c r="R221" s="11">
        <f t="shared" si="160"/>
        <v>0</v>
      </c>
      <c r="S221" s="11">
        <f t="shared" si="161"/>
        <v>0</v>
      </c>
      <c r="T221" s="11">
        <f t="shared" si="162"/>
        <v>0</v>
      </c>
      <c r="U221" s="11">
        <f t="shared" si="163"/>
        <v>0</v>
      </c>
      <c r="V221" s="11">
        <f t="shared" si="164"/>
        <v>0</v>
      </c>
      <c r="W221" s="11">
        <f t="shared" si="168"/>
        <v>0</v>
      </c>
      <c r="X221" s="11">
        <f t="shared" si="165"/>
        <v>0</v>
      </c>
      <c r="Y221" s="11">
        <f t="shared" si="166"/>
        <v>0</v>
      </c>
      <c r="Z221" s="11">
        <f t="shared" si="169"/>
        <v>0</v>
      </c>
      <c r="AB221" s="86"/>
      <c r="AC221" s="86"/>
      <c r="AD221" s="86"/>
      <c r="AE221" s="86"/>
      <c r="AH221" s="11"/>
    </row>
    <row r="222" spans="1:34" x14ac:dyDescent="0.2">
      <c r="A222" s="463"/>
      <c r="B222" s="3">
        <v>15</v>
      </c>
      <c r="C222" s="11">
        <f t="shared" si="167"/>
        <v>0</v>
      </c>
      <c r="D222" s="11">
        <f t="shared" si="146"/>
        <v>0</v>
      </c>
      <c r="E222" s="11">
        <f t="shared" si="147"/>
        <v>0</v>
      </c>
      <c r="F222" s="11">
        <f t="shared" si="148"/>
        <v>0</v>
      </c>
      <c r="G222" s="11">
        <f t="shared" si="149"/>
        <v>0</v>
      </c>
      <c r="H222" s="11">
        <f t="shared" si="150"/>
        <v>0</v>
      </c>
      <c r="I222" s="11">
        <f t="shared" si="151"/>
        <v>0</v>
      </c>
      <c r="J222" s="11">
        <f t="shared" si="152"/>
        <v>0</v>
      </c>
      <c r="K222" s="11">
        <f t="shared" si="153"/>
        <v>0</v>
      </c>
      <c r="L222" s="11">
        <f t="shared" si="154"/>
        <v>0</v>
      </c>
      <c r="M222" s="11">
        <f t="shared" si="155"/>
        <v>0</v>
      </c>
      <c r="N222" s="11">
        <f t="shared" si="156"/>
        <v>0</v>
      </c>
      <c r="O222" s="11">
        <f t="shared" si="157"/>
        <v>0</v>
      </c>
      <c r="P222" s="11">
        <f t="shared" si="158"/>
        <v>0</v>
      </c>
      <c r="Q222" s="11">
        <f t="shared" si="159"/>
        <v>0</v>
      </c>
      <c r="R222" s="11">
        <f t="shared" si="160"/>
        <v>0</v>
      </c>
      <c r="S222" s="11">
        <f t="shared" si="161"/>
        <v>0</v>
      </c>
      <c r="T222" s="11">
        <f t="shared" si="162"/>
        <v>0</v>
      </c>
      <c r="U222" s="11">
        <f t="shared" si="163"/>
        <v>0</v>
      </c>
      <c r="V222" s="11">
        <f t="shared" si="164"/>
        <v>0</v>
      </c>
      <c r="W222" s="11">
        <f t="shared" si="168"/>
        <v>0</v>
      </c>
      <c r="X222" s="11">
        <f t="shared" si="165"/>
        <v>0</v>
      </c>
      <c r="Y222" s="11">
        <f t="shared" si="166"/>
        <v>0</v>
      </c>
      <c r="Z222" s="11">
        <f t="shared" si="169"/>
        <v>0</v>
      </c>
      <c r="AH222" s="11"/>
    </row>
    <row r="223" spans="1:34" x14ac:dyDescent="0.2">
      <c r="A223" s="463"/>
      <c r="B223" s="3">
        <v>16</v>
      </c>
      <c r="C223" s="11">
        <f t="shared" si="167"/>
        <v>0</v>
      </c>
      <c r="D223" s="11">
        <f t="shared" si="146"/>
        <v>0</v>
      </c>
      <c r="E223" s="11">
        <f t="shared" si="147"/>
        <v>0</v>
      </c>
      <c r="F223" s="11">
        <f t="shared" si="148"/>
        <v>0</v>
      </c>
      <c r="G223" s="11">
        <f t="shared" si="149"/>
        <v>0</v>
      </c>
      <c r="H223" s="11">
        <f t="shared" si="150"/>
        <v>0</v>
      </c>
      <c r="I223" s="11">
        <f t="shared" si="151"/>
        <v>0</v>
      </c>
      <c r="J223" s="11">
        <f t="shared" si="152"/>
        <v>0</v>
      </c>
      <c r="K223" s="11">
        <f t="shared" si="153"/>
        <v>0</v>
      </c>
      <c r="L223" s="11">
        <f t="shared" si="154"/>
        <v>0</v>
      </c>
      <c r="M223" s="11">
        <f t="shared" si="155"/>
        <v>0</v>
      </c>
      <c r="N223" s="11">
        <f t="shared" si="156"/>
        <v>0</v>
      </c>
      <c r="O223" s="11">
        <f t="shared" si="157"/>
        <v>0</v>
      </c>
      <c r="P223" s="11">
        <f t="shared" si="158"/>
        <v>0</v>
      </c>
      <c r="Q223" s="11">
        <f t="shared" si="159"/>
        <v>0</v>
      </c>
      <c r="R223" s="11">
        <f t="shared" si="160"/>
        <v>0</v>
      </c>
      <c r="S223" s="11">
        <f t="shared" si="161"/>
        <v>0</v>
      </c>
      <c r="T223" s="11">
        <f t="shared" si="162"/>
        <v>0</v>
      </c>
      <c r="U223" s="11">
        <f t="shared" si="163"/>
        <v>0</v>
      </c>
      <c r="V223" s="11">
        <f t="shared" si="164"/>
        <v>0</v>
      </c>
      <c r="W223" s="11">
        <f t="shared" si="168"/>
        <v>0</v>
      </c>
      <c r="X223" s="11">
        <f t="shared" si="165"/>
        <v>0</v>
      </c>
      <c r="Y223" s="11">
        <f t="shared" si="166"/>
        <v>0</v>
      </c>
      <c r="Z223" s="11">
        <f t="shared" si="169"/>
        <v>0</v>
      </c>
      <c r="AH223" s="11"/>
    </row>
    <row r="224" spans="1:34" x14ac:dyDescent="0.2">
      <c r="A224" s="463"/>
      <c r="B224" s="3">
        <v>17</v>
      </c>
      <c r="C224" s="11">
        <f t="shared" si="167"/>
        <v>0</v>
      </c>
      <c r="D224" s="11">
        <f t="shared" si="146"/>
        <v>0</v>
      </c>
      <c r="E224" s="11">
        <f t="shared" si="147"/>
        <v>0</v>
      </c>
      <c r="F224" s="11">
        <f t="shared" si="148"/>
        <v>0</v>
      </c>
      <c r="G224" s="11">
        <f t="shared" si="149"/>
        <v>0</v>
      </c>
      <c r="H224" s="11">
        <f t="shared" si="150"/>
        <v>0</v>
      </c>
      <c r="I224" s="11">
        <f t="shared" si="151"/>
        <v>0</v>
      </c>
      <c r="J224" s="11">
        <f t="shared" si="152"/>
        <v>0</v>
      </c>
      <c r="K224" s="11">
        <f t="shared" si="153"/>
        <v>0</v>
      </c>
      <c r="L224" s="11">
        <f t="shared" si="154"/>
        <v>0</v>
      </c>
      <c r="M224" s="11">
        <f t="shared" si="155"/>
        <v>0</v>
      </c>
      <c r="N224" s="11">
        <f t="shared" si="156"/>
        <v>0</v>
      </c>
      <c r="O224" s="11">
        <f t="shared" si="157"/>
        <v>0</v>
      </c>
      <c r="P224" s="11">
        <f t="shared" si="158"/>
        <v>0</v>
      </c>
      <c r="Q224" s="11">
        <f t="shared" si="159"/>
        <v>0</v>
      </c>
      <c r="R224" s="11">
        <f t="shared" si="160"/>
        <v>0</v>
      </c>
      <c r="S224" s="11">
        <f t="shared" si="161"/>
        <v>0</v>
      </c>
      <c r="T224" s="11">
        <f t="shared" si="162"/>
        <v>0</v>
      </c>
      <c r="U224" s="11">
        <f t="shared" si="163"/>
        <v>0</v>
      </c>
      <c r="V224" s="11">
        <f t="shared" si="164"/>
        <v>0</v>
      </c>
      <c r="W224" s="11">
        <f t="shared" si="168"/>
        <v>0</v>
      </c>
      <c r="X224" s="11">
        <f t="shared" si="165"/>
        <v>0</v>
      </c>
      <c r="Y224" s="11">
        <f t="shared" si="166"/>
        <v>0</v>
      </c>
      <c r="Z224" s="11">
        <f t="shared" si="169"/>
        <v>0</v>
      </c>
      <c r="AH224" s="11"/>
    </row>
    <row r="225" spans="1:52" x14ac:dyDescent="0.2">
      <c r="A225" s="463"/>
      <c r="B225" s="3">
        <v>18</v>
      </c>
      <c r="C225" s="11">
        <f t="shared" si="167"/>
        <v>0</v>
      </c>
      <c r="D225" s="11">
        <f t="shared" si="146"/>
        <v>0</v>
      </c>
      <c r="E225" s="11">
        <f t="shared" si="147"/>
        <v>0</v>
      </c>
      <c r="F225" s="11">
        <f t="shared" si="148"/>
        <v>0</v>
      </c>
      <c r="G225" s="11">
        <f t="shared" si="149"/>
        <v>0</v>
      </c>
      <c r="H225" s="11">
        <f t="shared" si="150"/>
        <v>0</v>
      </c>
      <c r="I225" s="11">
        <f t="shared" si="151"/>
        <v>0</v>
      </c>
      <c r="J225" s="11">
        <f t="shared" si="152"/>
        <v>0</v>
      </c>
      <c r="K225" s="11">
        <f t="shared" si="153"/>
        <v>0</v>
      </c>
      <c r="L225" s="11">
        <f t="shared" si="154"/>
        <v>0</v>
      </c>
      <c r="M225" s="11">
        <f t="shared" si="155"/>
        <v>0</v>
      </c>
      <c r="N225" s="11">
        <f t="shared" si="156"/>
        <v>0</v>
      </c>
      <c r="O225" s="11">
        <f t="shared" si="157"/>
        <v>0</v>
      </c>
      <c r="P225" s="11">
        <f t="shared" si="158"/>
        <v>0</v>
      </c>
      <c r="Q225" s="11">
        <f t="shared" si="159"/>
        <v>0</v>
      </c>
      <c r="R225" s="11">
        <f t="shared" si="160"/>
        <v>0</v>
      </c>
      <c r="S225" s="11">
        <f t="shared" si="161"/>
        <v>0</v>
      </c>
      <c r="T225" s="11">
        <f t="shared" si="162"/>
        <v>0</v>
      </c>
      <c r="U225" s="11">
        <f t="shared" si="163"/>
        <v>0</v>
      </c>
      <c r="V225" s="11">
        <f t="shared" si="164"/>
        <v>0</v>
      </c>
      <c r="W225" s="11">
        <f t="shared" si="168"/>
        <v>0</v>
      </c>
      <c r="X225" s="11">
        <f t="shared" si="165"/>
        <v>0</v>
      </c>
      <c r="Y225" s="11">
        <f t="shared" si="166"/>
        <v>0</v>
      </c>
      <c r="Z225" s="11">
        <f t="shared" si="169"/>
        <v>0</v>
      </c>
      <c r="AH225" s="11"/>
    </row>
    <row r="226" spans="1:52" x14ac:dyDescent="0.2">
      <c r="A226" s="463"/>
      <c r="B226" s="3">
        <v>19</v>
      </c>
      <c r="C226" s="11">
        <f t="shared" si="167"/>
        <v>0</v>
      </c>
      <c r="D226" s="11">
        <f t="shared" si="146"/>
        <v>0</v>
      </c>
      <c r="E226" s="11">
        <f t="shared" si="147"/>
        <v>0</v>
      </c>
      <c r="F226" s="11">
        <f t="shared" si="148"/>
        <v>0</v>
      </c>
      <c r="G226" s="11">
        <f t="shared" si="149"/>
        <v>0</v>
      </c>
      <c r="H226" s="11">
        <f t="shared" si="150"/>
        <v>0</v>
      </c>
      <c r="I226" s="11">
        <f t="shared" si="151"/>
        <v>0</v>
      </c>
      <c r="J226" s="11">
        <f t="shared" si="152"/>
        <v>0</v>
      </c>
      <c r="K226" s="11">
        <f t="shared" si="153"/>
        <v>0</v>
      </c>
      <c r="L226" s="11">
        <f t="shared" si="154"/>
        <v>0</v>
      </c>
      <c r="M226" s="11">
        <f t="shared" si="155"/>
        <v>0</v>
      </c>
      <c r="N226" s="11">
        <f t="shared" si="156"/>
        <v>0</v>
      </c>
      <c r="O226" s="11">
        <f t="shared" si="157"/>
        <v>0</v>
      </c>
      <c r="P226" s="11">
        <f t="shared" si="158"/>
        <v>0</v>
      </c>
      <c r="Q226" s="11">
        <f t="shared" si="159"/>
        <v>0</v>
      </c>
      <c r="R226" s="11">
        <f t="shared" si="160"/>
        <v>0</v>
      </c>
      <c r="S226" s="11">
        <f t="shared" si="161"/>
        <v>0</v>
      </c>
      <c r="T226" s="11">
        <f t="shared" si="162"/>
        <v>0</v>
      </c>
      <c r="U226" s="11">
        <f t="shared" si="163"/>
        <v>0</v>
      </c>
      <c r="V226" s="11">
        <f t="shared" si="164"/>
        <v>0</v>
      </c>
      <c r="W226" s="11">
        <f t="shared" si="168"/>
        <v>0</v>
      </c>
      <c r="X226" s="11">
        <f t="shared" si="165"/>
        <v>0</v>
      </c>
      <c r="Y226" s="11">
        <f t="shared" si="166"/>
        <v>0</v>
      </c>
      <c r="Z226" s="11">
        <f t="shared" si="169"/>
        <v>0</v>
      </c>
      <c r="AH226" s="11"/>
    </row>
    <row r="227" spans="1:52" x14ac:dyDescent="0.2">
      <c r="A227" s="463"/>
      <c r="B227" s="3">
        <v>20</v>
      </c>
      <c r="C227" s="11">
        <f t="shared" si="167"/>
        <v>0</v>
      </c>
      <c r="D227" s="11">
        <f t="shared" si="146"/>
        <v>0</v>
      </c>
      <c r="E227" s="11">
        <f t="shared" si="147"/>
        <v>0</v>
      </c>
      <c r="F227" s="11">
        <f t="shared" si="148"/>
        <v>0</v>
      </c>
      <c r="G227" s="11">
        <f t="shared" si="149"/>
        <v>0</v>
      </c>
      <c r="H227" s="11">
        <f t="shared" si="150"/>
        <v>0</v>
      </c>
      <c r="I227" s="11">
        <f t="shared" si="151"/>
        <v>0</v>
      </c>
      <c r="J227" s="11">
        <f t="shared" si="152"/>
        <v>0</v>
      </c>
      <c r="K227" s="11">
        <f t="shared" si="153"/>
        <v>0</v>
      </c>
      <c r="L227" s="11">
        <f t="shared" si="154"/>
        <v>0</v>
      </c>
      <c r="M227" s="11">
        <f t="shared" si="155"/>
        <v>0</v>
      </c>
      <c r="N227" s="11">
        <f t="shared" si="156"/>
        <v>0</v>
      </c>
      <c r="O227" s="11">
        <f t="shared" si="157"/>
        <v>0</v>
      </c>
      <c r="P227" s="11">
        <f t="shared" si="158"/>
        <v>0</v>
      </c>
      <c r="Q227" s="11">
        <f t="shared" si="159"/>
        <v>0</v>
      </c>
      <c r="R227" s="11">
        <f t="shared" si="160"/>
        <v>0</v>
      </c>
      <c r="S227" s="11">
        <f t="shared" si="161"/>
        <v>0</v>
      </c>
      <c r="T227" s="11">
        <f t="shared" si="162"/>
        <v>0</v>
      </c>
      <c r="U227" s="11">
        <f t="shared" si="163"/>
        <v>0</v>
      </c>
      <c r="V227" s="11">
        <f t="shared" si="164"/>
        <v>0</v>
      </c>
      <c r="W227" s="11">
        <f t="shared" si="168"/>
        <v>0</v>
      </c>
      <c r="X227" s="11">
        <f t="shared" si="165"/>
        <v>0</v>
      </c>
      <c r="Y227" s="11">
        <f t="shared" si="166"/>
        <v>0</v>
      </c>
      <c r="Z227" s="11">
        <f t="shared" si="169"/>
        <v>0</v>
      </c>
      <c r="AH227" s="11"/>
    </row>
    <row r="229" spans="1:52" x14ac:dyDescent="0.2">
      <c r="A229" s="135" t="s">
        <v>628</v>
      </c>
      <c r="B229" s="135"/>
      <c r="C229" s="135"/>
      <c r="D229" s="135"/>
      <c r="E229" s="135"/>
      <c r="F229" s="135"/>
      <c r="G229" s="135"/>
      <c r="H229" s="135"/>
      <c r="I229" s="135"/>
      <c r="J229" s="135"/>
      <c r="K229" s="135"/>
      <c r="L229" s="135"/>
      <c r="M229" s="49"/>
      <c r="N229" s="49"/>
      <c r="O229" s="49"/>
      <c r="P229" s="49"/>
      <c r="Q229" s="49"/>
      <c r="R229" s="49"/>
      <c r="S229" s="49"/>
      <c r="T229" s="49"/>
      <c r="U229" s="49"/>
      <c r="V229" s="49"/>
      <c r="W229" s="49"/>
      <c r="X229" s="49"/>
      <c r="Y229" s="49"/>
      <c r="Z229" s="49"/>
      <c r="AA229" s="49"/>
      <c r="AB229" s="49"/>
      <c r="AC229" s="49"/>
      <c r="AD229" s="49"/>
      <c r="AE229" s="49"/>
      <c r="AF229" s="49"/>
      <c r="AG229" s="49"/>
      <c r="AH229" s="49"/>
      <c r="AI229" s="49"/>
      <c r="AJ229" s="49"/>
      <c r="AK229" s="49"/>
      <c r="AL229" s="49"/>
      <c r="AM229" s="49"/>
      <c r="AN229" s="49"/>
      <c r="AO229" s="49"/>
      <c r="AP229" s="49"/>
      <c r="AQ229" s="49"/>
      <c r="AR229" s="49"/>
      <c r="AS229" s="49"/>
      <c r="AT229" s="49"/>
      <c r="AU229" s="49"/>
      <c r="AV229" s="49"/>
      <c r="AW229" s="49"/>
      <c r="AX229" s="49"/>
      <c r="AY229" s="49"/>
      <c r="AZ229" s="49"/>
    </row>
    <row r="230" spans="1:52" x14ac:dyDescent="0.2">
      <c r="A230" s="38"/>
      <c r="C230" s="11"/>
      <c r="D230" s="11"/>
      <c r="E230" s="11"/>
      <c r="F230" s="11"/>
      <c r="G230" s="11"/>
      <c r="H230" s="11"/>
      <c r="I230" s="11"/>
      <c r="J230" s="11"/>
      <c r="K230" s="11"/>
      <c r="L230" s="11"/>
      <c r="M230" s="11"/>
      <c r="N230" s="11"/>
      <c r="O230" s="11"/>
      <c r="P230" s="11"/>
      <c r="Q230" s="11"/>
      <c r="R230" s="11"/>
      <c r="S230" s="11"/>
      <c r="T230" s="11"/>
      <c r="U230" s="11"/>
      <c r="V230" s="11"/>
      <c r="W230" s="11"/>
      <c r="X230" s="11"/>
      <c r="Y230" s="11"/>
      <c r="Z230" s="11"/>
      <c r="AA230" s="11"/>
      <c r="AB230" s="11"/>
      <c r="AC230" s="11"/>
      <c r="AD230" s="11"/>
      <c r="AE230" s="11"/>
      <c r="AF230" s="11"/>
      <c r="AG230" s="11"/>
      <c r="AH230" s="11"/>
      <c r="AI230" s="11"/>
    </row>
    <row r="231" spans="1:52" x14ac:dyDescent="0.2">
      <c r="A231" s="23"/>
      <c r="B231" s="3" t="str">
        <f>B174</f>
        <v/>
      </c>
      <c r="C231" s="3" t="e">
        <f>IF(B231=0,0,VLOOKUP(B231,Listes!$C$7:$E$36,3,FALSE))</f>
        <v>#N/A</v>
      </c>
      <c r="L231" s="3" t="str">
        <f>K174</f>
        <v/>
      </c>
      <c r="M231" s="3" t="e">
        <f>IF(L231=0,0,VLOOKUP(L231,Listes!$C$7:$E$36,3,FALSE))</f>
        <v>#N/A</v>
      </c>
      <c r="V231" s="3" t="str">
        <f>T174</f>
        <v/>
      </c>
      <c r="W231" s="3" t="e">
        <f>IF(V231=0,0,VLOOKUP(V231,Listes!$C$7:$E$36,3,FALSE))</f>
        <v>#N/A</v>
      </c>
      <c r="AF231" s="3" t="str">
        <f>AC174</f>
        <v/>
      </c>
      <c r="AG231" s="3" t="e">
        <f>IF(AF231=0,0,VLOOKUP(AF231,Listes!$C$7:$E$36,3,FALSE))</f>
        <v>#N/A</v>
      </c>
    </row>
    <row r="232" spans="1:52" ht="16" customHeight="1" x14ac:dyDescent="0.2">
      <c r="A232" s="463" t="s">
        <v>735</v>
      </c>
      <c r="B232" s="3" t="s">
        <v>15</v>
      </c>
      <c r="C232" s="3" t="s">
        <v>127</v>
      </c>
      <c r="D232" s="3" t="s">
        <v>161</v>
      </c>
      <c r="E232" s="3" t="s">
        <v>162</v>
      </c>
      <c r="F232" s="3" t="s">
        <v>163</v>
      </c>
      <c r="G232" s="3" t="s">
        <v>81</v>
      </c>
      <c r="H232" s="3" t="s">
        <v>84</v>
      </c>
      <c r="I232" s="3" t="s">
        <v>83</v>
      </c>
      <c r="K232" s="463" t="s">
        <v>734</v>
      </c>
      <c r="L232" s="3" t="s">
        <v>15</v>
      </c>
      <c r="M232" s="3" t="s">
        <v>127</v>
      </c>
      <c r="N232" s="3" t="s">
        <v>161</v>
      </c>
      <c r="O232" s="3" t="s">
        <v>162</v>
      </c>
      <c r="P232" s="3" t="s">
        <v>163</v>
      </c>
      <c r="Q232" s="3" t="s">
        <v>81</v>
      </c>
      <c r="R232" s="3" t="s">
        <v>84</v>
      </c>
      <c r="S232" s="3" t="s">
        <v>83</v>
      </c>
      <c r="U232" s="463" t="s">
        <v>736</v>
      </c>
      <c r="V232" s="3" t="s">
        <v>15</v>
      </c>
      <c r="W232" s="3" t="s">
        <v>127</v>
      </c>
      <c r="X232" s="3" t="s">
        <v>161</v>
      </c>
      <c r="Y232" s="3" t="s">
        <v>162</v>
      </c>
      <c r="Z232" s="3" t="s">
        <v>163</v>
      </c>
      <c r="AA232" s="3" t="s">
        <v>81</v>
      </c>
      <c r="AB232" s="3" t="s">
        <v>84</v>
      </c>
      <c r="AC232" s="3" t="s">
        <v>83</v>
      </c>
      <c r="AE232" s="463" t="s">
        <v>737</v>
      </c>
      <c r="AF232" s="3" t="s">
        <v>15</v>
      </c>
      <c r="AG232" s="3" t="s">
        <v>127</v>
      </c>
      <c r="AH232" s="3" t="s">
        <v>161</v>
      </c>
      <c r="AI232" s="3" t="s">
        <v>162</v>
      </c>
      <c r="AJ232" s="3" t="s">
        <v>163</v>
      </c>
      <c r="AK232" s="3" t="s">
        <v>81</v>
      </c>
      <c r="AL232" s="3" t="s">
        <v>84</v>
      </c>
      <c r="AM232" s="3" t="s">
        <v>83</v>
      </c>
      <c r="AO232" s="463" t="s">
        <v>184</v>
      </c>
      <c r="AP232" s="3" t="s">
        <v>15</v>
      </c>
      <c r="AQ232" s="3" t="s">
        <v>81</v>
      </c>
      <c r="AR232" s="3" t="s">
        <v>84</v>
      </c>
      <c r="AS232" s="3" t="s">
        <v>83</v>
      </c>
      <c r="AT232" s="3" t="s">
        <v>27</v>
      </c>
      <c r="AU232" s="3" t="s">
        <v>85</v>
      </c>
    </row>
    <row r="233" spans="1:52" x14ac:dyDescent="0.2">
      <c r="A233" s="463"/>
      <c r="B233" s="3">
        <v>1</v>
      </c>
      <c r="C233" s="45">
        <f>D177</f>
        <v>0</v>
      </c>
      <c r="D233" s="45">
        <f>IF(OR(C233="",C233=0),0,C233*C$174*0.475)</f>
        <v>0</v>
      </c>
      <c r="E233" s="45">
        <f>IF(OR(D233=0,D233="",B$116=0),0,D233*INDEX(Listes!$K$1:$Q$12,MATCH(B$116,Listes!$K$1:$K$12,0),MATCH(E$117,Listes!$K$1:$Q$1,0)))</f>
        <v>0</v>
      </c>
      <c r="F233" s="45">
        <f t="shared" ref="F233" si="170">D233-E233</f>
        <v>0</v>
      </c>
      <c r="G233" s="45">
        <f>IF(OR(B$231=0,B$231=""),0,F233*INDEX(Listes!$K$15:$P$26,MATCH(B$231,Listes!$K$15:$K$26,0),MATCH(G$232,Listes!$K$15:$P$15,0))*INDEX(Listes!$K$29:$O$31,MATCH(C$231,Listes!$K$29:$K$31,0),MATCH(G$232,Listes!$K$29:$O$29,0)))</f>
        <v>0</v>
      </c>
      <c r="H233" s="45">
        <f>IF(OR(B$231=0,B$231=""),0,F233*INDEX(Listes!$K$15:$P$26,MATCH(B$231,Listes!$K$15:$K$26,0),MATCH(H$232,Listes!$K$15:$P$15,0))*INDEX(Listes!$K$29:$O$31,MATCH(C$231,Listes!$K$29:$K$31,0),MATCH(H$232,Listes!$K$29:$O$29,0)))</f>
        <v>0</v>
      </c>
      <c r="I233" s="45">
        <f>IF(OR(B$231=0,B$231=""),0,F233*INDEX(Listes!$K$15:$P$26,MATCH(B$231,Listes!$K$15:$K$26,0),MATCH(I$232,Listes!$K$15:$P$15,0))*INDEX(Listes!$K$29:$O$31,MATCH(C$231,Listes!$K$29:$K$31,0),MATCH(I$232,Listes!$K$29:$O$29,0)))</f>
        <v>0</v>
      </c>
      <c r="K233" s="463"/>
      <c r="L233" s="3">
        <v>1</v>
      </c>
      <c r="M233" s="45">
        <f t="shared" ref="M233:M252" si="171">M177</f>
        <v>0</v>
      </c>
      <c r="N233" s="45">
        <f t="shared" ref="N233:N252" si="172">IF(OR(M233="",M233=0),0,M233*L$174*0.475)</f>
        <v>0</v>
      </c>
      <c r="O233" s="45">
        <f>IF(OR(N233=0,N233="",L$116=0),0,N233*INDEX(Listes!$K$1:$Q$12,MATCH(L$116,Listes!$K$1:$K$12,0),MATCH(O$117,Listes!$K$1:$Q$1,0)))</f>
        <v>0</v>
      </c>
      <c r="P233" s="45">
        <f t="shared" ref="P233:P252" si="173">N233-O233</f>
        <v>0</v>
      </c>
      <c r="Q233" s="45">
        <f>IF(OR(L$231=0,L$231=""),0,P233*INDEX(Listes!$K$15:$P$26,MATCH(L$231,Listes!$K$15:$K$26,0),MATCH(Q$232,Listes!$K$15:$P$15,0))*INDEX(Listes!$K$29:$O$31,MATCH(M$231,Listes!$K$29:$K$31,0),MATCH(Q$232,Listes!$K$29:$O$29,0)))</f>
        <v>0</v>
      </c>
      <c r="R233" s="45">
        <f>IF(OR(L$231=0,L$231=""),0,P233*INDEX(Listes!$K$15:$P$26,MATCH(L$231,Listes!$K$15:$K$26,0),MATCH(R$232,Listes!$K$15:$P$15,0))*INDEX(Listes!$K$29:$O$31,MATCH(M$231,Listes!$K$29:$K$31,0),MATCH(R$232,Listes!$K$29:$O$29,0)))</f>
        <v>0</v>
      </c>
      <c r="S233" s="45">
        <f>IF(OR(L$231=0,L$231=""),0,P233*INDEX(Listes!$K$15:$P$26,MATCH(L$231,Listes!$K$15:$K$26,0),MATCH(S$232,Listes!$K$15:$P$15,0))*INDEX(Listes!$K$29:$O$31,MATCH(M$231,Listes!$K$29:$K$31,0),MATCH(S$232,Listes!$K$29:$O$29,0)))</f>
        <v>0</v>
      </c>
      <c r="U233" s="463"/>
      <c r="V233" s="3">
        <v>1</v>
      </c>
      <c r="W233" s="45">
        <f t="shared" ref="W233:W252" si="174">V177</f>
        <v>0</v>
      </c>
      <c r="X233" s="45">
        <f t="shared" ref="X233:X252" si="175">IF(OR(W233="",W233=0),0,W233*U$174*0.475)</f>
        <v>0</v>
      </c>
      <c r="Y233" s="45">
        <f>IF(OR(X233=0,X233="",V$116=0),0,X233*INDEX(Listes!$K$1:$Q$12,MATCH(V$116,Listes!$K$1:$K$12,0),MATCH(Y$117,Listes!$K$1:$Q$1,0)))</f>
        <v>0</v>
      </c>
      <c r="Z233" s="45">
        <f t="shared" ref="Z233:Z252" si="176">X233-Y233</f>
        <v>0</v>
      </c>
      <c r="AA233" s="45">
        <f>IF(OR(V$231=0,V$231=""),0,Z233*INDEX(Listes!$K$15:$P$26,MATCH(V$231,Listes!$K$15:$K$26,0),MATCH(AA$232,Listes!$K$15:$P$15,0))*INDEX(Listes!$K$29:$O$31,MATCH(W$231,Listes!$K$29:$K$31,0),MATCH(AA$232,Listes!$K$29:$O$29,0)))</f>
        <v>0</v>
      </c>
      <c r="AB233" s="45">
        <f>IF(OR(V$231=0,V$231=""),0,Z233*INDEX(Listes!$K$15:$P$26,MATCH(V$231,Listes!$K$15:$K$26,0),MATCH(AB$232,Listes!$K$15:$P$15,0))*INDEX(Listes!$K$29:$O$31,MATCH(W$231,Listes!$K$29:$K$31,0),MATCH(AB$232,Listes!$K$29:$O$29,0)))</f>
        <v>0</v>
      </c>
      <c r="AC233" s="45">
        <f>IF(OR(V$231=0,V$231=""),0,Z233*INDEX(Listes!$K$15:$P$26,MATCH(V$231,Listes!$K$15:$K$26,0),MATCH(AC$232,Listes!$K$15:$P$15,0))*INDEX(Listes!$K$29:$O$31,MATCH(W$231,Listes!$K$29:$K$31,0),MATCH(AC$232,Listes!$K$29:$O$29,0)))</f>
        <v>0</v>
      </c>
      <c r="AE233" s="463"/>
      <c r="AF233" s="3">
        <v>1</v>
      </c>
      <c r="AG233" s="45">
        <f t="shared" ref="AG233:AG252" si="177">AE177</f>
        <v>0</v>
      </c>
      <c r="AH233" s="45">
        <f t="shared" ref="AH233:AH252" si="178">IF(OR(AG233="",AG233=0),0,AG233*AD$174*0.475)</f>
        <v>0</v>
      </c>
      <c r="AI233" s="45">
        <f>IF(OR(AH233=0,AH233="",AF$116=0),0,AH233*INDEX(Listes!$K$1:$Q$12,MATCH(AF$116,Listes!$K$1:$K$12,0),MATCH(AI$117,Listes!$K$1:$Q$1,0)))</f>
        <v>0</v>
      </c>
      <c r="AJ233" s="45">
        <f t="shared" ref="AJ233:AJ252" si="179">AH233-AI233</f>
        <v>0</v>
      </c>
      <c r="AK233" s="45">
        <f>IF(OR(AF$231=0,AF$231=""),0,AJ233*INDEX(Listes!$K$15:$P$26,MATCH(AF$231,Listes!$K$15:$K$26,0),MATCH(AK$232,Listes!$K$15:$P$15,0))*INDEX(Listes!$K$29:$O$31,MATCH(AG$231,Listes!$K$29:$K$31,0),MATCH(AK$232,Listes!$K$29:$O$29,0)))</f>
        <v>0</v>
      </c>
      <c r="AL233" s="45">
        <f>IF(OR(AF$231=0,AF$231=""),0,AJ233*INDEX(Listes!$K$15:$P$26,MATCH(AF$231,Listes!$K$15:$K$26,0),MATCH(AL$232,Listes!$K$15:$P$15,0))*INDEX(Listes!$K$29:$O$31,MATCH(AG$231,Listes!$K$29:$K$31,0),MATCH(AL$232,Listes!$K$29:$O$29,0)))</f>
        <v>0</v>
      </c>
      <c r="AM233" s="45">
        <f>IF(OR(AF$231=0,AF$231=""),0,AJ233*INDEX(Listes!$K$15:$P$26,MATCH(AF$231,Listes!$K$15:$K$26,0),MATCH(AM$232,Listes!$K$15:$P$15,0))*INDEX(Listes!$K$29:$O$31,MATCH(AG$231,Listes!$K$29:$K$31,0),MATCH(AM$232,Listes!$K$29:$O$29,0)))</f>
        <v>0</v>
      </c>
      <c r="AO233" s="463"/>
      <c r="AP233" s="3">
        <v>1</v>
      </c>
      <c r="AQ233" s="11">
        <f t="shared" ref="AQ233:AQ252" si="180">SUM(G233,Q233,AA233,AK233)</f>
        <v>0</v>
      </c>
      <c r="AR233" s="11">
        <f t="shared" ref="AR233" si="181">SUM(H233,R233,AB233,AL233)</f>
        <v>0</v>
      </c>
      <c r="AS233" s="11">
        <f t="shared" ref="AS233" si="182">SUM(I233,S233,AC233,AM233)</f>
        <v>0</v>
      </c>
      <c r="AT233" s="11">
        <f>AQ233*VLOOKUP(AQ$232,Tableau17[],4,FALSE)+AR233*VLOOKUP(AR$232,Tableau17[],4,FALSE)+AS233*VLOOKUP(AS$232,Tableau17[],4,FALSE)</f>
        <v>0</v>
      </c>
      <c r="AU233" s="11">
        <f>AQ233*VLOOKUP(AQ$232,Tableau17[],3,FALSE)+AR233*VLOOKUP(AR$232,Tableau17[],3,FALSE)+AS233*VLOOKUP(AS$232,Tableau17[],3,FALSE)</f>
        <v>0</v>
      </c>
    </row>
    <row r="234" spans="1:52" x14ac:dyDescent="0.2">
      <c r="A234" s="463"/>
      <c r="B234" s="3">
        <v>2</v>
      </c>
      <c r="C234" s="45">
        <f t="shared" ref="C234:C252" si="183">D178</f>
        <v>0</v>
      </c>
      <c r="D234" s="45">
        <f t="shared" ref="D234:D252" si="184">IF(OR(C234="",C234=0),0,C234*C$174*0.475)</f>
        <v>0</v>
      </c>
      <c r="E234" s="45">
        <f>IF(OR(D234=0,D234="",B$116=0),0,D234*INDEX(Listes!$K$1:$Q$12,MATCH(B$116,Listes!$K$1:$K$12,0),MATCH(E$117,Listes!$K$1:$Q$1,0)))</f>
        <v>0</v>
      </c>
      <c r="F234" s="45">
        <f t="shared" ref="F234:F252" si="185">D234-E234</f>
        <v>0</v>
      </c>
      <c r="G234" s="45">
        <f>IF(OR(B$231=0,B$231=""),0,F234*INDEX(Listes!$K$15:$P$26,MATCH(B$231,Listes!$K$15:$K$26,0),MATCH(G$232,Listes!$K$15:$P$15,0))*INDEX(Listes!$K$29:$O$31,MATCH(C$231,Listes!$K$29:$K$31,0),MATCH(G$232,Listes!$K$29:$O$29,0)))</f>
        <v>0</v>
      </c>
      <c r="H234" s="45">
        <f>IF(OR(B$231=0,B$231=""),0,F234*INDEX(Listes!$K$15:$P$26,MATCH(B$231,Listes!$K$15:$K$26,0),MATCH(H$232,Listes!$K$15:$P$15,0))*INDEX(Listes!$K$29:$O$31,MATCH(C$231,Listes!$K$29:$K$31,0),MATCH(H$232,Listes!$K$29:$O$29,0)))</f>
        <v>0</v>
      </c>
      <c r="I234" s="45">
        <f>IF(OR(B$231=0,B$231=""),0,F234*INDEX(Listes!$K$15:$P$26,MATCH(B$231,Listes!$K$15:$K$26,0),MATCH(I$232,Listes!$K$15:$P$15,0))*INDEX(Listes!$K$29:$O$31,MATCH(C$231,Listes!$K$29:$K$31,0),MATCH(I$232,Listes!$K$29:$O$29,0)))</f>
        <v>0</v>
      </c>
      <c r="K234" s="463"/>
      <c r="L234" s="3">
        <v>2</v>
      </c>
      <c r="M234" s="45">
        <f t="shared" si="171"/>
        <v>0</v>
      </c>
      <c r="N234" s="45">
        <f t="shared" si="172"/>
        <v>0</v>
      </c>
      <c r="O234" s="45">
        <f>IF(OR(N234=0,N234="",L$116=0),0,N234*INDEX(Listes!$K$1:$Q$12,MATCH(L$116,Listes!$K$1:$K$12,0),MATCH(O$117,Listes!$K$1:$Q$1,0)))</f>
        <v>0</v>
      </c>
      <c r="P234" s="45">
        <f t="shared" si="173"/>
        <v>0</v>
      </c>
      <c r="Q234" s="45">
        <f>IF(OR(L$231=0,L$231=""),0,P234*INDEX(Listes!$K$15:$P$26,MATCH(L$231,Listes!$K$15:$K$26,0),MATCH(Q$232,Listes!$K$15:$P$15,0))*INDEX(Listes!$K$29:$O$31,MATCH(M$231,Listes!$K$29:$K$31,0),MATCH(Q$232,Listes!$K$29:$O$29,0)))</f>
        <v>0</v>
      </c>
      <c r="R234" s="45">
        <f>IF(OR(L$231=0,L$231=""),0,P234*INDEX(Listes!$K$15:$P$26,MATCH(L$231,Listes!$K$15:$K$26,0),MATCH(R$232,Listes!$K$15:$P$15,0))*INDEX(Listes!$K$29:$O$31,MATCH(M$231,Listes!$K$29:$K$31,0),MATCH(R$232,Listes!$K$29:$O$29,0)))</f>
        <v>0</v>
      </c>
      <c r="S234" s="45">
        <f>IF(OR(L$231=0,L$231=""),0,P234*INDEX(Listes!$K$15:$P$26,MATCH(L$231,Listes!$K$15:$K$26,0),MATCH(S$232,Listes!$K$15:$P$15,0))*INDEX(Listes!$K$29:$O$31,MATCH(M$231,Listes!$K$29:$K$31,0),MATCH(S$232,Listes!$K$29:$O$29,0)))</f>
        <v>0</v>
      </c>
      <c r="U234" s="463"/>
      <c r="V234" s="3">
        <v>2</v>
      </c>
      <c r="W234" s="45">
        <f t="shared" si="174"/>
        <v>0</v>
      </c>
      <c r="X234" s="45">
        <f t="shared" si="175"/>
        <v>0</v>
      </c>
      <c r="Y234" s="45">
        <f>IF(OR(X234=0,X234="",V$116=0),0,X234*INDEX(Listes!$K$1:$Q$12,MATCH(V$116,Listes!$K$1:$K$12,0),MATCH(Y$117,Listes!$K$1:$Q$1,0)))</f>
        <v>0</v>
      </c>
      <c r="Z234" s="45">
        <f t="shared" si="176"/>
        <v>0</v>
      </c>
      <c r="AA234" s="45">
        <f>IF(OR(V$231=0,V$231=""),0,Z234*INDEX(Listes!$K$15:$P$26,MATCH(V$231,Listes!$K$15:$K$26,0),MATCH(AA$232,Listes!$K$15:$P$15,0))*INDEX(Listes!$K$29:$O$31,MATCH(W$231,Listes!$K$29:$K$31,0),MATCH(AA$232,Listes!$K$29:$O$29,0)))</f>
        <v>0</v>
      </c>
      <c r="AB234" s="45">
        <f>IF(OR(V$231=0,V$231=""),0,Z234*INDEX(Listes!$K$15:$P$26,MATCH(V$231,Listes!$K$15:$K$26,0),MATCH(AB$232,Listes!$K$15:$P$15,0))*INDEX(Listes!$K$29:$O$31,MATCH(W$231,Listes!$K$29:$K$31,0),MATCH(AB$232,Listes!$K$29:$O$29,0)))</f>
        <v>0</v>
      </c>
      <c r="AC234" s="45">
        <f>IF(OR(V$231=0,V$231=""),0,Z234*INDEX(Listes!$K$15:$P$26,MATCH(V$231,Listes!$K$15:$K$26,0),MATCH(AC$232,Listes!$K$15:$P$15,0))*INDEX(Listes!$K$29:$O$31,MATCH(W$231,Listes!$K$29:$K$31,0),MATCH(AC$232,Listes!$K$29:$O$29,0)))</f>
        <v>0</v>
      </c>
      <c r="AE234" s="463"/>
      <c r="AF234" s="3">
        <v>2</v>
      </c>
      <c r="AG234" s="45">
        <f t="shared" si="177"/>
        <v>0</v>
      </c>
      <c r="AH234" s="45">
        <f t="shared" si="178"/>
        <v>0</v>
      </c>
      <c r="AI234" s="45">
        <f>IF(OR(AH234=0,AH234="",AF$116=0),0,AH234*INDEX(Listes!$K$1:$Q$12,MATCH(AF$116,Listes!$K$1:$K$12,0),MATCH(AI$117,Listes!$K$1:$Q$1,0)))</f>
        <v>0</v>
      </c>
      <c r="AJ234" s="45">
        <f t="shared" si="179"/>
        <v>0</v>
      </c>
      <c r="AK234" s="45">
        <f>IF(OR(AF$231=0,AF$231=""),0,AJ234*INDEX(Listes!$K$15:$P$26,MATCH(AF$231,Listes!$K$15:$K$26,0),MATCH(AK$232,Listes!$K$15:$P$15,0))*INDEX(Listes!$K$29:$O$31,MATCH(AG$231,Listes!$K$29:$K$31,0),MATCH(AK$232,Listes!$K$29:$O$29,0)))</f>
        <v>0</v>
      </c>
      <c r="AL234" s="45">
        <f>IF(OR(AF$231=0,AF$231=""),0,AJ234*INDEX(Listes!$K$15:$P$26,MATCH(AF$231,Listes!$K$15:$K$26,0),MATCH(AL$232,Listes!$K$15:$P$15,0))*INDEX(Listes!$K$29:$O$31,MATCH(AG$231,Listes!$K$29:$K$31,0),MATCH(AL$232,Listes!$K$29:$O$29,0)))</f>
        <v>0</v>
      </c>
      <c r="AM234" s="45">
        <f>IF(OR(AF$231=0,AF$231=""),0,AJ234*INDEX(Listes!$K$15:$P$26,MATCH(AF$231,Listes!$K$15:$K$26,0),MATCH(AM$232,Listes!$K$15:$P$15,0))*INDEX(Listes!$K$29:$O$31,MATCH(AG$231,Listes!$K$29:$K$31,0),MATCH(AM$232,Listes!$K$29:$O$29,0)))</f>
        <v>0</v>
      </c>
      <c r="AO234" s="463"/>
      <c r="AP234" s="3">
        <v>2</v>
      </c>
      <c r="AQ234" s="11">
        <f t="shared" si="180"/>
        <v>0</v>
      </c>
      <c r="AR234" s="11">
        <f t="shared" ref="AR234:AR252" si="186">SUM(H234,R234,AB234,AL234)</f>
        <v>0</v>
      </c>
      <c r="AS234" s="11">
        <f t="shared" ref="AS234:AS252" si="187">SUM(I234,S234,AC234,AM234)</f>
        <v>0</v>
      </c>
      <c r="AT234" s="11">
        <f>AQ234*VLOOKUP(AQ$232,Tableau17[],4,FALSE)+AR234*VLOOKUP(AR$232,Tableau17[],4,FALSE)+AS234*VLOOKUP(AS$232,Tableau17[],4,FALSE)</f>
        <v>0</v>
      </c>
      <c r="AU234" s="11">
        <f>AQ234*VLOOKUP(AQ$232,Tableau17[],3,FALSE)+AR234*VLOOKUP(AR$232,Tableau17[],3,FALSE)+AS234*VLOOKUP(AS$232,Tableau17[],3,FALSE)</f>
        <v>0</v>
      </c>
    </row>
    <row r="235" spans="1:52" x14ac:dyDescent="0.2">
      <c r="A235" s="463"/>
      <c r="B235" s="3">
        <v>3</v>
      </c>
      <c r="C235" s="45">
        <f t="shared" si="183"/>
        <v>0</v>
      </c>
      <c r="D235" s="45">
        <f t="shared" si="184"/>
        <v>0</v>
      </c>
      <c r="E235" s="45">
        <f>IF(OR(D235=0,D235="",B$116=0),0,D235*INDEX(Listes!$K$1:$Q$12,MATCH(B$116,Listes!$K$1:$K$12,0),MATCH(E$117,Listes!$K$1:$Q$1,0)))</f>
        <v>0</v>
      </c>
      <c r="F235" s="45">
        <f t="shared" si="185"/>
        <v>0</v>
      </c>
      <c r="G235" s="45">
        <f>IF(OR(B$231=0,B$231=""),0,F235*INDEX(Listes!$K$15:$P$26,MATCH(B$231,Listes!$K$15:$K$26,0),MATCH(G$232,Listes!$K$15:$P$15,0))*INDEX(Listes!$K$29:$O$31,MATCH(C$231,Listes!$K$29:$K$31,0),MATCH(G$232,Listes!$K$29:$O$29,0)))</f>
        <v>0</v>
      </c>
      <c r="H235" s="45">
        <f>IF(OR(B$231=0,B$231=""),0,F235*INDEX(Listes!$K$15:$P$26,MATCH(B$231,Listes!$K$15:$K$26,0),MATCH(H$232,Listes!$K$15:$P$15,0))*INDEX(Listes!$K$29:$O$31,MATCH(C$231,Listes!$K$29:$K$31,0),MATCH(H$232,Listes!$K$29:$O$29,0)))</f>
        <v>0</v>
      </c>
      <c r="I235" s="45">
        <f>IF(OR(B$231=0,B$231=""),0,F235*INDEX(Listes!$K$15:$P$26,MATCH(B$231,Listes!$K$15:$K$26,0),MATCH(I$232,Listes!$K$15:$P$15,0))*INDEX(Listes!$K$29:$O$31,MATCH(C$231,Listes!$K$29:$K$31,0),MATCH(I$232,Listes!$K$29:$O$29,0)))</f>
        <v>0</v>
      </c>
      <c r="K235" s="463"/>
      <c r="L235" s="3">
        <v>3</v>
      </c>
      <c r="M235" s="45">
        <f t="shared" si="171"/>
        <v>0</v>
      </c>
      <c r="N235" s="45">
        <f t="shared" si="172"/>
        <v>0</v>
      </c>
      <c r="O235" s="45">
        <f>IF(OR(N235=0,N235="",L$116=0),0,N235*INDEX(Listes!$K$1:$Q$12,MATCH(L$116,Listes!$K$1:$K$12,0),MATCH(O$117,Listes!$K$1:$Q$1,0)))</f>
        <v>0</v>
      </c>
      <c r="P235" s="45">
        <f t="shared" si="173"/>
        <v>0</v>
      </c>
      <c r="Q235" s="45">
        <f>IF(OR(L$231=0,L$231=""),0,P235*INDEX(Listes!$K$15:$P$26,MATCH(L$231,Listes!$K$15:$K$26,0),MATCH(Q$232,Listes!$K$15:$P$15,0))*INDEX(Listes!$K$29:$O$31,MATCH(M$231,Listes!$K$29:$K$31,0),MATCH(Q$232,Listes!$K$29:$O$29,0)))</f>
        <v>0</v>
      </c>
      <c r="R235" s="45">
        <f>IF(OR(L$231=0,L$231=""),0,P235*INDEX(Listes!$K$15:$P$26,MATCH(L$231,Listes!$K$15:$K$26,0),MATCH(R$232,Listes!$K$15:$P$15,0))*INDEX(Listes!$K$29:$O$31,MATCH(M$231,Listes!$K$29:$K$31,0),MATCH(R$232,Listes!$K$29:$O$29,0)))</f>
        <v>0</v>
      </c>
      <c r="S235" s="45">
        <f>IF(OR(L$231=0,L$231=""),0,P235*INDEX(Listes!$K$15:$P$26,MATCH(L$231,Listes!$K$15:$K$26,0),MATCH(S$232,Listes!$K$15:$P$15,0))*INDEX(Listes!$K$29:$O$31,MATCH(M$231,Listes!$K$29:$K$31,0),MATCH(S$232,Listes!$K$29:$O$29,0)))</f>
        <v>0</v>
      </c>
      <c r="U235" s="463"/>
      <c r="V235" s="3">
        <v>3</v>
      </c>
      <c r="W235" s="45">
        <f t="shared" si="174"/>
        <v>0</v>
      </c>
      <c r="X235" s="45">
        <f t="shared" si="175"/>
        <v>0</v>
      </c>
      <c r="Y235" s="45">
        <f>IF(OR(X235=0,X235="",V$116=0),0,X235*INDEX(Listes!$K$1:$Q$12,MATCH(V$116,Listes!$K$1:$K$12,0),MATCH(Y$117,Listes!$K$1:$Q$1,0)))</f>
        <v>0</v>
      </c>
      <c r="Z235" s="45">
        <f t="shared" si="176"/>
        <v>0</v>
      </c>
      <c r="AA235" s="45">
        <f>IF(OR(V$231=0,V$231=""),0,Z235*INDEX(Listes!$K$15:$P$26,MATCH(V$231,Listes!$K$15:$K$26,0),MATCH(AA$232,Listes!$K$15:$P$15,0))*INDEX(Listes!$K$29:$O$31,MATCH(W$231,Listes!$K$29:$K$31,0),MATCH(AA$232,Listes!$K$29:$O$29,0)))</f>
        <v>0</v>
      </c>
      <c r="AB235" s="45">
        <f>IF(OR(V$231=0,V$231=""),0,Z235*INDEX(Listes!$K$15:$P$26,MATCH(V$231,Listes!$K$15:$K$26,0),MATCH(AB$232,Listes!$K$15:$P$15,0))*INDEX(Listes!$K$29:$O$31,MATCH(W$231,Listes!$K$29:$K$31,0),MATCH(AB$232,Listes!$K$29:$O$29,0)))</f>
        <v>0</v>
      </c>
      <c r="AC235" s="45">
        <f>IF(OR(V$231=0,V$231=""),0,Z235*INDEX(Listes!$K$15:$P$26,MATCH(V$231,Listes!$K$15:$K$26,0),MATCH(AC$232,Listes!$K$15:$P$15,0))*INDEX(Listes!$K$29:$O$31,MATCH(W$231,Listes!$K$29:$K$31,0),MATCH(AC$232,Listes!$K$29:$O$29,0)))</f>
        <v>0</v>
      </c>
      <c r="AE235" s="463"/>
      <c r="AF235" s="3">
        <v>3</v>
      </c>
      <c r="AG235" s="45">
        <f t="shared" si="177"/>
        <v>0</v>
      </c>
      <c r="AH235" s="45">
        <f t="shared" si="178"/>
        <v>0</v>
      </c>
      <c r="AI235" s="45">
        <f>IF(OR(AH235=0,AH235="",AF$116=0),0,AH235*INDEX(Listes!$K$1:$Q$12,MATCH(AF$116,Listes!$K$1:$K$12,0),MATCH(AI$117,Listes!$K$1:$Q$1,0)))</f>
        <v>0</v>
      </c>
      <c r="AJ235" s="45">
        <f t="shared" si="179"/>
        <v>0</v>
      </c>
      <c r="AK235" s="45">
        <f>IF(OR(AF$231=0,AF$231=""),0,AJ235*INDEX(Listes!$K$15:$P$26,MATCH(AF$231,Listes!$K$15:$K$26,0),MATCH(AK$232,Listes!$K$15:$P$15,0))*INDEX(Listes!$K$29:$O$31,MATCH(AG$231,Listes!$K$29:$K$31,0),MATCH(AK$232,Listes!$K$29:$O$29,0)))</f>
        <v>0</v>
      </c>
      <c r="AL235" s="45">
        <f>IF(OR(AF$231=0,AF$231=""),0,AJ235*INDEX(Listes!$K$15:$P$26,MATCH(AF$231,Listes!$K$15:$K$26,0),MATCH(AL$232,Listes!$K$15:$P$15,0))*INDEX(Listes!$K$29:$O$31,MATCH(AG$231,Listes!$K$29:$K$31,0),MATCH(AL$232,Listes!$K$29:$O$29,0)))</f>
        <v>0</v>
      </c>
      <c r="AM235" s="45">
        <f>IF(OR(AF$231=0,AF$231=""),0,AJ235*INDEX(Listes!$K$15:$P$26,MATCH(AF$231,Listes!$K$15:$K$26,0),MATCH(AM$232,Listes!$K$15:$P$15,0))*INDEX(Listes!$K$29:$O$31,MATCH(AG$231,Listes!$K$29:$K$31,0),MATCH(AM$232,Listes!$K$29:$O$29,0)))</f>
        <v>0</v>
      </c>
      <c r="AO235" s="463"/>
      <c r="AP235" s="3">
        <v>3</v>
      </c>
      <c r="AQ235" s="11">
        <f t="shared" si="180"/>
        <v>0</v>
      </c>
      <c r="AR235" s="11">
        <f t="shared" si="186"/>
        <v>0</v>
      </c>
      <c r="AS235" s="11">
        <f t="shared" si="187"/>
        <v>0</v>
      </c>
      <c r="AT235" s="11">
        <f>AQ235*VLOOKUP(AQ$232,Tableau17[],4,FALSE)+AR235*VLOOKUP(AR$232,Tableau17[],4,FALSE)+AS235*VLOOKUP(AS$232,Tableau17[],4,FALSE)</f>
        <v>0</v>
      </c>
      <c r="AU235" s="11">
        <f>AQ235*VLOOKUP(AQ$232,Tableau17[],3,FALSE)+AR235*VLOOKUP(AR$232,Tableau17[],3,FALSE)+AS235*VLOOKUP(AS$232,Tableau17[],3,FALSE)</f>
        <v>0</v>
      </c>
    </row>
    <row r="236" spans="1:52" x14ac:dyDescent="0.2">
      <c r="A236" s="463"/>
      <c r="B236" s="3">
        <v>4</v>
      </c>
      <c r="C236" s="45">
        <f t="shared" si="183"/>
        <v>0</v>
      </c>
      <c r="D236" s="45">
        <f t="shared" si="184"/>
        <v>0</v>
      </c>
      <c r="E236" s="45">
        <f>IF(OR(D236=0,D236="",B$116=0),0,D236*INDEX(Listes!$K$1:$Q$12,MATCH(B$116,Listes!$K$1:$K$12,0),MATCH(E$117,Listes!$K$1:$Q$1,0)))</f>
        <v>0</v>
      </c>
      <c r="F236" s="45">
        <f t="shared" si="185"/>
        <v>0</v>
      </c>
      <c r="G236" s="45">
        <f>IF(OR(B$231=0,B$231=""),0,F236*INDEX(Listes!$K$15:$P$26,MATCH(B$231,Listes!$K$15:$K$26,0),MATCH(G$232,Listes!$K$15:$P$15,0))*INDEX(Listes!$K$29:$O$31,MATCH(C$231,Listes!$K$29:$K$31,0),MATCH(G$232,Listes!$K$29:$O$29,0)))</f>
        <v>0</v>
      </c>
      <c r="H236" s="45">
        <f>IF(OR(B$231=0,B$231=""),0,F236*INDEX(Listes!$K$15:$P$26,MATCH(B$231,Listes!$K$15:$K$26,0),MATCH(H$232,Listes!$K$15:$P$15,0))*INDEX(Listes!$K$29:$O$31,MATCH(C$231,Listes!$K$29:$K$31,0),MATCH(H$232,Listes!$K$29:$O$29,0)))</f>
        <v>0</v>
      </c>
      <c r="I236" s="45">
        <f>IF(OR(B$231=0,B$231=""),0,F236*INDEX(Listes!$K$15:$P$26,MATCH(B$231,Listes!$K$15:$K$26,0),MATCH(I$232,Listes!$K$15:$P$15,0))*INDEX(Listes!$K$29:$O$31,MATCH(C$231,Listes!$K$29:$K$31,0),MATCH(I$232,Listes!$K$29:$O$29,0)))</f>
        <v>0</v>
      </c>
      <c r="K236" s="463"/>
      <c r="L236" s="3">
        <v>4</v>
      </c>
      <c r="M236" s="45">
        <f t="shared" si="171"/>
        <v>0</v>
      </c>
      <c r="N236" s="45">
        <f t="shared" si="172"/>
        <v>0</v>
      </c>
      <c r="O236" s="45">
        <f>IF(OR(N236=0,N236="",L$116=0),0,N236*INDEX(Listes!$K$1:$Q$12,MATCH(L$116,Listes!$K$1:$K$12,0),MATCH(O$117,Listes!$K$1:$Q$1,0)))</f>
        <v>0</v>
      </c>
      <c r="P236" s="45">
        <f t="shared" si="173"/>
        <v>0</v>
      </c>
      <c r="Q236" s="45">
        <f>IF(OR(L$231=0,L$231=""),0,P236*INDEX(Listes!$K$15:$P$26,MATCH(L$231,Listes!$K$15:$K$26,0),MATCH(Q$232,Listes!$K$15:$P$15,0))*INDEX(Listes!$K$29:$O$31,MATCH(M$231,Listes!$K$29:$K$31,0),MATCH(Q$232,Listes!$K$29:$O$29,0)))</f>
        <v>0</v>
      </c>
      <c r="R236" s="45">
        <f>IF(OR(L$231=0,L$231=""),0,P236*INDEX(Listes!$K$15:$P$26,MATCH(L$231,Listes!$K$15:$K$26,0),MATCH(R$232,Listes!$K$15:$P$15,0))*INDEX(Listes!$K$29:$O$31,MATCH(M$231,Listes!$K$29:$K$31,0),MATCH(R$232,Listes!$K$29:$O$29,0)))</f>
        <v>0</v>
      </c>
      <c r="S236" s="45">
        <f>IF(OR(L$231=0,L$231=""),0,P236*INDEX(Listes!$K$15:$P$26,MATCH(L$231,Listes!$K$15:$K$26,0),MATCH(S$232,Listes!$K$15:$P$15,0))*INDEX(Listes!$K$29:$O$31,MATCH(M$231,Listes!$K$29:$K$31,0),MATCH(S$232,Listes!$K$29:$O$29,0)))</f>
        <v>0</v>
      </c>
      <c r="U236" s="463"/>
      <c r="V236" s="3">
        <v>4</v>
      </c>
      <c r="W236" s="45">
        <f t="shared" si="174"/>
        <v>0</v>
      </c>
      <c r="X236" s="45">
        <f t="shared" si="175"/>
        <v>0</v>
      </c>
      <c r="Y236" s="45">
        <f>IF(OR(X236=0,X236="",V$116=0),0,X236*INDEX(Listes!$K$1:$Q$12,MATCH(V$116,Listes!$K$1:$K$12,0),MATCH(Y$117,Listes!$K$1:$Q$1,0)))</f>
        <v>0</v>
      </c>
      <c r="Z236" s="45">
        <f t="shared" si="176"/>
        <v>0</v>
      </c>
      <c r="AA236" s="45">
        <f>IF(OR(V$231=0,V$231=""),0,Z236*INDEX(Listes!$K$15:$P$26,MATCH(V$231,Listes!$K$15:$K$26,0),MATCH(AA$232,Listes!$K$15:$P$15,0))*INDEX(Listes!$K$29:$O$31,MATCH(W$231,Listes!$K$29:$K$31,0),MATCH(AA$232,Listes!$K$29:$O$29,0)))</f>
        <v>0</v>
      </c>
      <c r="AB236" s="45">
        <f>IF(OR(V$231=0,V$231=""),0,Z236*INDEX(Listes!$K$15:$P$26,MATCH(V$231,Listes!$K$15:$K$26,0),MATCH(AB$232,Listes!$K$15:$P$15,0))*INDEX(Listes!$K$29:$O$31,MATCH(W$231,Listes!$K$29:$K$31,0),MATCH(AB$232,Listes!$K$29:$O$29,0)))</f>
        <v>0</v>
      </c>
      <c r="AC236" s="45">
        <f>IF(OR(V$231=0,V$231=""),0,Z236*INDEX(Listes!$K$15:$P$26,MATCH(V$231,Listes!$K$15:$K$26,0),MATCH(AC$232,Listes!$K$15:$P$15,0))*INDEX(Listes!$K$29:$O$31,MATCH(W$231,Listes!$K$29:$K$31,0),MATCH(AC$232,Listes!$K$29:$O$29,0)))</f>
        <v>0</v>
      </c>
      <c r="AE236" s="463"/>
      <c r="AF236" s="3">
        <v>4</v>
      </c>
      <c r="AG236" s="45">
        <f t="shared" si="177"/>
        <v>0</v>
      </c>
      <c r="AH236" s="45">
        <f t="shared" si="178"/>
        <v>0</v>
      </c>
      <c r="AI236" s="45">
        <f>IF(OR(AH236=0,AH236="",AF$116=0),0,AH236*INDEX(Listes!$K$1:$Q$12,MATCH(AF$116,Listes!$K$1:$K$12,0),MATCH(AI$117,Listes!$K$1:$Q$1,0)))</f>
        <v>0</v>
      </c>
      <c r="AJ236" s="45">
        <f t="shared" si="179"/>
        <v>0</v>
      </c>
      <c r="AK236" s="45">
        <f>IF(OR(AF$231=0,AF$231=""),0,AJ236*INDEX(Listes!$K$15:$P$26,MATCH(AF$231,Listes!$K$15:$K$26,0),MATCH(AK$232,Listes!$K$15:$P$15,0))*INDEX(Listes!$K$29:$O$31,MATCH(AG$231,Listes!$K$29:$K$31,0),MATCH(AK$232,Listes!$K$29:$O$29,0)))</f>
        <v>0</v>
      </c>
      <c r="AL236" s="45">
        <f>IF(OR(AF$231=0,AF$231=""),0,AJ236*INDEX(Listes!$K$15:$P$26,MATCH(AF$231,Listes!$K$15:$K$26,0),MATCH(AL$232,Listes!$K$15:$P$15,0))*INDEX(Listes!$K$29:$O$31,MATCH(AG$231,Listes!$K$29:$K$31,0),MATCH(AL$232,Listes!$K$29:$O$29,0)))</f>
        <v>0</v>
      </c>
      <c r="AM236" s="45">
        <f>IF(OR(AF$231=0,AF$231=""),0,AJ236*INDEX(Listes!$K$15:$P$26,MATCH(AF$231,Listes!$K$15:$K$26,0),MATCH(AM$232,Listes!$K$15:$P$15,0))*INDEX(Listes!$K$29:$O$31,MATCH(AG$231,Listes!$K$29:$K$31,0),MATCH(AM$232,Listes!$K$29:$O$29,0)))</f>
        <v>0</v>
      </c>
      <c r="AO236" s="463"/>
      <c r="AP236" s="3">
        <v>4</v>
      </c>
      <c r="AQ236" s="11">
        <f t="shared" si="180"/>
        <v>0</v>
      </c>
      <c r="AR236" s="11">
        <f t="shared" si="186"/>
        <v>0</v>
      </c>
      <c r="AS236" s="11">
        <f t="shared" si="187"/>
        <v>0</v>
      </c>
      <c r="AT236" s="11">
        <f>AQ236*VLOOKUP(AQ$232,Tableau17[],4,FALSE)+AR236*VLOOKUP(AR$232,Tableau17[],4,FALSE)+AS236*VLOOKUP(AS$232,Tableau17[],4,FALSE)</f>
        <v>0</v>
      </c>
      <c r="AU236" s="11">
        <f>AQ236*VLOOKUP(AQ$232,Tableau17[],3,FALSE)+AR236*VLOOKUP(AR$232,Tableau17[],3,FALSE)+AS236*VLOOKUP(AS$232,Tableau17[],3,FALSE)</f>
        <v>0</v>
      </c>
    </row>
    <row r="237" spans="1:52" x14ac:dyDescent="0.2">
      <c r="A237" s="463"/>
      <c r="B237" s="3">
        <v>5</v>
      </c>
      <c r="C237" s="45">
        <f t="shared" si="183"/>
        <v>0</v>
      </c>
      <c r="D237" s="45">
        <f t="shared" si="184"/>
        <v>0</v>
      </c>
      <c r="E237" s="45">
        <f>IF(OR(D237=0,D237="",B$116=0),0,D237*INDEX(Listes!$K$1:$Q$12,MATCH(B$116,Listes!$K$1:$K$12,0),MATCH(E$117,Listes!$K$1:$Q$1,0)))</f>
        <v>0</v>
      </c>
      <c r="F237" s="45">
        <f t="shared" si="185"/>
        <v>0</v>
      </c>
      <c r="G237" s="45">
        <f>IF(OR(B$231=0,B$231=""),0,F237*INDEX(Listes!$K$15:$P$26,MATCH(B$231,Listes!$K$15:$K$26,0),MATCH(G$232,Listes!$K$15:$P$15,0))*INDEX(Listes!$K$29:$O$31,MATCH(C$231,Listes!$K$29:$K$31,0),MATCH(G$232,Listes!$K$29:$O$29,0)))</f>
        <v>0</v>
      </c>
      <c r="H237" s="45">
        <f>IF(OR(B$231=0,B$231=""),0,F237*INDEX(Listes!$K$15:$P$26,MATCH(B$231,Listes!$K$15:$K$26,0),MATCH(H$232,Listes!$K$15:$P$15,0))*INDEX(Listes!$K$29:$O$31,MATCH(C$231,Listes!$K$29:$K$31,0),MATCH(H$232,Listes!$K$29:$O$29,0)))</f>
        <v>0</v>
      </c>
      <c r="I237" s="45">
        <f>IF(OR(B$231=0,B$231=""),0,F237*INDEX(Listes!$K$15:$P$26,MATCH(B$231,Listes!$K$15:$K$26,0),MATCH(I$232,Listes!$K$15:$P$15,0))*INDEX(Listes!$K$29:$O$31,MATCH(C$231,Listes!$K$29:$K$31,0),MATCH(I$232,Listes!$K$29:$O$29,0)))</f>
        <v>0</v>
      </c>
      <c r="K237" s="463"/>
      <c r="L237" s="3">
        <v>5</v>
      </c>
      <c r="M237" s="45">
        <f t="shared" si="171"/>
        <v>0</v>
      </c>
      <c r="N237" s="45">
        <f t="shared" si="172"/>
        <v>0</v>
      </c>
      <c r="O237" s="45">
        <f>IF(OR(N237=0,N237="",L$116=0),0,N237*INDEX(Listes!$K$1:$Q$12,MATCH(L$116,Listes!$K$1:$K$12,0),MATCH(O$117,Listes!$K$1:$Q$1,0)))</f>
        <v>0</v>
      </c>
      <c r="P237" s="45">
        <f t="shared" si="173"/>
        <v>0</v>
      </c>
      <c r="Q237" s="45">
        <f>IF(OR(L$231=0,L$231=""),0,P237*INDEX(Listes!$K$15:$P$26,MATCH(L$231,Listes!$K$15:$K$26,0),MATCH(Q$232,Listes!$K$15:$P$15,0))*INDEX(Listes!$K$29:$O$31,MATCH(M$231,Listes!$K$29:$K$31,0),MATCH(Q$232,Listes!$K$29:$O$29,0)))</f>
        <v>0</v>
      </c>
      <c r="R237" s="45">
        <f>IF(OR(L$231=0,L$231=""),0,P237*INDEX(Listes!$K$15:$P$26,MATCH(L$231,Listes!$K$15:$K$26,0),MATCH(R$232,Listes!$K$15:$P$15,0))*INDEX(Listes!$K$29:$O$31,MATCH(M$231,Listes!$K$29:$K$31,0),MATCH(R$232,Listes!$K$29:$O$29,0)))</f>
        <v>0</v>
      </c>
      <c r="S237" s="45">
        <f>IF(OR(L$231=0,L$231=""),0,P237*INDEX(Listes!$K$15:$P$26,MATCH(L$231,Listes!$K$15:$K$26,0),MATCH(S$232,Listes!$K$15:$P$15,0))*INDEX(Listes!$K$29:$O$31,MATCH(M$231,Listes!$K$29:$K$31,0),MATCH(S$232,Listes!$K$29:$O$29,0)))</f>
        <v>0</v>
      </c>
      <c r="U237" s="463"/>
      <c r="V237" s="3">
        <v>5</v>
      </c>
      <c r="W237" s="45">
        <f t="shared" si="174"/>
        <v>0</v>
      </c>
      <c r="X237" s="45">
        <f t="shared" si="175"/>
        <v>0</v>
      </c>
      <c r="Y237" s="45">
        <f>IF(OR(X237=0,X237="",V$116=0),0,X237*INDEX(Listes!$K$1:$Q$12,MATCH(V$116,Listes!$K$1:$K$12,0),MATCH(Y$117,Listes!$K$1:$Q$1,0)))</f>
        <v>0</v>
      </c>
      <c r="Z237" s="45">
        <f t="shared" si="176"/>
        <v>0</v>
      </c>
      <c r="AA237" s="45">
        <f>IF(OR(V$231=0,V$231=""),0,Z237*INDEX(Listes!$K$15:$P$26,MATCH(V$231,Listes!$K$15:$K$26,0),MATCH(AA$232,Listes!$K$15:$P$15,0))*INDEX(Listes!$K$29:$O$31,MATCH(W$231,Listes!$K$29:$K$31,0),MATCH(AA$232,Listes!$K$29:$O$29,0)))</f>
        <v>0</v>
      </c>
      <c r="AB237" s="45">
        <f>IF(OR(V$231=0,V$231=""),0,Z237*INDEX(Listes!$K$15:$P$26,MATCH(V$231,Listes!$K$15:$K$26,0),MATCH(AB$232,Listes!$K$15:$P$15,0))*INDEX(Listes!$K$29:$O$31,MATCH(W$231,Listes!$K$29:$K$31,0),MATCH(AB$232,Listes!$K$29:$O$29,0)))</f>
        <v>0</v>
      </c>
      <c r="AC237" s="45">
        <f>IF(OR(V$231=0,V$231=""),0,Z237*INDEX(Listes!$K$15:$P$26,MATCH(V$231,Listes!$K$15:$K$26,0),MATCH(AC$232,Listes!$K$15:$P$15,0))*INDEX(Listes!$K$29:$O$31,MATCH(W$231,Listes!$K$29:$K$31,0),MATCH(AC$232,Listes!$K$29:$O$29,0)))</f>
        <v>0</v>
      </c>
      <c r="AE237" s="463"/>
      <c r="AF237" s="3">
        <v>5</v>
      </c>
      <c r="AG237" s="45">
        <f t="shared" si="177"/>
        <v>0</v>
      </c>
      <c r="AH237" s="45">
        <f t="shared" si="178"/>
        <v>0</v>
      </c>
      <c r="AI237" s="45">
        <f>IF(OR(AH237=0,AH237="",AF$116=0),0,AH237*INDEX(Listes!$K$1:$Q$12,MATCH(AF$116,Listes!$K$1:$K$12,0),MATCH(AI$117,Listes!$K$1:$Q$1,0)))</f>
        <v>0</v>
      </c>
      <c r="AJ237" s="45">
        <f t="shared" si="179"/>
        <v>0</v>
      </c>
      <c r="AK237" s="45">
        <f>IF(OR(AF$231=0,AF$231=""),0,AJ237*INDEX(Listes!$K$15:$P$26,MATCH(AF$231,Listes!$K$15:$K$26,0),MATCH(AK$232,Listes!$K$15:$P$15,0))*INDEX(Listes!$K$29:$O$31,MATCH(AG$231,Listes!$K$29:$K$31,0),MATCH(AK$232,Listes!$K$29:$O$29,0)))</f>
        <v>0</v>
      </c>
      <c r="AL237" s="45">
        <f>IF(OR(AF$231=0,AF$231=""),0,AJ237*INDEX(Listes!$K$15:$P$26,MATCH(AF$231,Listes!$K$15:$K$26,0),MATCH(AL$232,Listes!$K$15:$P$15,0))*INDEX(Listes!$K$29:$O$31,MATCH(AG$231,Listes!$K$29:$K$31,0),MATCH(AL$232,Listes!$K$29:$O$29,0)))</f>
        <v>0</v>
      </c>
      <c r="AM237" s="45">
        <f>IF(OR(AF$231=0,AF$231=""),0,AJ237*INDEX(Listes!$K$15:$P$26,MATCH(AF$231,Listes!$K$15:$K$26,0),MATCH(AM$232,Listes!$K$15:$P$15,0))*INDEX(Listes!$K$29:$O$31,MATCH(AG$231,Listes!$K$29:$K$31,0),MATCH(AM$232,Listes!$K$29:$O$29,0)))</f>
        <v>0</v>
      </c>
      <c r="AO237" s="463"/>
      <c r="AP237" s="3">
        <v>5</v>
      </c>
      <c r="AQ237" s="11">
        <f t="shared" si="180"/>
        <v>0</v>
      </c>
      <c r="AR237" s="11">
        <f t="shared" si="186"/>
        <v>0</v>
      </c>
      <c r="AS237" s="11">
        <f t="shared" si="187"/>
        <v>0</v>
      </c>
      <c r="AT237" s="11">
        <f>AQ237*VLOOKUP(AQ$232,Tableau17[],4,FALSE)+AR237*VLOOKUP(AR$232,Tableau17[],4,FALSE)+AS237*VLOOKUP(AS$232,Tableau17[],4,FALSE)</f>
        <v>0</v>
      </c>
      <c r="AU237" s="11">
        <f>AQ237*VLOOKUP(AQ$232,Tableau17[],3,FALSE)+AR237*VLOOKUP(AR$232,Tableau17[],3,FALSE)+AS237*VLOOKUP(AS$232,Tableau17[],3,FALSE)</f>
        <v>0</v>
      </c>
    </row>
    <row r="238" spans="1:52" x14ac:dyDescent="0.2">
      <c r="A238" s="463"/>
      <c r="B238" s="3">
        <v>6</v>
      </c>
      <c r="C238" s="45">
        <f t="shared" si="183"/>
        <v>0</v>
      </c>
      <c r="D238" s="45">
        <f t="shared" si="184"/>
        <v>0</v>
      </c>
      <c r="E238" s="45">
        <f>IF(OR(D238=0,D238="",B$116=0),0,D238*INDEX(Listes!$K$1:$Q$12,MATCH(B$116,Listes!$K$1:$K$12,0),MATCH(E$117,Listes!$K$1:$Q$1,0)))</f>
        <v>0</v>
      </c>
      <c r="F238" s="45">
        <f t="shared" si="185"/>
        <v>0</v>
      </c>
      <c r="G238" s="45">
        <f>IF(OR(B$231=0,B$231=""),0,F238*INDEX(Listes!$K$15:$P$26,MATCH(B$231,Listes!$K$15:$K$26,0),MATCH(G$232,Listes!$K$15:$P$15,0))*INDEX(Listes!$K$29:$O$31,MATCH(C$231,Listes!$K$29:$K$31,0),MATCH(G$232,Listes!$K$29:$O$29,0)))</f>
        <v>0</v>
      </c>
      <c r="H238" s="45">
        <f>IF(OR(B$231=0,B$231=""),0,F238*INDEX(Listes!$K$15:$P$26,MATCH(B$231,Listes!$K$15:$K$26,0),MATCH(H$232,Listes!$K$15:$P$15,0))*INDEX(Listes!$K$29:$O$31,MATCH(C$231,Listes!$K$29:$K$31,0),MATCH(H$232,Listes!$K$29:$O$29,0)))</f>
        <v>0</v>
      </c>
      <c r="I238" s="45">
        <f>IF(OR(B$231=0,B$231=""),0,F238*INDEX(Listes!$K$15:$P$26,MATCH(B$231,Listes!$K$15:$K$26,0),MATCH(I$232,Listes!$K$15:$P$15,0))*INDEX(Listes!$K$29:$O$31,MATCH(C$231,Listes!$K$29:$K$31,0),MATCH(I$232,Listes!$K$29:$O$29,0)))</f>
        <v>0</v>
      </c>
      <c r="K238" s="463"/>
      <c r="L238" s="3">
        <v>6</v>
      </c>
      <c r="M238" s="45">
        <f t="shared" si="171"/>
        <v>0</v>
      </c>
      <c r="N238" s="45">
        <f t="shared" si="172"/>
        <v>0</v>
      </c>
      <c r="O238" s="45">
        <f>IF(OR(N238=0,N238="",L$116=0),0,N238*INDEX(Listes!$K$1:$Q$12,MATCH(L$116,Listes!$K$1:$K$12,0),MATCH(O$117,Listes!$K$1:$Q$1,0)))</f>
        <v>0</v>
      </c>
      <c r="P238" s="45">
        <f t="shared" si="173"/>
        <v>0</v>
      </c>
      <c r="Q238" s="45">
        <f>IF(OR(L$231=0,L$231=""),0,P238*INDEX(Listes!$K$15:$P$26,MATCH(L$231,Listes!$K$15:$K$26,0),MATCH(Q$232,Listes!$K$15:$P$15,0))*INDEX(Listes!$K$29:$O$31,MATCH(M$231,Listes!$K$29:$K$31,0),MATCH(Q$232,Listes!$K$29:$O$29,0)))</f>
        <v>0</v>
      </c>
      <c r="R238" s="45">
        <f>IF(OR(L$231=0,L$231=""),0,P238*INDEX(Listes!$K$15:$P$26,MATCH(L$231,Listes!$K$15:$K$26,0),MATCH(R$232,Listes!$K$15:$P$15,0))*INDEX(Listes!$K$29:$O$31,MATCH(M$231,Listes!$K$29:$K$31,0),MATCH(R$232,Listes!$K$29:$O$29,0)))</f>
        <v>0</v>
      </c>
      <c r="S238" s="45">
        <f>IF(OR(L$231=0,L$231=""),0,P238*INDEX(Listes!$K$15:$P$26,MATCH(L$231,Listes!$K$15:$K$26,0),MATCH(S$232,Listes!$K$15:$P$15,0))*INDEX(Listes!$K$29:$O$31,MATCH(M$231,Listes!$K$29:$K$31,0),MATCH(S$232,Listes!$K$29:$O$29,0)))</f>
        <v>0</v>
      </c>
      <c r="U238" s="463"/>
      <c r="V238" s="3">
        <v>6</v>
      </c>
      <c r="W238" s="45">
        <f t="shared" si="174"/>
        <v>0</v>
      </c>
      <c r="X238" s="45">
        <f t="shared" si="175"/>
        <v>0</v>
      </c>
      <c r="Y238" s="45">
        <f>IF(OR(X238=0,X238="",V$116=0),0,X238*INDEX(Listes!$K$1:$Q$12,MATCH(V$116,Listes!$K$1:$K$12,0),MATCH(Y$117,Listes!$K$1:$Q$1,0)))</f>
        <v>0</v>
      </c>
      <c r="Z238" s="45">
        <f t="shared" si="176"/>
        <v>0</v>
      </c>
      <c r="AA238" s="45">
        <f>IF(OR(V$231=0,V$231=""),0,Z238*INDEX(Listes!$K$15:$P$26,MATCH(V$231,Listes!$K$15:$K$26,0),MATCH(AA$232,Listes!$K$15:$P$15,0))*INDEX(Listes!$K$29:$O$31,MATCH(W$231,Listes!$K$29:$K$31,0),MATCH(AA$232,Listes!$K$29:$O$29,0)))</f>
        <v>0</v>
      </c>
      <c r="AB238" s="45">
        <f>IF(OR(V$231=0,V$231=""),0,Z238*INDEX(Listes!$K$15:$P$26,MATCH(V$231,Listes!$K$15:$K$26,0),MATCH(AB$232,Listes!$K$15:$P$15,0))*INDEX(Listes!$K$29:$O$31,MATCH(W$231,Listes!$K$29:$K$31,0),MATCH(AB$232,Listes!$K$29:$O$29,0)))</f>
        <v>0</v>
      </c>
      <c r="AC238" s="45">
        <f>IF(OR(V$231=0,V$231=""),0,Z238*INDEX(Listes!$K$15:$P$26,MATCH(V$231,Listes!$K$15:$K$26,0),MATCH(AC$232,Listes!$K$15:$P$15,0))*INDEX(Listes!$K$29:$O$31,MATCH(W$231,Listes!$K$29:$K$31,0),MATCH(AC$232,Listes!$K$29:$O$29,0)))</f>
        <v>0</v>
      </c>
      <c r="AE238" s="463"/>
      <c r="AF238" s="3">
        <v>6</v>
      </c>
      <c r="AG238" s="45">
        <f t="shared" si="177"/>
        <v>0</v>
      </c>
      <c r="AH238" s="45">
        <f t="shared" si="178"/>
        <v>0</v>
      </c>
      <c r="AI238" s="45">
        <f>IF(OR(AH238=0,AH238="",AF$116=0),0,AH238*INDEX(Listes!$K$1:$Q$12,MATCH(AF$116,Listes!$K$1:$K$12,0),MATCH(AI$117,Listes!$K$1:$Q$1,0)))</f>
        <v>0</v>
      </c>
      <c r="AJ238" s="45">
        <f t="shared" si="179"/>
        <v>0</v>
      </c>
      <c r="AK238" s="45">
        <f>IF(OR(AF$231=0,AF$231=""),0,AJ238*INDEX(Listes!$K$15:$P$26,MATCH(AF$231,Listes!$K$15:$K$26,0),MATCH(AK$232,Listes!$K$15:$P$15,0))*INDEX(Listes!$K$29:$O$31,MATCH(AG$231,Listes!$K$29:$K$31,0),MATCH(AK$232,Listes!$K$29:$O$29,0)))</f>
        <v>0</v>
      </c>
      <c r="AL238" s="45">
        <f>IF(OR(AF$231=0,AF$231=""),0,AJ238*INDEX(Listes!$K$15:$P$26,MATCH(AF$231,Listes!$K$15:$K$26,0),MATCH(AL$232,Listes!$K$15:$P$15,0))*INDEX(Listes!$K$29:$O$31,MATCH(AG$231,Listes!$K$29:$K$31,0),MATCH(AL$232,Listes!$K$29:$O$29,0)))</f>
        <v>0</v>
      </c>
      <c r="AM238" s="45">
        <f>IF(OR(AF$231=0,AF$231=""),0,AJ238*INDEX(Listes!$K$15:$P$26,MATCH(AF$231,Listes!$K$15:$K$26,0),MATCH(AM$232,Listes!$K$15:$P$15,0))*INDEX(Listes!$K$29:$O$31,MATCH(AG$231,Listes!$K$29:$K$31,0),MATCH(AM$232,Listes!$K$29:$O$29,0)))</f>
        <v>0</v>
      </c>
      <c r="AO238" s="463"/>
      <c r="AP238" s="3">
        <v>6</v>
      </c>
      <c r="AQ238" s="11">
        <f t="shared" si="180"/>
        <v>0</v>
      </c>
      <c r="AR238" s="11">
        <f t="shared" si="186"/>
        <v>0</v>
      </c>
      <c r="AS238" s="11">
        <f t="shared" si="187"/>
        <v>0</v>
      </c>
      <c r="AT238" s="11">
        <f>AQ238*VLOOKUP(AQ$232,Tableau17[],4,FALSE)+AR238*VLOOKUP(AR$232,Tableau17[],4,FALSE)+AS238*VLOOKUP(AS$232,Tableau17[],4,FALSE)</f>
        <v>0</v>
      </c>
      <c r="AU238" s="11">
        <f>AQ238*VLOOKUP(AQ$232,Tableau17[],3,FALSE)+AR238*VLOOKUP(AR$232,Tableau17[],3,FALSE)+AS238*VLOOKUP(AS$232,Tableau17[],3,FALSE)</f>
        <v>0</v>
      </c>
    </row>
    <row r="239" spans="1:52" x14ac:dyDescent="0.2">
      <c r="A239" s="463"/>
      <c r="B239" s="3">
        <v>7</v>
      </c>
      <c r="C239" s="45">
        <f t="shared" si="183"/>
        <v>0</v>
      </c>
      <c r="D239" s="45">
        <f t="shared" si="184"/>
        <v>0</v>
      </c>
      <c r="E239" s="45">
        <f>IF(OR(D239=0,D239="",B$116=0),0,D239*INDEX(Listes!$K$1:$Q$12,MATCH(B$116,Listes!$K$1:$K$12,0),MATCH(E$117,Listes!$K$1:$Q$1,0)))</f>
        <v>0</v>
      </c>
      <c r="F239" s="45">
        <f t="shared" si="185"/>
        <v>0</v>
      </c>
      <c r="G239" s="45">
        <f>IF(OR(B$231=0,B$231=""),0,F239*INDEX(Listes!$K$15:$P$26,MATCH(B$231,Listes!$K$15:$K$26,0),MATCH(G$232,Listes!$K$15:$P$15,0))*INDEX(Listes!$K$29:$O$31,MATCH(C$231,Listes!$K$29:$K$31,0),MATCH(G$232,Listes!$K$29:$O$29,0)))</f>
        <v>0</v>
      </c>
      <c r="H239" s="45">
        <f>IF(OR(B$231=0,B$231=""),0,F239*INDEX(Listes!$K$15:$P$26,MATCH(B$231,Listes!$K$15:$K$26,0),MATCH(H$232,Listes!$K$15:$P$15,0))*INDEX(Listes!$K$29:$O$31,MATCH(C$231,Listes!$K$29:$K$31,0),MATCH(H$232,Listes!$K$29:$O$29,0)))</f>
        <v>0</v>
      </c>
      <c r="I239" s="45">
        <f>IF(OR(B$231=0,B$231=""),0,F239*INDEX(Listes!$K$15:$P$26,MATCH(B$231,Listes!$K$15:$K$26,0),MATCH(I$232,Listes!$K$15:$P$15,0))*INDEX(Listes!$K$29:$O$31,MATCH(C$231,Listes!$K$29:$K$31,0),MATCH(I$232,Listes!$K$29:$O$29,0)))</f>
        <v>0</v>
      </c>
      <c r="K239" s="463"/>
      <c r="L239" s="3">
        <v>7</v>
      </c>
      <c r="M239" s="45">
        <f t="shared" si="171"/>
        <v>0</v>
      </c>
      <c r="N239" s="45">
        <f t="shared" si="172"/>
        <v>0</v>
      </c>
      <c r="O239" s="45">
        <f>IF(OR(N239=0,N239="",L$116=0),0,N239*INDEX(Listes!$K$1:$Q$12,MATCH(L$116,Listes!$K$1:$K$12,0),MATCH(O$117,Listes!$K$1:$Q$1,0)))</f>
        <v>0</v>
      </c>
      <c r="P239" s="45">
        <f t="shared" si="173"/>
        <v>0</v>
      </c>
      <c r="Q239" s="45">
        <f>IF(OR(L$231=0,L$231=""),0,P239*INDEX(Listes!$K$15:$P$26,MATCH(L$231,Listes!$K$15:$K$26,0),MATCH(Q$232,Listes!$K$15:$P$15,0))*INDEX(Listes!$K$29:$O$31,MATCH(M$231,Listes!$K$29:$K$31,0),MATCH(Q$232,Listes!$K$29:$O$29,0)))</f>
        <v>0</v>
      </c>
      <c r="R239" s="45">
        <f>IF(OR(L$231=0,L$231=""),0,P239*INDEX(Listes!$K$15:$P$26,MATCH(L$231,Listes!$K$15:$K$26,0),MATCH(R$232,Listes!$K$15:$P$15,0))*INDEX(Listes!$K$29:$O$31,MATCH(M$231,Listes!$K$29:$K$31,0),MATCH(R$232,Listes!$K$29:$O$29,0)))</f>
        <v>0</v>
      </c>
      <c r="S239" s="45">
        <f>IF(OR(L$231=0,L$231=""),0,P239*INDEX(Listes!$K$15:$P$26,MATCH(L$231,Listes!$K$15:$K$26,0),MATCH(S$232,Listes!$K$15:$P$15,0))*INDEX(Listes!$K$29:$O$31,MATCH(M$231,Listes!$K$29:$K$31,0),MATCH(S$232,Listes!$K$29:$O$29,0)))</f>
        <v>0</v>
      </c>
      <c r="U239" s="463"/>
      <c r="V239" s="3">
        <v>7</v>
      </c>
      <c r="W239" s="45">
        <f t="shared" si="174"/>
        <v>0</v>
      </c>
      <c r="X239" s="45">
        <f t="shared" si="175"/>
        <v>0</v>
      </c>
      <c r="Y239" s="45">
        <f>IF(OR(X239=0,X239="",V$116=0),0,X239*INDEX(Listes!$K$1:$Q$12,MATCH(V$116,Listes!$K$1:$K$12,0),MATCH(Y$117,Listes!$K$1:$Q$1,0)))</f>
        <v>0</v>
      </c>
      <c r="Z239" s="45">
        <f t="shared" si="176"/>
        <v>0</v>
      </c>
      <c r="AA239" s="45">
        <f>IF(OR(V$231=0,V$231=""),0,Z239*INDEX(Listes!$K$15:$P$26,MATCH(V$231,Listes!$K$15:$K$26,0),MATCH(AA$232,Listes!$K$15:$P$15,0))*INDEX(Listes!$K$29:$O$31,MATCH(W$231,Listes!$K$29:$K$31,0),MATCH(AA$232,Listes!$K$29:$O$29,0)))</f>
        <v>0</v>
      </c>
      <c r="AB239" s="45">
        <f>IF(OR(V$231=0,V$231=""),0,Z239*INDEX(Listes!$K$15:$P$26,MATCH(V$231,Listes!$K$15:$K$26,0),MATCH(AB$232,Listes!$K$15:$P$15,0))*INDEX(Listes!$K$29:$O$31,MATCH(W$231,Listes!$K$29:$K$31,0),MATCH(AB$232,Listes!$K$29:$O$29,0)))</f>
        <v>0</v>
      </c>
      <c r="AC239" s="45">
        <f>IF(OR(V$231=0,V$231=""),0,Z239*INDEX(Listes!$K$15:$P$26,MATCH(V$231,Listes!$K$15:$K$26,0),MATCH(AC$232,Listes!$K$15:$P$15,0))*INDEX(Listes!$K$29:$O$31,MATCH(W$231,Listes!$K$29:$K$31,0),MATCH(AC$232,Listes!$K$29:$O$29,0)))</f>
        <v>0</v>
      </c>
      <c r="AE239" s="463"/>
      <c r="AF239" s="3">
        <v>7</v>
      </c>
      <c r="AG239" s="45">
        <f t="shared" si="177"/>
        <v>0</v>
      </c>
      <c r="AH239" s="45">
        <f t="shared" si="178"/>
        <v>0</v>
      </c>
      <c r="AI239" s="45">
        <f>IF(OR(AH239=0,AH239="",AF$116=0),0,AH239*INDEX(Listes!$K$1:$Q$12,MATCH(AF$116,Listes!$K$1:$K$12,0),MATCH(AI$117,Listes!$K$1:$Q$1,0)))</f>
        <v>0</v>
      </c>
      <c r="AJ239" s="45">
        <f t="shared" si="179"/>
        <v>0</v>
      </c>
      <c r="AK239" s="45">
        <f>IF(OR(AF$231=0,AF$231=""),0,AJ239*INDEX(Listes!$K$15:$P$26,MATCH(AF$231,Listes!$K$15:$K$26,0),MATCH(AK$232,Listes!$K$15:$P$15,0))*INDEX(Listes!$K$29:$O$31,MATCH(AG$231,Listes!$K$29:$K$31,0),MATCH(AK$232,Listes!$K$29:$O$29,0)))</f>
        <v>0</v>
      </c>
      <c r="AL239" s="45">
        <f>IF(OR(AF$231=0,AF$231=""),0,AJ239*INDEX(Listes!$K$15:$P$26,MATCH(AF$231,Listes!$K$15:$K$26,0),MATCH(AL$232,Listes!$K$15:$P$15,0))*INDEX(Listes!$K$29:$O$31,MATCH(AG$231,Listes!$K$29:$K$31,0),MATCH(AL$232,Listes!$K$29:$O$29,0)))</f>
        <v>0</v>
      </c>
      <c r="AM239" s="45">
        <f>IF(OR(AF$231=0,AF$231=""),0,AJ239*INDEX(Listes!$K$15:$P$26,MATCH(AF$231,Listes!$K$15:$K$26,0),MATCH(AM$232,Listes!$K$15:$P$15,0))*INDEX(Listes!$K$29:$O$31,MATCH(AG$231,Listes!$K$29:$K$31,0),MATCH(AM$232,Listes!$K$29:$O$29,0)))</f>
        <v>0</v>
      </c>
      <c r="AO239" s="463"/>
      <c r="AP239" s="3">
        <v>7</v>
      </c>
      <c r="AQ239" s="11">
        <f t="shared" si="180"/>
        <v>0</v>
      </c>
      <c r="AR239" s="11">
        <f t="shared" si="186"/>
        <v>0</v>
      </c>
      <c r="AS239" s="11">
        <f t="shared" si="187"/>
        <v>0</v>
      </c>
      <c r="AT239" s="11">
        <f>AQ239*VLOOKUP(AQ$232,Tableau17[],4,FALSE)+AR239*VLOOKUP(AR$232,Tableau17[],4,FALSE)+AS239*VLOOKUP(AS$232,Tableau17[],4,FALSE)</f>
        <v>0</v>
      </c>
      <c r="AU239" s="11">
        <f>AQ239*VLOOKUP(AQ$232,Tableau17[],3,FALSE)+AR239*VLOOKUP(AR$232,Tableau17[],3,FALSE)+AS239*VLOOKUP(AS$232,Tableau17[],3,FALSE)</f>
        <v>0</v>
      </c>
    </row>
    <row r="240" spans="1:52" x14ac:dyDescent="0.2">
      <c r="A240" s="463"/>
      <c r="B240" s="3">
        <v>8</v>
      </c>
      <c r="C240" s="45">
        <f t="shared" si="183"/>
        <v>0</v>
      </c>
      <c r="D240" s="45">
        <f t="shared" si="184"/>
        <v>0</v>
      </c>
      <c r="E240" s="45">
        <f>IF(OR(D240=0,D240="",B$116=0),0,D240*INDEX(Listes!$K$1:$Q$12,MATCH(B$116,Listes!$K$1:$K$12,0),MATCH(E$117,Listes!$K$1:$Q$1,0)))</f>
        <v>0</v>
      </c>
      <c r="F240" s="45">
        <f t="shared" si="185"/>
        <v>0</v>
      </c>
      <c r="G240" s="45">
        <f>IF(OR(B$231=0,B$231=""),0,F240*INDEX(Listes!$K$15:$P$26,MATCH(B$231,Listes!$K$15:$K$26,0),MATCH(G$232,Listes!$K$15:$P$15,0))*INDEX(Listes!$K$29:$O$31,MATCH(C$231,Listes!$K$29:$K$31,0),MATCH(G$232,Listes!$K$29:$O$29,0)))</f>
        <v>0</v>
      </c>
      <c r="H240" s="45">
        <f>IF(OR(B$231=0,B$231=""),0,F240*INDEX(Listes!$K$15:$P$26,MATCH(B$231,Listes!$K$15:$K$26,0),MATCH(H$232,Listes!$K$15:$P$15,0))*INDEX(Listes!$K$29:$O$31,MATCH(C$231,Listes!$K$29:$K$31,0),MATCH(H$232,Listes!$K$29:$O$29,0)))</f>
        <v>0</v>
      </c>
      <c r="I240" s="45">
        <f>IF(OR(B$231=0,B$231=""),0,F240*INDEX(Listes!$K$15:$P$26,MATCH(B$231,Listes!$K$15:$K$26,0),MATCH(I$232,Listes!$K$15:$P$15,0))*INDEX(Listes!$K$29:$O$31,MATCH(C$231,Listes!$K$29:$K$31,0),MATCH(I$232,Listes!$K$29:$O$29,0)))</f>
        <v>0</v>
      </c>
      <c r="K240" s="463"/>
      <c r="L240" s="3">
        <v>8</v>
      </c>
      <c r="M240" s="45">
        <f t="shared" si="171"/>
        <v>0</v>
      </c>
      <c r="N240" s="45">
        <f t="shared" si="172"/>
        <v>0</v>
      </c>
      <c r="O240" s="45">
        <f>IF(OR(N240=0,N240="",L$116=0),0,N240*INDEX(Listes!$K$1:$Q$12,MATCH(L$116,Listes!$K$1:$K$12,0),MATCH(O$117,Listes!$K$1:$Q$1,0)))</f>
        <v>0</v>
      </c>
      <c r="P240" s="45">
        <f t="shared" si="173"/>
        <v>0</v>
      </c>
      <c r="Q240" s="45">
        <f>IF(OR(L$231=0,L$231=""),0,P240*INDEX(Listes!$K$15:$P$26,MATCH(L$231,Listes!$K$15:$K$26,0),MATCH(Q$232,Listes!$K$15:$P$15,0))*INDEX(Listes!$K$29:$O$31,MATCH(M$231,Listes!$K$29:$K$31,0),MATCH(Q$232,Listes!$K$29:$O$29,0)))</f>
        <v>0</v>
      </c>
      <c r="R240" s="45">
        <f>IF(OR(L$231=0,L$231=""),0,P240*INDEX(Listes!$K$15:$P$26,MATCH(L$231,Listes!$K$15:$K$26,0),MATCH(R$232,Listes!$K$15:$P$15,0))*INDEX(Listes!$K$29:$O$31,MATCH(M$231,Listes!$K$29:$K$31,0),MATCH(R$232,Listes!$K$29:$O$29,0)))</f>
        <v>0</v>
      </c>
      <c r="S240" s="45">
        <f>IF(OR(L$231=0,L$231=""),0,P240*INDEX(Listes!$K$15:$P$26,MATCH(L$231,Listes!$K$15:$K$26,0),MATCH(S$232,Listes!$K$15:$P$15,0))*INDEX(Listes!$K$29:$O$31,MATCH(M$231,Listes!$K$29:$K$31,0),MATCH(S$232,Listes!$K$29:$O$29,0)))</f>
        <v>0</v>
      </c>
      <c r="U240" s="463"/>
      <c r="V240" s="3">
        <v>8</v>
      </c>
      <c r="W240" s="45">
        <f t="shared" si="174"/>
        <v>0</v>
      </c>
      <c r="X240" s="45">
        <f t="shared" si="175"/>
        <v>0</v>
      </c>
      <c r="Y240" s="45">
        <f>IF(OR(X240=0,X240="",V$116=0),0,X240*INDEX(Listes!$K$1:$Q$12,MATCH(V$116,Listes!$K$1:$K$12,0),MATCH(Y$117,Listes!$K$1:$Q$1,0)))</f>
        <v>0</v>
      </c>
      <c r="Z240" s="45">
        <f t="shared" si="176"/>
        <v>0</v>
      </c>
      <c r="AA240" s="45">
        <f>IF(OR(V$231=0,V$231=""),0,Z240*INDEX(Listes!$K$15:$P$26,MATCH(V$231,Listes!$K$15:$K$26,0),MATCH(AA$232,Listes!$K$15:$P$15,0))*INDEX(Listes!$K$29:$O$31,MATCH(W$231,Listes!$K$29:$K$31,0),MATCH(AA$232,Listes!$K$29:$O$29,0)))</f>
        <v>0</v>
      </c>
      <c r="AB240" s="45">
        <f>IF(OR(V$231=0,V$231=""),0,Z240*INDEX(Listes!$K$15:$P$26,MATCH(V$231,Listes!$K$15:$K$26,0),MATCH(AB$232,Listes!$K$15:$P$15,0))*INDEX(Listes!$K$29:$O$31,MATCH(W$231,Listes!$K$29:$K$31,0),MATCH(AB$232,Listes!$K$29:$O$29,0)))</f>
        <v>0</v>
      </c>
      <c r="AC240" s="45">
        <f>IF(OR(V$231=0,V$231=""),0,Z240*INDEX(Listes!$K$15:$P$26,MATCH(V$231,Listes!$K$15:$K$26,0),MATCH(AC$232,Listes!$K$15:$P$15,0))*INDEX(Listes!$K$29:$O$31,MATCH(W$231,Listes!$K$29:$K$31,0),MATCH(AC$232,Listes!$K$29:$O$29,0)))</f>
        <v>0</v>
      </c>
      <c r="AE240" s="463"/>
      <c r="AF240" s="3">
        <v>8</v>
      </c>
      <c r="AG240" s="45">
        <f t="shared" si="177"/>
        <v>0</v>
      </c>
      <c r="AH240" s="45">
        <f t="shared" si="178"/>
        <v>0</v>
      </c>
      <c r="AI240" s="45">
        <f>IF(OR(AH240=0,AH240="",AF$116=0),0,AH240*INDEX(Listes!$K$1:$Q$12,MATCH(AF$116,Listes!$K$1:$K$12,0),MATCH(AI$117,Listes!$K$1:$Q$1,0)))</f>
        <v>0</v>
      </c>
      <c r="AJ240" s="45">
        <f t="shared" si="179"/>
        <v>0</v>
      </c>
      <c r="AK240" s="45">
        <f>IF(OR(AF$231=0,AF$231=""),0,AJ240*INDEX(Listes!$K$15:$P$26,MATCH(AF$231,Listes!$K$15:$K$26,0),MATCH(AK$232,Listes!$K$15:$P$15,0))*INDEX(Listes!$K$29:$O$31,MATCH(AG$231,Listes!$K$29:$K$31,0),MATCH(AK$232,Listes!$K$29:$O$29,0)))</f>
        <v>0</v>
      </c>
      <c r="AL240" s="45">
        <f>IF(OR(AF$231=0,AF$231=""),0,AJ240*INDEX(Listes!$K$15:$P$26,MATCH(AF$231,Listes!$K$15:$K$26,0),MATCH(AL$232,Listes!$K$15:$P$15,0))*INDEX(Listes!$K$29:$O$31,MATCH(AG$231,Listes!$K$29:$K$31,0),MATCH(AL$232,Listes!$K$29:$O$29,0)))</f>
        <v>0</v>
      </c>
      <c r="AM240" s="45">
        <f>IF(OR(AF$231=0,AF$231=""),0,AJ240*INDEX(Listes!$K$15:$P$26,MATCH(AF$231,Listes!$K$15:$K$26,0),MATCH(AM$232,Listes!$K$15:$P$15,0))*INDEX(Listes!$K$29:$O$31,MATCH(AG$231,Listes!$K$29:$K$31,0),MATCH(AM$232,Listes!$K$29:$O$29,0)))</f>
        <v>0</v>
      </c>
      <c r="AO240" s="463"/>
      <c r="AP240" s="3">
        <v>8</v>
      </c>
      <c r="AQ240" s="11">
        <f t="shared" si="180"/>
        <v>0</v>
      </c>
      <c r="AR240" s="11">
        <f t="shared" si="186"/>
        <v>0</v>
      </c>
      <c r="AS240" s="11">
        <f t="shared" si="187"/>
        <v>0</v>
      </c>
      <c r="AT240" s="11">
        <f>AQ240*VLOOKUP(AQ$232,Tableau17[],4,FALSE)+AR240*VLOOKUP(AR$232,Tableau17[],4,FALSE)+AS240*VLOOKUP(AS$232,Tableau17[],4,FALSE)</f>
        <v>0</v>
      </c>
      <c r="AU240" s="11">
        <f>AQ240*VLOOKUP(AQ$232,Tableau17[],3,FALSE)+AR240*VLOOKUP(AR$232,Tableau17[],3,FALSE)+AS240*VLOOKUP(AS$232,Tableau17[],3,FALSE)</f>
        <v>0</v>
      </c>
    </row>
    <row r="241" spans="1:52" x14ac:dyDescent="0.2">
      <c r="A241" s="463"/>
      <c r="B241" s="3">
        <v>9</v>
      </c>
      <c r="C241" s="45">
        <f t="shared" si="183"/>
        <v>0</v>
      </c>
      <c r="D241" s="45">
        <f t="shared" si="184"/>
        <v>0</v>
      </c>
      <c r="E241" s="45">
        <f>IF(OR(D241=0,D241="",B$116=0),0,D241*INDEX(Listes!$K$1:$Q$12,MATCH(B$116,Listes!$K$1:$K$12,0),MATCH(E$117,Listes!$K$1:$Q$1,0)))</f>
        <v>0</v>
      </c>
      <c r="F241" s="45">
        <f t="shared" si="185"/>
        <v>0</v>
      </c>
      <c r="G241" s="45">
        <f>IF(OR(B$231=0,B$231=""),0,F241*INDEX(Listes!$K$15:$P$26,MATCH(B$231,Listes!$K$15:$K$26,0),MATCH(G$232,Listes!$K$15:$P$15,0))*INDEX(Listes!$K$29:$O$31,MATCH(C$231,Listes!$K$29:$K$31,0),MATCH(G$232,Listes!$K$29:$O$29,0)))</f>
        <v>0</v>
      </c>
      <c r="H241" s="45">
        <f>IF(OR(B$231=0,B$231=""),0,F241*INDEX(Listes!$K$15:$P$26,MATCH(B$231,Listes!$K$15:$K$26,0),MATCH(H$232,Listes!$K$15:$P$15,0))*INDEX(Listes!$K$29:$O$31,MATCH(C$231,Listes!$K$29:$K$31,0),MATCH(H$232,Listes!$K$29:$O$29,0)))</f>
        <v>0</v>
      </c>
      <c r="I241" s="45">
        <f>IF(OR(B$231=0,B$231=""),0,F241*INDEX(Listes!$K$15:$P$26,MATCH(B$231,Listes!$K$15:$K$26,0),MATCH(I$232,Listes!$K$15:$P$15,0))*INDEX(Listes!$K$29:$O$31,MATCH(C$231,Listes!$K$29:$K$31,0),MATCH(I$232,Listes!$K$29:$O$29,0)))</f>
        <v>0</v>
      </c>
      <c r="K241" s="463"/>
      <c r="L241" s="3">
        <v>9</v>
      </c>
      <c r="M241" s="45">
        <f t="shared" si="171"/>
        <v>0</v>
      </c>
      <c r="N241" s="45">
        <f t="shared" si="172"/>
        <v>0</v>
      </c>
      <c r="O241" s="45">
        <f>IF(OR(N241=0,N241="",L$116=0),0,N241*INDEX(Listes!$K$1:$Q$12,MATCH(L$116,Listes!$K$1:$K$12,0),MATCH(O$117,Listes!$K$1:$Q$1,0)))</f>
        <v>0</v>
      </c>
      <c r="P241" s="45">
        <f t="shared" si="173"/>
        <v>0</v>
      </c>
      <c r="Q241" s="45">
        <f>IF(OR(L$231=0,L$231=""),0,P241*INDEX(Listes!$K$15:$P$26,MATCH(L$231,Listes!$K$15:$K$26,0),MATCH(Q$232,Listes!$K$15:$P$15,0))*INDEX(Listes!$K$29:$O$31,MATCH(M$231,Listes!$K$29:$K$31,0),MATCH(Q$232,Listes!$K$29:$O$29,0)))</f>
        <v>0</v>
      </c>
      <c r="R241" s="45">
        <f>IF(OR(L$231=0,L$231=""),0,P241*INDEX(Listes!$K$15:$P$26,MATCH(L$231,Listes!$K$15:$K$26,0),MATCH(R$232,Listes!$K$15:$P$15,0))*INDEX(Listes!$K$29:$O$31,MATCH(M$231,Listes!$K$29:$K$31,0),MATCH(R$232,Listes!$K$29:$O$29,0)))</f>
        <v>0</v>
      </c>
      <c r="S241" s="45">
        <f>IF(OR(L$231=0,L$231=""),0,P241*INDEX(Listes!$K$15:$P$26,MATCH(L$231,Listes!$K$15:$K$26,0),MATCH(S$232,Listes!$K$15:$P$15,0))*INDEX(Listes!$K$29:$O$31,MATCH(M$231,Listes!$K$29:$K$31,0),MATCH(S$232,Listes!$K$29:$O$29,0)))</f>
        <v>0</v>
      </c>
      <c r="U241" s="463"/>
      <c r="V241" s="3">
        <v>9</v>
      </c>
      <c r="W241" s="45">
        <f t="shared" si="174"/>
        <v>0</v>
      </c>
      <c r="X241" s="45">
        <f t="shared" si="175"/>
        <v>0</v>
      </c>
      <c r="Y241" s="45">
        <f>IF(OR(X241=0,X241="",V$116=0),0,X241*INDEX(Listes!$K$1:$Q$12,MATCH(V$116,Listes!$K$1:$K$12,0),MATCH(Y$117,Listes!$K$1:$Q$1,0)))</f>
        <v>0</v>
      </c>
      <c r="Z241" s="45">
        <f t="shared" si="176"/>
        <v>0</v>
      </c>
      <c r="AA241" s="45">
        <f>IF(OR(V$231=0,V$231=""),0,Z241*INDEX(Listes!$K$15:$P$26,MATCH(V$231,Listes!$K$15:$K$26,0),MATCH(AA$232,Listes!$K$15:$P$15,0))*INDEX(Listes!$K$29:$O$31,MATCH(W$231,Listes!$K$29:$K$31,0),MATCH(AA$232,Listes!$K$29:$O$29,0)))</f>
        <v>0</v>
      </c>
      <c r="AB241" s="45">
        <f>IF(OR(V$231=0,V$231=""),0,Z241*INDEX(Listes!$K$15:$P$26,MATCH(V$231,Listes!$K$15:$K$26,0),MATCH(AB$232,Listes!$K$15:$P$15,0))*INDEX(Listes!$K$29:$O$31,MATCH(W$231,Listes!$K$29:$K$31,0),MATCH(AB$232,Listes!$K$29:$O$29,0)))</f>
        <v>0</v>
      </c>
      <c r="AC241" s="45">
        <f>IF(OR(V$231=0,V$231=""),0,Z241*INDEX(Listes!$K$15:$P$26,MATCH(V$231,Listes!$K$15:$K$26,0),MATCH(AC$232,Listes!$K$15:$P$15,0))*INDEX(Listes!$K$29:$O$31,MATCH(W$231,Listes!$K$29:$K$31,0),MATCH(AC$232,Listes!$K$29:$O$29,0)))</f>
        <v>0</v>
      </c>
      <c r="AE241" s="463"/>
      <c r="AF241" s="3">
        <v>9</v>
      </c>
      <c r="AG241" s="45">
        <f t="shared" si="177"/>
        <v>0</v>
      </c>
      <c r="AH241" s="45">
        <f t="shared" si="178"/>
        <v>0</v>
      </c>
      <c r="AI241" s="45">
        <f>IF(OR(AH241=0,AH241="",AF$116=0),0,AH241*INDEX(Listes!$K$1:$Q$12,MATCH(AF$116,Listes!$K$1:$K$12,0),MATCH(AI$117,Listes!$K$1:$Q$1,0)))</f>
        <v>0</v>
      </c>
      <c r="AJ241" s="45">
        <f t="shared" si="179"/>
        <v>0</v>
      </c>
      <c r="AK241" s="45">
        <f>IF(OR(AF$231=0,AF$231=""),0,AJ241*INDEX(Listes!$K$15:$P$26,MATCH(AF$231,Listes!$K$15:$K$26,0),MATCH(AK$232,Listes!$K$15:$P$15,0))*INDEX(Listes!$K$29:$O$31,MATCH(AG$231,Listes!$K$29:$K$31,0),MATCH(AK$232,Listes!$K$29:$O$29,0)))</f>
        <v>0</v>
      </c>
      <c r="AL241" s="45">
        <f>IF(OR(AF$231=0,AF$231=""),0,AJ241*INDEX(Listes!$K$15:$P$26,MATCH(AF$231,Listes!$K$15:$K$26,0),MATCH(AL$232,Listes!$K$15:$P$15,0))*INDEX(Listes!$K$29:$O$31,MATCH(AG$231,Listes!$K$29:$K$31,0),MATCH(AL$232,Listes!$K$29:$O$29,0)))</f>
        <v>0</v>
      </c>
      <c r="AM241" s="45">
        <f>IF(OR(AF$231=0,AF$231=""),0,AJ241*INDEX(Listes!$K$15:$P$26,MATCH(AF$231,Listes!$K$15:$K$26,0),MATCH(AM$232,Listes!$K$15:$P$15,0))*INDEX(Listes!$K$29:$O$31,MATCH(AG$231,Listes!$K$29:$K$31,0),MATCH(AM$232,Listes!$K$29:$O$29,0)))</f>
        <v>0</v>
      </c>
      <c r="AO241" s="463"/>
      <c r="AP241" s="3">
        <v>9</v>
      </c>
      <c r="AQ241" s="11">
        <f t="shared" si="180"/>
        <v>0</v>
      </c>
      <c r="AR241" s="11">
        <f t="shared" si="186"/>
        <v>0</v>
      </c>
      <c r="AS241" s="11">
        <f t="shared" si="187"/>
        <v>0</v>
      </c>
      <c r="AT241" s="11">
        <f>AQ241*VLOOKUP(AQ$232,Tableau17[],4,FALSE)+AR241*VLOOKUP(AR$232,Tableau17[],4,FALSE)+AS241*VLOOKUP(AS$232,Tableau17[],4,FALSE)</f>
        <v>0</v>
      </c>
      <c r="AU241" s="11">
        <f>AQ241*VLOOKUP(AQ$232,Tableau17[],3,FALSE)+AR241*VLOOKUP(AR$232,Tableau17[],3,FALSE)+AS241*VLOOKUP(AS$232,Tableau17[],3,FALSE)</f>
        <v>0</v>
      </c>
    </row>
    <row r="242" spans="1:52" x14ac:dyDescent="0.2">
      <c r="A242" s="463"/>
      <c r="B242" s="3">
        <v>10</v>
      </c>
      <c r="C242" s="45">
        <f t="shared" si="183"/>
        <v>0</v>
      </c>
      <c r="D242" s="45">
        <f t="shared" si="184"/>
        <v>0</v>
      </c>
      <c r="E242" s="45">
        <f>IF(OR(D242=0,D242="",B$116=0),0,D242*INDEX(Listes!$K$1:$Q$12,MATCH(B$116,Listes!$K$1:$K$12,0),MATCH(E$117,Listes!$K$1:$Q$1,0)))</f>
        <v>0</v>
      </c>
      <c r="F242" s="45">
        <f t="shared" si="185"/>
        <v>0</v>
      </c>
      <c r="G242" s="45">
        <f>IF(OR(B$231=0,B$231=""),0,F242*INDEX(Listes!$K$15:$P$26,MATCH(B$231,Listes!$K$15:$K$26,0),MATCH(G$232,Listes!$K$15:$P$15,0))*INDEX(Listes!$K$29:$O$31,MATCH(C$231,Listes!$K$29:$K$31,0),MATCH(G$232,Listes!$K$29:$O$29,0)))</f>
        <v>0</v>
      </c>
      <c r="H242" s="45">
        <f>IF(OR(B$231=0,B$231=""),0,F242*INDEX(Listes!$K$15:$P$26,MATCH(B$231,Listes!$K$15:$K$26,0),MATCH(H$232,Listes!$K$15:$P$15,0))*INDEX(Listes!$K$29:$O$31,MATCH(C$231,Listes!$K$29:$K$31,0),MATCH(H$232,Listes!$K$29:$O$29,0)))</f>
        <v>0</v>
      </c>
      <c r="I242" s="45">
        <f>IF(OR(B$231=0,B$231=""),0,F242*INDEX(Listes!$K$15:$P$26,MATCH(B$231,Listes!$K$15:$K$26,0),MATCH(I$232,Listes!$K$15:$P$15,0))*INDEX(Listes!$K$29:$O$31,MATCH(C$231,Listes!$K$29:$K$31,0),MATCH(I$232,Listes!$K$29:$O$29,0)))</f>
        <v>0</v>
      </c>
      <c r="K242" s="463"/>
      <c r="L242" s="3">
        <v>10</v>
      </c>
      <c r="M242" s="45">
        <f t="shared" si="171"/>
        <v>0</v>
      </c>
      <c r="N242" s="45">
        <f t="shared" si="172"/>
        <v>0</v>
      </c>
      <c r="O242" s="45">
        <f>IF(OR(N242=0,N242="",L$116=0),0,N242*INDEX(Listes!$K$1:$Q$12,MATCH(L$116,Listes!$K$1:$K$12,0),MATCH(O$117,Listes!$K$1:$Q$1,0)))</f>
        <v>0</v>
      </c>
      <c r="P242" s="45">
        <f t="shared" si="173"/>
        <v>0</v>
      </c>
      <c r="Q242" s="45">
        <f>IF(OR(L$231=0,L$231=""),0,P242*INDEX(Listes!$K$15:$P$26,MATCH(L$231,Listes!$K$15:$K$26,0),MATCH(Q$232,Listes!$K$15:$P$15,0))*INDEX(Listes!$K$29:$O$31,MATCH(M$231,Listes!$K$29:$K$31,0),MATCH(Q$232,Listes!$K$29:$O$29,0)))</f>
        <v>0</v>
      </c>
      <c r="R242" s="45">
        <f>IF(OR(L$231=0,L$231=""),0,P242*INDEX(Listes!$K$15:$P$26,MATCH(L$231,Listes!$K$15:$K$26,0),MATCH(R$232,Listes!$K$15:$P$15,0))*INDEX(Listes!$K$29:$O$31,MATCH(M$231,Listes!$K$29:$K$31,0),MATCH(R$232,Listes!$K$29:$O$29,0)))</f>
        <v>0</v>
      </c>
      <c r="S242" s="45">
        <f>IF(OR(L$231=0,L$231=""),0,P242*INDEX(Listes!$K$15:$P$26,MATCH(L$231,Listes!$K$15:$K$26,0),MATCH(S$232,Listes!$K$15:$P$15,0))*INDEX(Listes!$K$29:$O$31,MATCH(M$231,Listes!$K$29:$K$31,0),MATCH(S$232,Listes!$K$29:$O$29,0)))</f>
        <v>0</v>
      </c>
      <c r="U242" s="463"/>
      <c r="V242" s="3">
        <v>10</v>
      </c>
      <c r="W242" s="45">
        <f t="shared" si="174"/>
        <v>0</v>
      </c>
      <c r="X242" s="45">
        <f t="shared" si="175"/>
        <v>0</v>
      </c>
      <c r="Y242" s="45">
        <f>IF(OR(X242=0,X242="",V$116=0),0,X242*INDEX(Listes!$K$1:$Q$12,MATCH(V$116,Listes!$K$1:$K$12,0),MATCH(Y$117,Listes!$K$1:$Q$1,0)))</f>
        <v>0</v>
      </c>
      <c r="Z242" s="45">
        <f t="shared" si="176"/>
        <v>0</v>
      </c>
      <c r="AA242" s="45">
        <f>IF(OR(V$231=0,V$231=""),0,Z242*INDEX(Listes!$K$15:$P$26,MATCH(V$231,Listes!$K$15:$K$26,0),MATCH(AA$232,Listes!$K$15:$P$15,0))*INDEX(Listes!$K$29:$O$31,MATCH(W$231,Listes!$K$29:$K$31,0),MATCH(AA$232,Listes!$K$29:$O$29,0)))</f>
        <v>0</v>
      </c>
      <c r="AB242" s="45">
        <f>IF(OR(V$231=0,V$231=""),0,Z242*INDEX(Listes!$K$15:$P$26,MATCH(V$231,Listes!$K$15:$K$26,0),MATCH(AB$232,Listes!$K$15:$P$15,0))*INDEX(Listes!$K$29:$O$31,MATCH(W$231,Listes!$K$29:$K$31,0),MATCH(AB$232,Listes!$K$29:$O$29,0)))</f>
        <v>0</v>
      </c>
      <c r="AC242" s="45">
        <f>IF(OR(V$231=0,V$231=""),0,Z242*INDEX(Listes!$K$15:$P$26,MATCH(V$231,Listes!$K$15:$K$26,0),MATCH(AC$232,Listes!$K$15:$P$15,0))*INDEX(Listes!$K$29:$O$31,MATCH(W$231,Listes!$K$29:$K$31,0),MATCH(AC$232,Listes!$K$29:$O$29,0)))</f>
        <v>0</v>
      </c>
      <c r="AE242" s="463"/>
      <c r="AF242" s="3">
        <v>10</v>
      </c>
      <c r="AG242" s="45">
        <f t="shared" si="177"/>
        <v>0</v>
      </c>
      <c r="AH242" s="45">
        <f t="shared" si="178"/>
        <v>0</v>
      </c>
      <c r="AI242" s="45">
        <f>IF(OR(AH242=0,AH242="",AF$116=0),0,AH242*INDEX(Listes!$K$1:$Q$12,MATCH(AF$116,Listes!$K$1:$K$12,0),MATCH(AI$117,Listes!$K$1:$Q$1,0)))</f>
        <v>0</v>
      </c>
      <c r="AJ242" s="45">
        <f t="shared" si="179"/>
        <v>0</v>
      </c>
      <c r="AK242" s="45">
        <f>IF(OR(AF$231=0,AF$231=""),0,AJ242*INDEX(Listes!$K$15:$P$26,MATCH(AF$231,Listes!$K$15:$K$26,0),MATCH(AK$232,Listes!$K$15:$P$15,0))*INDEX(Listes!$K$29:$O$31,MATCH(AG$231,Listes!$K$29:$K$31,0),MATCH(AK$232,Listes!$K$29:$O$29,0)))</f>
        <v>0</v>
      </c>
      <c r="AL242" s="45">
        <f>IF(OR(AF$231=0,AF$231=""),0,AJ242*INDEX(Listes!$K$15:$P$26,MATCH(AF$231,Listes!$K$15:$K$26,0),MATCH(AL$232,Listes!$K$15:$P$15,0))*INDEX(Listes!$K$29:$O$31,MATCH(AG$231,Listes!$K$29:$K$31,0),MATCH(AL$232,Listes!$K$29:$O$29,0)))</f>
        <v>0</v>
      </c>
      <c r="AM242" s="45">
        <f>IF(OR(AF$231=0,AF$231=""),0,AJ242*INDEX(Listes!$K$15:$P$26,MATCH(AF$231,Listes!$K$15:$K$26,0),MATCH(AM$232,Listes!$K$15:$P$15,0))*INDEX(Listes!$K$29:$O$31,MATCH(AG$231,Listes!$K$29:$K$31,0),MATCH(AM$232,Listes!$K$29:$O$29,0)))</f>
        <v>0</v>
      </c>
      <c r="AO242" s="463"/>
      <c r="AP242" s="3">
        <v>10</v>
      </c>
      <c r="AQ242" s="11">
        <f t="shared" si="180"/>
        <v>0</v>
      </c>
      <c r="AR242" s="11">
        <f t="shared" si="186"/>
        <v>0</v>
      </c>
      <c r="AS242" s="11">
        <f t="shared" si="187"/>
        <v>0</v>
      </c>
      <c r="AT242" s="11">
        <f>AQ242*VLOOKUP(AQ$232,Tableau17[],4,FALSE)+AR242*VLOOKUP(AR$232,Tableau17[],4,FALSE)+AS242*VLOOKUP(AS$232,Tableau17[],4,FALSE)</f>
        <v>0</v>
      </c>
      <c r="AU242" s="11">
        <f>AQ242*VLOOKUP(AQ$232,Tableau17[],3,FALSE)+AR242*VLOOKUP(AR$232,Tableau17[],3,FALSE)+AS242*VLOOKUP(AS$232,Tableau17[],3,FALSE)</f>
        <v>0</v>
      </c>
    </row>
    <row r="243" spans="1:52" x14ac:dyDescent="0.2">
      <c r="A243" s="463"/>
      <c r="B243" s="3">
        <v>11</v>
      </c>
      <c r="C243" s="45">
        <f t="shared" si="183"/>
        <v>0</v>
      </c>
      <c r="D243" s="45">
        <f t="shared" si="184"/>
        <v>0</v>
      </c>
      <c r="E243" s="45">
        <f>IF(OR(D243=0,D243="",B$116=0),0,D243*INDEX(Listes!$K$1:$Q$12,MATCH(B$116,Listes!$K$1:$K$12,0),MATCH(E$117,Listes!$K$1:$Q$1,0)))</f>
        <v>0</v>
      </c>
      <c r="F243" s="45">
        <f t="shared" si="185"/>
        <v>0</v>
      </c>
      <c r="G243" s="45">
        <f>IF(OR(B$231=0,B$231=""),0,F243*INDEX(Listes!$K$15:$P$26,MATCH(B$231,Listes!$K$15:$K$26,0),MATCH(G$232,Listes!$K$15:$P$15,0))*INDEX(Listes!$K$29:$O$31,MATCH(C$231,Listes!$K$29:$K$31,0),MATCH(G$232,Listes!$K$29:$O$29,0)))</f>
        <v>0</v>
      </c>
      <c r="H243" s="45">
        <f>IF(OR(B$231=0,B$231=""),0,F243*INDEX(Listes!$K$15:$P$26,MATCH(B$231,Listes!$K$15:$K$26,0),MATCH(H$232,Listes!$K$15:$P$15,0))*INDEX(Listes!$K$29:$O$31,MATCH(C$231,Listes!$K$29:$K$31,0),MATCH(H$232,Listes!$K$29:$O$29,0)))</f>
        <v>0</v>
      </c>
      <c r="I243" s="45">
        <f>IF(OR(B$231=0,B$231=""),0,F243*INDEX(Listes!$K$15:$P$26,MATCH(B$231,Listes!$K$15:$K$26,0),MATCH(I$232,Listes!$K$15:$P$15,0))*INDEX(Listes!$K$29:$O$31,MATCH(C$231,Listes!$K$29:$K$31,0),MATCH(I$232,Listes!$K$29:$O$29,0)))</f>
        <v>0</v>
      </c>
      <c r="K243" s="463"/>
      <c r="L243" s="3">
        <v>11</v>
      </c>
      <c r="M243" s="45">
        <f t="shared" si="171"/>
        <v>0</v>
      </c>
      <c r="N243" s="45">
        <f t="shared" si="172"/>
        <v>0</v>
      </c>
      <c r="O243" s="45">
        <f>IF(OR(N243=0,N243="",L$116=0),0,N243*INDEX(Listes!$K$1:$Q$12,MATCH(L$116,Listes!$K$1:$K$12,0),MATCH(O$117,Listes!$K$1:$Q$1,0)))</f>
        <v>0</v>
      </c>
      <c r="P243" s="45">
        <f t="shared" si="173"/>
        <v>0</v>
      </c>
      <c r="Q243" s="45">
        <f>IF(OR(L$231=0,L$231=""),0,P243*INDEX(Listes!$K$15:$P$26,MATCH(L$231,Listes!$K$15:$K$26,0),MATCH(Q$232,Listes!$K$15:$P$15,0))*INDEX(Listes!$K$29:$O$31,MATCH(M$231,Listes!$K$29:$K$31,0),MATCH(Q$232,Listes!$K$29:$O$29,0)))</f>
        <v>0</v>
      </c>
      <c r="R243" s="45">
        <f>IF(OR(L$231=0,L$231=""),0,P243*INDEX(Listes!$K$15:$P$26,MATCH(L$231,Listes!$K$15:$K$26,0),MATCH(R$232,Listes!$K$15:$P$15,0))*INDEX(Listes!$K$29:$O$31,MATCH(M$231,Listes!$K$29:$K$31,0),MATCH(R$232,Listes!$K$29:$O$29,0)))</f>
        <v>0</v>
      </c>
      <c r="S243" s="45">
        <f>IF(OR(L$231=0,L$231=""),0,P243*INDEX(Listes!$K$15:$P$26,MATCH(L$231,Listes!$K$15:$K$26,0),MATCH(S$232,Listes!$K$15:$P$15,0))*INDEX(Listes!$K$29:$O$31,MATCH(M$231,Listes!$K$29:$K$31,0),MATCH(S$232,Listes!$K$29:$O$29,0)))</f>
        <v>0</v>
      </c>
      <c r="U243" s="463"/>
      <c r="V243" s="3">
        <v>11</v>
      </c>
      <c r="W243" s="45">
        <f t="shared" si="174"/>
        <v>0</v>
      </c>
      <c r="X243" s="45">
        <f t="shared" si="175"/>
        <v>0</v>
      </c>
      <c r="Y243" s="45">
        <f>IF(OR(X243=0,X243="",V$116=0),0,X243*INDEX(Listes!$K$1:$Q$12,MATCH(V$116,Listes!$K$1:$K$12,0),MATCH(Y$117,Listes!$K$1:$Q$1,0)))</f>
        <v>0</v>
      </c>
      <c r="Z243" s="45">
        <f t="shared" si="176"/>
        <v>0</v>
      </c>
      <c r="AA243" s="45">
        <f>IF(OR(V$231=0,V$231=""),0,Z243*INDEX(Listes!$K$15:$P$26,MATCH(V$231,Listes!$K$15:$K$26,0),MATCH(AA$232,Listes!$K$15:$P$15,0))*INDEX(Listes!$K$29:$O$31,MATCH(W$231,Listes!$K$29:$K$31,0),MATCH(AA$232,Listes!$K$29:$O$29,0)))</f>
        <v>0</v>
      </c>
      <c r="AB243" s="45">
        <f>IF(OR(V$231=0,V$231=""),0,Z243*INDEX(Listes!$K$15:$P$26,MATCH(V$231,Listes!$K$15:$K$26,0),MATCH(AB$232,Listes!$K$15:$P$15,0))*INDEX(Listes!$K$29:$O$31,MATCH(W$231,Listes!$K$29:$K$31,0),MATCH(AB$232,Listes!$K$29:$O$29,0)))</f>
        <v>0</v>
      </c>
      <c r="AC243" s="45">
        <f>IF(OR(V$231=0,V$231=""),0,Z243*INDEX(Listes!$K$15:$P$26,MATCH(V$231,Listes!$K$15:$K$26,0),MATCH(AC$232,Listes!$K$15:$P$15,0))*INDEX(Listes!$K$29:$O$31,MATCH(W$231,Listes!$K$29:$K$31,0),MATCH(AC$232,Listes!$K$29:$O$29,0)))</f>
        <v>0</v>
      </c>
      <c r="AE243" s="463"/>
      <c r="AF243" s="3">
        <v>11</v>
      </c>
      <c r="AG243" s="45">
        <f t="shared" si="177"/>
        <v>0</v>
      </c>
      <c r="AH243" s="45">
        <f t="shared" si="178"/>
        <v>0</v>
      </c>
      <c r="AI243" s="45">
        <f>IF(OR(AH243=0,AH243="",AF$116=0),0,AH243*INDEX(Listes!$K$1:$Q$12,MATCH(AF$116,Listes!$K$1:$K$12,0),MATCH(AI$117,Listes!$K$1:$Q$1,0)))</f>
        <v>0</v>
      </c>
      <c r="AJ243" s="45">
        <f t="shared" si="179"/>
        <v>0</v>
      </c>
      <c r="AK243" s="45">
        <f>IF(OR(AF$231=0,AF$231=""),0,AJ243*INDEX(Listes!$K$15:$P$26,MATCH(AF$231,Listes!$K$15:$K$26,0),MATCH(AK$232,Listes!$K$15:$P$15,0))*INDEX(Listes!$K$29:$O$31,MATCH(AG$231,Listes!$K$29:$K$31,0),MATCH(AK$232,Listes!$K$29:$O$29,0)))</f>
        <v>0</v>
      </c>
      <c r="AL243" s="45">
        <f>IF(OR(AF$231=0,AF$231=""),0,AJ243*INDEX(Listes!$K$15:$P$26,MATCH(AF$231,Listes!$K$15:$K$26,0),MATCH(AL$232,Listes!$K$15:$P$15,0))*INDEX(Listes!$K$29:$O$31,MATCH(AG$231,Listes!$K$29:$K$31,0),MATCH(AL$232,Listes!$K$29:$O$29,0)))</f>
        <v>0</v>
      </c>
      <c r="AM243" s="45">
        <f>IF(OR(AF$231=0,AF$231=""),0,AJ243*INDEX(Listes!$K$15:$P$26,MATCH(AF$231,Listes!$K$15:$K$26,0),MATCH(AM$232,Listes!$K$15:$P$15,0))*INDEX(Listes!$K$29:$O$31,MATCH(AG$231,Listes!$K$29:$K$31,0),MATCH(AM$232,Listes!$K$29:$O$29,0)))</f>
        <v>0</v>
      </c>
      <c r="AO243" s="463"/>
      <c r="AP243" s="3">
        <v>11</v>
      </c>
      <c r="AQ243" s="11">
        <f t="shared" si="180"/>
        <v>0</v>
      </c>
      <c r="AR243" s="11">
        <f t="shared" si="186"/>
        <v>0</v>
      </c>
      <c r="AS243" s="11">
        <f t="shared" si="187"/>
        <v>0</v>
      </c>
      <c r="AT243" s="11">
        <f>AQ243*VLOOKUP(AQ$232,Tableau17[],4,FALSE)+AR243*VLOOKUP(AR$232,Tableau17[],4,FALSE)+AS243*VLOOKUP(AS$232,Tableau17[],4,FALSE)</f>
        <v>0</v>
      </c>
      <c r="AU243" s="11">
        <f>AQ243*VLOOKUP(AQ$232,Tableau17[],3,FALSE)+AR243*VLOOKUP(AR$232,Tableau17[],3,FALSE)+AS243*VLOOKUP(AS$232,Tableau17[],3,FALSE)</f>
        <v>0</v>
      </c>
    </row>
    <row r="244" spans="1:52" x14ac:dyDescent="0.2">
      <c r="A244" s="463"/>
      <c r="B244" s="3">
        <v>12</v>
      </c>
      <c r="C244" s="45">
        <f t="shared" si="183"/>
        <v>0</v>
      </c>
      <c r="D244" s="45">
        <f t="shared" si="184"/>
        <v>0</v>
      </c>
      <c r="E244" s="45">
        <f>IF(OR(D244=0,D244="",B$116=0),0,D244*INDEX(Listes!$K$1:$Q$12,MATCH(B$116,Listes!$K$1:$K$12,0),MATCH(E$117,Listes!$K$1:$Q$1,0)))</f>
        <v>0</v>
      </c>
      <c r="F244" s="45">
        <f t="shared" si="185"/>
        <v>0</v>
      </c>
      <c r="G244" s="45">
        <f>IF(OR(B$231=0,B$231=""),0,F244*INDEX(Listes!$K$15:$P$26,MATCH(B$231,Listes!$K$15:$K$26,0),MATCH(G$232,Listes!$K$15:$P$15,0))*INDEX(Listes!$K$29:$O$31,MATCH(C$231,Listes!$K$29:$K$31,0),MATCH(G$232,Listes!$K$29:$O$29,0)))</f>
        <v>0</v>
      </c>
      <c r="H244" s="45">
        <f>IF(OR(B$231=0,B$231=""),0,F244*INDEX(Listes!$K$15:$P$26,MATCH(B$231,Listes!$K$15:$K$26,0),MATCH(H$232,Listes!$K$15:$P$15,0))*INDEX(Listes!$K$29:$O$31,MATCH(C$231,Listes!$K$29:$K$31,0),MATCH(H$232,Listes!$K$29:$O$29,0)))</f>
        <v>0</v>
      </c>
      <c r="I244" s="45">
        <f>IF(OR(B$231=0,B$231=""),0,F244*INDEX(Listes!$K$15:$P$26,MATCH(B$231,Listes!$K$15:$K$26,0),MATCH(I$232,Listes!$K$15:$P$15,0))*INDEX(Listes!$K$29:$O$31,MATCH(C$231,Listes!$K$29:$K$31,0),MATCH(I$232,Listes!$K$29:$O$29,0)))</f>
        <v>0</v>
      </c>
      <c r="K244" s="463"/>
      <c r="L244" s="3">
        <v>12</v>
      </c>
      <c r="M244" s="45">
        <f t="shared" si="171"/>
        <v>0</v>
      </c>
      <c r="N244" s="45">
        <f t="shared" si="172"/>
        <v>0</v>
      </c>
      <c r="O244" s="45">
        <f>IF(OR(N244=0,N244="",L$116=0),0,N244*INDEX(Listes!$K$1:$Q$12,MATCH(L$116,Listes!$K$1:$K$12,0),MATCH(O$117,Listes!$K$1:$Q$1,0)))</f>
        <v>0</v>
      </c>
      <c r="P244" s="45">
        <f t="shared" si="173"/>
        <v>0</v>
      </c>
      <c r="Q244" s="45">
        <f>IF(OR(L$231=0,L$231=""),0,P244*INDEX(Listes!$K$15:$P$26,MATCH(L$231,Listes!$K$15:$K$26,0),MATCH(Q$232,Listes!$K$15:$P$15,0))*INDEX(Listes!$K$29:$O$31,MATCH(M$231,Listes!$K$29:$K$31,0),MATCH(Q$232,Listes!$K$29:$O$29,0)))</f>
        <v>0</v>
      </c>
      <c r="R244" s="45">
        <f>IF(OR(L$231=0,L$231=""),0,P244*INDEX(Listes!$K$15:$P$26,MATCH(L$231,Listes!$K$15:$K$26,0),MATCH(R$232,Listes!$K$15:$P$15,0))*INDEX(Listes!$K$29:$O$31,MATCH(M$231,Listes!$K$29:$K$31,0),MATCH(R$232,Listes!$K$29:$O$29,0)))</f>
        <v>0</v>
      </c>
      <c r="S244" s="45">
        <f>IF(OR(L$231=0,L$231=""),0,P244*INDEX(Listes!$K$15:$P$26,MATCH(L$231,Listes!$K$15:$K$26,0),MATCH(S$232,Listes!$K$15:$P$15,0))*INDEX(Listes!$K$29:$O$31,MATCH(M$231,Listes!$K$29:$K$31,0),MATCH(S$232,Listes!$K$29:$O$29,0)))</f>
        <v>0</v>
      </c>
      <c r="U244" s="463"/>
      <c r="V244" s="3">
        <v>12</v>
      </c>
      <c r="W244" s="45">
        <f t="shared" si="174"/>
        <v>0</v>
      </c>
      <c r="X244" s="45">
        <f t="shared" si="175"/>
        <v>0</v>
      </c>
      <c r="Y244" s="45">
        <f>IF(OR(X244=0,X244="",V$116=0),0,X244*INDEX(Listes!$K$1:$Q$12,MATCH(V$116,Listes!$K$1:$K$12,0),MATCH(Y$117,Listes!$K$1:$Q$1,0)))</f>
        <v>0</v>
      </c>
      <c r="Z244" s="45">
        <f t="shared" si="176"/>
        <v>0</v>
      </c>
      <c r="AA244" s="45">
        <f>IF(OR(V$231=0,V$231=""),0,Z244*INDEX(Listes!$K$15:$P$26,MATCH(V$231,Listes!$K$15:$K$26,0),MATCH(AA$232,Listes!$K$15:$P$15,0))*INDEX(Listes!$K$29:$O$31,MATCH(W$231,Listes!$K$29:$K$31,0),MATCH(AA$232,Listes!$K$29:$O$29,0)))</f>
        <v>0</v>
      </c>
      <c r="AB244" s="45">
        <f>IF(OR(V$231=0,V$231=""),0,Z244*INDEX(Listes!$K$15:$P$26,MATCH(V$231,Listes!$K$15:$K$26,0),MATCH(AB$232,Listes!$K$15:$P$15,0))*INDEX(Listes!$K$29:$O$31,MATCH(W$231,Listes!$K$29:$K$31,0),MATCH(AB$232,Listes!$K$29:$O$29,0)))</f>
        <v>0</v>
      </c>
      <c r="AC244" s="45">
        <f>IF(OR(V$231=0,V$231=""),0,Z244*INDEX(Listes!$K$15:$P$26,MATCH(V$231,Listes!$K$15:$K$26,0),MATCH(AC$232,Listes!$K$15:$P$15,0))*INDEX(Listes!$K$29:$O$31,MATCH(W$231,Listes!$K$29:$K$31,0),MATCH(AC$232,Listes!$K$29:$O$29,0)))</f>
        <v>0</v>
      </c>
      <c r="AE244" s="463"/>
      <c r="AF244" s="3">
        <v>12</v>
      </c>
      <c r="AG244" s="45">
        <f t="shared" si="177"/>
        <v>0</v>
      </c>
      <c r="AH244" s="45">
        <f t="shared" si="178"/>
        <v>0</v>
      </c>
      <c r="AI244" s="45">
        <f>IF(OR(AH244=0,AH244="",AF$116=0),0,AH244*INDEX(Listes!$K$1:$Q$12,MATCH(AF$116,Listes!$K$1:$K$12,0),MATCH(AI$117,Listes!$K$1:$Q$1,0)))</f>
        <v>0</v>
      </c>
      <c r="AJ244" s="45">
        <f t="shared" si="179"/>
        <v>0</v>
      </c>
      <c r="AK244" s="45">
        <f>IF(OR(AF$231=0,AF$231=""),0,AJ244*INDEX(Listes!$K$15:$P$26,MATCH(AF$231,Listes!$K$15:$K$26,0),MATCH(AK$232,Listes!$K$15:$P$15,0))*INDEX(Listes!$K$29:$O$31,MATCH(AG$231,Listes!$K$29:$K$31,0),MATCH(AK$232,Listes!$K$29:$O$29,0)))</f>
        <v>0</v>
      </c>
      <c r="AL244" s="45">
        <f>IF(OR(AF$231=0,AF$231=""),0,AJ244*INDEX(Listes!$K$15:$P$26,MATCH(AF$231,Listes!$K$15:$K$26,0),MATCH(AL$232,Listes!$K$15:$P$15,0))*INDEX(Listes!$K$29:$O$31,MATCH(AG$231,Listes!$K$29:$K$31,0),MATCH(AL$232,Listes!$K$29:$O$29,0)))</f>
        <v>0</v>
      </c>
      <c r="AM244" s="45">
        <f>IF(OR(AF$231=0,AF$231=""),0,AJ244*INDEX(Listes!$K$15:$P$26,MATCH(AF$231,Listes!$K$15:$K$26,0),MATCH(AM$232,Listes!$K$15:$P$15,0))*INDEX(Listes!$K$29:$O$31,MATCH(AG$231,Listes!$K$29:$K$31,0),MATCH(AM$232,Listes!$K$29:$O$29,0)))</f>
        <v>0</v>
      </c>
      <c r="AO244" s="463"/>
      <c r="AP244" s="3">
        <v>12</v>
      </c>
      <c r="AQ244" s="11">
        <f t="shared" si="180"/>
        <v>0</v>
      </c>
      <c r="AR244" s="11">
        <f t="shared" si="186"/>
        <v>0</v>
      </c>
      <c r="AS244" s="11">
        <f t="shared" si="187"/>
        <v>0</v>
      </c>
      <c r="AT244" s="11">
        <f>AQ244*VLOOKUP(AQ$232,Tableau17[],4,FALSE)+AR244*VLOOKUP(AR$232,Tableau17[],4,FALSE)+AS244*VLOOKUP(AS$232,Tableau17[],4,FALSE)</f>
        <v>0</v>
      </c>
      <c r="AU244" s="11">
        <f>AQ244*VLOOKUP(AQ$232,Tableau17[],3,FALSE)+AR244*VLOOKUP(AR$232,Tableau17[],3,FALSE)+AS244*VLOOKUP(AS$232,Tableau17[],3,FALSE)</f>
        <v>0</v>
      </c>
    </row>
    <row r="245" spans="1:52" x14ac:dyDescent="0.2">
      <c r="A245" s="463"/>
      <c r="B245" s="3">
        <v>13</v>
      </c>
      <c r="C245" s="45">
        <f t="shared" si="183"/>
        <v>0</v>
      </c>
      <c r="D245" s="45">
        <f t="shared" si="184"/>
        <v>0</v>
      </c>
      <c r="E245" s="45">
        <f>IF(OR(D245=0,D245="",B$116=0),0,D245*INDEX(Listes!$K$1:$Q$12,MATCH(B$116,Listes!$K$1:$K$12,0),MATCH(E$117,Listes!$K$1:$Q$1,0)))</f>
        <v>0</v>
      </c>
      <c r="F245" s="45">
        <f t="shared" si="185"/>
        <v>0</v>
      </c>
      <c r="G245" s="45">
        <f>IF(OR(B$231=0,B$231=""),0,F245*INDEX(Listes!$K$15:$P$26,MATCH(B$231,Listes!$K$15:$K$26,0),MATCH(G$232,Listes!$K$15:$P$15,0))*INDEX(Listes!$K$29:$O$31,MATCH(C$231,Listes!$K$29:$K$31,0),MATCH(G$232,Listes!$K$29:$O$29,0)))</f>
        <v>0</v>
      </c>
      <c r="H245" s="45">
        <f>IF(OR(B$231=0,B$231=""),0,F245*INDEX(Listes!$K$15:$P$26,MATCH(B$231,Listes!$K$15:$K$26,0),MATCH(H$232,Listes!$K$15:$P$15,0))*INDEX(Listes!$K$29:$O$31,MATCH(C$231,Listes!$K$29:$K$31,0),MATCH(H$232,Listes!$K$29:$O$29,0)))</f>
        <v>0</v>
      </c>
      <c r="I245" s="45">
        <f>IF(OR(B$231=0,B$231=""),0,F245*INDEX(Listes!$K$15:$P$26,MATCH(B$231,Listes!$K$15:$K$26,0),MATCH(I$232,Listes!$K$15:$P$15,0))*INDEX(Listes!$K$29:$O$31,MATCH(C$231,Listes!$K$29:$K$31,0),MATCH(I$232,Listes!$K$29:$O$29,0)))</f>
        <v>0</v>
      </c>
      <c r="K245" s="463"/>
      <c r="L245" s="3">
        <v>13</v>
      </c>
      <c r="M245" s="45">
        <f t="shared" si="171"/>
        <v>0</v>
      </c>
      <c r="N245" s="45">
        <f t="shared" si="172"/>
        <v>0</v>
      </c>
      <c r="O245" s="45">
        <f>IF(OR(N245=0,N245="",L$116=0),0,N245*INDEX(Listes!$K$1:$Q$12,MATCH(L$116,Listes!$K$1:$K$12,0),MATCH(O$117,Listes!$K$1:$Q$1,0)))</f>
        <v>0</v>
      </c>
      <c r="P245" s="45">
        <f t="shared" si="173"/>
        <v>0</v>
      </c>
      <c r="Q245" s="45">
        <f>IF(OR(L$231=0,L$231=""),0,P245*INDEX(Listes!$K$15:$P$26,MATCH(L$231,Listes!$K$15:$K$26,0),MATCH(Q$232,Listes!$K$15:$P$15,0))*INDEX(Listes!$K$29:$O$31,MATCH(M$231,Listes!$K$29:$K$31,0),MATCH(Q$232,Listes!$K$29:$O$29,0)))</f>
        <v>0</v>
      </c>
      <c r="R245" s="45">
        <f>IF(OR(L$231=0,L$231=""),0,P245*INDEX(Listes!$K$15:$P$26,MATCH(L$231,Listes!$K$15:$K$26,0),MATCH(R$232,Listes!$K$15:$P$15,0))*INDEX(Listes!$K$29:$O$31,MATCH(M$231,Listes!$K$29:$K$31,0),MATCH(R$232,Listes!$K$29:$O$29,0)))</f>
        <v>0</v>
      </c>
      <c r="S245" s="45">
        <f>IF(OR(L$231=0,L$231=""),0,P245*INDEX(Listes!$K$15:$P$26,MATCH(L$231,Listes!$K$15:$K$26,0),MATCH(S$232,Listes!$K$15:$P$15,0))*INDEX(Listes!$K$29:$O$31,MATCH(M$231,Listes!$K$29:$K$31,0),MATCH(S$232,Listes!$K$29:$O$29,0)))</f>
        <v>0</v>
      </c>
      <c r="U245" s="463"/>
      <c r="V245" s="3">
        <v>13</v>
      </c>
      <c r="W245" s="45">
        <f t="shared" si="174"/>
        <v>0</v>
      </c>
      <c r="X245" s="45">
        <f t="shared" si="175"/>
        <v>0</v>
      </c>
      <c r="Y245" s="45">
        <f>IF(OR(X245=0,X245="",V$116=0),0,X245*INDEX(Listes!$K$1:$Q$12,MATCH(V$116,Listes!$K$1:$K$12,0),MATCH(Y$117,Listes!$K$1:$Q$1,0)))</f>
        <v>0</v>
      </c>
      <c r="Z245" s="45">
        <f t="shared" si="176"/>
        <v>0</v>
      </c>
      <c r="AA245" s="45">
        <f>IF(OR(V$231=0,V$231=""),0,Z245*INDEX(Listes!$K$15:$P$26,MATCH(V$231,Listes!$K$15:$K$26,0),MATCH(AA$232,Listes!$K$15:$P$15,0))*INDEX(Listes!$K$29:$O$31,MATCH(W$231,Listes!$K$29:$K$31,0),MATCH(AA$232,Listes!$K$29:$O$29,0)))</f>
        <v>0</v>
      </c>
      <c r="AB245" s="45">
        <f>IF(OR(V$231=0,V$231=""),0,Z245*INDEX(Listes!$K$15:$P$26,MATCH(V$231,Listes!$K$15:$K$26,0),MATCH(AB$232,Listes!$K$15:$P$15,0))*INDEX(Listes!$K$29:$O$31,MATCH(W$231,Listes!$K$29:$K$31,0),MATCH(AB$232,Listes!$K$29:$O$29,0)))</f>
        <v>0</v>
      </c>
      <c r="AC245" s="45">
        <f>IF(OR(V$231=0,V$231=""),0,Z245*INDEX(Listes!$K$15:$P$26,MATCH(V$231,Listes!$K$15:$K$26,0),MATCH(AC$232,Listes!$K$15:$P$15,0))*INDEX(Listes!$K$29:$O$31,MATCH(W$231,Listes!$K$29:$K$31,0),MATCH(AC$232,Listes!$K$29:$O$29,0)))</f>
        <v>0</v>
      </c>
      <c r="AE245" s="463"/>
      <c r="AF245" s="3">
        <v>13</v>
      </c>
      <c r="AG245" s="45">
        <f t="shared" si="177"/>
        <v>0</v>
      </c>
      <c r="AH245" s="45">
        <f t="shared" si="178"/>
        <v>0</v>
      </c>
      <c r="AI245" s="45">
        <f>IF(OR(AH245=0,AH245="",AF$116=0),0,AH245*INDEX(Listes!$K$1:$Q$12,MATCH(AF$116,Listes!$K$1:$K$12,0),MATCH(AI$117,Listes!$K$1:$Q$1,0)))</f>
        <v>0</v>
      </c>
      <c r="AJ245" s="45">
        <f t="shared" si="179"/>
        <v>0</v>
      </c>
      <c r="AK245" s="45">
        <f>IF(OR(AF$231=0,AF$231=""),0,AJ245*INDEX(Listes!$K$15:$P$26,MATCH(AF$231,Listes!$K$15:$K$26,0),MATCH(AK$232,Listes!$K$15:$P$15,0))*INDEX(Listes!$K$29:$O$31,MATCH(AG$231,Listes!$K$29:$K$31,0),MATCH(AK$232,Listes!$K$29:$O$29,0)))</f>
        <v>0</v>
      </c>
      <c r="AL245" s="45">
        <f>IF(OR(AF$231=0,AF$231=""),0,AJ245*INDEX(Listes!$K$15:$P$26,MATCH(AF$231,Listes!$K$15:$K$26,0),MATCH(AL$232,Listes!$K$15:$P$15,0))*INDEX(Listes!$K$29:$O$31,MATCH(AG$231,Listes!$K$29:$K$31,0),MATCH(AL$232,Listes!$K$29:$O$29,0)))</f>
        <v>0</v>
      </c>
      <c r="AM245" s="45">
        <f>IF(OR(AF$231=0,AF$231=""),0,AJ245*INDEX(Listes!$K$15:$P$26,MATCH(AF$231,Listes!$K$15:$K$26,0),MATCH(AM$232,Listes!$K$15:$P$15,0))*INDEX(Listes!$K$29:$O$31,MATCH(AG$231,Listes!$K$29:$K$31,0),MATCH(AM$232,Listes!$K$29:$O$29,0)))</f>
        <v>0</v>
      </c>
      <c r="AO245" s="463"/>
      <c r="AP245" s="3">
        <v>13</v>
      </c>
      <c r="AQ245" s="11">
        <f t="shared" si="180"/>
        <v>0</v>
      </c>
      <c r="AR245" s="11">
        <f t="shared" si="186"/>
        <v>0</v>
      </c>
      <c r="AS245" s="11">
        <f t="shared" si="187"/>
        <v>0</v>
      </c>
      <c r="AT245" s="11">
        <f>AQ245*VLOOKUP(AQ$232,Tableau17[],4,FALSE)+AR245*VLOOKUP(AR$232,Tableau17[],4,FALSE)+AS245*VLOOKUP(AS$232,Tableau17[],4,FALSE)</f>
        <v>0</v>
      </c>
      <c r="AU245" s="11">
        <f>AQ245*VLOOKUP(AQ$232,Tableau17[],3,FALSE)+AR245*VLOOKUP(AR$232,Tableau17[],3,FALSE)+AS245*VLOOKUP(AS$232,Tableau17[],3,FALSE)</f>
        <v>0</v>
      </c>
    </row>
    <row r="246" spans="1:52" x14ac:dyDescent="0.2">
      <c r="A246" s="463"/>
      <c r="B246" s="3">
        <v>14</v>
      </c>
      <c r="C246" s="45">
        <f t="shared" si="183"/>
        <v>0</v>
      </c>
      <c r="D246" s="45">
        <f t="shared" si="184"/>
        <v>0</v>
      </c>
      <c r="E246" s="45">
        <f>IF(OR(D246=0,D246="",B$116=0),0,D246*INDEX(Listes!$K$1:$Q$12,MATCH(B$116,Listes!$K$1:$K$12,0),MATCH(E$117,Listes!$K$1:$Q$1,0)))</f>
        <v>0</v>
      </c>
      <c r="F246" s="45">
        <f t="shared" si="185"/>
        <v>0</v>
      </c>
      <c r="G246" s="45">
        <f>IF(OR(B$231=0,B$231=""),0,F246*INDEX(Listes!$K$15:$P$26,MATCH(B$231,Listes!$K$15:$K$26,0),MATCH(G$232,Listes!$K$15:$P$15,0))*INDEX(Listes!$K$29:$O$31,MATCH(C$231,Listes!$K$29:$K$31,0),MATCH(G$232,Listes!$K$29:$O$29,0)))</f>
        <v>0</v>
      </c>
      <c r="H246" s="45">
        <f>IF(OR(B$231=0,B$231=""),0,F246*INDEX(Listes!$K$15:$P$26,MATCH(B$231,Listes!$K$15:$K$26,0),MATCH(H$232,Listes!$K$15:$P$15,0))*INDEX(Listes!$K$29:$O$31,MATCH(C$231,Listes!$K$29:$K$31,0),MATCH(H$232,Listes!$K$29:$O$29,0)))</f>
        <v>0</v>
      </c>
      <c r="I246" s="45">
        <f>IF(OR(B$231=0,B$231=""),0,F246*INDEX(Listes!$K$15:$P$26,MATCH(B$231,Listes!$K$15:$K$26,0),MATCH(I$232,Listes!$K$15:$P$15,0))*INDEX(Listes!$K$29:$O$31,MATCH(C$231,Listes!$K$29:$K$31,0),MATCH(I$232,Listes!$K$29:$O$29,0)))</f>
        <v>0</v>
      </c>
      <c r="K246" s="463"/>
      <c r="L246" s="3">
        <v>14</v>
      </c>
      <c r="M246" s="45">
        <f t="shared" si="171"/>
        <v>0</v>
      </c>
      <c r="N246" s="45">
        <f t="shared" si="172"/>
        <v>0</v>
      </c>
      <c r="O246" s="45">
        <f>IF(OR(N246=0,N246="",L$116=0),0,N246*INDEX(Listes!$K$1:$Q$12,MATCH(L$116,Listes!$K$1:$K$12,0),MATCH(O$117,Listes!$K$1:$Q$1,0)))</f>
        <v>0</v>
      </c>
      <c r="P246" s="45">
        <f t="shared" si="173"/>
        <v>0</v>
      </c>
      <c r="Q246" s="45">
        <f>IF(OR(L$231=0,L$231=""),0,P246*INDEX(Listes!$K$15:$P$26,MATCH(L$231,Listes!$K$15:$K$26,0),MATCH(Q$232,Listes!$K$15:$P$15,0))*INDEX(Listes!$K$29:$O$31,MATCH(M$231,Listes!$K$29:$K$31,0),MATCH(Q$232,Listes!$K$29:$O$29,0)))</f>
        <v>0</v>
      </c>
      <c r="R246" s="45">
        <f>IF(OR(L$231=0,L$231=""),0,P246*INDEX(Listes!$K$15:$P$26,MATCH(L$231,Listes!$K$15:$K$26,0),MATCH(R$232,Listes!$K$15:$P$15,0))*INDEX(Listes!$K$29:$O$31,MATCH(M$231,Listes!$K$29:$K$31,0),MATCH(R$232,Listes!$K$29:$O$29,0)))</f>
        <v>0</v>
      </c>
      <c r="S246" s="45">
        <f>IF(OR(L$231=0,L$231=""),0,P246*INDEX(Listes!$K$15:$P$26,MATCH(L$231,Listes!$K$15:$K$26,0),MATCH(S$232,Listes!$K$15:$P$15,0))*INDEX(Listes!$K$29:$O$31,MATCH(M$231,Listes!$K$29:$K$31,0),MATCH(S$232,Listes!$K$29:$O$29,0)))</f>
        <v>0</v>
      </c>
      <c r="U246" s="463"/>
      <c r="V246" s="3">
        <v>14</v>
      </c>
      <c r="W246" s="45">
        <f t="shared" si="174"/>
        <v>0</v>
      </c>
      <c r="X246" s="45">
        <f t="shared" si="175"/>
        <v>0</v>
      </c>
      <c r="Y246" s="45">
        <f>IF(OR(X246=0,X246="",V$116=0),0,X246*INDEX(Listes!$K$1:$Q$12,MATCH(V$116,Listes!$K$1:$K$12,0),MATCH(Y$117,Listes!$K$1:$Q$1,0)))</f>
        <v>0</v>
      </c>
      <c r="Z246" s="45">
        <f t="shared" si="176"/>
        <v>0</v>
      </c>
      <c r="AA246" s="45">
        <f>IF(OR(V$231=0,V$231=""),0,Z246*INDEX(Listes!$K$15:$P$26,MATCH(V$231,Listes!$K$15:$K$26,0),MATCH(AA$232,Listes!$K$15:$P$15,0))*INDEX(Listes!$K$29:$O$31,MATCH(W$231,Listes!$K$29:$K$31,0),MATCH(AA$232,Listes!$K$29:$O$29,0)))</f>
        <v>0</v>
      </c>
      <c r="AB246" s="45">
        <f>IF(OR(V$231=0,V$231=""),0,Z246*INDEX(Listes!$K$15:$P$26,MATCH(V$231,Listes!$K$15:$K$26,0),MATCH(AB$232,Listes!$K$15:$P$15,0))*INDEX(Listes!$K$29:$O$31,MATCH(W$231,Listes!$K$29:$K$31,0),MATCH(AB$232,Listes!$K$29:$O$29,0)))</f>
        <v>0</v>
      </c>
      <c r="AC246" s="45">
        <f>IF(OR(V$231=0,V$231=""),0,Z246*INDEX(Listes!$K$15:$P$26,MATCH(V$231,Listes!$K$15:$K$26,0),MATCH(AC$232,Listes!$K$15:$P$15,0))*INDEX(Listes!$K$29:$O$31,MATCH(W$231,Listes!$K$29:$K$31,0),MATCH(AC$232,Listes!$K$29:$O$29,0)))</f>
        <v>0</v>
      </c>
      <c r="AE246" s="463"/>
      <c r="AF246" s="3">
        <v>14</v>
      </c>
      <c r="AG246" s="45">
        <f t="shared" si="177"/>
        <v>0</v>
      </c>
      <c r="AH246" s="45">
        <f t="shared" si="178"/>
        <v>0</v>
      </c>
      <c r="AI246" s="45">
        <f>IF(OR(AH246=0,AH246="",AF$116=0),0,AH246*INDEX(Listes!$K$1:$Q$12,MATCH(AF$116,Listes!$K$1:$K$12,0),MATCH(AI$117,Listes!$K$1:$Q$1,0)))</f>
        <v>0</v>
      </c>
      <c r="AJ246" s="45">
        <f t="shared" si="179"/>
        <v>0</v>
      </c>
      <c r="AK246" s="45">
        <f>IF(OR(AF$231=0,AF$231=""),0,AJ246*INDEX(Listes!$K$15:$P$26,MATCH(AF$231,Listes!$K$15:$K$26,0),MATCH(AK$232,Listes!$K$15:$P$15,0))*INDEX(Listes!$K$29:$O$31,MATCH(AG$231,Listes!$K$29:$K$31,0),MATCH(AK$232,Listes!$K$29:$O$29,0)))</f>
        <v>0</v>
      </c>
      <c r="AL246" s="45">
        <f>IF(OR(AF$231=0,AF$231=""),0,AJ246*INDEX(Listes!$K$15:$P$26,MATCH(AF$231,Listes!$K$15:$K$26,0),MATCH(AL$232,Listes!$K$15:$P$15,0))*INDEX(Listes!$K$29:$O$31,MATCH(AG$231,Listes!$K$29:$K$31,0),MATCH(AL$232,Listes!$K$29:$O$29,0)))</f>
        <v>0</v>
      </c>
      <c r="AM246" s="45">
        <f>IF(OR(AF$231=0,AF$231=""),0,AJ246*INDEX(Listes!$K$15:$P$26,MATCH(AF$231,Listes!$K$15:$K$26,0),MATCH(AM$232,Listes!$K$15:$P$15,0))*INDEX(Listes!$K$29:$O$31,MATCH(AG$231,Listes!$K$29:$K$31,0),MATCH(AM$232,Listes!$K$29:$O$29,0)))</f>
        <v>0</v>
      </c>
      <c r="AO246" s="463"/>
      <c r="AP246" s="3">
        <v>14</v>
      </c>
      <c r="AQ246" s="11">
        <f t="shared" si="180"/>
        <v>0</v>
      </c>
      <c r="AR246" s="11">
        <f t="shared" si="186"/>
        <v>0</v>
      </c>
      <c r="AS246" s="11">
        <f t="shared" si="187"/>
        <v>0</v>
      </c>
      <c r="AT246" s="11">
        <f>AQ246*VLOOKUP(AQ$232,Tableau17[],4,FALSE)+AR246*VLOOKUP(AR$232,Tableau17[],4,FALSE)+AS246*VLOOKUP(AS$232,Tableau17[],4,FALSE)</f>
        <v>0</v>
      </c>
      <c r="AU246" s="11">
        <f>AQ246*VLOOKUP(AQ$232,Tableau17[],3,FALSE)+AR246*VLOOKUP(AR$232,Tableau17[],3,FALSE)+AS246*VLOOKUP(AS$232,Tableau17[],3,FALSE)</f>
        <v>0</v>
      </c>
    </row>
    <row r="247" spans="1:52" x14ac:dyDescent="0.2">
      <c r="A247" s="463"/>
      <c r="B247" s="3">
        <v>15</v>
      </c>
      <c r="C247" s="45">
        <f t="shared" si="183"/>
        <v>0</v>
      </c>
      <c r="D247" s="45">
        <f t="shared" si="184"/>
        <v>0</v>
      </c>
      <c r="E247" s="45">
        <f>IF(OR(D247=0,D247="",B$116=0),0,D247*INDEX(Listes!$K$1:$Q$12,MATCH(B$116,Listes!$K$1:$K$12,0),MATCH(E$117,Listes!$K$1:$Q$1,0)))</f>
        <v>0</v>
      </c>
      <c r="F247" s="45">
        <f t="shared" si="185"/>
        <v>0</v>
      </c>
      <c r="G247" s="45">
        <f>IF(OR(B$231=0,B$231=""),0,F247*INDEX(Listes!$K$15:$P$26,MATCH(B$231,Listes!$K$15:$K$26,0),MATCH(G$232,Listes!$K$15:$P$15,0))*INDEX(Listes!$K$29:$O$31,MATCH(C$231,Listes!$K$29:$K$31,0),MATCH(G$232,Listes!$K$29:$O$29,0)))</f>
        <v>0</v>
      </c>
      <c r="H247" s="45">
        <f>IF(OR(B$231=0,B$231=""),0,F247*INDEX(Listes!$K$15:$P$26,MATCH(B$231,Listes!$K$15:$K$26,0),MATCH(H$232,Listes!$K$15:$P$15,0))*INDEX(Listes!$K$29:$O$31,MATCH(C$231,Listes!$K$29:$K$31,0),MATCH(H$232,Listes!$K$29:$O$29,0)))</f>
        <v>0</v>
      </c>
      <c r="I247" s="45">
        <f>IF(OR(B$231=0,B$231=""),0,F247*INDEX(Listes!$K$15:$P$26,MATCH(B$231,Listes!$K$15:$K$26,0),MATCH(I$232,Listes!$K$15:$P$15,0))*INDEX(Listes!$K$29:$O$31,MATCH(C$231,Listes!$K$29:$K$31,0),MATCH(I$232,Listes!$K$29:$O$29,0)))</f>
        <v>0</v>
      </c>
      <c r="K247" s="463"/>
      <c r="L247" s="3">
        <v>15</v>
      </c>
      <c r="M247" s="45">
        <f t="shared" si="171"/>
        <v>0</v>
      </c>
      <c r="N247" s="45">
        <f t="shared" si="172"/>
        <v>0</v>
      </c>
      <c r="O247" s="45">
        <f>IF(OR(N247=0,N247="",L$116=0),0,N247*INDEX(Listes!$K$1:$Q$12,MATCH(L$116,Listes!$K$1:$K$12,0),MATCH(O$117,Listes!$K$1:$Q$1,0)))</f>
        <v>0</v>
      </c>
      <c r="P247" s="45">
        <f t="shared" si="173"/>
        <v>0</v>
      </c>
      <c r="Q247" s="45">
        <f>IF(OR(L$231=0,L$231=""),0,P247*INDEX(Listes!$K$15:$P$26,MATCH(L$231,Listes!$K$15:$K$26,0),MATCH(Q$232,Listes!$K$15:$P$15,0))*INDEX(Listes!$K$29:$O$31,MATCH(M$231,Listes!$K$29:$K$31,0),MATCH(Q$232,Listes!$K$29:$O$29,0)))</f>
        <v>0</v>
      </c>
      <c r="R247" s="45">
        <f>IF(OR(L$231=0,L$231=""),0,P247*INDEX(Listes!$K$15:$P$26,MATCH(L$231,Listes!$K$15:$K$26,0),MATCH(R$232,Listes!$K$15:$P$15,0))*INDEX(Listes!$K$29:$O$31,MATCH(M$231,Listes!$K$29:$K$31,0),MATCH(R$232,Listes!$K$29:$O$29,0)))</f>
        <v>0</v>
      </c>
      <c r="S247" s="45">
        <f>IF(OR(L$231=0,L$231=""),0,P247*INDEX(Listes!$K$15:$P$26,MATCH(L$231,Listes!$K$15:$K$26,0),MATCH(S$232,Listes!$K$15:$P$15,0))*INDEX(Listes!$K$29:$O$31,MATCH(M$231,Listes!$K$29:$K$31,0),MATCH(S$232,Listes!$K$29:$O$29,0)))</f>
        <v>0</v>
      </c>
      <c r="U247" s="463"/>
      <c r="V247" s="3">
        <v>15</v>
      </c>
      <c r="W247" s="45">
        <f t="shared" si="174"/>
        <v>0</v>
      </c>
      <c r="X247" s="45">
        <f t="shared" si="175"/>
        <v>0</v>
      </c>
      <c r="Y247" s="45">
        <f>IF(OR(X247=0,X247="",V$116=0),0,X247*INDEX(Listes!$K$1:$Q$12,MATCH(V$116,Listes!$K$1:$K$12,0),MATCH(Y$117,Listes!$K$1:$Q$1,0)))</f>
        <v>0</v>
      </c>
      <c r="Z247" s="45">
        <f t="shared" si="176"/>
        <v>0</v>
      </c>
      <c r="AA247" s="45">
        <f>IF(OR(V$231=0,V$231=""),0,Z247*INDEX(Listes!$K$15:$P$26,MATCH(V$231,Listes!$K$15:$K$26,0),MATCH(AA$232,Listes!$K$15:$P$15,0))*INDEX(Listes!$K$29:$O$31,MATCH(W$231,Listes!$K$29:$K$31,0),MATCH(AA$232,Listes!$K$29:$O$29,0)))</f>
        <v>0</v>
      </c>
      <c r="AB247" s="45">
        <f>IF(OR(V$231=0,V$231=""),0,Z247*INDEX(Listes!$K$15:$P$26,MATCH(V$231,Listes!$K$15:$K$26,0),MATCH(AB$232,Listes!$K$15:$P$15,0))*INDEX(Listes!$K$29:$O$31,MATCH(W$231,Listes!$K$29:$K$31,0),MATCH(AB$232,Listes!$K$29:$O$29,0)))</f>
        <v>0</v>
      </c>
      <c r="AC247" s="45">
        <f>IF(OR(V$231=0,V$231=""),0,Z247*INDEX(Listes!$K$15:$P$26,MATCH(V$231,Listes!$K$15:$K$26,0),MATCH(AC$232,Listes!$K$15:$P$15,0))*INDEX(Listes!$K$29:$O$31,MATCH(W$231,Listes!$K$29:$K$31,0),MATCH(AC$232,Listes!$K$29:$O$29,0)))</f>
        <v>0</v>
      </c>
      <c r="AE247" s="463"/>
      <c r="AF247" s="3">
        <v>15</v>
      </c>
      <c r="AG247" s="45">
        <f t="shared" si="177"/>
        <v>0</v>
      </c>
      <c r="AH247" s="45">
        <f t="shared" si="178"/>
        <v>0</v>
      </c>
      <c r="AI247" s="45">
        <f>IF(OR(AH247=0,AH247="",AF$116=0),0,AH247*INDEX(Listes!$K$1:$Q$12,MATCH(AF$116,Listes!$K$1:$K$12,0),MATCH(AI$117,Listes!$K$1:$Q$1,0)))</f>
        <v>0</v>
      </c>
      <c r="AJ247" s="45">
        <f t="shared" si="179"/>
        <v>0</v>
      </c>
      <c r="AK247" s="45">
        <f>IF(OR(AF$231=0,AF$231=""),0,AJ247*INDEX(Listes!$K$15:$P$26,MATCH(AF$231,Listes!$K$15:$K$26,0),MATCH(AK$232,Listes!$K$15:$P$15,0))*INDEX(Listes!$K$29:$O$31,MATCH(AG$231,Listes!$K$29:$K$31,0),MATCH(AK$232,Listes!$K$29:$O$29,0)))</f>
        <v>0</v>
      </c>
      <c r="AL247" s="45">
        <f>IF(OR(AF$231=0,AF$231=""),0,AJ247*INDEX(Listes!$K$15:$P$26,MATCH(AF$231,Listes!$K$15:$K$26,0),MATCH(AL$232,Listes!$K$15:$P$15,0))*INDEX(Listes!$K$29:$O$31,MATCH(AG$231,Listes!$K$29:$K$31,0),MATCH(AL$232,Listes!$K$29:$O$29,0)))</f>
        <v>0</v>
      </c>
      <c r="AM247" s="45">
        <f>IF(OR(AF$231=0,AF$231=""),0,AJ247*INDEX(Listes!$K$15:$P$26,MATCH(AF$231,Listes!$K$15:$K$26,0),MATCH(AM$232,Listes!$K$15:$P$15,0))*INDEX(Listes!$K$29:$O$31,MATCH(AG$231,Listes!$K$29:$K$31,0),MATCH(AM$232,Listes!$K$29:$O$29,0)))</f>
        <v>0</v>
      </c>
      <c r="AO247" s="463"/>
      <c r="AP247" s="3">
        <v>15</v>
      </c>
      <c r="AQ247" s="11">
        <f t="shared" si="180"/>
        <v>0</v>
      </c>
      <c r="AR247" s="11">
        <f t="shared" si="186"/>
        <v>0</v>
      </c>
      <c r="AS247" s="11">
        <f t="shared" si="187"/>
        <v>0</v>
      </c>
      <c r="AT247" s="11">
        <f>AQ247*VLOOKUP(AQ$232,Tableau17[],4,FALSE)+AR247*VLOOKUP(AR$232,Tableau17[],4,FALSE)+AS247*VLOOKUP(AS$232,Tableau17[],4,FALSE)</f>
        <v>0</v>
      </c>
      <c r="AU247" s="11">
        <f>AQ247*VLOOKUP(AQ$232,Tableau17[],3,FALSE)+AR247*VLOOKUP(AR$232,Tableau17[],3,FALSE)+AS247*VLOOKUP(AS$232,Tableau17[],3,FALSE)</f>
        <v>0</v>
      </c>
    </row>
    <row r="248" spans="1:52" x14ac:dyDescent="0.2">
      <c r="A248" s="463"/>
      <c r="B248" s="3">
        <v>16</v>
      </c>
      <c r="C248" s="45">
        <f t="shared" si="183"/>
        <v>0</v>
      </c>
      <c r="D248" s="45">
        <f t="shared" si="184"/>
        <v>0</v>
      </c>
      <c r="E248" s="45">
        <f>IF(OR(D248=0,D248="",B$116=0),0,D248*INDEX(Listes!$K$1:$Q$12,MATCH(B$116,Listes!$K$1:$K$12,0),MATCH(E$117,Listes!$K$1:$Q$1,0)))</f>
        <v>0</v>
      </c>
      <c r="F248" s="45">
        <f t="shared" si="185"/>
        <v>0</v>
      </c>
      <c r="G248" s="45">
        <f>IF(OR(B$231=0,B$231=""),0,F248*INDEX(Listes!$K$15:$P$26,MATCH(B$231,Listes!$K$15:$K$26,0),MATCH(G$232,Listes!$K$15:$P$15,0))*INDEX(Listes!$K$29:$O$31,MATCH(C$231,Listes!$K$29:$K$31,0),MATCH(G$232,Listes!$K$29:$O$29,0)))</f>
        <v>0</v>
      </c>
      <c r="H248" s="45">
        <f>IF(OR(B$231=0,B$231=""),0,F248*INDEX(Listes!$K$15:$P$26,MATCH(B$231,Listes!$K$15:$K$26,0),MATCH(H$232,Listes!$K$15:$P$15,0))*INDEX(Listes!$K$29:$O$31,MATCH(C$231,Listes!$K$29:$K$31,0),MATCH(H$232,Listes!$K$29:$O$29,0)))</f>
        <v>0</v>
      </c>
      <c r="I248" s="45">
        <f>IF(OR(B$231=0,B$231=""),0,F248*INDEX(Listes!$K$15:$P$26,MATCH(B$231,Listes!$K$15:$K$26,0),MATCH(I$232,Listes!$K$15:$P$15,0))*INDEX(Listes!$K$29:$O$31,MATCH(C$231,Listes!$K$29:$K$31,0),MATCH(I$232,Listes!$K$29:$O$29,0)))</f>
        <v>0</v>
      </c>
      <c r="K248" s="463"/>
      <c r="L248" s="3">
        <v>16</v>
      </c>
      <c r="M248" s="45">
        <f t="shared" si="171"/>
        <v>0</v>
      </c>
      <c r="N248" s="45">
        <f t="shared" si="172"/>
        <v>0</v>
      </c>
      <c r="O248" s="45">
        <f>IF(OR(N248=0,N248="",L$116=0),0,N248*INDEX(Listes!$K$1:$Q$12,MATCH(L$116,Listes!$K$1:$K$12,0),MATCH(O$117,Listes!$K$1:$Q$1,0)))</f>
        <v>0</v>
      </c>
      <c r="P248" s="45">
        <f t="shared" si="173"/>
        <v>0</v>
      </c>
      <c r="Q248" s="45">
        <f>IF(OR(L$231=0,L$231=""),0,P248*INDEX(Listes!$K$15:$P$26,MATCH(L$231,Listes!$K$15:$K$26,0),MATCH(Q$232,Listes!$K$15:$P$15,0))*INDEX(Listes!$K$29:$O$31,MATCH(M$231,Listes!$K$29:$K$31,0),MATCH(Q$232,Listes!$K$29:$O$29,0)))</f>
        <v>0</v>
      </c>
      <c r="R248" s="45">
        <f>IF(OR(L$231=0,L$231=""),0,P248*INDEX(Listes!$K$15:$P$26,MATCH(L$231,Listes!$K$15:$K$26,0),MATCH(R$232,Listes!$K$15:$P$15,0))*INDEX(Listes!$K$29:$O$31,MATCH(M$231,Listes!$K$29:$K$31,0),MATCH(R$232,Listes!$K$29:$O$29,0)))</f>
        <v>0</v>
      </c>
      <c r="S248" s="45">
        <f>IF(OR(L$231=0,L$231=""),0,P248*INDEX(Listes!$K$15:$P$26,MATCH(L$231,Listes!$K$15:$K$26,0),MATCH(S$232,Listes!$K$15:$P$15,0))*INDEX(Listes!$K$29:$O$31,MATCH(M$231,Listes!$K$29:$K$31,0),MATCH(S$232,Listes!$K$29:$O$29,0)))</f>
        <v>0</v>
      </c>
      <c r="U248" s="463"/>
      <c r="V248" s="3">
        <v>16</v>
      </c>
      <c r="W248" s="45">
        <f t="shared" si="174"/>
        <v>0</v>
      </c>
      <c r="X248" s="45">
        <f t="shared" si="175"/>
        <v>0</v>
      </c>
      <c r="Y248" s="45">
        <f>IF(OR(X248=0,X248="",V$116=0),0,X248*INDEX(Listes!$K$1:$Q$12,MATCH(V$116,Listes!$K$1:$K$12,0),MATCH(Y$117,Listes!$K$1:$Q$1,0)))</f>
        <v>0</v>
      </c>
      <c r="Z248" s="45">
        <f t="shared" si="176"/>
        <v>0</v>
      </c>
      <c r="AA248" s="45">
        <f>IF(OR(V$231=0,V$231=""),0,Z248*INDEX(Listes!$K$15:$P$26,MATCH(V$231,Listes!$K$15:$K$26,0),MATCH(AA$232,Listes!$K$15:$P$15,0))*INDEX(Listes!$K$29:$O$31,MATCH(W$231,Listes!$K$29:$K$31,0),MATCH(AA$232,Listes!$K$29:$O$29,0)))</f>
        <v>0</v>
      </c>
      <c r="AB248" s="45">
        <f>IF(OR(V$231=0,V$231=""),0,Z248*INDEX(Listes!$K$15:$P$26,MATCH(V$231,Listes!$K$15:$K$26,0),MATCH(AB$232,Listes!$K$15:$P$15,0))*INDEX(Listes!$K$29:$O$31,MATCH(W$231,Listes!$K$29:$K$31,0),MATCH(AB$232,Listes!$K$29:$O$29,0)))</f>
        <v>0</v>
      </c>
      <c r="AC248" s="45">
        <f>IF(OR(V$231=0,V$231=""),0,Z248*INDEX(Listes!$K$15:$P$26,MATCH(V$231,Listes!$K$15:$K$26,0),MATCH(AC$232,Listes!$K$15:$P$15,0))*INDEX(Listes!$K$29:$O$31,MATCH(W$231,Listes!$K$29:$K$31,0),MATCH(AC$232,Listes!$K$29:$O$29,0)))</f>
        <v>0</v>
      </c>
      <c r="AE248" s="463"/>
      <c r="AF248" s="3">
        <v>16</v>
      </c>
      <c r="AG248" s="45">
        <f t="shared" si="177"/>
        <v>0</v>
      </c>
      <c r="AH248" s="45">
        <f t="shared" si="178"/>
        <v>0</v>
      </c>
      <c r="AI248" s="45">
        <f>IF(OR(AH248=0,AH248="",AF$116=0),0,AH248*INDEX(Listes!$K$1:$Q$12,MATCH(AF$116,Listes!$K$1:$K$12,0),MATCH(AI$117,Listes!$K$1:$Q$1,0)))</f>
        <v>0</v>
      </c>
      <c r="AJ248" s="45">
        <f t="shared" si="179"/>
        <v>0</v>
      </c>
      <c r="AK248" s="45">
        <f>IF(OR(AF$231=0,AF$231=""),0,AJ248*INDEX(Listes!$K$15:$P$26,MATCH(AF$231,Listes!$K$15:$K$26,0),MATCH(AK$232,Listes!$K$15:$P$15,0))*INDEX(Listes!$K$29:$O$31,MATCH(AG$231,Listes!$K$29:$K$31,0),MATCH(AK$232,Listes!$K$29:$O$29,0)))</f>
        <v>0</v>
      </c>
      <c r="AL248" s="45">
        <f>IF(OR(AF$231=0,AF$231=""),0,AJ248*INDEX(Listes!$K$15:$P$26,MATCH(AF$231,Listes!$K$15:$K$26,0),MATCH(AL$232,Listes!$K$15:$P$15,0))*INDEX(Listes!$K$29:$O$31,MATCH(AG$231,Listes!$K$29:$K$31,0),MATCH(AL$232,Listes!$K$29:$O$29,0)))</f>
        <v>0</v>
      </c>
      <c r="AM248" s="45">
        <f>IF(OR(AF$231=0,AF$231=""),0,AJ248*INDEX(Listes!$K$15:$P$26,MATCH(AF$231,Listes!$K$15:$K$26,0),MATCH(AM$232,Listes!$K$15:$P$15,0))*INDEX(Listes!$K$29:$O$31,MATCH(AG$231,Listes!$K$29:$K$31,0),MATCH(AM$232,Listes!$K$29:$O$29,0)))</f>
        <v>0</v>
      </c>
      <c r="AO248" s="463"/>
      <c r="AP248" s="3">
        <v>16</v>
      </c>
      <c r="AQ248" s="11">
        <f t="shared" si="180"/>
        <v>0</v>
      </c>
      <c r="AR248" s="11">
        <f t="shared" si="186"/>
        <v>0</v>
      </c>
      <c r="AS248" s="11">
        <f t="shared" si="187"/>
        <v>0</v>
      </c>
      <c r="AT248" s="11">
        <f>AQ248*VLOOKUP(AQ$232,Tableau17[],4,FALSE)+AR248*VLOOKUP(AR$232,Tableau17[],4,FALSE)+AS248*VLOOKUP(AS$232,Tableau17[],4,FALSE)</f>
        <v>0</v>
      </c>
      <c r="AU248" s="11">
        <f>AQ248*VLOOKUP(AQ$232,Tableau17[],3,FALSE)+AR248*VLOOKUP(AR$232,Tableau17[],3,FALSE)+AS248*VLOOKUP(AS$232,Tableau17[],3,FALSE)</f>
        <v>0</v>
      </c>
    </row>
    <row r="249" spans="1:52" x14ac:dyDescent="0.2">
      <c r="A249" s="463"/>
      <c r="B249" s="3">
        <v>17</v>
      </c>
      <c r="C249" s="45">
        <f t="shared" si="183"/>
        <v>0</v>
      </c>
      <c r="D249" s="45">
        <f t="shared" si="184"/>
        <v>0</v>
      </c>
      <c r="E249" s="45">
        <f>IF(OR(D249=0,D249="",B$116=0),0,D249*INDEX(Listes!$K$1:$Q$12,MATCH(B$116,Listes!$K$1:$K$12,0),MATCH(E$117,Listes!$K$1:$Q$1,0)))</f>
        <v>0</v>
      </c>
      <c r="F249" s="45">
        <f t="shared" si="185"/>
        <v>0</v>
      </c>
      <c r="G249" s="45">
        <f>IF(OR(B$231=0,B$231=""),0,F249*INDEX(Listes!$K$15:$P$26,MATCH(B$231,Listes!$K$15:$K$26,0),MATCH(G$232,Listes!$K$15:$P$15,0))*INDEX(Listes!$K$29:$O$31,MATCH(C$231,Listes!$K$29:$K$31,0),MATCH(G$232,Listes!$K$29:$O$29,0)))</f>
        <v>0</v>
      </c>
      <c r="H249" s="45">
        <f>IF(OR(B$231=0,B$231=""),0,F249*INDEX(Listes!$K$15:$P$26,MATCH(B$231,Listes!$K$15:$K$26,0),MATCH(H$232,Listes!$K$15:$P$15,0))*INDEX(Listes!$K$29:$O$31,MATCH(C$231,Listes!$K$29:$K$31,0),MATCH(H$232,Listes!$K$29:$O$29,0)))</f>
        <v>0</v>
      </c>
      <c r="I249" s="45">
        <f>IF(OR(B$231=0,B$231=""),0,F249*INDEX(Listes!$K$15:$P$26,MATCH(B$231,Listes!$K$15:$K$26,0),MATCH(I$232,Listes!$K$15:$P$15,0))*INDEX(Listes!$K$29:$O$31,MATCH(C$231,Listes!$K$29:$K$31,0),MATCH(I$232,Listes!$K$29:$O$29,0)))</f>
        <v>0</v>
      </c>
      <c r="K249" s="463"/>
      <c r="L249" s="3">
        <v>17</v>
      </c>
      <c r="M249" s="45">
        <f t="shared" si="171"/>
        <v>0</v>
      </c>
      <c r="N249" s="45">
        <f t="shared" si="172"/>
        <v>0</v>
      </c>
      <c r="O249" s="45">
        <f>IF(OR(N249=0,N249="",L$116=0),0,N249*INDEX(Listes!$K$1:$Q$12,MATCH(L$116,Listes!$K$1:$K$12,0),MATCH(O$117,Listes!$K$1:$Q$1,0)))</f>
        <v>0</v>
      </c>
      <c r="P249" s="45">
        <f t="shared" si="173"/>
        <v>0</v>
      </c>
      <c r="Q249" s="45">
        <f>IF(OR(L$231=0,L$231=""),0,P249*INDEX(Listes!$K$15:$P$26,MATCH(L$231,Listes!$K$15:$K$26,0),MATCH(Q$232,Listes!$K$15:$P$15,0))*INDEX(Listes!$K$29:$O$31,MATCH(M$231,Listes!$K$29:$K$31,0),MATCH(Q$232,Listes!$K$29:$O$29,0)))</f>
        <v>0</v>
      </c>
      <c r="R249" s="45">
        <f>IF(OR(L$231=0,L$231=""),0,P249*INDEX(Listes!$K$15:$P$26,MATCH(L$231,Listes!$K$15:$K$26,0),MATCH(R$232,Listes!$K$15:$P$15,0))*INDEX(Listes!$K$29:$O$31,MATCH(M$231,Listes!$K$29:$K$31,0),MATCH(R$232,Listes!$K$29:$O$29,0)))</f>
        <v>0</v>
      </c>
      <c r="S249" s="45">
        <f>IF(OR(L$231=0,L$231=""),0,P249*INDEX(Listes!$K$15:$P$26,MATCH(L$231,Listes!$K$15:$K$26,0),MATCH(S$232,Listes!$K$15:$P$15,0))*INDEX(Listes!$K$29:$O$31,MATCH(M$231,Listes!$K$29:$K$31,0),MATCH(S$232,Listes!$K$29:$O$29,0)))</f>
        <v>0</v>
      </c>
      <c r="U249" s="463"/>
      <c r="V249" s="3">
        <v>17</v>
      </c>
      <c r="W249" s="45">
        <f t="shared" si="174"/>
        <v>0</v>
      </c>
      <c r="X249" s="45">
        <f t="shared" si="175"/>
        <v>0</v>
      </c>
      <c r="Y249" s="45">
        <f>IF(OR(X249=0,X249="",V$116=0),0,X249*INDEX(Listes!$K$1:$Q$12,MATCH(V$116,Listes!$K$1:$K$12,0),MATCH(Y$117,Listes!$K$1:$Q$1,0)))</f>
        <v>0</v>
      </c>
      <c r="Z249" s="45">
        <f t="shared" si="176"/>
        <v>0</v>
      </c>
      <c r="AA249" s="45">
        <f>IF(OR(V$231=0,V$231=""),0,Z249*INDEX(Listes!$K$15:$P$26,MATCH(V$231,Listes!$K$15:$K$26,0),MATCH(AA$232,Listes!$K$15:$P$15,0))*INDEX(Listes!$K$29:$O$31,MATCH(W$231,Listes!$K$29:$K$31,0),MATCH(AA$232,Listes!$K$29:$O$29,0)))</f>
        <v>0</v>
      </c>
      <c r="AB249" s="45">
        <f>IF(OR(V$231=0,V$231=""),0,Z249*INDEX(Listes!$K$15:$P$26,MATCH(V$231,Listes!$K$15:$K$26,0),MATCH(AB$232,Listes!$K$15:$P$15,0))*INDEX(Listes!$K$29:$O$31,MATCH(W$231,Listes!$K$29:$K$31,0),MATCH(AB$232,Listes!$K$29:$O$29,0)))</f>
        <v>0</v>
      </c>
      <c r="AC249" s="45">
        <f>IF(OR(V$231=0,V$231=""),0,Z249*INDEX(Listes!$K$15:$P$26,MATCH(V$231,Listes!$K$15:$K$26,0),MATCH(AC$232,Listes!$K$15:$P$15,0))*INDEX(Listes!$K$29:$O$31,MATCH(W$231,Listes!$K$29:$K$31,0),MATCH(AC$232,Listes!$K$29:$O$29,0)))</f>
        <v>0</v>
      </c>
      <c r="AE249" s="463"/>
      <c r="AF249" s="3">
        <v>17</v>
      </c>
      <c r="AG249" s="45">
        <f t="shared" si="177"/>
        <v>0</v>
      </c>
      <c r="AH249" s="45">
        <f t="shared" si="178"/>
        <v>0</v>
      </c>
      <c r="AI249" s="45">
        <f>IF(OR(AH249=0,AH249="",AF$116=0),0,AH249*INDEX(Listes!$K$1:$Q$12,MATCH(AF$116,Listes!$K$1:$K$12,0),MATCH(AI$117,Listes!$K$1:$Q$1,0)))</f>
        <v>0</v>
      </c>
      <c r="AJ249" s="45">
        <f t="shared" si="179"/>
        <v>0</v>
      </c>
      <c r="AK249" s="45">
        <f>IF(OR(AF$231=0,AF$231=""),0,AJ249*INDEX(Listes!$K$15:$P$26,MATCH(AF$231,Listes!$K$15:$K$26,0),MATCH(AK$232,Listes!$K$15:$P$15,0))*INDEX(Listes!$K$29:$O$31,MATCH(AG$231,Listes!$K$29:$K$31,0),MATCH(AK$232,Listes!$K$29:$O$29,0)))</f>
        <v>0</v>
      </c>
      <c r="AL249" s="45">
        <f>IF(OR(AF$231=0,AF$231=""),0,AJ249*INDEX(Listes!$K$15:$P$26,MATCH(AF$231,Listes!$K$15:$K$26,0),MATCH(AL$232,Listes!$K$15:$P$15,0))*INDEX(Listes!$K$29:$O$31,MATCH(AG$231,Listes!$K$29:$K$31,0),MATCH(AL$232,Listes!$K$29:$O$29,0)))</f>
        <v>0</v>
      </c>
      <c r="AM249" s="45">
        <f>IF(OR(AF$231=0,AF$231=""),0,AJ249*INDEX(Listes!$K$15:$P$26,MATCH(AF$231,Listes!$K$15:$K$26,0),MATCH(AM$232,Listes!$K$15:$P$15,0))*INDEX(Listes!$K$29:$O$31,MATCH(AG$231,Listes!$K$29:$K$31,0),MATCH(AM$232,Listes!$K$29:$O$29,0)))</f>
        <v>0</v>
      </c>
      <c r="AO249" s="463"/>
      <c r="AP249" s="3">
        <v>17</v>
      </c>
      <c r="AQ249" s="11">
        <f t="shared" si="180"/>
        <v>0</v>
      </c>
      <c r="AR249" s="11">
        <f t="shared" si="186"/>
        <v>0</v>
      </c>
      <c r="AS249" s="11">
        <f t="shared" si="187"/>
        <v>0</v>
      </c>
      <c r="AT249" s="11">
        <f>AQ249*VLOOKUP(AQ$232,Tableau17[],4,FALSE)+AR249*VLOOKUP(AR$232,Tableau17[],4,FALSE)+AS249*VLOOKUP(AS$232,Tableau17[],4,FALSE)</f>
        <v>0</v>
      </c>
      <c r="AU249" s="11">
        <f>AQ249*VLOOKUP(AQ$232,Tableau17[],3,FALSE)+AR249*VLOOKUP(AR$232,Tableau17[],3,FALSE)+AS249*VLOOKUP(AS$232,Tableau17[],3,FALSE)</f>
        <v>0</v>
      </c>
    </row>
    <row r="250" spans="1:52" x14ac:dyDescent="0.2">
      <c r="A250" s="463"/>
      <c r="B250" s="3">
        <v>18</v>
      </c>
      <c r="C250" s="45">
        <f t="shared" si="183"/>
        <v>0</v>
      </c>
      <c r="D250" s="45">
        <f t="shared" si="184"/>
        <v>0</v>
      </c>
      <c r="E250" s="45">
        <f>IF(OR(D250=0,D250="",B$116=0),0,D250*INDEX(Listes!$K$1:$Q$12,MATCH(B$116,Listes!$K$1:$K$12,0),MATCH(E$117,Listes!$K$1:$Q$1,0)))</f>
        <v>0</v>
      </c>
      <c r="F250" s="45">
        <f t="shared" si="185"/>
        <v>0</v>
      </c>
      <c r="G250" s="45">
        <f>IF(OR(B$231=0,B$231=""),0,F250*INDEX(Listes!$K$15:$P$26,MATCH(B$231,Listes!$K$15:$K$26,0),MATCH(G$232,Listes!$K$15:$P$15,0))*INDEX(Listes!$K$29:$O$31,MATCH(C$231,Listes!$K$29:$K$31,0),MATCH(G$232,Listes!$K$29:$O$29,0)))</f>
        <v>0</v>
      </c>
      <c r="H250" s="45">
        <f>IF(OR(B$231=0,B$231=""),0,F250*INDEX(Listes!$K$15:$P$26,MATCH(B$231,Listes!$K$15:$K$26,0),MATCH(H$232,Listes!$K$15:$P$15,0))*INDEX(Listes!$K$29:$O$31,MATCH(C$231,Listes!$K$29:$K$31,0),MATCH(H$232,Listes!$K$29:$O$29,0)))</f>
        <v>0</v>
      </c>
      <c r="I250" s="45">
        <f>IF(OR(B$231=0,B$231=""),0,F250*INDEX(Listes!$K$15:$P$26,MATCH(B$231,Listes!$K$15:$K$26,0),MATCH(I$232,Listes!$K$15:$P$15,0))*INDEX(Listes!$K$29:$O$31,MATCH(C$231,Listes!$K$29:$K$31,0),MATCH(I$232,Listes!$K$29:$O$29,0)))</f>
        <v>0</v>
      </c>
      <c r="K250" s="463"/>
      <c r="L250" s="3">
        <v>18</v>
      </c>
      <c r="M250" s="45">
        <f t="shared" si="171"/>
        <v>0</v>
      </c>
      <c r="N250" s="45">
        <f t="shared" si="172"/>
        <v>0</v>
      </c>
      <c r="O250" s="45">
        <f>IF(OR(N250=0,N250="",L$116=0),0,N250*INDEX(Listes!$K$1:$Q$12,MATCH(L$116,Listes!$K$1:$K$12,0),MATCH(O$117,Listes!$K$1:$Q$1,0)))</f>
        <v>0</v>
      </c>
      <c r="P250" s="45">
        <f t="shared" si="173"/>
        <v>0</v>
      </c>
      <c r="Q250" s="45">
        <f>IF(OR(L$231=0,L$231=""),0,P250*INDEX(Listes!$K$15:$P$26,MATCH(L$231,Listes!$K$15:$K$26,0),MATCH(Q$232,Listes!$K$15:$P$15,0))*INDEX(Listes!$K$29:$O$31,MATCH(M$231,Listes!$K$29:$K$31,0),MATCH(Q$232,Listes!$K$29:$O$29,0)))</f>
        <v>0</v>
      </c>
      <c r="R250" s="45">
        <f>IF(OR(L$231=0,L$231=""),0,P250*INDEX(Listes!$K$15:$P$26,MATCH(L$231,Listes!$K$15:$K$26,0),MATCH(R$232,Listes!$K$15:$P$15,0))*INDEX(Listes!$K$29:$O$31,MATCH(M$231,Listes!$K$29:$K$31,0),MATCH(R$232,Listes!$K$29:$O$29,0)))</f>
        <v>0</v>
      </c>
      <c r="S250" s="45">
        <f>IF(OR(L$231=0,L$231=""),0,P250*INDEX(Listes!$K$15:$P$26,MATCH(L$231,Listes!$K$15:$K$26,0),MATCH(S$232,Listes!$K$15:$P$15,0))*INDEX(Listes!$K$29:$O$31,MATCH(M$231,Listes!$K$29:$K$31,0),MATCH(S$232,Listes!$K$29:$O$29,0)))</f>
        <v>0</v>
      </c>
      <c r="U250" s="463"/>
      <c r="V250" s="3">
        <v>18</v>
      </c>
      <c r="W250" s="45">
        <f t="shared" si="174"/>
        <v>0</v>
      </c>
      <c r="X250" s="45">
        <f t="shared" si="175"/>
        <v>0</v>
      </c>
      <c r="Y250" s="45">
        <f>IF(OR(X250=0,X250="",V$116=0),0,X250*INDEX(Listes!$K$1:$Q$12,MATCH(V$116,Listes!$K$1:$K$12,0),MATCH(Y$117,Listes!$K$1:$Q$1,0)))</f>
        <v>0</v>
      </c>
      <c r="Z250" s="45">
        <f t="shared" si="176"/>
        <v>0</v>
      </c>
      <c r="AA250" s="45">
        <f>IF(OR(V$231=0,V$231=""),0,Z250*INDEX(Listes!$K$15:$P$26,MATCH(V$231,Listes!$K$15:$K$26,0),MATCH(AA$232,Listes!$K$15:$P$15,0))*INDEX(Listes!$K$29:$O$31,MATCH(W$231,Listes!$K$29:$K$31,0),MATCH(AA$232,Listes!$K$29:$O$29,0)))</f>
        <v>0</v>
      </c>
      <c r="AB250" s="45">
        <f>IF(OR(V$231=0,V$231=""),0,Z250*INDEX(Listes!$K$15:$P$26,MATCH(V$231,Listes!$K$15:$K$26,0),MATCH(AB$232,Listes!$K$15:$P$15,0))*INDEX(Listes!$K$29:$O$31,MATCH(W$231,Listes!$K$29:$K$31,0),MATCH(AB$232,Listes!$K$29:$O$29,0)))</f>
        <v>0</v>
      </c>
      <c r="AC250" s="45">
        <f>IF(OR(V$231=0,V$231=""),0,Z250*INDEX(Listes!$K$15:$P$26,MATCH(V$231,Listes!$K$15:$K$26,0),MATCH(AC$232,Listes!$K$15:$P$15,0))*INDEX(Listes!$K$29:$O$31,MATCH(W$231,Listes!$K$29:$K$31,0),MATCH(AC$232,Listes!$K$29:$O$29,0)))</f>
        <v>0</v>
      </c>
      <c r="AE250" s="463"/>
      <c r="AF250" s="3">
        <v>18</v>
      </c>
      <c r="AG250" s="45">
        <f t="shared" si="177"/>
        <v>0</v>
      </c>
      <c r="AH250" s="45">
        <f t="shared" si="178"/>
        <v>0</v>
      </c>
      <c r="AI250" s="45">
        <f>IF(OR(AH250=0,AH250="",AF$116=0),0,AH250*INDEX(Listes!$K$1:$Q$12,MATCH(AF$116,Listes!$K$1:$K$12,0),MATCH(AI$117,Listes!$K$1:$Q$1,0)))</f>
        <v>0</v>
      </c>
      <c r="AJ250" s="45">
        <f t="shared" si="179"/>
        <v>0</v>
      </c>
      <c r="AK250" s="45">
        <f>IF(OR(AF$231=0,AF$231=""),0,AJ250*INDEX(Listes!$K$15:$P$26,MATCH(AF$231,Listes!$K$15:$K$26,0),MATCH(AK$232,Listes!$K$15:$P$15,0))*INDEX(Listes!$K$29:$O$31,MATCH(AG$231,Listes!$K$29:$K$31,0),MATCH(AK$232,Listes!$K$29:$O$29,0)))</f>
        <v>0</v>
      </c>
      <c r="AL250" s="45">
        <f>IF(OR(AF$231=0,AF$231=""),0,AJ250*INDEX(Listes!$K$15:$P$26,MATCH(AF$231,Listes!$K$15:$K$26,0),MATCH(AL$232,Listes!$K$15:$P$15,0))*INDEX(Listes!$K$29:$O$31,MATCH(AG$231,Listes!$K$29:$K$31,0),MATCH(AL$232,Listes!$K$29:$O$29,0)))</f>
        <v>0</v>
      </c>
      <c r="AM250" s="45">
        <f>IF(OR(AF$231=0,AF$231=""),0,AJ250*INDEX(Listes!$K$15:$P$26,MATCH(AF$231,Listes!$K$15:$K$26,0),MATCH(AM$232,Listes!$K$15:$P$15,0))*INDEX(Listes!$K$29:$O$31,MATCH(AG$231,Listes!$K$29:$K$31,0),MATCH(AM$232,Listes!$K$29:$O$29,0)))</f>
        <v>0</v>
      </c>
      <c r="AO250" s="463"/>
      <c r="AP250" s="3">
        <v>18</v>
      </c>
      <c r="AQ250" s="11">
        <f t="shared" si="180"/>
        <v>0</v>
      </c>
      <c r="AR250" s="11">
        <f t="shared" si="186"/>
        <v>0</v>
      </c>
      <c r="AS250" s="11">
        <f t="shared" si="187"/>
        <v>0</v>
      </c>
      <c r="AT250" s="11">
        <f>AQ250*VLOOKUP(AQ$232,Tableau17[],4,FALSE)+AR250*VLOOKUP(AR$232,Tableau17[],4,FALSE)+AS250*VLOOKUP(AS$232,Tableau17[],4,FALSE)</f>
        <v>0</v>
      </c>
      <c r="AU250" s="11">
        <f>AQ250*VLOOKUP(AQ$232,Tableau17[],3,FALSE)+AR250*VLOOKUP(AR$232,Tableau17[],3,FALSE)+AS250*VLOOKUP(AS$232,Tableau17[],3,FALSE)</f>
        <v>0</v>
      </c>
    </row>
    <row r="251" spans="1:52" x14ac:dyDescent="0.2">
      <c r="A251" s="463"/>
      <c r="B251" s="3">
        <v>19</v>
      </c>
      <c r="C251" s="45">
        <f t="shared" si="183"/>
        <v>0</v>
      </c>
      <c r="D251" s="45">
        <f t="shared" si="184"/>
        <v>0</v>
      </c>
      <c r="E251" s="45">
        <f>IF(OR(D251=0,D251="",B$116=0),0,D251*INDEX(Listes!$K$1:$Q$12,MATCH(B$116,Listes!$K$1:$K$12,0),MATCH(E$117,Listes!$K$1:$Q$1,0)))</f>
        <v>0</v>
      </c>
      <c r="F251" s="45">
        <f t="shared" si="185"/>
        <v>0</v>
      </c>
      <c r="G251" s="45">
        <f>IF(OR(B$231=0,B$231=""),0,F251*INDEX(Listes!$K$15:$P$26,MATCH(B$231,Listes!$K$15:$K$26,0),MATCH(G$232,Listes!$K$15:$P$15,0))*INDEX(Listes!$K$29:$O$31,MATCH(C$231,Listes!$K$29:$K$31,0),MATCH(G$232,Listes!$K$29:$O$29,0)))</f>
        <v>0</v>
      </c>
      <c r="H251" s="45">
        <f>IF(OR(B$231=0,B$231=""),0,F251*INDEX(Listes!$K$15:$P$26,MATCH(B$231,Listes!$K$15:$K$26,0),MATCH(H$232,Listes!$K$15:$P$15,0))*INDEX(Listes!$K$29:$O$31,MATCH(C$231,Listes!$K$29:$K$31,0),MATCH(H$232,Listes!$K$29:$O$29,0)))</f>
        <v>0</v>
      </c>
      <c r="I251" s="45">
        <f>IF(OR(B$231=0,B$231=""),0,F251*INDEX(Listes!$K$15:$P$26,MATCH(B$231,Listes!$K$15:$K$26,0),MATCH(I$232,Listes!$K$15:$P$15,0))*INDEX(Listes!$K$29:$O$31,MATCH(C$231,Listes!$K$29:$K$31,0),MATCH(I$232,Listes!$K$29:$O$29,0)))</f>
        <v>0</v>
      </c>
      <c r="K251" s="463"/>
      <c r="L251" s="3">
        <v>19</v>
      </c>
      <c r="M251" s="45">
        <f t="shared" si="171"/>
        <v>0</v>
      </c>
      <c r="N251" s="45">
        <f t="shared" si="172"/>
        <v>0</v>
      </c>
      <c r="O251" s="45">
        <f>IF(OR(N251=0,N251="",L$116=0),0,N251*INDEX(Listes!$K$1:$Q$12,MATCH(L$116,Listes!$K$1:$K$12,0),MATCH(O$117,Listes!$K$1:$Q$1,0)))</f>
        <v>0</v>
      </c>
      <c r="P251" s="45">
        <f t="shared" si="173"/>
        <v>0</v>
      </c>
      <c r="Q251" s="45">
        <f>IF(OR(L$231=0,L$231=""),0,P251*INDEX(Listes!$K$15:$P$26,MATCH(L$231,Listes!$K$15:$K$26,0),MATCH(Q$232,Listes!$K$15:$P$15,0))*INDEX(Listes!$K$29:$O$31,MATCH(M$231,Listes!$K$29:$K$31,0),MATCH(Q$232,Listes!$K$29:$O$29,0)))</f>
        <v>0</v>
      </c>
      <c r="R251" s="45">
        <f>IF(OR(L$231=0,L$231=""),0,P251*INDEX(Listes!$K$15:$P$26,MATCH(L$231,Listes!$K$15:$K$26,0),MATCH(R$232,Listes!$K$15:$P$15,0))*INDEX(Listes!$K$29:$O$31,MATCH(M$231,Listes!$K$29:$K$31,0),MATCH(R$232,Listes!$K$29:$O$29,0)))</f>
        <v>0</v>
      </c>
      <c r="S251" s="45">
        <f>IF(OR(L$231=0,L$231=""),0,P251*INDEX(Listes!$K$15:$P$26,MATCH(L$231,Listes!$K$15:$K$26,0),MATCH(S$232,Listes!$K$15:$P$15,0))*INDEX(Listes!$K$29:$O$31,MATCH(M$231,Listes!$K$29:$K$31,0),MATCH(S$232,Listes!$K$29:$O$29,0)))</f>
        <v>0</v>
      </c>
      <c r="U251" s="463"/>
      <c r="V251" s="3">
        <v>19</v>
      </c>
      <c r="W251" s="45">
        <f t="shared" si="174"/>
        <v>0</v>
      </c>
      <c r="X251" s="45">
        <f t="shared" si="175"/>
        <v>0</v>
      </c>
      <c r="Y251" s="45">
        <f>IF(OR(X251=0,X251="",V$116=0),0,X251*INDEX(Listes!$K$1:$Q$12,MATCH(V$116,Listes!$K$1:$K$12,0),MATCH(Y$117,Listes!$K$1:$Q$1,0)))</f>
        <v>0</v>
      </c>
      <c r="Z251" s="45">
        <f t="shared" si="176"/>
        <v>0</v>
      </c>
      <c r="AA251" s="45">
        <f>IF(OR(V$231=0,V$231=""),0,Z251*INDEX(Listes!$K$15:$P$26,MATCH(V$231,Listes!$K$15:$K$26,0),MATCH(AA$232,Listes!$K$15:$P$15,0))*INDEX(Listes!$K$29:$O$31,MATCH(W$231,Listes!$K$29:$K$31,0),MATCH(AA$232,Listes!$K$29:$O$29,0)))</f>
        <v>0</v>
      </c>
      <c r="AB251" s="45">
        <f>IF(OR(V$231=0,V$231=""),0,Z251*INDEX(Listes!$K$15:$P$26,MATCH(V$231,Listes!$K$15:$K$26,0),MATCH(AB$232,Listes!$K$15:$P$15,0))*INDEX(Listes!$K$29:$O$31,MATCH(W$231,Listes!$K$29:$K$31,0),MATCH(AB$232,Listes!$K$29:$O$29,0)))</f>
        <v>0</v>
      </c>
      <c r="AC251" s="45">
        <f>IF(OR(V$231=0,V$231=""),0,Z251*INDEX(Listes!$K$15:$P$26,MATCH(V$231,Listes!$K$15:$K$26,0),MATCH(AC$232,Listes!$K$15:$P$15,0))*INDEX(Listes!$K$29:$O$31,MATCH(W$231,Listes!$K$29:$K$31,0),MATCH(AC$232,Listes!$K$29:$O$29,0)))</f>
        <v>0</v>
      </c>
      <c r="AE251" s="463"/>
      <c r="AF251" s="3">
        <v>19</v>
      </c>
      <c r="AG251" s="45">
        <f t="shared" si="177"/>
        <v>0</v>
      </c>
      <c r="AH251" s="45">
        <f t="shared" si="178"/>
        <v>0</v>
      </c>
      <c r="AI251" s="45">
        <f>IF(OR(AH251=0,AH251="",AF$116=0),0,AH251*INDEX(Listes!$K$1:$Q$12,MATCH(AF$116,Listes!$K$1:$K$12,0),MATCH(AI$117,Listes!$K$1:$Q$1,0)))</f>
        <v>0</v>
      </c>
      <c r="AJ251" s="45">
        <f t="shared" si="179"/>
        <v>0</v>
      </c>
      <c r="AK251" s="45">
        <f>IF(OR(AF$231=0,AF$231=""),0,AJ251*INDEX(Listes!$K$15:$P$26,MATCH(AF$231,Listes!$K$15:$K$26,0),MATCH(AK$232,Listes!$K$15:$P$15,0))*INDEX(Listes!$K$29:$O$31,MATCH(AG$231,Listes!$K$29:$K$31,0),MATCH(AK$232,Listes!$K$29:$O$29,0)))</f>
        <v>0</v>
      </c>
      <c r="AL251" s="45">
        <f>IF(OR(AF$231=0,AF$231=""),0,AJ251*INDEX(Listes!$K$15:$P$26,MATCH(AF$231,Listes!$K$15:$K$26,0),MATCH(AL$232,Listes!$K$15:$P$15,0))*INDEX(Listes!$K$29:$O$31,MATCH(AG$231,Listes!$K$29:$K$31,0),MATCH(AL$232,Listes!$K$29:$O$29,0)))</f>
        <v>0</v>
      </c>
      <c r="AM251" s="45">
        <f>IF(OR(AF$231=0,AF$231=""),0,AJ251*INDEX(Listes!$K$15:$P$26,MATCH(AF$231,Listes!$K$15:$K$26,0),MATCH(AM$232,Listes!$K$15:$P$15,0))*INDEX(Listes!$K$29:$O$31,MATCH(AG$231,Listes!$K$29:$K$31,0),MATCH(AM$232,Listes!$K$29:$O$29,0)))</f>
        <v>0</v>
      </c>
      <c r="AO251" s="463"/>
      <c r="AP251" s="3">
        <v>19</v>
      </c>
      <c r="AQ251" s="11">
        <f t="shared" si="180"/>
        <v>0</v>
      </c>
      <c r="AR251" s="11">
        <f t="shared" si="186"/>
        <v>0</v>
      </c>
      <c r="AS251" s="11">
        <f t="shared" si="187"/>
        <v>0</v>
      </c>
      <c r="AT251" s="11">
        <f>AQ251*VLOOKUP(AQ$232,Tableau17[],4,FALSE)+AR251*VLOOKUP(AR$232,Tableau17[],4,FALSE)+AS251*VLOOKUP(AS$232,Tableau17[],4,FALSE)</f>
        <v>0</v>
      </c>
      <c r="AU251" s="11">
        <f>AQ251*VLOOKUP(AQ$232,Tableau17[],3,FALSE)+AR251*VLOOKUP(AR$232,Tableau17[],3,FALSE)+AS251*VLOOKUP(AS$232,Tableau17[],3,FALSE)</f>
        <v>0</v>
      </c>
    </row>
    <row r="252" spans="1:52" x14ac:dyDescent="0.2">
      <c r="A252" s="463"/>
      <c r="B252" s="3">
        <v>20</v>
      </c>
      <c r="C252" s="45">
        <f t="shared" si="183"/>
        <v>0</v>
      </c>
      <c r="D252" s="45">
        <f t="shared" si="184"/>
        <v>0</v>
      </c>
      <c r="E252" s="45">
        <f>IF(OR(D252=0,D252="",B$116=0),0,D252*INDEX(Listes!$K$1:$Q$12,MATCH(B$116,Listes!$K$1:$K$12,0),MATCH(E$117,Listes!$K$1:$Q$1,0)))</f>
        <v>0</v>
      </c>
      <c r="F252" s="45">
        <f t="shared" si="185"/>
        <v>0</v>
      </c>
      <c r="G252" s="45">
        <f>IF(OR(B$231=0,B$231=""),0,F252*INDEX(Listes!$K$15:$P$26,MATCH(B$231,Listes!$K$15:$K$26,0),MATCH(G$232,Listes!$K$15:$P$15,0))*INDEX(Listes!$K$29:$O$31,MATCH(C$231,Listes!$K$29:$K$31,0),MATCH(G$232,Listes!$K$29:$O$29,0)))</f>
        <v>0</v>
      </c>
      <c r="H252" s="45">
        <f>IF(OR(B$231=0,B$231=""),0,F252*INDEX(Listes!$K$15:$P$26,MATCH(B$231,Listes!$K$15:$K$26,0),MATCH(H$232,Listes!$K$15:$P$15,0))*INDEX(Listes!$K$29:$O$31,MATCH(C$231,Listes!$K$29:$K$31,0),MATCH(H$232,Listes!$K$29:$O$29,0)))</f>
        <v>0</v>
      </c>
      <c r="I252" s="45">
        <f>IF(OR(B$231=0,B$231=""),0,F252*INDEX(Listes!$K$15:$P$26,MATCH(B$231,Listes!$K$15:$K$26,0),MATCH(I$232,Listes!$K$15:$P$15,0))*INDEX(Listes!$K$29:$O$31,MATCH(C$231,Listes!$K$29:$K$31,0),MATCH(I$232,Listes!$K$29:$O$29,0)))</f>
        <v>0</v>
      </c>
      <c r="K252" s="463"/>
      <c r="L252" s="3">
        <v>20</v>
      </c>
      <c r="M252" s="45">
        <f t="shared" si="171"/>
        <v>0</v>
      </c>
      <c r="N252" s="45">
        <f t="shared" si="172"/>
        <v>0</v>
      </c>
      <c r="O252" s="45">
        <f>IF(OR(N252=0,N252="",L$116=0),0,N252*INDEX(Listes!$K$1:$Q$12,MATCH(L$116,Listes!$K$1:$K$12,0),MATCH(O$117,Listes!$K$1:$Q$1,0)))</f>
        <v>0</v>
      </c>
      <c r="P252" s="45">
        <f t="shared" si="173"/>
        <v>0</v>
      </c>
      <c r="Q252" s="45">
        <f>IF(OR(L$231=0,L$231=""),0,P252*INDEX(Listes!$K$15:$P$26,MATCH(L$231,Listes!$K$15:$K$26,0),MATCH(Q$232,Listes!$K$15:$P$15,0))*INDEX(Listes!$K$29:$O$31,MATCH(M$231,Listes!$K$29:$K$31,0),MATCH(Q$232,Listes!$K$29:$O$29,0)))</f>
        <v>0</v>
      </c>
      <c r="R252" s="45">
        <f>IF(OR(L$231=0,L$231=""),0,P252*INDEX(Listes!$K$15:$P$26,MATCH(L$231,Listes!$K$15:$K$26,0),MATCH(R$232,Listes!$K$15:$P$15,0))*INDEX(Listes!$K$29:$O$31,MATCH(M$231,Listes!$K$29:$K$31,0),MATCH(R$232,Listes!$K$29:$O$29,0)))</f>
        <v>0</v>
      </c>
      <c r="S252" s="45">
        <f>IF(OR(L$231=0,L$231=""),0,P252*INDEX(Listes!$K$15:$P$26,MATCH(L$231,Listes!$K$15:$K$26,0),MATCH(S$232,Listes!$K$15:$P$15,0))*INDEX(Listes!$K$29:$O$31,MATCH(M$231,Listes!$K$29:$K$31,0),MATCH(S$232,Listes!$K$29:$O$29,0)))</f>
        <v>0</v>
      </c>
      <c r="U252" s="463"/>
      <c r="V252" s="3">
        <v>20</v>
      </c>
      <c r="W252" s="45">
        <f t="shared" si="174"/>
        <v>0</v>
      </c>
      <c r="X252" s="45">
        <f t="shared" si="175"/>
        <v>0</v>
      </c>
      <c r="Y252" s="45">
        <f>IF(OR(X252=0,X252="",V$116=0),0,X252*INDEX(Listes!$K$1:$Q$12,MATCH(V$116,Listes!$K$1:$K$12,0),MATCH(Y$117,Listes!$K$1:$Q$1,0)))</f>
        <v>0</v>
      </c>
      <c r="Z252" s="45">
        <f t="shared" si="176"/>
        <v>0</v>
      </c>
      <c r="AA252" s="45">
        <f>IF(OR(V$231=0,V$231=""),0,Z252*INDEX(Listes!$K$15:$P$26,MATCH(V$231,Listes!$K$15:$K$26,0),MATCH(AA$232,Listes!$K$15:$P$15,0))*INDEX(Listes!$K$29:$O$31,MATCH(W$231,Listes!$K$29:$K$31,0),MATCH(AA$232,Listes!$K$29:$O$29,0)))</f>
        <v>0</v>
      </c>
      <c r="AB252" s="45">
        <f>IF(OR(V$231=0,V$231=""),0,Z252*INDEX(Listes!$K$15:$P$26,MATCH(V$231,Listes!$K$15:$K$26,0),MATCH(AB$232,Listes!$K$15:$P$15,0))*INDEX(Listes!$K$29:$O$31,MATCH(W$231,Listes!$K$29:$K$31,0),MATCH(AB$232,Listes!$K$29:$O$29,0)))</f>
        <v>0</v>
      </c>
      <c r="AC252" s="45">
        <f>IF(OR(V$231=0,V$231=""),0,Z252*INDEX(Listes!$K$15:$P$26,MATCH(V$231,Listes!$K$15:$K$26,0),MATCH(AC$232,Listes!$K$15:$P$15,0))*INDEX(Listes!$K$29:$O$31,MATCH(W$231,Listes!$K$29:$K$31,0),MATCH(AC$232,Listes!$K$29:$O$29,0)))</f>
        <v>0</v>
      </c>
      <c r="AE252" s="463"/>
      <c r="AF252" s="3">
        <v>20</v>
      </c>
      <c r="AG252" s="45">
        <f t="shared" si="177"/>
        <v>0</v>
      </c>
      <c r="AH252" s="45">
        <f t="shared" si="178"/>
        <v>0</v>
      </c>
      <c r="AI252" s="45">
        <f>IF(OR(AH252=0,AH252="",AF$116=0),0,AH252*INDEX(Listes!$K$1:$Q$12,MATCH(AF$116,Listes!$K$1:$K$12,0),MATCH(AI$117,Listes!$K$1:$Q$1,0)))</f>
        <v>0</v>
      </c>
      <c r="AJ252" s="45">
        <f t="shared" si="179"/>
        <v>0</v>
      </c>
      <c r="AK252" s="45">
        <f>IF(OR(AF$231=0,AF$231=""),0,AJ252*INDEX(Listes!$K$15:$P$26,MATCH(AF$231,Listes!$K$15:$K$26,0),MATCH(AK$232,Listes!$K$15:$P$15,0))*INDEX(Listes!$K$29:$O$31,MATCH(AG$231,Listes!$K$29:$K$31,0),MATCH(AK$232,Listes!$K$29:$O$29,0)))</f>
        <v>0</v>
      </c>
      <c r="AL252" s="45">
        <f>IF(OR(AF$231=0,AF$231=""),0,AJ252*INDEX(Listes!$K$15:$P$26,MATCH(AF$231,Listes!$K$15:$K$26,0),MATCH(AL$232,Listes!$K$15:$P$15,0))*INDEX(Listes!$K$29:$O$31,MATCH(AG$231,Listes!$K$29:$K$31,0),MATCH(AL$232,Listes!$K$29:$O$29,0)))</f>
        <v>0</v>
      </c>
      <c r="AM252" s="45">
        <f>IF(OR(AF$231=0,AF$231=""),0,AJ252*INDEX(Listes!$K$15:$P$26,MATCH(AF$231,Listes!$K$15:$K$26,0),MATCH(AM$232,Listes!$K$15:$P$15,0))*INDEX(Listes!$K$29:$O$31,MATCH(AG$231,Listes!$K$29:$K$31,0),MATCH(AM$232,Listes!$K$29:$O$29,0)))</f>
        <v>0</v>
      </c>
      <c r="AO252" s="463"/>
      <c r="AP252" s="3">
        <v>20</v>
      </c>
      <c r="AQ252" s="11">
        <f t="shared" si="180"/>
        <v>0</v>
      </c>
      <c r="AR252" s="11">
        <f t="shared" si="186"/>
        <v>0</v>
      </c>
      <c r="AS252" s="11">
        <f t="shared" si="187"/>
        <v>0</v>
      </c>
      <c r="AT252" s="11">
        <f>AQ252*VLOOKUP(AQ$232,Tableau17[],4,FALSE)+AR252*VLOOKUP(AR$232,Tableau17[],4,FALSE)+AS252*VLOOKUP(AS$232,Tableau17[],4,FALSE)</f>
        <v>0</v>
      </c>
      <c r="AU252" s="11">
        <f>AQ252*VLOOKUP(AQ$232,Tableau17[],3,FALSE)+AR252*VLOOKUP(AR$232,Tableau17[],3,FALSE)+AS252*VLOOKUP(AS$232,Tableau17[],3,FALSE)</f>
        <v>0</v>
      </c>
    </row>
    <row r="254" spans="1:52" x14ac:dyDescent="0.2">
      <c r="A254" s="136" t="s">
        <v>633</v>
      </c>
      <c r="B254" s="136"/>
      <c r="C254" s="136"/>
      <c r="D254" s="136"/>
      <c r="E254" s="136"/>
      <c r="F254" s="136"/>
      <c r="G254" s="136"/>
      <c r="H254" s="136"/>
      <c r="I254" s="136"/>
      <c r="J254" s="136"/>
      <c r="K254" s="136"/>
      <c r="L254" s="136"/>
      <c r="M254" s="49"/>
      <c r="N254" s="49"/>
      <c r="O254" s="49"/>
      <c r="P254" s="49"/>
      <c r="Q254" s="49"/>
      <c r="R254" s="49"/>
      <c r="S254" s="49"/>
      <c r="T254" s="49"/>
      <c r="U254" s="49"/>
      <c r="V254" s="49"/>
      <c r="W254" s="49"/>
      <c r="X254" s="49"/>
      <c r="Y254" s="49"/>
      <c r="Z254" s="49"/>
      <c r="AA254" s="49"/>
      <c r="AB254" s="49"/>
      <c r="AC254" s="49"/>
      <c r="AD254" s="49"/>
      <c r="AE254" s="49"/>
      <c r="AF254" s="49"/>
      <c r="AG254" s="49"/>
      <c r="AH254" s="49"/>
      <c r="AI254" s="49"/>
      <c r="AJ254" s="49"/>
      <c r="AK254" s="49"/>
      <c r="AL254" s="49"/>
      <c r="AM254" s="49"/>
      <c r="AN254" s="49"/>
      <c r="AO254" s="49"/>
      <c r="AP254" s="49"/>
      <c r="AQ254" s="49"/>
      <c r="AR254" s="49"/>
      <c r="AS254" s="49"/>
      <c r="AT254" s="49"/>
      <c r="AU254" s="49"/>
      <c r="AV254" s="49"/>
      <c r="AW254" s="49"/>
      <c r="AX254" s="49"/>
      <c r="AY254" s="49"/>
      <c r="AZ254" s="49"/>
    </row>
    <row r="256" spans="1:52" x14ac:dyDescent="0.2">
      <c r="A256" s="463" t="s">
        <v>185</v>
      </c>
      <c r="B256" s="3" t="s">
        <v>28</v>
      </c>
      <c r="C256" s="3">
        <v>1</v>
      </c>
      <c r="D256" s="3">
        <v>2</v>
      </c>
      <c r="E256" s="3">
        <v>3</v>
      </c>
      <c r="F256" s="3">
        <v>4</v>
      </c>
      <c r="G256" s="3">
        <v>5</v>
      </c>
      <c r="H256" s="3">
        <v>6</v>
      </c>
      <c r="I256" s="3">
        <v>7</v>
      </c>
      <c r="J256" s="3">
        <v>8</v>
      </c>
      <c r="K256" s="3">
        <v>9</v>
      </c>
      <c r="L256" s="3">
        <v>10</v>
      </c>
      <c r="M256" s="3">
        <v>11</v>
      </c>
      <c r="N256" s="3">
        <v>12</v>
      </c>
      <c r="O256" s="3">
        <v>13</v>
      </c>
      <c r="P256" s="3">
        <v>14</v>
      </c>
      <c r="Q256" s="3">
        <v>15</v>
      </c>
      <c r="R256" s="3">
        <v>16</v>
      </c>
      <c r="S256" s="3">
        <v>17</v>
      </c>
      <c r="T256" s="3">
        <v>18</v>
      </c>
      <c r="U256" s="3">
        <v>19</v>
      </c>
      <c r="V256" s="3">
        <v>20</v>
      </c>
    </row>
    <row r="257" spans="1:32" x14ac:dyDescent="0.2">
      <c r="A257" s="463"/>
      <c r="B257" s="3" t="s">
        <v>86</v>
      </c>
      <c r="C257" s="11">
        <f>VLOOKUP(C256,Tableau4668167[],6,FALSE)</f>
        <v>0</v>
      </c>
      <c r="D257" s="11">
        <f>VLOOKUP(D256,Tableau4668167[],6,FALSE)</f>
        <v>0</v>
      </c>
      <c r="E257" s="11">
        <f>VLOOKUP(E256,Tableau4668167[],6,FALSE)</f>
        <v>0</v>
      </c>
      <c r="F257" s="11">
        <f>VLOOKUP(F256,Tableau4668167[],6,FALSE)</f>
        <v>0</v>
      </c>
      <c r="G257" s="11">
        <f>VLOOKUP(G256,Tableau4668167[],6,FALSE)</f>
        <v>0</v>
      </c>
      <c r="H257" s="11">
        <f>VLOOKUP(H256,Tableau4668167[],6,FALSE)</f>
        <v>0</v>
      </c>
      <c r="I257" s="11">
        <f>VLOOKUP(I256,Tableau4668167[],6,FALSE)</f>
        <v>0</v>
      </c>
      <c r="J257" s="11">
        <f>VLOOKUP(J256,Tableau4668167[],6,FALSE)</f>
        <v>0</v>
      </c>
      <c r="K257" s="11">
        <f>VLOOKUP(K256,Tableau4668167[],6,FALSE)</f>
        <v>0</v>
      </c>
      <c r="L257" s="11">
        <f>VLOOKUP(L256,Tableau4668167[],6,FALSE)</f>
        <v>0</v>
      </c>
      <c r="M257" s="11">
        <f>VLOOKUP(M256,Tableau4668167[],6,FALSE)</f>
        <v>0</v>
      </c>
      <c r="N257" s="11">
        <f>VLOOKUP(N256,Tableau4668167[],6,FALSE)</f>
        <v>0</v>
      </c>
      <c r="O257" s="11">
        <f>VLOOKUP(O256,Tableau4668167[],6,FALSE)</f>
        <v>0</v>
      </c>
      <c r="P257" s="11">
        <f>VLOOKUP(P256,Tableau4668167[],6,FALSE)</f>
        <v>0</v>
      </c>
      <c r="Q257" s="11">
        <f>VLOOKUP(Q256,Tableau4668167[],6,FALSE)</f>
        <v>0</v>
      </c>
      <c r="R257" s="11">
        <f>VLOOKUP(R256,Tableau4668167[],6,FALSE)</f>
        <v>0</v>
      </c>
      <c r="S257" s="11">
        <f>VLOOKUP(S256,Tableau4668167[],6,FALSE)</f>
        <v>0</v>
      </c>
      <c r="T257" s="11">
        <f>VLOOKUP(T256,Tableau4668167[],6,FALSE)</f>
        <v>0</v>
      </c>
      <c r="U257" s="11">
        <f>VLOOKUP(U256,Tableau4668167[],6,FALSE)</f>
        <v>0</v>
      </c>
      <c r="V257" s="11">
        <f>VLOOKUP(V256,Tableau4668167[],6,FALSE)</f>
        <v>0</v>
      </c>
      <c r="W257" s="11"/>
      <c r="X257" s="11"/>
      <c r="Y257" s="11"/>
      <c r="Z257" s="11"/>
      <c r="AA257" s="11"/>
      <c r="AB257" s="11"/>
      <c r="AC257" s="11"/>
      <c r="AD257" s="11"/>
      <c r="AE257" s="11"/>
      <c r="AF257" s="11"/>
    </row>
    <row r="259" spans="1:32" ht="16" customHeight="1" x14ac:dyDescent="0.2">
      <c r="A259" s="463" t="s">
        <v>186</v>
      </c>
      <c r="B259" s="3" t="s">
        <v>28</v>
      </c>
      <c r="C259" s="3" t="s">
        <v>27</v>
      </c>
      <c r="D259" s="3" t="s">
        <v>29</v>
      </c>
      <c r="E259" s="3" t="s">
        <v>30</v>
      </c>
      <c r="F259" s="3" t="s">
        <v>31</v>
      </c>
      <c r="G259" s="3" t="s">
        <v>32</v>
      </c>
      <c r="H259" s="3" t="s">
        <v>33</v>
      </c>
      <c r="I259" s="3" t="s">
        <v>34</v>
      </c>
      <c r="J259" s="3" t="s">
        <v>35</v>
      </c>
      <c r="K259" s="3" t="s">
        <v>36</v>
      </c>
      <c r="L259" s="3" t="s">
        <v>37</v>
      </c>
      <c r="M259" s="3" t="s">
        <v>38</v>
      </c>
      <c r="N259" s="3" t="s">
        <v>39</v>
      </c>
      <c r="O259" s="3" t="s">
        <v>40</v>
      </c>
      <c r="P259" s="3" t="s">
        <v>41</v>
      </c>
      <c r="Q259" s="3" t="s">
        <v>42</v>
      </c>
      <c r="R259" s="3" t="s">
        <v>43</v>
      </c>
      <c r="S259" s="3" t="s">
        <v>44</v>
      </c>
      <c r="T259" s="3" t="s">
        <v>45</v>
      </c>
      <c r="U259" s="3" t="s">
        <v>46</v>
      </c>
      <c r="V259" s="3" t="s">
        <v>47</v>
      </c>
      <c r="W259" s="3" t="s">
        <v>48</v>
      </c>
      <c r="X259" s="3" t="s">
        <v>49</v>
      </c>
    </row>
    <row r="260" spans="1:32" x14ac:dyDescent="0.2">
      <c r="A260" s="463"/>
      <c r="B260" s="3">
        <v>1</v>
      </c>
      <c r="C260" s="45">
        <f t="shared" ref="C260:C279" si="188">AT233+IF($B260=1,0,C259)</f>
        <v>0</v>
      </c>
      <c r="D260" s="45">
        <f t="shared" ref="D260:D279" si="189">IF($B260&gt;=C$256,IF($B260=C$256,C$257,C$257*((20+C$256)-$B260)/20),0)*IF((20+C$256)-$B260&lt;0,0,1)</f>
        <v>0</v>
      </c>
      <c r="E260" s="45">
        <f t="shared" ref="E260:E279" si="190">IF($B260&gt;=D$256,IF($B260=D$256,D$257,D$257*((20+D$256)-$B260)/20),0)*IF((20+D$256)-$B260&lt;0,0,1)</f>
        <v>0</v>
      </c>
      <c r="F260" s="45">
        <f t="shared" ref="F260:F279" si="191">IF($B260&gt;=E$256,IF($B260=E$256,E$257,E$257*((20+E$256)-$B260)/20),0)*IF((20+E$256)-$B260&lt;0,0,1)</f>
        <v>0</v>
      </c>
      <c r="G260" s="45">
        <f t="shared" ref="G260:G279" si="192">IF($B260&gt;=F$256,IF($B260=F$256,F$257,F$257*((20+F$256)-$B260)/20),0)*IF((20+F$256)-$B260&lt;0,0,1)</f>
        <v>0</v>
      </c>
      <c r="H260" s="45">
        <f t="shared" ref="H260:H279" si="193">IF($B260&gt;=G$256,IF($B260=G$256,G$257,G$257*((20+G$256)-$B260)/20),0)*IF((20+G$256)-$B260&lt;0,0,1)</f>
        <v>0</v>
      </c>
      <c r="I260" s="45">
        <f t="shared" ref="I260:I279" si="194">IF($B260&gt;=H$256,IF($B260=H$256,H$257,H$257*((20+H$256)-$B260)/20),0)*IF((20+H$256)-$B260&lt;0,0,1)</f>
        <v>0</v>
      </c>
      <c r="J260" s="45">
        <f t="shared" ref="J260:J279" si="195">IF($B260&gt;=I$256,IF($B260=I$256,I$257,I$257*((20+I$256)-$B260)/20),0)*IF((20+I$256)-$B260&lt;0,0,1)</f>
        <v>0</v>
      </c>
      <c r="K260" s="45">
        <f t="shared" ref="K260:K279" si="196">IF($B260&gt;=J$256,IF($B260=J$256,J$257,J$257*((20+J$256)-$B260)/20),0)*IF((20+J$256)-$B260&lt;0,0,1)</f>
        <v>0</v>
      </c>
      <c r="L260" s="45">
        <f t="shared" ref="L260:L279" si="197">IF($B260&gt;=K$256,IF($B260=K$256,K$257,K$257*((20+K$256)-$B260)/20),0)*IF((20+K$256)-$B260&lt;0,0,1)</f>
        <v>0</v>
      </c>
      <c r="M260" s="45">
        <f t="shared" ref="M260:M279" si="198">IF($B260&gt;=L$256,IF($B260=L$256,L$257,L$257*((20+L$256)-$B260)/20),0)*IF((20+L$256)-$B260&lt;0,0,1)</f>
        <v>0</v>
      </c>
      <c r="N260" s="45">
        <f t="shared" ref="N260:N279" si="199">IF($B260&gt;=M$256,IF($B260=M$256,M$257,M$257*((20+M$256)-$B260)/20),0)*IF((20+M$256)-$B260&lt;0,0,1)</f>
        <v>0</v>
      </c>
      <c r="O260" s="45">
        <f t="shared" ref="O260:O279" si="200">IF($B260&gt;=N$256,IF($B260=N$256,N$257,N$257*((20+N$256)-$B260)/20),0)*IF((20+N$256)-$B260&lt;0,0,1)</f>
        <v>0</v>
      </c>
      <c r="P260" s="45">
        <f t="shared" ref="P260:P279" si="201">IF($B260&gt;=O$256,IF($B260=O$256,O$257,O$257*((20+O$256)-$B260)/20),0)*IF((20+O$256)-$B260&lt;0,0,1)</f>
        <v>0</v>
      </c>
      <c r="Q260" s="45">
        <f t="shared" ref="Q260:Q279" si="202">IF($B260&gt;=P$256,IF($B260=P$256,P$257,P$257*((20+P$256)-$B260)/20),0)*IF((20+P$256)-$B260&lt;0,0,1)</f>
        <v>0</v>
      </c>
      <c r="R260" s="45">
        <f t="shared" ref="R260:R279" si="203">IF($B260&gt;=Q$256,IF($B260=Q$256,Q$257,Q$257*((20+Q$256)-$B260)/20),0)*IF((20+Q$256)-$B260&lt;0,0,1)</f>
        <v>0</v>
      </c>
      <c r="S260" s="45">
        <f t="shared" ref="S260:S279" si="204">IF($B260&gt;=R$256,IF($B260=R$256,R$257,R$257*((20+R$256)-$B260)/20),0)*IF((20+R$256)-$B260&lt;0,0,1)</f>
        <v>0</v>
      </c>
      <c r="T260" s="45">
        <f t="shared" ref="T260:T279" si="205">IF($B260&gt;=S$256,IF($B260=S$256,S$257,S$257*((20+S$256)-$B260)/20),0)*IF((20+S$256)-$B260&lt;0,0,1)</f>
        <v>0</v>
      </c>
      <c r="U260" s="45">
        <f t="shared" ref="U260:U279" si="206">IF($B260&gt;=T$256,IF($B260=T$256,T$257,T$257*((20+T$256)-$B260)/20),0)*IF((20+T$256)-$B260&lt;0,0,1)</f>
        <v>0</v>
      </c>
      <c r="V260" s="45">
        <f t="shared" ref="V260:V279" si="207">IF($B260&gt;=U$256,IF($B260=U$256,U$257,U$257*((20+U$256)-$B260)/20),0)*IF((20+U$256)-$B260&lt;0,0,1)</f>
        <v>0</v>
      </c>
      <c r="W260" s="45">
        <f t="shared" ref="W260:W279" si="208">IF($B260&gt;=V$256,IF($B260=V$256,V$257,V$257*((20+V$256)-$B260)/20),0)*IF((20+V$256)-$B260&lt;0,0,1)</f>
        <v>0</v>
      </c>
      <c r="X260" s="45">
        <f t="shared" ref="X260:X279" si="209">SUM(C260:W260)*44/12</f>
        <v>0</v>
      </c>
    </row>
    <row r="261" spans="1:32" x14ac:dyDescent="0.2">
      <c r="A261" s="463"/>
      <c r="B261" s="3">
        <v>2</v>
      </c>
      <c r="C261" s="11">
        <f t="shared" si="188"/>
        <v>0</v>
      </c>
      <c r="D261" s="45">
        <f t="shared" si="189"/>
        <v>0</v>
      </c>
      <c r="E261" s="45">
        <f t="shared" si="190"/>
        <v>0</v>
      </c>
      <c r="F261" s="45">
        <f t="shared" si="191"/>
        <v>0</v>
      </c>
      <c r="G261" s="45">
        <f t="shared" si="192"/>
        <v>0</v>
      </c>
      <c r="H261" s="45">
        <f t="shared" si="193"/>
        <v>0</v>
      </c>
      <c r="I261" s="45">
        <f t="shared" si="194"/>
        <v>0</v>
      </c>
      <c r="J261" s="45">
        <f t="shared" si="195"/>
        <v>0</v>
      </c>
      <c r="K261" s="45">
        <f t="shared" si="196"/>
        <v>0</v>
      </c>
      <c r="L261" s="45">
        <f t="shared" si="197"/>
        <v>0</v>
      </c>
      <c r="M261" s="11">
        <f t="shared" si="198"/>
        <v>0</v>
      </c>
      <c r="N261" s="11">
        <f t="shared" si="199"/>
        <v>0</v>
      </c>
      <c r="O261" s="11">
        <f t="shared" si="200"/>
        <v>0</v>
      </c>
      <c r="P261" s="11">
        <f t="shared" si="201"/>
        <v>0</v>
      </c>
      <c r="Q261" s="11">
        <f t="shared" si="202"/>
        <v>0</v>
      </c>
      <c r="R261" s="11">
        <f t="shared" si="203"/>
        <v>0</v>
      </c>
      <c r="S261" s="11">
        <f t="shared" si="204"/>
        <v>0</v>
      </c>
      <c r="T261" s="11">
        <f t="shared" si="205"/>
        <v>0</v>
      </c>
      <c r="U261" s="11">
        <f t="shared" si="206"/>
        <v>0</v>
      </c>
      <c r="V261" s="11">
        <f t="shared" si="207"/>
        <v>0</v>
      </c>
      <c r="W261" s="11">
        <f t="shared" si="208"/>
        <v>0</v>
      </c>
      <c r="X261" s="11">
        <f t="shared" si="209"/>
        <v>0</v>
      </c>
    </row>
    <row r="262" spans="1:32" x14ac:dyDescent="0.2">
      <c r="A262" s="463"/>
      <c r="B262" s="3">
        <v>3</v>
      </c>
      <c r="C262" s="11">
        <f t="shared" si="188"/>
        <v>0</v>
      </c>
      <c r="D262" s="45">
        <f t="shared" si="189"/>
        <v>0</v>
      </c>
      <c r="E262" s="45">
        <f t="shared" si="190"/>
        <v>0</v>
      </c>
      <c r="F262" s="45">
        <f t="shared" si="191"/>
        <v>0</v>
      </c>
      <c r="G262" s="45">
        <f t="shared" si="192"/>
        <v>0</v>
      </c>
      <c r="H262" s="45">
        <f t="shared" si="193"/>
        <v>0</v>
      </c>
      <c r="I262" s="45">
        <f t="shared" si="194"/>
        <v>0</v>
      </c>
      <c r="J262" s="45">
        <f t="shared" si="195"/>
        <v>0</v>
      </c>
      <c r="K262" s="45">
        <f t="shared" si="196"/>
        <v>0</v>
      </c>
      <c r="L262" s="45">
        <f t="shared" si="197"/>
        <v>0</v>
      </c>
      <c r="M262" s="11">
        <f t="shared" si="198"/>
        <v>0</v>
      </c>
      <c r="N262" s="11">
        <f t="shared" si="199"/>
        <v>0</v>
      </c>
      <c r="O262" s="11">
        <f t="shared" si="200"/>
        <v>0</v>
      </c>
      <c r="P262" s="11">
        <f t="shared" si="201"/>
        <v>0</v>
      </c>
      <c r="Q262" s="11">
        <f t="shared" si="202"/>
        <v>0</v>
      </c>
      <c r="R262" s="11">
        <f t="shared" si="203"/>
        <v>0</v>
      </c>
      <c r="S262" s="11">
        <f t="shared" si="204"/>
        <v>0</v>
      </c>
      <c r="T262" s="11">
        <f t="shared" si="205"/>
        <v>0</v>
      </c>
      <c r="U262" s="11">
        <f t="shared" si="206"/>
        <v>0</v>
      </c>
      <c r="V262" s="11">
        <f t="shared" si="207"/>
        <v>0</v>
      </c>
      <c r="W262" s="11">
        <f t="shared" si="208"/>
        <v>0</v>
      </c>
      <c r="X262" s="11">
        <f t="shared" si="209"/>
        <v>0</v>
      </c>
    </row>
    <row r="263" spans="1:32" x14ac:dyDescent="0.2">
      <c r="A263" s="463"/>
      <c r="B263" s="3">
        <v>4</v>
      </c>
      <c r="C263" s="11">
        <f t="shared" si="188"/>
        <v>0</v>
      </c>
      <c r="D263" s="45">
        <f t="shared" si="189"/>
        <v>0</v>
      </c>
      <c r="E263" s="45">
        <f t="shared" si="190"/>
        <v>0</v>
      </c>
      <c r="F263" s="45">
        <f t="shared" si="191"/>
        <v>0</v>
      </c>
      <c r="G263" s="45">
        <f t="shared" si="192"/>
        <v>0</v>
      </c>
      <c r="H263" s="45">
        <f t="shared" si="193"/>
        <v>0</v>
      </c>
      <c r="I263" s="45">
        <f t="shared" si="194"/>
        <v>0</v>
      </c>
      <c r="J263" s="45">
        <f t="shared" si="195"/>
        <v>0</v>
      </c>
      <c r="K263" s="45">
        <f t="shared" si="196"/>
        <v>0</v>
      </c>
      <c r="L263" s="45">
        <f t="shared" si="197"/>
        <v>0</v>
      </c>
      <c r="M263" s="11">
        <f t="shared" si="198"/>
        <v>0</v>
      </c>
      <c r="N263" s="11">
        <f t="shared" si="199"/>
        <v>0</v>
      </c>
      <c r="O263" s="11">
        <f t="shared" si="200"/>
        <v>0</v>
      </c>
      <c r="P263" s="11">
        <f t="shared" si="201"/>
        <v>0</v>
      </c>
      <c r="Q263" s="11">
        <f t="shared" si="202"/>
        <v>0</v>
      </c>
      <c r="R263" s="11">
        <f t="shared" si="203"/>
        <v>0</v>
      </c>
      <c r="S263" s="11">
        <f t="shared" si="204"/>
        <v>0</v>
      </c>
      <c r="T263" s="11">
        <f t="shared" si="205"/>
        <v>0</v>
      </c>
      <c r="U263" s="11">
        <f t="shared" si="206"/>
        <v>0</v>
      </c>
      <c r="V263" s="11">
        <f t="shared" si="207"/>
        <v>0</v>
      </c>
      <c r="W263" s="11">
        <f t="shared" si="208"/>
        <v>0</v>
      </c>
      <c r="X263" s="11">
        <f t="shared" si="209"/>
        <v>0</v>
      </c>
    </row>
    <row r="264" spans="1:32" x14ac:dyDescent="0.2">
      <c r="A264" s="463"/>
      <c r="B264" s="3">
        <v>5</v>
      </c>
      <c r="C264" s="11">
        <f t="shared" si="188"/>
        <v>0</v>
      </c>
      <c r="D264" s="45">
        <f t="shared" si="189"/>
        <v>0</v>
      </c>
      <c r="E264" s="45">
        <f t="shared" si="190"/>
        <v>0</v>
      </c>
      <c r="F264" s="45">
        <f t="shared" si="191"/>
        <v>0</v>
      </c>
      <c r="G264" s="45">
        <f t="shared" si="192"/>
        <v>0</v>
      </c>
      <c r="H264" s="45">
        <f t="shared" si="193"/>
        <v>0</v>
      </c>
      <c r="I264" s="45">
        <f t="shared" si="194"/>
        <v>0</v>
      </c>
      <c r="J264" s="45">
        <f t="shared" si="195"/>
        <v>0</v>
      </c>
      <c r="K264" s="45">
        <f t="shared" si="196"/>
        <v>0</v>
      </c>
      <c r="L264" s="45">
        <f t="shared" si="197"/>
        <v>0</v>
      </c>
      <c r="M264" s="11">
        <f t="shared" si="198"/>
        <v>0</v>
      </c>
      <c r="N264" s="11">
        <f t="shared" si="199"/>
        <v>0</v>
      </c>
      <c r="O264" s="11">
        <f t="shared" si="200"/>
        <v>0</v>
      </c>
      <c r="P264" s="11">
        <f t="shared" si="201"/>
        <v>0</v>
      </c>
      <c r="Q264" s="11">
        <f t="shared" si="202"/>
        <v>0</v>
      </c>
      <c r="R264" s="11">
        <f t="shared" si="203"/>
        <v>0</v>
      </c>
      <c r="S264" s="11">
        <f t="shared" si="204"/>
        <v>0</v>
      </c>
      <c r="T264" s="11">
        <f t="shared" si="205"/>
        <v>0</v>
      </c>
      <c r="U264" s="11">
        <f t="shared" si="206"/>
        <v>0</v>
      </c>
      <c r="V264" s="11">
        <f t="shared" si="207"/>
        <v>0</v>
      </c>
      <c r="W264" s="11">
        <f t="shared" si="208"/>
        <v>0</v>
      </c>
      <c r="X264" s="11">
        <f t="shared" si="209"/>
        <v>0</v>
      </c>
    </row>
    <row r="265" spans="1:32" x14ac:dyDescent="0.2">
      <c r="A265" s="463"/>
      <c r="B265" s="3">
        <v>6</v>
      </c>
      <c r="C265" s="11">
        <f t="shared" si="188"/>
        <v>0</v>
      </c>
      <c r="D265" s="45">
        <f t="shared" si="189"/>
        <v>0</v>
      </c>
      <c r="E265" s="45">
        <f t="shared" si="190"/>
        <v>0</v>
      </c>
      <c r="F265" s="45">
        <f t="shared" si="191"/>
        <v>0</v>
      </c>
      <c r="G265" s="45">
        <f t="shared" si="192"/>
        <v>0</v>
      </c>
      <c r="H265" s="45">
        <f t="shared" si="193"/>
        <v>0</v>
      </c>
      <c r="I265" s="45">
        <f t="shared" si="194"/>
        <v>0</v>
      </c>
      <c r="J265" s="45">
        <f t="shared" si="195"/>
        <v>0</v>
      </c>
      <c r="K265" s="45">
        <f t="shared" si="196"/>
        <v>0</v>
      </c>
      <c r="L265" s="45">
        <f t="shared" si="197"/>
        <v>0</v>
      </c>
      <c r="M265" s="11">
        <f t="shared" si="198"/>
        <v>0</v>
      </c>
      <c r="N265" s="11">
        <f t="shared" si="199"/>
        <v>0</v>
      </c>
      <c r="O265" s="11">
        <f t="shared" si="200"/>
        <v>0</v>
      </c>
      <c r="P265" s="11">
        <f t="shared" si="201"/>
        <v>0</v>
      </c>
      <c r="Q265" s="11">
        <f t="shared" si="202"/>
        <v>0</v>
      </c>
      <c r="R265" s="11">
        <f t="shared" si="203"/>
        <v>0</v>
      </c>
      <c r="S265" s="11">
        <f t="shared" si="204"/>
        <v>0</v>
      </c>
      <c r="T265" s="11">
        <f t="shared" si="205"/>
        <v>0</v>
      </c>
      <c r="U265" s="11">
        <f t="shared" si="206"/>
        <v>0</v>
      </c>
      <c r="V265" s="11">
        <f t="shared" si="207"/>
        <v>0</v>
      </c>
      <c r="W265" s="11">
        <f t="shared" si="208"/>
        <v>0</v>
      </c>
      <c r="X265" s="11">
        <f t="shared" si="209"/>
        <v>0</v>
      </c>
    </row>
    <row r="266" spans="1:32" x14ac:dyDescent="0.2">
      <c r="A266" s="463"/>
      <c r="B266" s="3">
        <v>7</v>
      </c>
      <c r="C266" s="11">
        <f t="shared" si="188"/>
        <v>0</v>
      </c>
      <c r="D266" s="45">
        <f t="shared" si="189"/>
        <v>0</v>
      </c>
      <c r="E266" s="45">
        <f t="shared" si="190"/>
        <v>0</v>
      </c>
      <c r="F266" s="45">
        <f t="shared" si="191"/>
        <v>0</v>
      </c>
      <c r="G266" s="45">
        <f t="shared" si="192"/>
        <v>0</v>
      </c>
      <c r="H266" s="45">
        <f t="shared" si="193"/>
        <v>0</v>
      </c>
      <c r="I266" s="45">
        <f t="shared" si="194"/>
        <v>0</v>
      </c>
      <c r="J266" s="45">
        <f t="shared" si="195"/>
        <v>0</v>
      </c>
      <c r="K266" s="45">
        <f t="shared" si="196"/>
        <v>0</v>
      </c>
      <c r="L266" s="45">
        <f t="shared" si="197"/>
        <v>0</v>
      </c>
      <c r="M266" s="11">
        <f t="shared" si="198"/>
        <v>0</v>
      </c>
      <c r="N266" s="11">
        <f t="shared" si="199"/>
        <v>0</v>
      </c>
      <c r="O266" s="11">
        <f t="shared" si="200"/>
        <v>0</v>
      </c>
      <c r="P266" s="11">
        <f t="shared" si="201"/>
        <v>0</v>
      </c>
      <c r="Q266" s="11">
        <f t="shared" si="202"/>
        <v>0</v>
      </c>
      <c r="R266" s="11">
        <f t="shared" si="203"/>
        <v>0</v>
      </c>
      <c r="S266" s="11">
        <f t="shared" si="204"/>
        <v>0</v>
      </c>
      <c r="T266" s="11">
        <f t="shared" si="205"/>
        <v>0</v>
      </c>
      <c r="U266" s="11">
        <f t="shared" si="206"/>
        <v>0</v>
      </c>
      <c r="V266" s="11">
        <f t="shared" si="207"/>
        <v>0</v>
      </c>
      <c r="W266" s="11">
        <f t="shared" si="208"/>
        <v>0</v>
      </c>
      <c r="X266" s="11">
        <f t="shared" si="209"/>
        <v>0</v>
      </c>
    </row>
    <row r="267" spans="1:32" x14ac:dyDescent="0.2">
      <c r="A267" s="463"/>
      <c r="B267" s="3">
        <v>8</v>
      </c>
      <c r="C267" s="11">
        <f t="shared" si="188"/>
        <v>0</v>
      </c>
      <c r="D267" s="45">
        <f t="shared" si="189"/>
        <v>0</v>
      </c>
      <c r="E267" s="45">
        <f t="shared" si="190"/>
        <v>0</v>
      </c>
      <c r="F267" s="45">
        <f t="shared" si="191"/>
        <v>0</v>
      </c>
      <c r="G267" s="45">
        <f t="shared" si="192"/>
        <v>0</v>
      </c>
      <c r="H267" s="45">
        <f t="shared" si="193"/>
        <v>0</v>
      </c>
      <c r="I267" s="45">
        <f t="shared" si="194"/>
        <v>0</v>
      </c>
      <c r="J267" s="45">
        <f t="shared" si="195"/>
        <v>0</v>
      </c>
      <c r="K267" s="45">
        <f t="shared" si="196"/>
        <v>0</v>
      </c>
      <c r="L267" s="45">
        <f t="shared" si="197"/>
        <v>0</v>
      </c>
      <c r="M267" s="11">
        <f t="shared" si="198"/>
        <v>0</v>
      </c>
      <c r="N267" s="11">
        <f t="shared" si="199"/>
        <v>0</v>
      </c>
      <c r="O267" s="11">
        <f t="shared" si="200"/>
        <v>0</v>
      </c>
      <c r="P267" s="11">
        <f t="shared" si="201"/>
        <v>0</v>
      </c>
      <c r="Q267" s="11">
        <f t="shared" si="202"/>
        <v>0</v>
      </c>
      <c r="R267" s="11">
        <f t="shared" si="203"/>
        <v>0</v>
      </c>
      <c r="S267" s="11">
        <f t="shared" si="204"/>
        <v>0</v>
      </c>
      <c r="T267" s="11">
        <f t="shared" si="205"/>
        <v>0</v>
      </c>
      <c r="U267" s="11">
        <f t="shared" si="206"/>
        <v>0</v>
      </c>
      <c r="V267" s="11">
        <f t="shared" si="207"/>
        <v>0</v>
      </c>
      <c r="W267" s="11">
        <f t="shared" si="208"/>
        <v>0</v>
      </c>
      <c r="X267" s="11">
        <f t="shared" si="209"/>
        <v>0</v>
      </c>
    </row>
    <row r="268" spans="1:32" x14ac:dyDescent="0.2">
      <c r="A268" s="463"/>
      <c r="B268" s="3">
        <v>9</v>
      </c>
      <c r="C268" s="11">
        <f t="shared" si="188"/>
        <v>0</v>
      </c>
      <c r="D268" s="45">
        <f t="shared" si="189"/>
        <v>0</v>
      </c>
      <c r="E268" s="45">
        <f t="shared" si="190"/>
        <v>0</v>
      </c>
      <c r="F268" s="45">
        <f t="shared" si="191"/>
        <v>0</v>
      </c>
      <c r="G268" s="45">
        <f t="shared" si="192"/>
        <v>0</v>
      </c>
      <c r="H268" s="45">
        <f t="shared" si="193"/>
        <v>0</v>
      </c>
      <c r="I268" s="45">
        <f t="shared" si="194"/>
        <v>0</v>
      </c>
      <c r="J268" s="45">
        <f t="shared" si="195"/>
        <v>0</v>
      </c>
      <c r="K268" s="45">
        <f t="shared" si="196"/>
        <v>0</v>
      </c>
      <c r="L268" s="45">
        <f t="shared" si="197"/>
        <v>0</v>
      </c>
      <c r="M268" s="11">
        <f t="shared" si="198"/>
        <v>0</v>
      </c>
      <c r="N268" s="11">
        <f t="shared" si="199"/>
        <v>0</v>
      </c>
      <c r="O268" s="11">
        <f t="shared" si="200"/>
        <v>0</v>
      </c>
      <c r="P268" s="11">
        <f t="shared" si="201"/>
        <v>0</v>
      </c>
      <c r="Q268" s="11">
        <f t="shared" si="202"/>
        <v>0</v>
      </c>
      <c r="R268" s="11">
        <f t="shared" si="203"/>
        <v>0</v>
      </c>
      <c r="S268" s="11">
        <f t="shared" si="204"/>
        <v>0</v>
      </c>
      <c r="T268" s="11">
        <f t="shared" si="205"/>
        <v>0</v>
      </c>
      <c r="U268" s="11">
        <f t="shared" si="206"/>
        <v>0</v>
      </c>
      <c r="V268" s="11">
        <f t="shared" si="207"/>
        <v>0</v>
      </c>
      <c r="W268" s="11">
        <f t="shared" si="208"/>
        <v>0</v>
      </c>
      <c r="X268" s="11">
        <f t="shared" si="209"/>
        <v>0</v>
      </c>
    </row>
    <row r="269" spans="1:32" x14ac:dyDescent="0.2">
      <c r="A269" s="463"/>
      <c r="B269" s="3">
        <v>10</v>
      </c>
      <c r="C269" s="11">
        <f t="shared" si="188"/>
        <v>0</v>
      </c>
      <c r="D269" s="45">
        <f t="shared" si="189"/>
        <v>0</v>
      </c>
      <c r="E269" s="45">
        <f t="shared" si="190"/>
        <v>0</v>
      </c>
      <c r="F269" s="45">
        <f t="shared" si="191"/>
        <v>0</v>
      </c>
      <c r="G269" s="45">
        <f t="shared" si="192"/>
        <v>0</v>
      </c>
      <c r="H269" s="45">
        <f t="shared" si="193"/>
        <v>0</v>
      </c>
      <c r="I269" s="45">
        <f t="shared" si="194"/>
        <v>0</v>
      </c>
      <c r="J269" s="45">
        <f t="shared" si="195"/>
        <v>0</v>
      </c>
      <c r="K269" s="45">
        <f t="shared" si="196"/>
        <v>0</v>
      </c>
      <c r="L269" s="45">
        <f t="shared" si="197"/>
        <v>0</v>
      </c>
      <c r="M269" s="11">
        <f t="shared" si="198"/>
        <v>0</v>
      </c>
      <c r="N269" s="11">
        <f t="shared" si="199"/>
        <v>0</v>
      </c>
      <c r="O269" s="11">
        <f t="shared" si="200"/>
        <v>0</v>
      </c>
      <c r="P269" s="11">
        <f t="shared" si="201"/>
        <v>0</v>
      </c>
      <c r="Q269" s="11">
        <f t="shared" si="202"/>
        <v>0</v>
      </c>
      <c r="R269" s="11">
        <f t="shared" si="203"/>
        <v>0</v>
      </c>
      <c r="S269" s="11">
        <f t="shared" si="204"/>
        <v>0</v>
      </c>
      <c r="T269" s="11">
        <f t="shared" si="205"/>
        <v>0</v>
      </c>
      <c r="U269" s="11">
        <f t="shared" si="206"/>
        <v>0</v>
      </c>
      <c r="V269" s="11">
        <f t="shared" si="207"/>
        <v>0</v>
      </c>
      <c r="W269" s="11">
        <f t="shared" si="208"/>
        <v>0</v>
      </c>
      <c r="X269" s="11">
        <f t="shared" si="209"/>
        <v>0</v>
      </c>
    </row>
    <row r="270" spans="1:32" x14ac:dyDescent="0.2">
      <c r="A270" s="463"/>
      <c r="B270" s="3">
        <v>11</v>
      </c>
      <c r="C270" s="11">
        <f t="shared" si="188"/>
        <v>0</v>
      </c>
      <c r="D270" s="45">
        <f t="shared" si="189"/>
        <v>0</v>
      </c>
      <c r="E270" s="45">
        <f t="shared" si="190"/>
        <v>0</v>
      </c>
      <c r="F270" s="45">
        <f t="shared" si="191"/>
        <v>0</v>
      </c>
      <c r="G270" s="45">
        <f t="shared" si="192"/>
        <v>0</v>
      </c>
      <c r="H270" s="45">
        <f t="shared" si="193"/>
        <v>0</v>
      </c>
      <c r="I270" s="45">
        <f t="shared" si="194"/>
        <v>0</v>
      </c>
      <c r="J270" s="45">
        <f t="shared" si="195"/>
        <v>0</v>
      </c>
      <c r="K270" s="45">
        <f t="shared" si="196"/>
        <v>0</v>
      </c>
      <c r="L270" s="45">
        <f t="shared" si="197"/>
        <v>0</v>
      </c>
      <c r="M270" s="11">
        <f t="shared" si="198"/>
        <v>0</v>
      </c>
      <c r="N270" s="11">
        <f t="shared" si="199"/>
        <v>0</v>
      </c>
      <c r="O270" s="11">
        <f t="shared" si="200"/>
        <v>0</v>
      </c>
      <c r="P270" s="11">
        <f t="shared" si="201"/>
        <v>0</v>
      </c>
      <c r="Q270" s="11">
        <f t="shared" si="202"/>
        <v>0</v>
      </c>
      <c r="R270" s="11">
        <f t="shared" si="203"/>
        <v>0</v>
      </c>
      <c r="S270" s="11">
        <f t="shared" si="204"/>
        <v>0</v>
      </c>
      <c r="T270" s="11">
        <f t="shared" si="205"/>
        <v>0</v>
      </c>
      <c r="U270" s="11">
        <f t="shared" si="206"/>
        <v>0</v>
      </c>
      <c r="V270" s="11">
        <f t="shared" si="207"/>
        <v>0</v>
      </c>
      <c r="W270" s="11">
        <f t="shared" si="208"/>
        <v>0</v>
      </c>
      <c r="X270" s="11">
        <f t="shared" si="209"/>
        <v>0</v>
      </c>
    </row>
    <row r="271" spans="1:32" x14ac:dyDescent="0.2">
      <c r="A271" s="463"/>
      <c r="B271" s="3">
        <v>12</v>
      </c>
      <c r="C271" s="11">
        <f t="shared" si="188"/>
        <v>0</v>
      </c>
      <c r="D271" s="45">
        <f t="shared" si="189"/>
        <v>0</v>
      </c>
      <c r="E271" s="45">
        <f t="shared" si="190"/>
        <v>0</v>
      </c>
      <c r="F271" s="45">
        <f t="shared" si="191"/>
        <v>0</v>
      </c>
      <c r="G271" s="45">
        <f t="shared" si="192"/>
        <v>0</v>
      </c>
      <c r="H271" s="45">
        <f t="shared" si="193"/>
        <v>0</v>
      </c>
      <c r="I271" s="45">
        <f t="shared" si="194"/>
        <v>0</v>
      </c>
      <c r="J271" s="45">
        <f t="shared" si="195"/>
        <v>0</v>
      </c>
      <c r="K271" s="45">
        <f t="shared" si="196"/>
        <v>0</v>
      </c>
      <c r="L271" s="45">
        <f t="shared" si="197"/>
        <v>0</v>
      </c>
      <c r="M271" s="11">
        <f t="shared" si="198"/>
        <v>0</v>
      </c>
      <c r="N271" s="11">
        <f t="shared" si="199"/>
        <v>0</v>
      </c>
      <c r="O271" s="11">
        <f t="shared" si="200"/>
        <v>0</v>
      </c>
      <c r="P271" s="11">
        <f t="shared" si="201"/>
        <v>0</v>
      </c>
      <c r="Q271" s="11">
        <f t="shared" si="202"/>
        <v>0</v>
      </c>
      <c r="R271" s="11">
        <f t="shared" si="203"/>
        <v>0</v>
      </c>
      <c r="S271" s="11">
        <f t="shared" si="204"/>
        <v>0</v>
      </c>
      <c r="T271" s="11">
        <f t="shared" si="205"/>
        <v>0</v>
      </c>
      <c r="U271" s="11">
        <f t="shared" si="206"/>
        <v>0</v>
      </c>
      <c r="V271" s="11">
        <f t="shared" si="207"/>
        <v>0</v>
      </c>
      <c r="W271" s="11">
        <f t="shared" si="208"/>
        <v>0</v>
      </c>
      <c r="X271" s="11">
        <f t="shared" si="209"/>
        <v>0</v>
      </c>
    </row>
    <row r="272" spans="1:32" x14ac:dyDescent="0.2">
      <c r="A272" s="463"/>
      <c r="B272" s="3">
        <v>13</v>
      </c>
      <c r="C272" s="11">
        <f t="shared" si="188"/>
        <v>0</v>
      </c>
      <c r="D272" s="45">
        <f t="shared" si="189"/>
        <v>0</v>
      </c>
      <c r="E272" s="45">
        <f t="shared" si="190"/>
        <v>0</v>
      </c>
      <c r="F272" s="45">
        <f t="shared" si="191"/>
        <v>0</v>
      </c>
      <c r="G272" s="45">
        <f t="shared" si="192"/>
        <v>0</v>
      </c>
      <c r="H272" s="45">
        <f t="shared" si="193"/>
        <v>0</v>
      </c>
      <c r="I272" s="45">
        <f t="shared" si="194"/>
        <v>0</v>
      </c>
      <c r="J272" s="45">
        <f t="shared" si="195"/>
        <v>0</v>
      </c>
      <c r="K272" s="45">
        <f t="shared" si="196"/>
        <v>0</v>
      </c>
      <c r="L272" s="45">
        <f t="shared" si="197"/>
        <v>0</v>
      </c>
      <c r="M272" s="11">
        <f t="shared" si="198"/>
        <v>0</v>
      </c>
      <c r="N272" s="11">
        <f t="shared" si="199"/>
        <v>0</v>
      </c>
      <c r="O272" s="11">
        <f t="shared" si="200"/>
        <v>0</v>
      </c>
      <c r="P272" s="11">
        <f t="shared" si="201"/>
        <v>0</v>
      </c>
      <c r="Q272" s="11">
        <f t="shared" si="202"/>
        <v>0</v>
      </c>
      <c r="R272" s="11">
        <f t="shared" si="203"/>
        <v>0</v>
      </c>
      <c r="S272" s="11">
        <f t="shared" si="204"/>
        <v>0</v>
      </c>
      <c r="T272" s="11">
        <f t="shared" si="205"/>
        <v>0</v>
      </c>
      <c r="U272" s="11">
        <f t="shared" si="206"/>
        <v>0</v>
      </c>
      <c r="V272" s="11">
        <f t="shared" si="207"/>
        <v>0</v>
      </c>
      <c r="W272" s="11">
        <f t="shared" si="208"/>
        <v>0</v>
      </c>
      <c r="X272" s="11">
        <f t="shared" si="209"/>
        <v>0</v>
      </c>
    </row>
    <row r="273" spans="1:24" x14ac:dyDescent="0.2">
      <c r="A273" s="463"/>
      <c r="B273" s="3">
        <v>14</v>
      </c>
      <c r="C273" s="11">
        <f t="shared" si="188"/>
        <v>0</v>
      </c>
      <c r="D273" s="45">
        <f t="shared" si="189"/>
        <v>0</v>
      </c>
      <c r="E273" s="45">
        <f t="shared" si="190"/>
        <v>0</v>
      </c>
      <c r="F273" s="45">
        <f t="shared" si="191"/>
        <v>0</v>
      </c>
      <c r="G273" s="45">
        <f t="shared" si="192"/>
        <v>0</v>
      </c>
      <c r="H273" s="45">
        <f t="shared" si="193"/>
        <v>0</v>
      </c>
      <c r="I273" s="45">
        <f t="shared" si="194"/>
        <v>0</v>
      </c>
      <c r="J273" s="45">
        <f t="shared" si="195"/>
        <v>0</v>
      </c>
      <c r="K273" s="45">
        <f t="shared" si="196"/>
        <v>0</v>
      </c>
      <c r="L273" s="45">
        <f t="shared" si="197"/>
        <v>0</v>
      </c>
      <c r="M273" s="11">
        <f t="shared" si="198"/>
        <v>0</v>
      </c>
      <c r="N273" s="11">
        <f t="shared" si="199"/>
        <v>0</v>
      </c>
      <c r="O273" s="11">
        <f t="shared" si="200"/>
        <v>0</v>
      </c>
      <c r="P273" s="11">
        <f t="shared" si="201"/>
        <v>0</v>
      </c>
      <c r="Q273" s="11">
        <f t="shared" si="202"/>
        <v>0</v>
      </c>
      <c r="R273" s="11">
        <f t="shared" si="203"/>
        <v>0</v>
      </c>
      <c r="S273" s="11">
        <f t="shared" si="204"/>
        <v>0</v>
      </c>
      <c r="T273" s="11">
        <f t="shared" si="205"/>
        <v>0</v>
      </c>
      <c r="U273" s="11">
        <f t="shared" si="206"/>
        <v>0</v>
      </c>
      <c r="V273" s="11">
        <f t="shared" si="207"/>
        <v>0</v>
      </c>
      <c r="W273" s="11">
        <f t="shared" si="208"/>
        <v>0</v>
      </c>
      <c r="X273" s="11">
        <f t="shared" si="209"/>
        <v>0</v>
      </c>
    </row>
    <row r="274" spans="1:24" x14ac:dyDescent="0.2">
      <c r="A274" s="463"/>
      <c r="B274" s="3">
        <v>15</v>
      </c>
      <c r="C274" s="11">
        <f t="shared" si="188"/>
        <v>0</v>
      </c>
      <c r="D274" s="45">
        <f t="shared" si="189"/>
        <v>0</v>
      </c>
      <c r="E274" s="45">
        <f t="shared" si="190"/>
        <v>0</v>
      </c>
      <c r="F274" s="45">
        <f t="shared" si="191"/>
        <v>0</v>
      </c>
      <c r="G274" s="45">
        <f t="shared" si="192"/>
        <v>0</v>
      </c>
      <c r="H274" s="45">
        <f t="shared" si="193"/>
        <v>0</v>
      </c>
      <c r="I274" s="45">
        <f t="shared" si="194"/>
        <v>0</v>
      </c>
      <c r="J274" s="45">
        <f t="shared" si="195"/>
        <v>0</v>
      </c>
      <c r="K274" s="45">
        <f t="shared" si="196"/>
        <v>0</v>
      </c>
      <c r="L274" s="45">
        <f t="shared" si="197"/>
        <v>0</v>
      </c>
      <c r="M274" s="11">
        <f t="shared" si="198"/>
        <v>0</v>
      </c>
      <c r="N274" s="11">
        <f t="shared" si="199"/>
        <v>0</v>
      </c>
      <c r="O274" s="11">
        <f t="shared" si="200"/>
        <v>0</v>
      </c>
      <c r="P274" s="11">
        <f t="shared" si="201"/>
        <v>0</v>
      </c>
      <c r="Q274" s="11">
        <f t="shared" si="202"/>
        <v>0</v>
      </c>
      <c r="R274" s="11">
        <f t="shared" si="203"/>
        <v>0</v>
      </c>
      <c r="S274" s="11">
        <f t="shared" si="204"/>
        <v>0</v>
      </c>
      <c r="T274" s="11">
        <f t="shared" si="205"/>
        <v>0</v>
      </c>
      <c r="U274" s="11">
        <f t="shared" si="206"/>
        <v>0</v>
      </c>
      <c r="V274" s="11">
        <f t="shared" si="207"/>
        <v>0</v>
      </c>
      <c r="W274" s="11">
        <f t="shared" si="208"/>
        <v>0</v>
      </c>
      <c r="X274" s="11">
        <f t="shared" si="209"/>
        <v>0</v>
      </c>
    </row>
    <row r="275" spans="1:24" x14ac:dyDescent="0.2">
      <c r="A275" s="463"/>
      <c r="B275" s="3">
        <v>16</v>
      </c>
      <c r="C275" s="11">
        <f t="shared" si="188"/>
        <v>0</v>
      </c>
      <c r="D275" s="45">
        <f t="shared" si="189"/>
        <v>0</v>
      </c>
      <c r="E275" s="45">
        <f t="shared" si="190"/>
        <v>0</v>
      </c>
      <c r="F275" s="45">
        <f t="shared" si="191"/>
        <v>0</v>
      </c>
      <c r="G275" s="45">
        <f t="shared" si="192"/>
        <v>0</v>
      </c>
      <c r="H275" s="45">
        <f t="shared" si="193"/>
        <v>0</v>
      </c>
      <c r="I275" s="45">
        <f t="shared" si="194"/>
        <v>0</v>
      </c>
      <c r="J275" s="45">
        <f t="shared" si="195"/>
        <v>0</v>
      </c>
      <c r="K275" s="45">
        <f t="shared" si="196"/>
        <v>0</v>
      </c>
      <c r="L275" s="45">
        <f t="shared" si="197"/>
        <v>0</v>
      </c>
      <c r="M275" s="11">
        <f t="shared" si="198"/>
        <v>0</v>
      </c>
      <c r="N275" s="11">
        <f t="shared" si="199"/>
        <v>0</v>
      </c>
      <c r="O275" s="11">
        <f t="shared" si="200"/>
        <v>0</v>
      </c>
      <c r="P275" s="11">
        <f t="shared" si="201"/>
        <v>0</v>
      </c>
      <c r="Q275" s="11">
        <f t="shared" si="202"/>
        <v>0</v>
      </c>
      <c r="R275" s="11">
        <f t="shared" si="203"/>
        <v>0</v>
      </c>
      <c r="S275" s="11">
        <f t="shared" si="204"/>
        <v>0</v>
      </c>
      <c r="T275" s="11">
        <f t="shared" si="205"/>
        <v>0</v>
      </c>
      <c r="U275" s="11">
        <f t="shared" si="206"/>
        <v>0</v>
      </c>
      <c r="V275" s="11">
        <f t="shared" si="207"/>
        <v>0</v>
      </c>
      <c r="W275" s="11">
        <f t="shared" si="208"/>
        <v>0</v>
      </c>
      <c r="X275" s="11">
        <f t="shared" si="209"/>
        <v>0</v>
      </c>
    </row>
    <row r="276" spans="1:24" x14ac:dyDescent="0.2">
      <c r="A276" s="463"/>
      <c r="B276" s="3">
        <v>17</v>
      </c>
      <c r="C276" s="11">
        <f t="shared" si="188"/>
        <v>0</v>
      </c>
      <c r="D276" s="45">
        <f t="shared" si="189"/>
        <v>0</v>
      </c>
      <c r="E276" s="45">
        <f t="shared" si="190"/>
        <v>0</v>
      </c>
      <c r="F276" s="45">
        <f t="shared" si="191"/>
        <v>0</v>
      </c>
      <c r="G276" s="45">
        <f t="shared" si="192"/>
        <v>0</v>
      </c>
      <c r="H276" s="45">
        <f t="shared" si="193"/>
        <v>0</v>
      </c>
      <c r="I276" s="45">
        <f t="shared" si="194"/>
        <v>0</v>
      </c>
      <c r="J276" s="45">
        <f t="shared" si="195"/>
        <v>0</v>
      </c>
      <c r="K276" s="45">
        <f t="shared" si="196"/>
        <v>0</v>
      </c>
      <c r="L276" s="45">
        <f t="shared" si="197"/>
        <v>0</v>
      </c>
      <c r="M276" s="11">
        <f t="shared" si="198"/>
        <v>0</v>
      </c>
      <c r="N276" s="11">
        <f t="shared" si="199"/>
        <v>0</v>
      </c>
      <c r="O276" s="11">
        <f t="shared" si="200"/>
        <v>0</v>
      </c>
      <c r="P276" s="11">
        <f t="shared" si="201"/>
        <v>0</v>
      </c>
      <c r="Q276" s="11">
        <f t="shared" si="202"/>
        <v>0</v>
      </c>
      <c r="R276" s="11">
        <f t="shared" si="203"/>
        <v>0</v>
      </c>
      <c r="S276" s="11">
        <f t="shared" si="204"/>
        <v>0</v>
      </c>
      <c r="T276" s="11">
        <f t="shared" si="205"/>
        <v>0</v>
      </c>
      <c r="U276" s="11">
        <f t="shared" si="206"/>
        <v>0</v>
      </c>
      <c r="V276" s="11">
        <f t="shared" si="207"/>
        <v>0</v>
      </c>
      <c r="W276" s="11">
        <f t="shared" si="208"/>
        <v>0</v>
      </c>
      <c r="X276" s="11">
        <f t="shared" si="209"/>
        <v>0</v>
      </c>
    </row>
    <row r="277" spans="1:24" x14ac:dyDescent="0.2">
      <c r="A277" s="463"/>
      <c r="B277" s="3">
        <v>18</v>
      </c>
      <c r="C277" s="11">
        <f t="shared" si="188"/>
        <v>0</v>
      </c>
      <c r="D277" s="45">
        <f t="shared" si="189"/>
        <v>0</v>
      </c>
      <c r="E277" s="45">
        <f t="shared" si="190"/>
        <v>0</v>
      </c>
      <c r="F277" s="45">
        <f t="shared" si="191"/>
        <v>0</v>
      </c>
      <c r="G277" s="45">
        <f t="shared" si="192"/>
        <v>0</v>
      </c>
      <c r="H277" s="45">
        <f t="shared" si="193"/>
        <v>0</v>
      </c>
      <c r="I277" s="45">
        <f t="shared" si="194"/>
        <v>0</v>
      </c>
      <c r="J277" s="45">
        <f t="shared" si="195"/>
        <v>0</v>
      </c>
      <c r="K277" s="45">
        <f t="shared" si="196"/>
        <v>0</v>
      </c>
      <c r="L277" s="45">
        <f t="shared" si="197"/>
        <v>0</v>
      </c>
      <c r="M277" s="11">
        <f t="shared" si="198"/>
        <v>0</v>
      </c>
      <c r="N277" s="11">
        <f t="shared" si="199"/>
        <v>0</v>
      </c>
      <c r="O277" s="11">
        <f t="shared" si="200"/>
        <v>0</v>
      </c>
      <c r="P277" s="11">
        <f t="shared" si="201"/>
        <v>0</v>
      </c>
      <c r="Q277" s="11">
        <f t="shared" si="202"/>
        <v>0</v>
      </c>
      <c r="R277" s="11">
        <f t="shared" si="203"/>
        <v>0</v>
      </c>
      <c r="S277" s="11">
        <f t="shared" si="204"/>
        <v>0</v>
      </c>
      <c r="T277" s="11">
        <f t="shared" si="205"/>
        <v>0</v>
      </c>
      <c r="U277" s="11">
        <f t="shared" si="206"/>
        <v>0</v>
      </c>
      <c r="V277" s="11">
        <f t="shared" si="207"/>
        <v>0</v>
      </c>
      <c r="W277" s="11">
        <f t="shared" si="208"/>
        <v>0</v>
      </c>
      <c r="X277" s="11">
        <f t="shared" si="209"/>
        <v>0</v>
      </c>
    </row>
    <row r="278" spans="1:24" x14ac:dyDescent="0.2">
      <c r="A278" s="463"/>
      <c r="B278" s="3">
        <v>19</v>
      </c>
      <c r="C278" s="11">
        <f t="shared" si="188"/>
        <v>0</v>
      </c>
      <c r="D278" s="45">
        <f t="shared" si="189"/>
        <v>0</v>
      </c>
      <c r="E278" s="45">
        <f t="shared" si="190"/>
        <v>0</v>
      </c>
      <c r="F278" s="45">
        <f t="shared" si="191"/>
        <v>0</v>
      </c>
      <c r="G278" s="45">
        <f t="shared" si="192"/>
        <v>0</v>
      </c>
      <c r="H278" s="45">
        <f t="shared" si="193"/>
        <v>0</v>
      </c>
      <c r="I278" s="45">
        <f t="shared" si="194"/>
        <v>0</v>
      </c>
      <c r="J278" s="45">
        <f t="shared" si="195"/>
        <v>0</v>
      </c>
      <c r="K278" s="45">
        <f t="shared" si="196"/>
        <v>0</v>
      </c>
      <c r="L278" s="45">
        <f t="shared" si="197"/>
        <v>0</v>
      </c>
      <c r="M278" s="11">
        <f t="shared" si="198"/>
        <v>0</v>
      </c>
      <c r="N278" s="11">
        <f t="shared" si="199"/>
        <v>0</v>
      </c>
      <c r="O278" s="11">
        <f t="shared" si="200"/>
        <v>0</v>
      </c>
      <c r="P278" s="11">
        <f t="shared" si="201"/>
        <v>0</v>
      </c>
      <c r="Q278" s="11">
        <f t="shared" si="202"/>
        <v>0</v>
      </c>
      <c r="R278" s="11">
        <f t="shared" si="203"/>
        <v>0</v>
      </c>
      <c r="S278" s="11">
        <f t="shared" si="204"/>
        <v>0</v>
      </c>
      <c r="T278" s="11">
        <f t="shared" si="205"/>
        <v>0</v>
      </c>
      <c r="U278" s="11">
        <f t="shared" si="206"/>
        <v>0</v>
      </c>
      <c r="V278" s="11">
        <f t="shared" si="207"/>
        <v>0</v>
      </c>
      <c r="W278" s="11">
        <f t="shared" si="208"/>
        <v>0</v>
      </c>
      <c r="X278" s="11">
        <f t="shared" si="209"/>
        <v>0</v>
      </c>
    </row>
    <row r="279" spans="1:24" x14ac:dyDescent="0.2">
      <c r="A279" s="463"/>
      <c r="B279" s="3">
        <v>20</v>
      </c>
      <c r="C279" s="11">
        <f t="shared" si="188"/>
        <v>0</v>
      </c>
      <c r="D279" s="45">
        <f t="shared" si="189"/>
        <v>0</v>
      </c>
      <c r="E279" s="45">
        <f t="shared" si="190"/>
        <v>0</v>
      </c>
      <c r="F279" s="45">
        <f t="shared" si="191"/>
        <v>0</v>
      </c>
      <c r="G279" s="45">
        <f t="shared" si="192"/>
        <v>0</v>
      </c>
      <c r="H279" s="45">
        <f t="shared" si="193"/>
        <v>0</v>
      </c>
      <c r="I279" s="45">
        <f t="shared" si="194"/>
        <v>0</v>
      </c>
      <c r="J279" s="45">
        <f t="shared" si="195"/>
        <v>0</v>
      </c>
      <c r="K279" s="45">
        <f t="shared" si="196"/>
        <v>0</v>
      </c>
      <c r="L279" s="45">
        <f t="shared" si="197"/>
        <v>0</v>
      </c>
      <c r="M279" s="11">
        <f t="shared" si="198"/>
        <v>0</v>
      </c>
      <c r="N279" s="11">
        <f t="shared" si="199"/>
        <v>0</v>
      </c>
      <c r="O279" s="11">
        <f t="shared" si="200"/>
        <v>0</v>
      </c>
      <c r="P279" s="11">
        <f t="shared" si="201"/>
        <v>0</v>
      </c>
      <c r="Q279" s="11">
        <f t="shared" si="202"/>
        <v>0</v>
      </c>
      <c r="R279" s="11">
        <f t="shared" si="203"/>
        <v>0</v>
      </c>
      <c r="S279" s="11">
        <f t="shared" si="204"/>
        <v>0</v>
      </c>
      <c r="T279" s="11">
        <f t="shared" si="205"/>
        <v>0</v>
      </c>
      <c r="U279" s="11">
        <f t="shared" si="206"/>
        <v>0</v>
      </c>
      <c r="V279" s="11">
        <f t="shared" si="207"/>
        <v>0</v>
      </c>
      <c r="W279" s="11">
        <f t="shared" si="208"/>
        <v>0</v>
      </c>
      <c r="X279" s="11">
        <f t="shared" si="209"/>
        <v>0</v>
      </c>
    </row>
    <row r="281" spans="1:24" x14ac:dyDescent="0.2">
      <c r="A281" s="464" t="s">
        <v>51</v>
      </c>
      <c r="B281" s="464"/>
      <c r="C281" s="51"/>
      <c r="D281" s="51"/>
      <c r="E281" s="51"/>
      <c r="F281" s="51"/>
      <c r="G281" s="51"/>
      <c r="H281" s="51"/>
      <c r="I281" s="51"/>
      <c r="J281" s="51"/>
      <c r="K281" s="51"/>
      <c r="L281" s="51"/>
      <c r="M281" s="51"/>
      <c r="N281" s="51"/>
      <c r="O281" s="51"/>
      <c r="P281" s="51"/>
      <c r="Q281" s="51"/>
    </row>
    <row r="282" spans="1:24" x14ac:dyDescent="0.2">
      <c r="A282" s="464"/>
      <c r="B282" s="464"/>
      <c r="C282" s="51"/>
      <c r="D282" s="51"/>
      <c r="E282" s="51"/>
      <c r="F282" s="51"/>
      <c r="G282" s="51"/>
      <c r="H282" s="51"/>
      <c r="I282" s="51"/>
      <c r="J282" s="51"/>
      <c r="K282" s="51"/>
      <c r="L282" s="51"/>
      <c r="M282" s="51"/>
      <c r="N282" s="51"/>
      <c r="O282" s="51"/>
      <c r="P282" s="51"/>
      <c r="Q282" s="51"/>
    </row>
    <row r="284" spans="1:24" ht="16" customHeight="1" x14ac:dyDescent="0.2">
      <c r="A284" s="460" t="s">
        <v>635</v>
      </c>
      <c r="B284" s="3" t="s">
        <v>15</v>
      </c>
      <c r="C284" s="3" t="s">
        <v>55</v>
      </c>
      <c r="D284" s="3" t="s">
        <v>154</v>
      </c>
      <c r="E284" s="3" t="s">
        <v>54</v>
      </c>
      <c r="F284" s="3" t="s">
        <v>53</v>
      </c>
      <c r="G284" s="3" t="s">
        <v>155</v>
      </c>
      <c r="H284" s="3" t="s">
        <v>52</v>
      </c>
      <c r="I284" s="3" t="s">
        <v>57</v>
      </c>
      <c r="K284" s="460" t="s">
        <v>636</v>
      </c>
      <c r="L284" s="3" t="s">
        <v>15</v>
      </c>
      <c r="M284" s="3" t="s">
        <v>90</v>
      </c>
      <c r="N284" s="3" t="s">
        <v>89</v>
      </c>
      <c r="O284" s="3" t="s">
        <v>156</v>
      </c>
    </row>
    <row r="285" spans="1:24" x14ac:dyDescent="0.2">
      <c r="A285" s="460"/>
      <c r="B285" s="3">
        <v>1</v>
      </c>
      <c r="C285" s="45">
        <f>SUM(H61,Q61,Z61,AI61)</f>
        <v>0</v>
      </c>
      <c r="D285" s="45">
        <f t="shared" ref="D285:D304" si="210">Y92</f>
        <v>0</v>
      </c>
      <c r="E285" s="11">
        <f t="shared" ref="E285:E304" si="211">X145</f>
        <v>0</v>
      </c>
      <c r="F285" s="11">
        <f t="shared" ref="F285:F304" si="212">SUM(H177,Q177,Z177,AI177)</f>
        <v>0</v>
      </c>
      <c r="G285" s="11">
        <f t="shared" ref="G285:G304" si="213">Y208</f>
        <v>0</v>
      </c>
      <c r="H285" s="11">
        <f t="shared" ref="H285:H304" si="214">X260</f>
        <v>0</v>
      </c>
      <c r="I285" s="11">
        <f>F285-C285+G285-D285+H285-E285</f>
        <v>0</v>
      </c>
      <c r="J285" s="11"/>
      <c r="K285" s="460"/>
      <c r="L285" s="3">
        <v>1</v>
      </c>
      <c r="M285" s="11">
        <f>F285-C285</f>
        <v>0</v>
      </c>
      <c r="N285" s="11">
        <f t="shared" ref="N285:N304" si="215">H285-E285</f>
        <v>0</v>
      </c>
      <c r="O285" s="11">
        <f t="shared" ref="O285:O304" si="216">G285-D285</f>
        <v>0</v>
      </c>
      <c r="W285" s="11"/>
      <c r="X285" s="11"/>
    </row>
    <row r="286" spans="1:24" x14ac:dyDescent="0.2">
      <c r="A286" s="460"/>
      <c r="B286" s="3">
        <v>2</v>
      </c>
      <c r="C286" s="45">
        <f t="shared" ref="C286:C304" si="217">SUM(H62,Q62,Z62,AI62)</f>
        <v>0</v>
      </c>
      <c r="D286" s="45">
        <f t="shared" si="210"/>
        <v>0</v>
      </c>
      <c r="E286" s="11">
        <f t="shared" si="211"/>
        <v>0</v>
      </c>
      <c r="F286" s="11">
        <f t="shared" si="212"/>
        <v>0</v>
      </c>
      <c r="G286" s="11">
        <f t="shared" si="213"/>
        <v>0</v>
      </c>
      <c r="H286" s="11">
        <f t="shared" si="214"/>
        <v>0</v>
      </c>
      <c r="I286" s="11">
        <f t="shared" ref="I286:I304" si="218">F286-C286+G286-D286+H286-E286</f>
        <v>0</v>
      </c>
      <c r="J286" s="11"/>
      <c r="K286" s="460"/>
      <c r="L286" s="3">
        <v>2</v>
      </c>
      <c r="M286" s="11">
        <f t="shared" ref="M286:M304" si="219">F286-C286</f>
        <v>0</v>
      </c>
      <c r="N286" s="11">
        <f t="shared" si="215"/>
        <v>0</v>
      </c>
      <c r="O286" s="11">
        <f t="shared" si="216"/>
        <v>0</v>
      </c>
      <c r="W286" s="11"/>
      <c r="X286" s="11"/>
    </row>
    <row r="287" spans="1:24" x14ac:dyDescent="0.2">
      <c r="A287" s="460"/>
      <c r="B287" s="3">
        <v>3</v>
      </c>
      <c r="C287" s="11">
        <f t="shared" si="217"/>
        <v>0</v>
      </c>
      <c r="D287" s="11">
        <f t="shared" si="210"/>
        <v>0</v>
      </c>
      <c r="E287" s="11">
        <f t="shared" si="211"/>
        <v>0</v>
      </c>
      <c r="F287" s="11">
        <f t="shared" si="212"/>
        <v>0</v>
      </c>
      <c r="G287" s="11">
        <f t="shared" si="213"/>
        <v>0</v>
      </c>
      <c r="H287" s="11">
        <f t="shared" si="214"/>
        <v>0</v>
      </c>
      <c r="I287" s="11">
        <f t="shared" si="218"/>
        <v>0</v>
      </c>
      <c r="J287" s="11"/>
      <c r="K287" s="460"/>
      <c r="L287" s="3">
        <v>3</v>
      </c>
      <c r="M287" s="11">
        <f t="shared" si="219"/>
        <v>0</v>
      </c>
      <c r="N287" s="11">
        <f t="shared" si="215"/>
        <v>0</v>
      </c>
      <c r="O287" s="11">
        <f t="shared" si="216"/>
        <v>0</v>
      </c>
      <c r="W287" s="11"/>
      <c r="X287" s="11"/>
    </row>
    <row r="288" spans="1:24" x14ac:dyDescent="0.2">
      <c r="A288" s="460"/>
      <c r="B288" s="3">
        <v>4</v>
      </c>
      <c r="C288" s="11">
        <f t="shared" si="217"/>
        <v>0</v>
      </c>
      <c r="D288" s="11">
        <f t="shared" si="210"/>
        <v>0</v>
      </c>
      <c r="E288" s="11">
        <f t="shared" si="211"/>
        <v>0</v>
      </c>
      <c r="F288" s="11">
        <f t="shared" si="212"/>
        <v>0</v>
      </c>
      <c r="G288" s="11">
        <f t="shared" si="213"/>
        <v>0</v>
      </c>
      <c r="H288" s="11">
        <f t="shared" si="214"/>
        <v>0</v>
      </c>
      <c r="I288" s="11">
        <f t="shared" si="218"/>
        <v>0</v>
      </c>
      <c r="J288" s="11"/>
      <c r="K288" s="460"/>
      <c r="L288" s="3">
        <v>4</v>
      </c>
      <c r="M288" s="11">
        <f t="shared" si="219"/>
        <v>0</v>
      </c>
      <c r="N288" s="11">
        <f t="shared" si="215"/>
        <v>0</v>
      </c>
      <c r="O288" s="11">
        <f t="shared" si="216"/>
        <v>0</v>
      </c>
      <c r="W288" s="11"/>
      <c r="X288" s="11"/>
    </row>
    <row r="289" spans="1:24" x14ac:dyDescent="0.2">
      <c r="A289" s="460"/>
      <c r="B289" s="3">
        <v>5</v>
      </c>
      <c r="C289" s="11">
        <f t="shared" si="217"/>
        <v>0</v>
      </c>
      <c r="D289" s="11">
        <f t="shared" si="210"/>
        <v>0</v>
      </c>
      <c r="E289" s="11">
        <f t="shared" si="211"/>
        <v>0</v>
      </c>
      <c r="F289" s="11">
        <f t="shared" si="212"/>
        <v>0</v>
      </c>
      <c r="G289" s="11">
        <f t="shared" si="213"/>
        <v>0</v>
      </c>
      <c r="H289" s="11">
        <f t="shared" si="214"/>
        <v>0</v>
      </c>
      <c r="I289" s="11">
        <f t="shared" si="218"/>
        <v>0</v>
      </c>
      <c r="J289" s="11"/>
      <c r="K289" s="460"/>
      <c r="L289" s="3">
        <v>5</v>
      </c>
      <c r="M289" s="11">
        <f t="shared" si="219"/>
        <v>0</v>
      </c>
      <c r="N289" s="11">
        <f t="shared" si="215"/>
        <v>0</v>
      </c>
      <c r="O289" s="11">
        <f t="shared" si="216"/>
        <v>0</v>
      </c>
      <c r="W289" s="11"/>
      <c r="X289" s="11"/>
    </row>
    <row r="290" spans="1:24" x14ac:dyDescent="0.2">
      <c r="A290" s="460"/>
      <c r="B290" s="3">
        <v>6</v>
      </c>
      <c r="C290" s="11">
        <f t="shared" si="217"/>
        <v>0</v>
      </c>
      <c r="D290" s="11">
        <f t="shared" si="210"/>
        <v>0</v>
      </c>
      <c r="E290" s="11">
        <f t="shared" si="211"/>
        <v>0</v>
      </c>
      <c r="F290" s="11">
        <f t="shared" si="212"/>
        <v>0</v>
      </c>
      <c r="G290" s="11">
        <f t="shared" si="213"/>
        <v>0</v>
      </c>
      <c r="H290" s="11">
        <f t="shared" si="214"/>
        <v>0</v>
      </c>
      <c r="I290" s="11">
        <f t="shared" si="218"/>
        <v>0</v>
      </c>
      <c r="J290" s="11"/>
      <c r="K290" s="460"/>
      <c r="L290" s="3">
        <v>6</v>
      </c>
      <c r="M290" s="11">
        <f t="shared" si="219"/>
        <v>0</v>
      </c>
      <c r="N290" s="11">
        <f t="shared" si="215"/>
        <v>0</v>
      </c>
      <c r="O290" s="11">
        <f t="shared" si="216"/>
        <v>0</v>
      </c>
      <c r="W290" s="11"/>
      <c r="X290" s="11"/>
    </row>
    <row r="291" spans="1:24" x14ac:dyDescent="0.2">
      <c r="A291" s="460"/>
      <c r="B291" s="3">
        <v>7</v>
      </c>
      <c r="C291" s="11">
        <f t="shared" si="217"/>
        <v>0</v>
      </c>
      <c r="D291" s="11">
        <f t="shared" si="210"/>
        <v>0</v>
      </c>
      <c r="E291" s="11">
        <f t="shared" si="211"/>
        <v>0</v>
      </c>
      <c r="F291" s="11">
        <f t="shared" si="212"/>
        <v>0</v>
      </c>
      <c r="G291" s="11">
        <f t="shared" si="213"/>
        <v>0</v>
      </c>
      <c r="H291" s="11">
        <f t="shared" si="214"/>
        <v>0</v>
      </c>
      <c r="I291" s="11">
        <f t="shared" si="218"/>
        <v>0</v>
      </c>
      <c r="J291" s="11"/>
      <c r="K291" s="460"/>
      <c r="L291" s="3">
        <v>7</v>
      </c>
      <c r="M291" s="11">
        <f t="shared" si="219"/>
        <v>0</v>
      </c>
      <c r="N291" s="11">
        <f t="shared" si="215"/>
        <v>0</v>
      </c>
      <c r="O291" s="11">
        <f t="shared" si="216"/>
        <v>0</v>
      </c>
      <c r="W291" s="11"/>
      <c r="X291" s="11"/>
    </row>
    <row r="292" spans="1:24" x14ac:dyDescent="0.2">
      <c r="A292" s="460"/>
      <c r="B292" s="3">
        <v>8</v>
      </c>
      <c r="C292" s="11">
        <f t="shared" si="217"/>
        <v>0</v>
      </c>
      <c r="D292" s="11">
        <f t="shared" si="210"/>
        <v>0</v>
      </c>
      <c r="E292" s="11">
        <f t="shared" si="211"/>
        <v>0</v>
      </c>
      <c r="F292" s="11">
        <f t="shared" si="212"/>
        <v>0</v>
      </c>
      <c r="G292" s="11">
        <f t="shared" si="213"/>
        <v>0</v>
      </c>
      <c r="H292" s="11">
        <f t="shared" si="214"/>
        <v>0</v>
      </c>
      <c r="I292" s="11">
        <f t="shared" si="218"/>
        <v>0</v>
      </c>
      <c r="J292" s="11"/>
      <c r="K292" s="460"/>
      <c r="L292" s="3">
        <v>8</v>
      </c>
      <c r="M292" s="11">
        <f t="shared" si="219"/>
        <v>0</v>
      </c>
      <c r="N292" s="11">
        <f t="shared" si="215"/>
        <v>0</v>
      </c>
      <c r="O292" s="11">
        <f t="shared" si="216"/>
        <v>0</v>
      </c>
      <c r="W292" s="11"/>
      <c r="X292" s="11"/>
    </row>
    <row r="293" spans="1:24" x14ac:dyDescent="0.2">
      <c r="A293" s="460"/>
      <c r="B293" s="3">
        <v>9</v>
      </c>
      <c r="C293" s="11">
        <f t="shared" si="217"/>
        <v>0</v>
      </c>
      <c r="D293" s="11">
        <f t="shared" si="210"/>
        <v>0</v>
      </c>
      <c r="E293" s="11">
        <f t="shared" si="211"/>
        <v>0</v>
      </c>
      <c r="F293" s="11">
        <f t="shared" si="212"/>
        <v>0</v>
      </c>
      <c r="G293" s="11">
        <f t="shared" si="213"/>
        <v>0</v>
      </c>
      <c r="H293" s="11">
        <f t="shared" si="214"/>
        <v>0</v>
      </c>
      <c r="I293" s="11">
        <f t="shared" si="218"/>
        <v>0</v>
      </c>
      <c r="J293" s="11"/>
      <c r="K293" s="460"/>
      <c r="L293" s="3">
        <v>9</v>
      </c>
      <c r="M293" s="11">
        <f t="shared" si="219"/>
        <v>0</v>
      </c>
      <c r="N293" s="11">
        <f t="shared" si="215"/>
        <v>0</v>
      </c>
      <c r="O293" s="11">
        <f t="shared" si="216"/>
        <v>0</v>
      </c>
      <c r="W293" s="11"/>
      <c r="X293" s="11"/>
    </row>
    <row r="294" spans="1:24" x14ac:dyDescent="0.2">
      <c r="A294" s="460"/>
      <c r="B294" s="3">
        <v>10</v>
      </c>
      <c r="C294" s="11">
        <f t="shared" si="217"/>
        <v>0</v>
      </c>
      <c r="D294" s="11">
        <f t="shared" si="210"/>
        <v>0</v>
      </c>
      <c r="E294" s="11">
        <f t="shared" si="211"/>
        <v>0</v>
      </c>
      <c r="F294" s="11">
        <f t="shared" si="212"/>
        <v>0</v>
      </c>
      <c r="G294" s="11">
        <f t="shared" si="213"/>
        <v>0</v>
      </c>
      <c r="H294" s="11">
        <f t="shared" si="214"/>
        <v>0</v>
      </c>
      <c r="I294" s="11">
        <f t="shared" si="218"/>
        <v>0</v>
      </c>
      <c r="J294" s="11"/>
      <c r="K294" s="460"/>
      <c r="L294" s="3">
        <v>10</v>
      </c>
      <c r="M294" s="11">
        <f t="shared" si="219"/>
        <v>0</v>
      </c>
      <c r="N294" s="11">
        <f t="shared" si="215"/>
        <v>0</v>
      </c>
      <c r="O294" s="11">
        <f t="shared" si="216"/>
        <v>0</v>
      </c>
      <c r="W294" s="11"/>
      <c r="X294" s="11"/>
    </row>
    <row r="295" spans="1:24" x14ac:dyDescent="0.2">
      <c r="A295" s="460"/>
      <c r="B295" s="3">
        <v>11</v>
      </c>
      <c r="C295" s="11">
        <f t="shared" si="217"/>
        <v>0</v>
      </c>
      <c r="D295" s="11">
        <f t="shared" si="210"/>
        <v>0</v>
      </c>
      <c r="E295" s="11">
        <f t="shared" si="211"/>
        <v>0</v>
      </c>
      <c r="F295" s="11">
        <f t="shared" si="212"/>
        <v>0</v>
      </c>
      <c r="G295" s="11">
        <f t="shared" si="213"/>
        <v>0</v>
      </c>
      <c r="H295" s="11">
        <f t="shared" si="214"/>
        <v>0</v>
      </c>
      <c r="I295" s="11">
        <f t="shared" si="218"/>
        <v>0</v>
      </c>
      <c r="J295" s="11"/>
      <c r="K295" s="460"/>
      <c r="L295" s="3">
        <v>11</v>
      </c>
      <c r="M295" s="11">
        <f t="shared" si="219"/>
        <v>0</v>
      </c>
      <c r="N295" s="11">
        <f t="shared" si="215"/>
        <v>0</v>
      </c>
      <c r="O295" s="11">
        <f t="shared" si="216"/>
        <v>0</v>
      </c>
      <c r="W295" s="11"/>
      <c r="X295" s="11"/>
    </row>
    <row r="296" spans="1:24" x14ac:dyDescent="0.2">
      <c r="A296" s="460"/>
      <c r="B296" s="3">
        <v>12</v>
      </c>
      <c r="C296" s="11">
        <f t="shared" si="217"/>
        <v>0</v>
      </c>
      <c r="D296" s="11">
        <f t="shared" si="210"/>
        <v>0</v>
      </c>
      <c r="E296" s="11">
        <f t="shared" si="211"/>
        <v>0</v>
      </c>
      <c r="F296" s="11">
        <f t="shared" si="212"/>
        <v>0</v>
      </c>
      <c r="G296" s="11">
        <f t="shared" si="213"/>
        <v>0</v>
      </c>
      <c r="H296" s="11">
        <f t="shared" si="214"/>
        <v>0</v>
      </c>
      <c r="I296" s="11">
        <f t="shared" si="218"/>
        <v>0</v>
      </c>
      <c r="J296" s="11"/>
      <c r="K296" s="460"/>
      <c r="L296" s="3">
        <v>12</v>
      </c>
      <c r="M296" s="11">
        <f t="shared" si="219"/>
        <v>0</v>
      </c>
      <c r="N296" s="11">
        <f t="shared" si="215"/>
        <v>0</v>
      </c>
      <c r="O296" s="11">
        <f t="shared" si="216"/>
        <v>0</v>
      </c>
      <c r="W296" s="11"/>
      <c r="X296" s="11"/>
    </row>
    <row r="297" spans="1:24" x14ac:dyDescent="0.2">
      <c r="A297" s="460"/>
      <c r="B297" s="3">
        <v>13</v>
      </c>
      <c r="C297" s="11">
        <f t="shared" si="217"/>
        <v>0</v>
      </c>
      <c r="D297" s="11">
        <f t="shared" si="210"/>
        <v>0</v>
      </c>
      <c r="E297" s="11">
        <f t="shared" si="211"/>
        <v>0</v>
      </c>
      <c r="F297" s="11">
        <f t="shared" si="212"/>
        <v>0</v>
      </c>
      <c r="G297" s="11">
        <f t="shared" si="213"/>
        <v>0</v>
      </c>
      <c r="H297" s="11">
        <f t="shared" si="214"/>
        <v>0</v>
      </c>
      <c r="I297" s="11">
        <f t="shared" si="218"/>
        <v>0</v>
      </c>
      <c r="J297" s="11"/>
      <c r="K297" s="460"/>
      <c r="L297" s="3">
        <v>13</v>
      </c>
      <c r="M297" s="11">
        <f t="shared" si="219"/>
        <v>0</v>
      </c>
      <c r="N297" s="11">
        <f t="shared" si="215"/>
        <v>0</v>
      </c>
      <c r="O297" s="11">
        <f t="shared" si="216"/>
        <v>0</v>
      </c>
      <c r="W297" s="11"/>
      <c r="X297" s="11"/>
    </row>
    <row r="298" spans="1:24" x14ac:dyDescent="0.2">
      <c r="A298" s="460"/>
      <c r="B298" s="3">
        <v>14</v>
      </c>
      <c r="C298" s="11">
        <f t="shared" si="217"/>
        <v>0</v>
      </c>
      <c r="D298" s="11">
        <f t="shared" si="210"/>
        <v>0</v>
      </c>
      <c r="E298" s="11">
        <f t="shared" si="211"/>
        <v>0</v>
      </c>
      <c r="F298" s="11">
        <f t="shared" si="212"/>
        <v>0</v>
      </c>
      <c r="G298" s="11">
        <f t="shared" si="213"/>
        <v>0</v>
      </c>
      <c r="H298" s="11">
        <f t="shared" si="214"/>
        <v>0</v>
      </c>
      <c r="I298" s="11">
        <f t="shared" si="218"/>
        <v>0</v>
      </c>
      <c r="J298" s="11"/>
      <c r="K298" s="460"/>
      <c r="L298" s="3">
        <v>14</v>
      </c>
      <c r="M298" s="11">
        <f t="shared" si="219"/>
        <v>0</v>
      </c>
      <c r="N298" s="11">
        <f t="shared" si="215"/>
        <v>0</v>
      </c>
      <c r="O298" s="11">
        <f t="shared" si="216"/>
        <v>0</v>
      </c>
      <c r="W298" s="11"/>
      <c r="X298" s="11"/>
    </row>
    <row r="299" spans="1:24" x14ac:dyDescent="0.2">
      <c r="A299" s="460"/>
      <c r="B299" s="3">
        <v>15</v>
      </c>
      <c r="C299" s="11">
        <f t="shared" si="217"/>
        <v>0</v>
      </c>
      <c r="D299" s="11">
        <f t="shared" si="210"/>
        <v>0</v>
      </c>
      <c r="E299" s="11">
        <f t="shared" si="211"/>
        <v>0</v>
      </c>
      <c r="F299" s="11">
        <f t="shared" si="212"/>
        <v>0</v>
      </c>
      <c r="G299" s="11">
        <f t="shared" si="213"/>
        <v>0</v>
      </c>
      <c r="H299" s="11">
        <f t="shared" si="214"/>
        <v>0</v>
      </c>
      <c r="I299" s="11">
        <f t="shared" si="218"/>
        <v>0</v>
      </c>
      <c r="J299" s="11"/>
      <c r="K299" s="460"/>
      <c r="L299" s="3">
        <v>15</v>
      </c>
      <c r="M299" s="11">
        <f t="shared" si="219"/>
        <v>0</v>
      </c>
      <c r="N299" s="11">
        <f t="shared" si="215"/>
        <v>0</v>
      </c>
      <c r="O299" s="11">
        <f t="shared" si="216"/>
        <v>0</v>
      </c>
      <c r="W299" s="11"/>
      <c r="X299" s="11"/>
    </row>
    <row r="300" spans="1:24" x14ac:dyDescent="0.2">
      <c r="A300" s="460"/>
      <c r="B300" s="3">
        <v>16</v>
      </c>
      <c r="C300" s="11">
        <f t="shared" si="217"/>
        <v>0</v>
      </c>
      <c r="D300" s="11">
        <f t="shared" si="210"/>
        <v>0</v>
      </c>
      <c r="E300" s="11">
        <f t="shared" si="211"/>
        <v>0</v>
      </c>
      <c r="F300" s="11">
        <f t="shared" si="212"/>
        <v>0</v>
      </c>
      <c r="G300" s="11">
        <f t="shared" si="213"/>
        <v>0</v>
      </c>
      <c r="H300" s="11">
        <f t="shared" si="214"/>
        <v>0</v>
      </c>
      <c r="I300" s="11">
        <f t="shared" si="218"/>
        <v>0</v>
      </c>
      <c r="J300" s="11"/>
      <c r="K300" s="460"/>
      <c r="L300" s="3">
        <v>16</v>
      </c>
      <c r="M300" s="11">
        <f t="shared" si="219"/>
        <v>0</v>
      </c>
      <c r="N300" s="11">
        <f t="shared" si="215"/>
        <v>0</v>
      </c>
      <c r="O300" s="11">
        <f t="shared" si="216"/>
        <v>0</v>
      </c>
      <c r="W300" s="11"/>
      <c r="X300" s="11"/>
    </row>
    <row r="301" spans="1:24" x14ac:dyDescent="0.2">
      <c r="A301" s="460"/>
      <c r="B301" s="3">
        <v>17</v>
      </c>
      <c r="C301" s="11">
        <f t="shared" si="217"/>
        <v>0</v>
      </c>
      <c r="D301" s="11">
        <f t="shared" si="210"/>
        <v>0</v>
      </c>
      <c r="E301" s="11">
        <f t="shared" si="211"/>
        <v>0</v>
      </c>
      <c r="F301" s="11">
        <f t="shared" si="212"/>
        <v>0</v>
      </c>
      <c r="G301" s="11">
        <f t="shared" si="213"/>
        <v>0</v>
      </c>
      <c r="H301" s="11">
        <f t="shared" si="214"/>
        <v>0</v>
      </c>
      <c r="I301" s="11">
        <f t="shared" si="218"/>
        <v>0</v>
      </c>
      <c r="J301" s="11"/>
      <c r="K301" s="460"/>
      <c r="L301" s="3">
        <v>17</v>
      </c>
      <c r="M301" s="11">
        <f t="shared" si="219"/>
        <v>0</v>
      </c>
      <c r="N301" s="11">
        <f t="shared" si="215"/>
        <v>0</v>
      </c>
      <c r="O301" s="11">
        <f t="shared" si="216"/>
        <v>0</v>
      </c>
      <c r="W301" s="11"/>
      <c r="X301" s="11"/>
    </row>
    <row r="302" spans="1:24" x14ac:dyDescent="0.2">
      <c r="A302" s="460"/>
      <c r="B302" s="3">
        <v>18</v>
      </c>
      <c r="C302" s="11">
        <f t="shared" si="217"/>
        <v>0</v>
      </c>
      <c r="D302" s="11">
        <f t="shared" si="210"/>
        <v>0</v>
      </c>
      <c r="E302" s="11">
        <f t="shared" si="211"/>
        <v>0</v>
      </c>
      <c r="F302" s="11">
        <f t="shared" si="212"/>
        <v>0</v>
      </c>
      <c r="G302" s="11">
        <f t="shared" si="213"/>
        <v>0</v>
      </c>
      <c r="H302" s="11">
        <f t="shared" si="214"/>
        <v>0</v>
      </c>
      <c r="I302" s="11">
        <f t="shared" si="218"/>
        <v>0</v>
      </c>
      <c r="J302" s="11"/>
      <c r="K302" s="460"/>
      <c r="L302" s="3">
        <v>18</v>
      </c>
      <c r="M302" s="11">
        <f t="shared" si="219"/>
        <v>0</v>
      </c>
      <c r="N302" s="11">
        <f t="shared" si="215"/>
        <v>0</v>
      </c>
      <c r="O302" s="11">
        <f t="shared" si="216"/>
        <v>0</v>
      </c>
      <c r="W302" s="11"/>
      <c r="X302" s="11"/>
    </row>
    <row r="303" spans="1:24" x14ac:dyDescent="0.2">
      <c r="A303" s="460"/>
      <c r="B303" s="3">
        <v>19</v>
      </c>
      <c r="C303" s="11">
        <f t="shared" si="217"/>
        <v>0</v>
      </c>
      <c r="D303" s="11">
        <f t="shared" si="210"/>
        <v>0</v>
      </c>
      <c r="E303" s="11">
        <f t="shared" si="211"/>
        <v>0</v>
      </c>
      <c r="F303" s="11">
        <f t="shared" si="212"/>
        <v>0</v>
      </c>
      <c r="G303" s="11">
        <f t="shared" si="213"/>
        <v>0</v>
      </c>
      <c r="H303" s="11">
        <f t="shared" si="214"/>
        <v>0</v>
      </c>
      <c r="I303" s="11">
        <f t="shared" si="218"/>
        <v>0</v>
      </c>
      <c r="J303" s="11"/>
      <c r="K303" s="460"/>
      <c r="L303" s="3">
        <v>19</v>
      </c>
      <c r="M303" s="11">
        <f t="shared" si="219"/>
        <v>0</v>
      </c>
      <c r="N303" s="11">
        <f t="shared" si="215"/>
        <v>0</v>
      </c>
      <c r="O303" s="11">
        <f t="shared" si="216"/>
        <v>0</v>
      </c>
      <c r="W303" s="11"/>
      <c r="X303" s="11"/>
    </row>
    <row r="304" spans="1:24" x14ac:dyDescent="0.2">
      <c r="A304" s="460"/>
      <c r="B304" s="3">
        <v>20</v>
      </c>
      <c r="C304" s="11">
        <f t="shared" si="217"/>
        <v>0</v>
      </c>
      <c r="D304" s="11">
        <f t="shared" si="210"/>
        <v>0</v>
      </c>
      <c r="E304" s="11">
        <f t="shared" si="211"/>
        <v>0</v>
      </c>
      <c r="F304" s="11">
        <f t="shared" si="212"/>
        <v>0</v>
      </c>
      <c r="G304" s="11">
        <f t="shared" si="213"/>
        <v>0</v>
      </c>
      <c r="H304" s="11">
        <f t="shared" si="214"/>
        <v>0</v>
      </c>
      <c r="I304" s="11">
        <f t="shared" si="218"/>
        <v>0</v>
      </c>
      <c r="J304" s="11"/>
      <c r="K304" s="460"/>
      <c r="L304" s="3">
        <v>20</v>
      </c>
      <c r="M304" s="11">
        <f t="shared" si="219"/>
        <v>0</v>
      </c>
      <c r="N304" s="11">
        <f t="shared" si="215"/>
        <v>0</v>
      </c>
      <c r="O304" s="11">
        <f t="shared" si="216"/>
        <v>0</v>
      </c>
      <c r="W304" s="11"/>
      <c r="X304" s="11"/>
    </row>
    <row r="306" spans="1:11" x14ac:dyDescent="0.2">
      <c r="A306" s="467" t="s">
        <v>667</v>
      </c>
      <c r="B306" s="73" t="s">
        <v>670</v>
      </c>
      <c r="C306" s="151">
        <f>BILAN_FORET!C12</f>
        <v>0.25</v>
      </c>
      <c r="D306" s="149"/>
      <c r="E306" s="52"/>
      <c r="F306" s="150"/>
    </row>
    <row r="307" spans="1:11" x14ac:dyDescent="0.2">
      <c r="A307" s="467"/>
      <c r="B307" s="73" t="s">
        <v>669</v>
      </c>
      <c r="C307" s="151">
        <f>IF(OR($C$6=0,$C$6=""),0,VLOOKUP(C1,Tableau619[],5,FALSE))</f>
        <v>0</v>
      </c>
    </row>
    <row r="308" spans="1:11" x14ac:dyDescent="0.2">
      <c r="A308" s="467"/>
      <c r="B308" s="73" t="s">
        <v>668</v>
      </c>
      <c r="C308" s="151" t="e">
        <f>BILAN_FORET!$C$28</f>
        <v>#VALUE!</v>
      </c>
      <c r="D308" s="149"/>
      <c r="E308" s="52"/>
      <c r="F308" s="150"/>
    </row>
    <row r="310" spans="1:11" ht="15.5" customHeight="1" x14ac:dyDescent="0.2">
      <c r="A310" s="460" t="s">
        <v>187</v>
      </c>
      <c r="B310" s="3" t="s">
        <v>15</v>
      </c>
      <c r="C310" s="3" t="s">
        <v>650</v>
      </c>
      <c r="D310" s="3" t="s">
        <v>651</v>
      </c>
      <c r="E310" s="3" t="s">
        <v>652</v>
      </c>
      <c r="F310" s="3" t="s">
        <v>656</v>
      </c>
      <c r="G310" s="3" t="s">
        <v>268</v>
      </c>
      <c r="H310" s="3" t="s">
        <v>658</v>
      </c>
      <c r="I310" s="3" t="s">
        <v>657</v>
      </c>
      <c r="J310" s="3" t="s">
        <v>660</v>
      </c>
      <c r="K310" s="3" t="s">
        <v>281</v>
      </c>
    </row>
    <row r="311" spans="1:11" x14ac:dyDescent="0.2">
      <c r="A311" s="460"/>
      <c r="B311" s="3">
        <v>1</v>
      </c>
      <c r="C311" s="11">
        <f>IF(B311=1,M285,M285-M284)</f>
        <v>0</v>
      </c>
      <c r="D311" s="11">
        <f>IF(B311=1,O285,O285-O284)</f>
        <v>0</v>
      </c>
      <c r="E311" s="11">
        <f>IF(B311=1,N285,N285-N284)</f>
        <v>0</v>
      </c>
      <c r="F311" s="11">
        <f>SUM(C311:E311)</f>
        <v>0</v>
      </c>
      <c r="G311" s="52">
        <f t="shared" ref="G311:G330" si="220">F311*$C$306</f>
        <v>0</v>
      </c>
      <c r="H311" s="52">
        <f t="shared" ref="H311:H330" si="221">(F311-G311)*$C$307</f>
        <v>0</v>
      </c>
      <c r="I311" s="52" t="e">
        <f>(F311-G311-H311)*$C$308</f>
        <v>#VALUE!</v>
      </c>
      <c r="J311" s="74" t="e">
        <f t="shared" ref="J311:J330" si="222">F311-G311-H311-I311</f>
        <v>#VALUE!</v>
      </c>
      <c r="K311" s="74" t="e">
        <f t="shared" ref="K311:K330" si="223">C$336</f>
        <v>#VALUE!</v>
      </c>
    </row>
    <row r="312" spans="1:11" x14ac:dyDescent="0.2">
      <c r="A312" s="460"/>
      <c r="B312" s="3">
        <v>2</v>
      </c>
      <c r="C312" s="11">
        <f>IF(B312=1,M286,M286-M285)</f>
        <v>0</v>
      </c>
      <c r="D312" s="11">
        <f t="shared" ref="D312:D330" si="224">IF(B312=1,O286,O286-O285)</f>
        <v>0</v>
      </c>
      <c r="E312" s="11">
        <f t="shared" ref="E312:E330" si="225">IF(B312=1,N286,N286-N285)</f>
        <v>0</v>
      </c>
      <c r="F312" s="11">
        <f t="shared" ref="F312:F330" si="226">SUM(C312:E312)</f>
        <v>0</v>
      </c>
      <c r="G312" s="52">
        <f t="shared" si="220"/>
        <v>0</v>
      </c>
      <c r="H312" s="52">
        <f t="shared" si="221"/>
        <v>0</v>
      </c>
      <c r="I312" s="52" t="e">
        <f t="shared" ref="I312:I330" si="227">(F312-G312-H312)*$C$308</f>
        <v>#VALUE!</v>
      </c>
      <c r="J312" s="74" t="e">
        <f t="shared" si="222"/>
        <v>#VALUE!</v>
      </c>
      <c r="K312" s="74" t="e">
        <f t="shared" si="223"/>
        <v>#VALUE!</v>
      </c>
    </row>
    <row r="313" spans="1:11" x14ac:dyDescent="0.2">
      <c r="A313" s="460"/>
      <c r="B313" s="3">
        <v>3</v>
      </c>
      <c r="C313" s="11">
        <f t="shared" ref="C313:C330" si="228">IF(B313=1,M287,M287-M286)</f>
        <v>0</v>
      </c>
      <c r="D313" s="11">
        <f t="shared" si="224"/>
        <v>0</v>
      </c>
      <c r="E313" s="11">
        <f t="shared" si="225"/>
        <v>0</v>
      </c>
      <c r="F313" s="11">
        <f t="shared" si="226"/>
        <v>0</v>
      </c>
      <c r="G313" s="52">
        <f t="shared" si="220"/>
        <v>0</v>
      </c>
      <c r="H313" s="52">
        <f t="shared" si="221"/>
        <v>0</v>
      </c>
      <c r="I313" s="52" t="e">
        <f t="shared" si="227"/>
        <v>#VALUE!</v>
      </c>
      <c r="J313" s="74" t="e">
        <f t="shared" si="222"/>
        <v>#VALUE!</v>
      </c>
      <c r="K313" s="74" t="e">
        <f t="shared" si="223"/>
        <v>#VALUE!</v>
      </c>
    </row>
    <row r="314" spans="1:11" x14ac:dyDescent="0.2">
      <c r="A314" s="460"/>
      <c r="B314" s="3">
        <v>4</v>
      </c>
      <c r="C314" s="11">
        <f t="shared" si="228"/>
        <v>0</v>
      </c>
      <c r="D314" s="11">
        <f t="shared" si="224"/>
        <v>0</v>
      </c>
      <c r="E314" s="11">
        <f t="shared" si="225"/>
        <v>0</v>
      </c>
      <c r="F314" s="11">
        <f t="shared" si="226"/>
        <v>0</v>
      </c>
      <c r="G314" s="52">
        <f t="shared" si="220"/>
        <v>0</v>
      </c>
      <c r="H314" s="52">
        <f t="shared" si="221"/>
        <v>0</v>
      </c>
      <c r="I314" s="52" t="e">
        <f t="shared" si="227"/>
        <v>#VALUE!</v>
      </c>
      <c r="J314" s="74" t="e">
        <f t="shared" si="222"/>
        <v>#VALUE!</v>
      </c>
      <c r="K314" s="74" t="e">
        <f t="shared" si="223"/>
        <v>#VALUE!</v>
      </c>
    </row>
    <row r="315" spans="1:11" x14ac:dyDescent="0.2">
      <c r="A315" s="460"/>
      <c r="B315" s="3">
        <v>5</v>
      </c>
      <c r="C315" s="11">
        <f t="shared" si="228"/>
        <v>0</v>
      </c>
      <c r="D315" s="11">
        <f t="shared" si="224"/>
        <v>0</v>
      </c>
      <c r="E315" s="11">
        <f t="shared" si="225"/>
        <v>0</v>
      </c>
      <c r="F315" s="11">
        <f t="shared" si="226"/>
        <v>0</v>
      </c>
      <c r="G315" s="52">
        <f t="shared" si="220"/>
        <v>0</v>
      </c>
      <c r="H315" s="52">
        <f t="shared" si="221"/>
        <v>0</v>
      </c>
      <c r="I315" s="52" t="e">
        <f t="shared" si="227"/>
        <v>#VALUE!</v>
      </c>
      <c r="J315" s="74" t="e">
        <f t="shared" si="222"/>
        <v>#VALUE!</v>
      </c>
      <c r="K315" s="74" t="e">
        <f t="shared" si="223"/>
        <v>#VALUE!</v>
      </c>
    </row>
    <row r="316" spans="1:11" x14ac:dyDescent="0.2">
      <c r="A316" s="460"/>
      <c r="B316" s="3">
        <v>6</v>
      </c>
      <c r="C316" s="11">
        <f t="shared" si="228"/>
        <v>0</v>
      </c>
      <c r="D316" s="11">
        <f t="shared" si="224"/>
        <v>0</v>
      </c>
      <c r="E316" s="11">
        <f t="shared" si="225"/>
        <v>0</v>
      </c>
      <c r="F316" s="11">
        <f t="shared" si="226"/>
        <v>0</v>
      </c>
      <c r="G316" s="52">
        <f t="shared" si="220"/>
        <v>0</v>
      </c>
      <c r="H316" s="52">
        <f t="shared" si="221"/>
        <v>0</v>
      </c>
      <c r="I316" s="52" t="e">
        <f t="shared" si="227"/>
        <v>#VALUE!</v>
      </c>
      <c r="J316" s="74" t="e">
        <f t="shared" si="222"/>
        <v>#VALUE!</v>
      </c>
      <c r="K316" s="74" t="e">
        <f t="shared" si="223"/>
        <v>#VALUE!</v>
      </c>
    </row>
    <row r="317" spans="1:11" x14ac:dyDescent="0.2">
      <c r="A317" s="460"/>
      <c r="B317" s="3">
        <v>7</v>
      </c>
      <c r="C317" s="11">
        <f t="shared" si="228"/>
        <v>0</v>
      </c>
      <c r="D317" s="11">
        <f t="shared" si="224"/>
        <v>0</v>
      </c>
      <c r="E317" s="11">
        <f t="shared" si="225"/>
        <v>0</v>
      </c>
      <c r="F317" s="11">
        <f t="shared" si="226"/>
        <v>0</v>
      </c>
      <c r="G317" s="52">
        <f t="shared" si="220"/>
        <v>0</v>
      </c>
      <c r="H317" s="52">
        <f t="shared" si="221"/>
        <v>0</v>
      </c>
      <c r="I317" s="52" t="e">
        <f t="shared" si="227"/>
        <v>#VALUE!</v>
      </c>
      <c r="J317" s="74" t="e">
        <f t="shared" si="222"/>
        <v>#VALUE!</v>
      </c>
      <c r="K317" s="74" t="e">
        <f t="shared" si="223"/>
        <v>#VALUE!</v>
      </c>
    </row>
    <row r="318" spans="1:11" x14ac:dyDescent="0.2">
      <c r="A318" s="460"/>
      <c r="B318" s="3">
        <v>8</v>
      </c>
      <c r="C318" s="11">
        <f t="shared" si="228"/>
        <v>0</v>
      </c>
      <c r="D318" s="11">
        <f t="shared" si="224"/>
        <v>0</v>
      </c>
      <c r="E318" s="11">
        <f t="shared" si="225"/>
        <v>0</v>
      </c>
      <c r="F318" s="11">
        <f t="shared" si="226"/>
        <v>0</v>
      </c>
      <c r="G318" s="52">
        <f t="shared" si="220"/>
        <v>0</v>
      </c>
      <c r="H318" s="52">
        <f t="shared" si="221"/>
        <v>0</v>
      </c>
      <c r="I318" s="52" t="e">
        <f t="shared" si="227"/>
        <v>#VALUE!</v>
      </c>
      <c r="J318" s="74" t="e">
        <f t="shared" si="222"/>
        <v>#VALUE!</v>
      </c>
      <c r="K318" s="74" t="e">
        <f t="shared" si="223"/>
        <v>#VALUE!</v>
      </c>
    </row>
    <row r="319" spans="1:11" x14ac:dyDescent="0.2">
      <c r="A319" s="460"/>
      <c r="B319" s="3">
        <v>9</v>
      </c>
      <c r="C319" s="11">
        <f t="shared" si="228"/>
        <v>0</v>
      </c>
      <c r="D319" s="11">
        <f t="shared" si="224"/>
        <v>0</v>
      </c>
      <c r="E319" s="11">
        <f t="shared" si="225"/>
        <v>0</v>
      </c>
      <c r="F319" s="11">
        <f t="shared" si="226"/>
        <v>0</v>
      </c>
      <c r="G319" s="52">
        <f t="shared" si="220"/>
        <v>0</v>
      </c>
      <c r="H319" s="52">
        <f t="shared" si="221"/>
        <v>0</v>
      </c>
      <c r="I319" s="52" t="e">
        <f t="shared" si="227"/>
        <v>#VALUE!</v>
      </c>
      <c r="J319" s="74" t="e">
        <f t="shared" si="222"/>
        <v>#VALUE!</v>
      </c>
      <c r="K319" s="74" t="e">
        <f t="shared" si="223"/>
        <v>#VALUE!</v>
      </c>
    </row>
    <row r="320" spans="1:11" x14ac:dyDescent="0.2">
      <c r="A320" s="460"/>
      <c r="B320" s="3">
        <v>10</v>
      </c>
      <c r="C320" s="11">
        <f t="shared" si="228"/>
        <v>0</v>
      </c>
      <c r="D320" s="11">
        <f t="shared" si="224"/>
        <v>0</v>
      </c>
      <c r="E320" s="11">
        <f t="shared" si="225"/>
        <v>0</v>
      </c>
      <c r="F320" s="11">
        <f t="shared" si="226"/>
        <v>0</v>
      </c>
      <c r="G320" s="52">
        <f t="shared" si="220"/>
        <v>0</v>
      </c>
      <c r="H320" s="52">
        <f t="shared" si="221"/>
        <v>0</v>
      </c>
      <c r="I320" s="52" t="e">
        <f t="shared" si="227"/>
        <v>#VALUE!</v>
      </c>
      <c r="J320" s="74" t="e">
        <f t="shared" si="222"/>
        <v>#VALUE!</v>
      </c>
      <c r="K320" s="74" t="e">
        <f t="shared" si="223"/>
        <v>#VALUE!</v>
      </c>
    </row>
    <row r="321" spans="1:11" x14ac:dyDescent="0.2">
      <c r="A321" s="460"/>
      <c r="B321" s="3">
        <v>11</v>
      </c>
      <c r="C321" s="11">
        <f t="shared" si="228"/>
        <v>0</v>
      </c>
      <c r="D321" s="11">
        <f t="shared" si="224"/>
        <v>0</v>
      </c>
      <c r="E321" s="11">
        <f t="shared" si="225"/>
        <v>0</v>
      </c>
      <c r="F321" s="11">
        <f t="shared" si="226"/>
        <v>0</v>
      </c>
      <c r="G321" s="52">
        <f t="shared" si="220"/>
        <v>0</v>
      </c>
      <c r="H321" s="52">
        <f t="shared" si="221"/>
        <v>0</v>
      </c>
      <c r="I321" s="52" t="e">
        <f t="shared" si="227"/>
        <v>#VALUE!</v>
      </c>
      <c r="J321" s="74" t="e">
        <f t="shared" si="222"/>
        <v>#VALUE!</v>
      </c>
      <c r="K321" s="74" t="e">
        <f t="shared" si="223"/>
        <v>#VALUE!</v>
      </c>
    </row>
    <row r="322" spans="1:11" x14ac:dyDescent="0.2">
      <c r="A322" s="460"/>
      <c r="B322" s="3">
        <v>12</v>
      </c>
      <c r="C322" s="11">
        <f t="shared" si="228"/>
        <v>0</v>
      </c>
      <c r="D322" s="11">
        <f t="shared" si="224"/>
        <v>0</v>
      </c>
      <c r="E322" s="11">
        <f t="shared" si="225"/>
        <v>0</v>
      </c>
      <c r="F322" s="11">
        <f t="shared" si="226"/>
        <v>0</v>
      </c>
      <c r="G322" s="52">
        <f t="shared" si="220"/>
        <v>0</v>
      </c>
      <c r="H322" s="52">
        <f t="shared" si="221"/>
        <v>0</v>
      </c>
      <c r="I322" s="52" t="e">
        <f t="shared" si="227"/>
        <v>#VALUE!</v>
      </c>
      <c r="J322" s="74" t="e">
        <f t="shared" si="222"/>
        <v>#VALUE!</v>
      </c>
      <c r="K322" s="74" t="e">
        <f t="shared" si="223"/>
        <v>#VALUE!</v>
      </c>
    </row>
    <row r="323" spans="1:11" x14ac:dyDescent="0.2">
      <c r="A323" s="460"/>
      <c r="B323" s="3">
        <v>13</v>
      </c>
      <c r="C323" s="11">
        <f t="shared" si="228"/>
        <v>0</v>
      </c>
      <c r="D323" s="11">
        <f t="shared" si="224"/>
        <v>0</v>
      </c>
      <c r="E323" s="11">
        <f t="shared" si="225"/>
        <v>0</v>
      </c>
      <c r="F323" s="11">
        <f t="shared" si="226"/>
        <v>0</v>
      </c>
      <c r="G323" s="52">
        <f t="shared" si="220"/>
        <v>0</v>
      </c>
      <c r="H323" s="52">
        <f t="shared" si="221"/>
        <v>0</v>
      </c>
      <c r="I323" s="52" t="e">
        <f t="shared" si="227"/>
        <v>#VALUE!</v>
      </c>
      <c r="J323" s="74" t="e">
        <f t="shared" si="222"/>
        <v>#VALUE!</v>
      </c>
      <c r="K323" s="74" t="e">
        <f t="shared" si="223"/>
        <v>#VALUE!</v>
      </c>
    </row>
    <row r="324" spans="1:11" x14ac:dyDescent="0.2">
      <c r="A324" s="460"/>
      <c r="B324" s="3">
        <v>14</v>
      </c>
      <c r="C324" s="11">
        <f t="shared" si="228"/>
        <v>0</v>
      </c>
      <c r="D324" s="11">
        <f t="shared" si="224"/>
        <v>0</v>
      </c>
      <c r="E324" s="11">
        <f t="shared" si="225"/>
        <v>0</v>
      </c>
      <c r="F324" s="11">
        <f t="shared" si="226"/>
        <v>0</v>
      </c>
      <c r="G324" s="52">
        <f t="shared" si="220"/>
        <v>0</v>
      </c>
      <c r="H324" s="52">
        <f t="shared" si="221"/>
        <v>0</v>
      </c>
      <c r="I324" s="52" t="e">
        <f t="shared" si="227"/>
        <v>#VALUE!</v>
      </c>
      <c r="J324" s="74" t="e">
        <f t="shared" si="222"/>
        <v>#VALUE!</v>
      </c>
      <c r="K324" s="74" t="e">
        <f t="shared" si="223"/>
        <v>#VALUE!</v>
      </c>
    </row>
    <row r="325" spans="1:11" x14ac:dyDescent="0.2">
      <c r="A325" s="460"/>
      <c r="B325" s="3">
        <v>15</v>
      </c>
      <c r="C325" s="11">
        <f t="shared" si="228"/>
        <v>0</v>
      </c>
      <c r="D325" s="11">
        <f t="shared" si="224"/>
        <v>0</v>
      </c>
      <c r="E325" s="11">
        <f t="shared" si="225"/>
        <v>0</v>
      </c>
      <c r="F325" s="11">
        <f t="shared" si="226"/>
        <v>0</v>
      </c>
      <c r="G325" s="52">
        <f t="shared" si="220"/>
        <v>0</v>
      </c>
      <c r="H325" s="52">
        <f t="shared" si="221"/>
        <v>0</v>
      </c>
      <c r="I325" s="52" t="e">
        <f t="shared" si="227"/>
        <v>#VALUE!</v>
      </c>
      <c r="J325" s="74" t="e">
        <f t="shared" si="222"/>
        <v>#VALUE!</v>
      </c>
      <c r="K325" s="74" t="e">
        <f t="shared" si="223"/>
        <v>#VALUE!</v>
      </c>
    </row>
    <row r="326" spans="1:11" x14ac:dyDescent="0.2">
      <c r="A326" s="460"/>
      <c r="B326" s="3">
        <v>16</v>
      </c>
      <c r="C326" s="11">
        <f t="shared" si="228"/>
        <v>0</v>
      </c>
      <c r="D326" s="11">
        <f t="shared" si="224"/>
        <v>0</v>
      </c>
      <c r="E326" s="11">
        <f t="shared" si="225"/>
        <v>0</v>
      </c>
      <c r="F326" s="11">
        <f t="shared" si="226"/>
        <v>0</v>
      </c>
      <c r="G326" s="52">
        <f t="shared" si="220"/>
        <v>0</v>
      </c>
      <c r="H326" s="52">
        <f t="shared" si="221"/>
        <v>0</v>
      </c>
      <c r="I326" s="52" t="e">
        <f t="shared" si="227"/>
        <v>#VALUE!</v>
      </c>
      <c r="J326" s="74" t="e">
        <f t="shared" si="222"/>
        <v>#VALUE!</v>
      </c>
      <c r="K326" s="74" t="e">
        <f t="shared" si="223"/>
        <v>#VALUE!</v>
      </c>
    </row>
    <row r="327" spans="1:11" x14ac:dyDescent="0.2">
      <c r="A327" s="460"/>
      <c r="B327" s="3">
        <v>17</v>
      </c>
      <c r="C327" s="11">
        <f t="shared" si="228"/>
        <v>0</v>
      </c>
      <c r="D327" s="11">
        <f t="shared" si="224"/>
        <v>0</v>
      </c>
      <c r="E327" s="11">
        <f t="shared" si="225"/>
        <v>0</v>
      </c>
      <c r="F327" s="11">
        <f t="shared" si="226"/>
        <v>0</v>
      </c>
      <c r="G327" s="52">
        <f t="shared" si="220"/>
        <v>0</v>
      </c>
      <c r="H327" s="52">
        <f t="shared" si="221"/>
        <v>0</v>
      </c>
      <c r="I327" s="52" t="e">
        <f t="shared" si="227"/>
        <v>#VALUE!</v>
      </c>
      <c r="J327" s="74" t="e">
        <f t="shared" si="222"/>
        <v>#VALUE!</v>
      </c>
      <c r="K327" s="74" t="e">
        <f t="shared" si="223"/>
        <v>#VALUE!</v>
      </c>
    </row>
    <row r="328" spans="1:11" x14ac:dyDescent="0.2">
      <c r="A328" s="460"/>
      <c r="B328" s="3">
        <v>18</v>
      </c>
      <c r="C328" s="11">
        <f t="shared" si="228"/>
        <v>0</v>
      </c>
      <c r="D328" s="11">
        <f t="shared" si="224"/>
        <v>0</v>
      </c>
      <c r="E328" s="11">
        <f t="shared" si="225"/>
        <v>0</v>
      </c>
      <c r="F328" s="11">
        <f t="shared" si="226"/>
        <v>0</v>
      </c>
      <c r="G328" s="52">
        <f t="shared" si="220"/>
        <v>0</v>
      </c>
      <c r="H328" s="52">
        <f t="shared" si="221"/>
        <v>0</v>
      </c>
      <c r="I328" s="52" t="e">
        <f t="shared" si="227"/>
        <v>#VALUE!</v>
      </c>
      <c r="J328" s="74" t="e">
        <f t="shared" si="222"/>
        <v>#VALUE!</v>
      </c>
      <c r="K328" s="74" t="e">
        <f t="shared" si="223"/>
        <v>#VALUE!</v>
      </c>
    </row>
    <row r="329" spans="1:11" x14ac:dyDescent="0.2">
      <c r="A329" s="460"/>
      <c r="B329" s="3">
        <v>19</v>
      </c>
      <c r="C329" s="11">
        <f t="shared" si="228"/>
        <v>0</v>
      </c>
      <c r="D329" s="11">
        <f t="shared" si="224"/>
        <v>0</v>
      </c>
      <c r="E329" s="11">
        <f t="shared" si="225"/>
        <v>0</v>
      </c>
      <c r="F329" s="11">
        <f t="shared" si="226"/>
        <v>0</v>
      </c>
      <c r="G329" s="52">
        <f t="shared" si="220"/>
        <v>0</v>
      </c>
      <c r="H329" s="52">
        <f t="shared" si="221"/>
        <v>0</v>
      </c>
      <c r="I329" s="52" t="e">
        <f t="shared" si="227"/>
        <v>#VALUE!</v>
      </c>
      <c r="J329" s="74" t="e">
        <f t="shared" si="222"/>
        <v>#VALUE!</v>
      </c>
      <c r="K329" s="74" t="e">
        <f t="shared" si="223"/>
        <v>#VALUE!</v>
      </c>
    </row>
    <row r="330" spans="1:11" x14ac:dyDescent="0.2">
      <c r="A330" s="460"/>
      <c r="B330" s="3">
        <v>20</v>
      </c>
      <c r="C330" s="11">
        <f t="shared" si="228"/>
        <v>0</v>
      </c>
      <c r="D330" s="11">
        <f t="shared" si="224"/>
        <v>0</v>
      </c>
      <c r="E330" s="11">
        <f t="shared" si="225"/>
        <v>0</v>
      </c>
      <c r="F330" s="11">
        <f t="shared" si="226"/>
        <v>0</v>
      </c>
      <c r="G330" s="52">
        <f t="shared" si="220"/>
        <v>0</v>
      </c>
      <c r="H330" s="52">
        <f t="shared" si="221"/>
        <v>0</v>
      </c>
      <c r="I330" s="52" t="e">
        <f t="shared" si="227"/>
        <v>#VALUE!</v>
      </c>
      <c r="J330" s="74" t="e">
        <f t="shared" si="222"/>
        <v>#VALUE!</v>
      </c>
      <c r="K330" s="74" t="e">
        <f t="shared" si="223"/>
        <v>#VALUE!</v>
      </c>
    </row>
    <row r="332" spans="1:11" x14ac:dyDescent="0.2">
      <c r="B332" s="94" t="s">
        <v>662</v>
      </c>
      <c r="C332" s="95">
        <f t="shared" ref="C332:K332" si="229">SUM(C311:C330)</f>
        <v>0</v>
      </c>
      <c r="D332" s="95">
        <f t="shared" si="229"/>
        <v>0</v>
      </c>
      <c r="E332" s="95">
        <f t="shared" si="229"/>
        <v>0</v>
      </c>
      <c r="F332" s="95">
        <f t="shared" si="229"/>
        <v>0</v>
      </c>
      <c r="G332" s="105">
        <f t="shared" si="229"/>
        <v>0</v>
      </c>
      <c r="H332" s="105">
        <f t="shared" si="229"/>
        <v>0</v>
      </c>
      <c r="I332" s="105" t="e">
        <f t="shared" si="229"/>
        <v>#VALUE!</v>
      </c>
      <c r="J332" s="106" t="e">
        <f t="shared" si="229"/>
        <v>#VALUE!</v>
      </c>
      <c r="K332" s="106" t="e">
        <f t="shared" si="229"/>
        <v>#VALUE!</v>
      </c>
    </row>
    <row r="333" spans="1:11" x14ac:dyDescent="0.2">
      <c r="B333" s="94" t="s">
        <v>661</v>
      </c>
      <c r="C333" s="3" t="s">
        <v>653</v>
      </c>
      <c r="D333" s="3" t="s">
        <v>654</v>
      </c>
      <c r="E333" s="3" t="s">
        <v>655</v>
      </c>
      <c r="F333" s="3" t="s">
        <v>659</v>
      </c>
      <c r="G333" s="53" t="s">
        <v>663</v>
      </c>
      <c r="H333" s="53" t="s">
        <v>664</v>
      </c>
      <c r="I333" s="53" t="s">
        <v>665</v>
      </c>
      <c r="J333" s="462" t="s">
        <v>666</v>
      </c>
      <c r="K333" s="462"/>
    </row>
    <row r="335" spans="1:11" ht="16" customHeight="1" x14ac:dyDescent="0.2">
      <c r="B335" s="465" t="s">
        <v>257</v>
      </c>
      <c r="C335" s="107" t="e">
        <f>J332</f>
        <v>#VALUE!</v>
      </c>
      <c r="D335" s="64" t="s">
        <v>91</v>
      </c>
      <c r="E335" s="74"/>
      <c r="F335" s="75"/>
    </row>
    <row r="336" spans="1:11" ht="16" customHeight="1" x14ac:dyDescent="0.2">
      <c r="B336" s="466"/>
      <c r="C336" s="415" t="e">
        <f>C335/20</f>
        <v>#VALUE!</v>
      </c>
      <c r="D336" s="65" t="s">
        <v>93</v>
      </c>
    </row>
    <row r="337" spans="1:30" ht="16" customHeight="1" x14ac:dyDescent="0.2">
      <c r="B337" s="466"/>
      <c r="C337" s="228">
        <f>IF(OR($C$6=0,$C$6=""),0,C336/C6)</f>
        <v>0</v>
      </c>
      <c r="D337" s="65" t="s">
        <v>806</v>
      </c>
    </row>
    <row r="338" spans="1:30" x14ac:dyDescent="0.2">
      <c r="B338" s="466"/>
      <c r="C338" s="228" t="e">
        <f>IF(C336=0,0,C336/IF($C$4="IRR",$C$6,SUM($I$19:$I$38)))</f>
        <v>#VALUE!</v>
      </c>
      <c r="D338" s="63" t="s">
        <v>807</v>
      </c>
    </row>
    <row r="341" spans="1:30" x14ac:dyDescent="0.2">
      <c r="A341" s="146"/>
      <c r="B341" s="146"/>
      <c r="C341" s="146"/>
      <c r="D341" s="146"/>
      <c r="E341" s="146"/>
      <c r="F341" s="146"/>
      <c r="G341" s="146"/>
      <c r="H341" s="146"/>
      <c r="I341" s="146"/>
      <c r="J341" s="146"/>
      <c r="K341" s="146"/>
      <c r="L341" s="146"/>
      <c r="M341" s="146"/>
      <c r="N341" s="146"/>
      <c r="O341" s="146"/>
      <c r="P341" s="146"/>
      <c r="Q341" s="146"/>
      <c r="R341" s="146"/>
      <c r="S341" s="146"/>
      <c r="T341" s="146"/>
      <c r="U341" s="146"/>
      <c r="V341" s="146"/>
      <c r="W341" s="146"/>
      <c r="X341" s="146"/>
      <c r="Y341" s="146"/>
      <c r="Z341" s="146"/>
      <c r="AA341" s="146"/>
      <c r="AB341" s="146"/>
      <c r="AC341" s="146"/>
      <c r="AD341" s="146"/>
    </row>
    <row r="343" spans="1:30" ht="31" customHeight="1" x14ac:dyDescent="0.2">
      <c r="A343" s="63" t="s">
        <v>649</v>
      </c>
      <c r="B343" s="148"/>
      <c r="C343" s="148"/>
      <c r="D343" s="148"/>
      <c r="E343" s="148"/>
      <c r="F343" s="148"/>
      <c r="G343" s="148"/>
      <c r="H343" s="148"/>
      <c r="I343" s="148"/>
      <c r="J343" s="148"/>
      <c r="K343" s="148"/>
    </row>
    <row r="344" spans="1:30" x14ac:dyDescent="0.2">
      <c r="A344" s="461" t="s">
        <v>775</v>
      </c>
      <c r="B344" s="461"/>
      <c r="C344" s="461"/>
      <c r="D344" s="461"/>
    </row>
    <row r="345" spans="1:30" x14ac:dyDescent="0.2">
      <c r="A345" s="3" t="s">
        <v>94</v>
      </c>
      <c r="B345" s="3" t="s">
        <v>777</v>
      </c>
      <c r="C345" s="3" t="s">
        <v>766</v>
      </c>
      <c r="D345" s="3" t="s">
        <v>767</v>
      </c>
    </row>
    <row r="346" spans="1:30" x14ac:dyDescent="0.2">
      <c r="A346" s="3">
        <v>0</v>
      </c>
      <c r="B346" s="95">
        <f t="shared" ref="B346:B366" si="230">IF(A346=0,SUM($S$4:$S$7),C284+D284+E284)</f>
        <v>0</v>
      </c>
      <c r="C346" s="95">
        <f t="shared" ref="C346:C366" si="231">IF(A346=0,SUM($S$4:$S$7),F284+G284+H284)</f>
        <v>0</v>
      </c>
      <c r="D346" s="95">
        <f>C346-B346</f>
        <v>0</v>
      </c>
    </row>
    <row r="347" spans="1:30" x14ac:dyDescent="0.2">
      <c r="A347" s="3">
        <v>1</v>
      </c>
      <c r="B347" s="95">
        <f>IF(A347=0,SUM($S$4:$S$7),C285+D285+E285)</f>
        <v>0</v>
      </c>
      <c r="C347" s="95">
        <f t="shared" si="231"/>
        <v>0</v>
      </c>
      <c r="D347" s="95">
        <f>C347-B347</f>
        <v>0</v>
      </c>
    </row>
    <row r="348" spans="1:30" x14ac:dyDescent="0.2">
      <c r="A348" s="3">
        <v>2</v>
      </c>
      <c r="B348" s="95">
        <f t="shared" si="230"/>
        <v>0</v>
      </c>
      <c r="C348" s="95">
        <f t="shared" si="231"/>
        <v>0</v>
      </c>
      <c r="D348" s="95">
        <f t="shared" ref="D348:D366" si="232">C348-B348</f>
        <v>0</v>
      </c>
      <c r="K348" s="11"/>
      <c r="L348" s="11"/>
      <c r="M348" s="11"/>
    </row>
    <row r="349" spans="1:30" x14ac:dyDescent="0.2">
      <c r="A349" s="3">
        <v>3</v>
      </c>
      <c r="B349" s="95">
        <f t="shared" si="230"/>
        <v>0</v>
      </c>
      <c r="C349" s="95">
        <f t="shared" si="231"/>
        <v>0</v>
      </c>
      <c r="D349" s="95">
        <f t="shared" si="232"/>
        <v>0</v>
      </c>
      <c r="K349" s="11"/>
      <c r="L349" s="11"/>
      <c r="M349" s="11"/>
    </row>
    <row r="350" spans="1:30" x14ac:dyDescent="0.2">
      <c r="A350" s="3">
        <v>4</v>
      </c>
      <c r="B350" s="95">
        <f t="shared" si="230"/>
        <v>0</v>
      </c>
      <c r="C350" s="95">
        <f t="shared" si="231"/>
        <v>0</v>
      </c>
      <c r="D350" s="95">
        <f t="shared" si="232"/>
        <v>0</v>
      </c>
      <c r="K350" s="11"/>
      <c r="L350" s="11"/>
      <c r="M350" s="11"/>
    </row>
    <row r="351" spans="1:30" x14ac:dyDescent="0.2">
      <c r="A351" s="3">
        <v>5</v>
      </c>
      <c r="B351" s="95">
        <f t="shared" si="230"/>
        <v>0</v>
      </c>
      <c r="C351" s="95">
        <f t="shared" si="231"/>
        <v>0</v>
      </c>
      <c r="D351" s="95">
        <f t="shared" si="232"/>
        <v>0</v>
      </c>
      <c r="K351" s="11"/>
      <c r="L351" s="11"/>
      <c r="M351" s="11"/>
    </row>
    <row r="352" spans="1:30" x14ac:dyDescent="0.2">
      <c r="A352" s="3">
        <v>6</v>
      </c>
      <c r="B352" s="95">
        <f t="shared" si="230"/>
        <v>0</v>
      </c>
      <c r="C352" s="95">
        <f t="shared" si="231"/>
        <v>0</v>
      </c>
      <c r="D352" s="95">
        <f t="shared" si="232"/>
        <v>0</v>
      </c>
      <c r="K352" s="11"/>
      <c r="L352" s="11"/>
      <c r="M352" s="11"/>
    </row>
    <row r="353" spans="1:15" x14ac:dyDescent="0.2">
      <c r="A353" s="3">
        <v>7</v>
      </c>
      <c r="B353" s="95">
        <f t="shared" si="230"/>
        <v>0</v>
      </c>
      <c r="C353" s="95">
        <f t="shared" si="231"/>
        <v>0</v>
      </c>
      <c r="D353" s="95">
        <f t="shared" si="232"/>
        <v>0</v>
      </c>
      <c r="K353" s="11"/>
      <c r="L353" s="11"/>
      <c r="M353" s="11"/>
    </row>
    <row r="354" spans="1:15" x14ac:dyDescent="0.2">
      <c r="A354" s="3">
        <v>8</v>
      </c>
      <c r="B354" s="95">
        <f t="shared" si="230"/>
        <v>0</v>
      </c>
      <c r="C354" s="95">
        <f t="shared" si="231"/>
        <v>0</v>
      </c>
      <c r="D354" s="95">
        <f t="shared" si="232"/>
        <v>0</v>
      </c>
      <c r="K354" s="11"/>
      <c r="L354" s="11"/>
      <c r="M354" s="11"/>
    </row>
    <row r="355" spans="1:15" x14ac:dyDescent="0.2">
      <c r="A355" s="3">
        <v>9</v>
      </c>
      <c r="B355" s="95">
        <f t="shared" si="230"/>
        <v>0</v>
      </c>
      <c r="C355" s="95">
        <f t="shared" si="231"/>
        <v>0</v>
      </c>
      <c r="D355" s="95">
        <f t="shared" si="232"/>
        <v>0</v>
      </c>
      <c r="K355" s="11"/>
      <c r="L355" s="11"/>
      <c r="M355" s="11"/>
    </row>
    <row r="356" spans="1:15" x14ac:dyDescent="0.2">
      <c r="A356" s="3">
        <v>10</v>
      </c>
      <c r="B356" s="95">
        <f t="shared" si="230"/>
        <v>0</v>
      </c>
      <c r="C356" s="95">
        <f t="shared" si="231"/>
        <v>0</v>
      </c>
      <c r="D356" s="95">
        <f t="shared" si="232"/>
        <v>0</v>
      </c>
      <c r="K356" s="11"/>
      <c r="L356" s="11"/>
      <c r="M356" s="11"/>
    </row>
    <row r="357" spans="1:15" x14ac:dyDescent="0.2">
      <c r="A357" s="3">
        <v>11</v>
      </c>
      <c r="B357" s="95">
        <f t="shared" si="230"/>
        <v>0</v>
      </c>
      <c r="C357" s="95">
        <f t="shared" si="231"/>
        <v>0</v>
      </c>
      <c r="D357" s="95">
        <f t="shared" si="232"/>
        <v>0</v>
      </c>
      <c r="K357" s="11"/>
      <c r="L357" s="11"/>
      <c r="M357" s="11"/>
    </row>
    <row r="358" spans="1:15" x14ac:dyDescent="0.2">
      <c r="A358" s="3">
        <v>12</v>
      </c>
      <c r="B358" s="95">
        <f t="shared" si="230"/>
        <v>0</v>
      </c>
      <c r="C358" s="95">
        <f t="shared" si="231"/>
        <v>0</v>
      </c>
      <c r="D358" s="95">
        <f t="shared" si="232"/>
        <v>0</v>
      </c>
      <c r="K358" s="11"/>
      <c r="L358" s="11"/>
      <c r="M358" s="11"/>
    </row>
    <row r="359" spans="1:15" x14ac:dyDescent="0.2">
      <c r="A359" s="3">
        <v>13</v>
      </c>
      <c r="B359" s="95">
        <f t="shared" si="230"/>
        <v>0</v>
      </c>
      <c r="C359" s="95">
        <f t="shared" si="231"/>
        <v>0</v>
      </c>
      <c r="D359" s="95">
        <f t="shared" si="232"/>
        <v>0</v>
      </c>
      <c r="K359" s="11"/>
      <c r="L359" s="11"/>
      <c r="M359" s="11"/>
    </row>
    <row r="360" spans="1:15" x14ac:dyDescent="0.2">
      <c r="A360" s="3">
        <v>14</v>
      </c>
      <c r="B360" s="95">
        <f t="shared" si="230"/>
        <v>0</v>
      </c>
      <c r="C360" s="95">
        <f t="shared" si="231"/>
        <v>0</v>
      </c>
      <c r="D360" s="95">
        <f t="shared" si="232"/>
        <v>0</v>
      </c>
      <c r="K360" s="11"/>
      <c r="L360" s="11"/>
      <c r="M360" s="11"/>
    </row>
    <row r="361" spans="1:15" x14ac:dyDescent="0.2">
      <c r="A361" s="3">
        <v>15</v>
      </c>
      <c r="B361" s="95">
        <f t="shared" si="230"/>
        <v>0</v>
      </c>
      <c r="C361" s="95">
        <f t="shared" si="231"/>
        <v>0</v>
      </c>
      <c r="D361" s="95">
        <f t="shared" si="232"/>
        <v>0</v>
      </c>
      <c r="K361" s="11"/>
      <c r="L361" s="11"/>
      <c r="M361" s="11"/>
    </row>
    <row r="362" spans="1:15" x14ac:dyDescent="0.2">
      <c r="A362" s="3">
        <v>16</v>
      </c>
      <c r="B362" s="95">
        <f t="shared" si="230"/>
        <v>0</v>
      </c>
      <c r="C362" s="95">
        <f t="shared" si="231"/>
        <v>0</v>
      </c>
      <c r="D362" s="95">
        <f t="shared" si="232"/>
        <v>0</v>
      </c>
      <c r="K362" s="11"/>
      <c r="L362" s="11"/>
      <c r="M362" s="11"/>
    </row>
    <row r="363" spans="1:15" x14ac:dyDescent="0.2">
      <c r="A363" s="3">
        <v>17</v>
      </c>
      <c r="B363" s="95">
        <f t="shared" si="230"/>
        <v>0</v>
      </c>
      <c r="C363" s="95">
        <f t="shared" si="231"/>
        <v>0</v>
      </c>
      <c r="D363" s="95">
        <f t="shared" si="232"/>
        <v>0</v>
      </c>
      <c r="K363" s="11"/>
      <c r="L363" s="11"/>
    </row>
    <row r="364" spans="1:15" x14ac:dyDescent="0.2">
      <c r="A364" s="3">
        <v>18</v>
      </c>
      <c r="B364" s="95">
        <f t="shared" si="230"/>
        <v>0</v>
      </c>
      <c r="C364" s="95">
        <f t="shared" si="231"/>
        <v>0</v>
      </c>
      <c r="D364" s="95">
        <f t="shared" si="232"/>
        <v>0</v>
      </c>
      <c r="K364" s="11"/>
      <c r="L364" s="11"/>
      <c r="N364" s="95"/>
      <c r="O364" s="95"/>
    </row>
    <row r="365" spans="1:15" x14ac:dyDescent="0.2">
      <c r="A365" s="3">
        <v>19</v>
      </c>
      <c r="B365" s="95">
        <f t="shared" si="230"/>
        <v>0</v>
      </c>
      <c r="C365" s="95">
        <f t="shared" si="231"/>
        <v>0</v>
      </c>
      <c r="D365" s="95">
        <f t="shared" si="232"/>
        <v>0</v>
      </c>
      <c r="K365" s="11"/>
      <c r="L365" s="11"/>
      <c r="N365" s="95"/>
      <c r="O365" s="95"/>
    </row>
    <row r="366" spans="1:15" x14ac:dyDescent="0.2">
      <c r="A366" s="94">
        <v>20</v>
      </c>
      <c r="B366" s="96">
        <f t="shared" si="230"/>
        <v>0</v>
      </c>
      <c r="C366" s="96">
        <f t="shared" si="231"/>
        <v>0</v>
      </c>
      <c r="D366" s="96">
        <f t="shared" si="232"/>
        <v>0</v>
      </c>
      <c r="K366" s="11"/>
      <c r="L366" s="11"/>
      <c r="N366" s="95"/>
      <c r="O366" s="95"/>
    </row>
    <row r="367" spans="1:15" x14ac:dyDescent="0.2">
      <c r="N367" s="477"/>
      <c r="O367" s="477"/>
    </row>
    <row r="368" spans="1:15" x14ac:dyDescent="0.2">
      <c r="A368" s="461" t="s">
        <v>776</v>
      </c>
      <c r="B368" s="461"/>
      <c r="C368" s="461"/>
      <c r="D368" s="461"/>
      <c r="N368" s="95"/>
      <c r="O368" s="95"/>
    </row>
    <row r="369" spans="1:15" x14ac:dyDescent="0.2">
      <c r="A369" s="3" t="s">
        <v>94</v>
      </c>
      <c r="B369" s="3" t="s">
        <v>285</v>
      </c>
      <c r="C369" s="3" t="s">
        <v>286</v>
      </c>
      <c r="D369" s="3" t="s">
        <v>287</v>
      </c>
      <c r="N369" s="95"/>
      <c r="O369" s="95"/>
    </row>
    <row r="370" spans="1:15" x14ac:dyDescent="0.2">
      <c r="A370" s="3">
        <v>1</v>
      </c>
      <c r="B370" s="95">
        <f t="shared" ref="B370:B389" si="233">M285</f>
        <v>0</v>
      </c>
      <c r="C370" s="95">
        <f t="shared" ref="C370:C389" si="234">N285</f>
        <v>0</v>
      </c>
      <c r="D370" s="95">
        <f t="shared" ref="D370:D389" si="235">O285</f>
        <v>0</v>
      </c>
      <c r="N370" s="95"/>
      <c r="O370" s="95"/>
    </row>
    <row r="371" spans="1:15" x14ac:dyDescent="0.2">
      <c r="A371" s="3">
        <v>2</v>
      </c>
      <c r="B371" s="95">
        <f t="shared" si="233"/>
        <v>0</v>
      </c>
      <c r="C371" s="95">
        <f t="shared" si="234"/>
        <v>0</v>
      </c>
      <c r="D371" s="95">
        <f t="shared" si="235"/>
        <v>0</v>
      </c>
      <c r="N371" s="95"/>
      <c r="O371" s="95"/>
    </row>
    <row r="372" spans="1:15" x14ac:dyDescent="0.2">
      <c r="A372" s="3">
        <v>3</v>
      </c>
      <c r="B372" s="95">
        <f t="shared" si="233"/>
        <v>0</v>
      </c>
      <c r="C372" s="95">
        <f t="shared" si="234"/>
        <v>0</v>
      </c>
      <c r="D372" s="95">
        <f t="shared" si="235"/>
        <v>0</v>
      </c>
      <c r="N372" s="95"/>
      <c r="O372" s="95"/>
    </row>
    <row r="373" spans="1:15" x14ac:dyDescent="0.2">
      <c r="A373" s="3">
        <v>4</v>
      </c>
      <c r="B373" s="95">
        <f t="shared" si="233"/>
        <v>0</v>
      </c>
      <c r="C373" s="95">
        <f t="shared" si="234"/>
        <v>0</v>
      </c>
      <c r="D373" s="95">
        <f t="shared" si="235"/>
        <v>0</v>
      </c>
      <c r="N373" s="95"/>
      <c r="O373" s="95"/>
    </row>
    <row r="374" spans="1:15" x14ac:dyDescent="0.2">
      <c r="A374" s="3">
        <v>5</v>
      </c>
      <c r="B374" s="95">
        <f t="shared" si="233"/>
        <v>0</v>
      </c>
      <c r="C374" s="95">
        <f t="shared" si="234"/>
        <v>0</v>
      </c>
      <c r="D374" s="95">
        <f t="shared" si="235"/>
        <v>0</v>
      </c>
      <c r="N374" s="95"/>
      <c r="O374" s="95"/>
    </row>
    <row r="375" spans="1:15" x14ac:dyDescent="0.2">
      <c r="A375" s="3">
        <v>6</v>
      </c>
      <c r="B375" s="95">
        <f t="shared" si="233"/>
        <v>0</v>
      </c>
      <c r="C375" s="95">
        <f t="shared" si="234"/>
        <v>0</v>
      </c>
      <c r="D375" s="95">
        <f t="shared" si="235"/>
        <v>0</v>
      </c>
      <c r="N375" s="95"/>
      <c r="O375" s="95"/>
    </row>
    <row r="376" spans="1:15" x14ac:dyDescent="0.2">
      <c r="A376" s="3">
        <v>7</v>
      </c>
      <c r="B376" s="95">
        <f t="shared" si="233"/>
        <v>0</v>
      </c>
      <c r="C376" s="95">
        <f t="shared" si="234"/>
        <v>0</v>
      </c>
      <c r="D376" s="95">
        <f t="shared" si="235"/>
        <v>0</v>
      </c>
      <c r="N376" s="95"/>
      <c r="O376" s="95"/>
    </row>
    <row r="377" spans="1:15" x14ac:dyDescent="0.2">
      <c r="A377" s="3">
        <v>8</v>
      </c>
      <c r="B377" s="95">
        <f t="shared" si="233"/>
        <v>0</v>
      </c>
      <c r="C377" s="95">
        <f t="shared" si="234"/>
        <v>0</v>
      </c>
      <c r="D377" s="95">
        <f t="shared" si="235"/>
        <v>0</v>
      </c>
      <c r="N377" s="95"/>
      <c r="O377" s="95"/>
    </row>
    <row r="378" spans="1:15" x14ac:dyDescent="0.2">
      <c r="A378" s="3">
        <v>9</v>
      </c>
      <c r="B378" s="95">
        <f t="shared" si="233"/>
        <v>0</v>
      </c>
      <c r="C378" s="95">
        <f t="shared" si="234"/>
        <v>0</v>
      </c>
      <c r="D378" s="95">
        <f t="shared" si="235"/>
        <v>0</v>
      </c>
      <c r="N378" s="95"/>
      <c r="O378" s="95"/>
    </row>
    <row r="379" spans="1:15" x14ac:dyDescent="0.2">
      <c r="A379" s="3">
        <v>10</v>
      </c>
      <c r="B379" s="95">
        <f t="shared" si="233"/>
        <v>0</v>
      </c>
      <c r="C379" s="95">
        <f t="shared" si="234"/>
        <v>0</v>
      </c>
      <c r="D379" s="95">
        <f t="shared" si="235"/>
        <v>0</v>
      </c>
      <c r="N379" s="95"/>
      <c r="O379" s="95"/>
    </row>
    <row r="380" spans="1:15" x14ac:dyDescent="0.2">
      <c r="A380" s="3">
        <v>11</v>
      </c>
      <c r="B380" s="95">
        <f t="shared" si="233"/>
        <v>0</v>
      </c>
      <c r="C380" s="95">
        <f t="shared" si="234"/>
        <v>0</v>
      </c>
      <c r="D380" s="95">
        <f t="shared" si="235"/>
        <v>0</v>
      </c>
      <c r="N380" s="95"/>
      <c r="O380" s="95"/>
    </row>
    <row r="381" spans="1:15" x14ac:dyDescent="0.2">
      <c r="A381" s="3">
        <v>12</v>
      </c>
      <c r="B381" s="95">
        <f t="shared" si="233"/>
        <v>0</v>
      </c>
      <c r="C381" s="95">
        <f t="shared" si="234"/>
        <v>0</v>
      </c>
      <c r="D381" s="95">
        <f t="shared" si="235"/>
        <v>0</v>
      </c>
      <c r="N381" s="95"/>
      <c r="O381" s="95"/>
    </row>
    <row r="382" spans="1:15" x14ac:dyDescent="0.2">
      <c r="A382" s="3">
        <v>13</v>
      </c>
      <c r="B382" s="95">
        <f t="shared" si="233"/>
        <v>0</v>
      </c>
      <c r="C382" s="95">
        <f t="shared" si="234"/>
        <v>0</v>
      </c>
      <c r="D382" s="95">
        <f t="shared" si="235"/>
        <v>0</v>
      </c>
      <c r="N382" s="95"/>
      <c r="O382" s="95"/>
    </row>
    <row r="383" spans="1:15" x14ac:dyDescent="0.2">
      <c r="A383" s="3">
        <v>14</v>
      </c>
      <c r="B383" s="95">
        <f t="shared" si="233"/>
        <v>0</v>
      </c>
      <c r="C383" s="95">
        <f t="shared" si="234"/>
        <v>0</v>
      </c>
      <c r="D383" s="95">
        <f t="shared" si="235"/>
        <v>0</v>
      </c>
      <c r="N383" s="95"/>
      <c r="O383" s="95"/>
    </row>
    <row r="384" spans="1:15" x14ac:dyDescent="0.2">
      <c r="A384" s="3">
        <v>15</v>
      </c>
      <c r="B384" s="95">
        <f t="shared" si="233"/>
        <v>0</v>
      </c>
      <c r="C384" s="95">
        <f t="shared" si="234"/>
        <v>0</v>
      </c>
      <c r="D384" s="95">
        <f t="shared" si="235"/>
        <v>0</v>
      </c>
      <c r="N384" s="95"/>
      <c r="O384" s="95"/>
    </row>
    <row r="385" spans="1:15" x14ac:dyDescent="0.2">
      <c r="A385" s="3">
        <v>16</v>
      </c>
      <c r="B385" s="95">
        <f t="shared" si="233"/>
        <v>0</v>
      </c>
      <c r="C385" s="95">
        <f t="shared" si="234"/>
        <v>0</v>
      </c>
      <c r="D385" s="95">
        <f t="shared" si="235"/>
        <v>0</v>
      </c>
      <c r="N385" s="95"/>
      <c r="O385" s="95"/>
    </row>
    <row r="386" spans="1:15" x14ac:dyDescent="0.2">
      <c r="A386" s="3">
        <v>17</v>
      </c>
      <c r="B386" s="95">
        <f t="shared" si="233"/>
        <v>0</v>
      </c>
      <c r="C386" s="95">
        <f t="shared" si="234"/>
        <v>0</v>
      </c>
      <c r="D386" s="95">
        <f t="shared" si="235"/>
        <v>0</v>
      </c>
      <c r="N386" s="95"/>
      <c r="O386" s="95"/>
    </row>
    <row r="387" spans="1:15" x14ac:dyDescent="0.2">
      <c r="A387" s="3">
        <v>18</v>
      </c>
      <c r="B387" s="95">
        <f t="shared" si="233"/>
        <v>0</v>
      </c>
      <c r="C387" s="95">
        <f t="shared" si="234"/>
        <v>0</v>
      </c>
      <c r="D387" s="95">
        <f t="shared" si="235"/>
        <v>0</v>
      </c>
      <c r="N387" s="95"/>
      <c r="O387" s="95"/>
    </row>
    <row r="388" spans="1:15" x14ac:dyDescent="0.2">
      <c r="A388" s="3">
        <v>19</v>
      </c>
      <c r="B388" s="95">
        <f t="shared" si="233"/>
        <v>0</v>
      </c>
      <c r="C388" s="95">
        <f t="shared" si="234"/>
        <v>0</v>
      </c>
      <c r="D388" s="95">
        <f t="shared" si="235"/>
        <v>0</v>
      </c>
      <c r="N388" s="95"/>
      <c r="O388" s="95"/>
    </row>
    <row r="389" spans="1:15" x14ac:dyDescent="0.2">
      <c r="A389" s="94">
        <v>20</v>
      </c>
      <c r="B389" s="96">
        <f t="shared" si="233"/>
        <v>0</v>
      </c>
      <c r="C389" s="96">
        <f t="shared" si="234"/>
        <v>0</v>
      </c>
      <c r="D389" s="96">
        <f t="shared" si="235"/>
        <v>0</v>
      </c>
      <c r="N389" s="95"/>
      <c r="O389" s="95"/>
    </row>
    <row r="390" spans="1:15" x14ac:dyDescent="0.2">
      <c r="N390" s="95"/>
      <c r="O390" s="95"/>
    </row>
    <row r="391" spans="1:15" ht="31" customHeight="1" x14ac:dyDescent="0.2">
      <c r="A391" s="63" t="s">
        <v>639</v>
      </c>
      <c r="B391" s="148"/>
      <c r="C391" s="148"/>
      <c r="D391" s="148"/>
      <c r="E391" s="148"/>
      <c r="F391" s="148"/>
      <c r="G391" s="148"/>
      <c r="H391" s="148"/>
      <c r="I391" s="148"/>
      <c r="J391" s="148"/>
      <c r="K391" s="148"/>
    </row>
    <row r="392" spans="1:15" x14ac:dyDescent="0.2">
      <c r="A392" s="147"/>
    </row>
    <row r="393" spans="1:15" x14ac:dyDescent="0.2">
      <c r="A393" s="81" t="s">
        <v>94</v>
      </c>
      <c r="B393" s="81" t="s">
        <v>761</v>
      </c>
      <c r="C393" s="81" t="s">
        <v>795</v>
      </c>
      <c r="D393" s="81" t="s">
        <v>792</v>
      </c>
      <c r="E393" s="81" t="s">
        <v>791</v>
      </c>
      <c r="F393" s="81" t="s">
        <v>762</v>
      </c>
      <c r="G393" s="81" t="s">
        <v>763</v>
      </c>
    </row>
    <row r="394" spans="1:15" x14ac:dyDescent="0.2">
      <c r="A394" s="3">
        <v>1</v>
      </c>
      <c r="B394" s="95">
        <f>D$15</f>
        <v>0</v>
      </c>
      <c r="C394" s="95">
        <f t="shared" ref="C394:C413" si="236">D$16+D$15</f>
        <v>0</v>
      </c>
      <c r="D394" s="95">
        <f t="shared" ref="D394:D413" si="237">AS61</f>
        <v>0</v>
      </c>
      <c r="E394" s="95">
        <f t="shared" ref="E394:E413" si="238">AS177</f>
        <v>0</v>
      </c>
      <c r="F394" s="95">
        <f t="shared" ref="F394:F413" si="239">IF($C$4="iRR",D394+B394,D394)</f>
        <v>0</v>
      </c>
      <c r="G394" s="95">
        <f t="shared" ref="G394:G413" si="240">IF($C$4="IRR",B394+E394,E394)</f>
        <v>0</v>
      </c>
    </row>
    <row r="395" spans="1:15" x14ac:dyDescent="0.2">
      <c r="A395" s="3">
        <v>2</v>
      </c>
      <c r="B395" s="95">
        <f t="shared" ref="B395:B413" si="241">D$15</f>
        <v>0</v>
      </c>
      <c r="C395" s="95">
        <f t="shared" si="236"/>
        <v>0</v>
      </c>
      <c r="D395" s="95">
        <f t="shared" si="237"/>
        <v>0</v>
      </c>
      <c r="E395" s="95">
        <f t="shared" si="238"/>
        <v>0</v>
      </c>
      <c r="F395" s="95">
        <f t="shared" si="239"/>
        <v>0</v>
      </c>
      <c r="G395" s="95">
        <f t="shared" si="240"/>
        <v>0</v>
      </c>
    </row>
    <row r="396" spans="1:15" x14ac:dyDescent="0.2">
      <c r="A396" s="3">
        <v>3</v>
      </c>
      <c r="B396" s="95">
        <f t="shared" si="241"/>
        <v>0</v>
      </c>
      <c r="C396" s="95">
        <f t="shared" si="236"/>
        <v>0</v>
      </c>
      <c r="D396" s="95">
        <f t="shared" si="237"/>
        <v>0</v>
      </c>
      <c r="E396" s="95">
        <f t="shared" si="238"/>
        <v>0</v>
      </c>
      <c r="F396" s="95">
        <f t="shared" si="239"/>
        <v>0</v>
      </c>
      <c r="G396" s="95">
        <f t="shared" si="240"/>
        <v>0</v>
      </c>
    </row>
    <row r="397" spans="1:15" x14ac:dyDescent="0.2">
      <c r="A397" s="3">
        <v>4</v>
      </c>
      <c r="B397" s="95">
        <f t="shared" si="241"/>
        <v>0</v>
      </c>
      <c r="C397" s="95">
        <f t="shared" si="236"/>
        <v>0</v>
      </c>
      <c r="D397" s="95">
        <f t="shared" si="237"/>
        <v>0</v>
      </c>
      <c r="E397" s="95">
        <f t="shared" si="238"/>
        <v>0</v>
      </c>
      <c r="F397" s="95">
        <f t="shared" si="239"/>
        <v>0</v>
      </c>
      <c r="G397" s="95">
        <f t="shared" si="240"/>
        <v>0</v>
      </c>
    </row>
    <row r="398" spans="1:15" x14ac:dyDescent="0.2">
      <c r="A398" s="3">
        <v>5</v>
      </c>
      <c r="B398" s="95">
        <f t="shared" si="241"/>
        <v>0</v>
      </c>
      <c r="C398" s="95">
        <f t="shared" si="236"/>
        <v>0</v>
      </c>
      <c r="D398" s="95">
        <f t="shared" si="237"/>
        <v>0</v>
      </c>
      <c r="E398" s="95">
        <f t="shared" si="238"/>
        <v>0</v>
      </c>
      <c r="F398" s="95">
        <f t="shared" si="239"/>
        <v>0</v>
      </c>
      <c r="G398" s="95">
        <f t="shared" si="240"/>
        <v>0</v>
      </c>
    </row>
    <row r="399" spans="1:15" x14ac:dyDescent="0.2">
      <c r="A399" s="3">
        <v>6</v>
      </c>
      <c r="B399" s="95">
        <f t="shared" si="241"/>
        <v>0</v>
      </c>
      <c r="C399" s="95">
        <f t="shared" si="236"/>
        <v>0</v>
      </c>
      <c r="D399" s="95">
        <f t="shared" si="237"/>
        <v>0</v>
      </c>
      <c r="E399" s="95">
        <f t="shared" si="238"/>
        <v>0</v>
      </c>
      <c r="F399" s="95">
        <f t="shared" si="239"/>
        <v>0</v>
      </c>
      <c r="G399" s="95">
        <f t="shared" si="240"/>
        <v>0</v>
      </c>
    </row>
    <row r="400" spans="1:15" x14ac:dyDescent="0.2">
      <c r="A400" s="3">
        <v>7</v>
      </c>
      <c r="B400" s="95">
        <f t="shared" si="241"/>
        <v>0</v>
      </c>
      <c r="C400" s="95">
        <f t="shared" si="236"/>
        <v>0</v>
      </c>
      <c r="D400" s="95">
        <f t="shared" si="237"/>
        <v>0</v>
      </c>
      <c r="E400" s="95">
        <f t="shared" si="238"/>
        <v>0</v>
      </c>
      <c r="F400" s="95">
        <f t="shared" si="239"/>
        <v>0</v>
      </c>
      <c r="G400" s="95">
        <f t="shared" si="240"/>
        <v>0</v>
      </c>
    </row>
    <row r="401" spans="1:7" x14ac:dyDescent="0.2">
      <c r="A401" s="3">
        <v>8</v>
      </c>
      <c r="B401" s="95">
        <f t="shared" si="241"/>
        <v>0</v>
      </c>
      <c r="C401" s="95">
        <f t="shared" si="236"/>
        <v>0</v>
      </c>
      <c r="D401" s="95">
        <f t="shared" si="237"/>
        <v>0</v>
      </c>
      <c r="E401" s="95">
        <f t="shared" si="238"/>
        <v>0</v>
      </c>
      <c r="F401" s="95">
        <f t="shared" si="239"/>
        <v>0</v>
      </c>
      <c r="G401" s="95">
        <f t="shared" si="240"/>
        <v>0</v>
      </c>
    </row>
    <row r="402" spans="1:7" x14ac:dyDescent="0.2">
      <c r="A402" s="3">
        <v>9</v>
      </c>
      <c r="B402" s="95">
        <f t="shared" si="241"/>
        <v>0</v>
      </c>
      <c r="C402" s="95">
        <f t="shared" si="236"/>
        <v>0</v>
      </c>
      <c r="D402" s="95">
        <f t="shared" si="237"/>
        <v>0</v>
      </c>
      <c r="E402" s="95">
        <f t="shared" si="238"/>
        <v>0</v>
      </c>
      <c r="F402" s="95">
        <f t="shared" si="239"/>
        <v>0</v>
      </c>
      <c r="G402" s="95">
        <f t="shared" si="240"/>
        <v>0</v>
      </c>
    </row>
    <row r="403" spans="1:7" x14ac:dyDescent="0.2">
      <c r="A403" s="3">
        <v>10</v>
      </c>
      <c r="B403" s="95">
        <f t="shared" si="241"/>
        <v>0</v>
      </c>
      <c r="C403" s="95">
        <f t="shared" si="236"/>
        <v>0</v>
      </c>
      <c r="D403" s="95">
        <f t="shared" si="237"/>
        <v>0</v>
      </c>
      <c r="E403" s="95">
        <f t="shared" si="238"/>
        <v>0</v>
      </c>
      <c r="F403" s="95">
        <f t="shared" si="239"/>
        <v>0</v>
      </c>
      <c r="G403" s="95">
        <f t="shared" si="240"/>
        <v>0</v>
      </c>
    </row>
    <row r="404" spans="1:7" x14ac:dyDescent="0.2">
      <c r="A404" s="3">
        <v>11</v>
      </c>
      <c r="B404" s="95">
        <f t="shared" si="241"/>
        <v>0</v>
      </c>
      <c r="C404" s="95">
        <f t="shared" si="236"/>
        <v>0</v>
      </c>
      <c r="D404" s="95">
        <f t="shared" si="237"/>
        <v>0</v>
      </c>
      <c r="E404" s="95">
        <f t="shared" si="238"/>
        <v>0</v>
      </c>
      <c r="F404" s="95">
        <f t="shared" si="239"/>
        <v>0</v>
      </c>
      <c r="G404" s="95">
        <f t="shared" si="240"/>
        <v>0</v>
      </c>
    </row>
    <row r="405" spans="1:7" x14ac:dyDescent="0.2">
      <c r="A405" s="3">
        <v>12</v>
      </c>
      <c r="B405" s="95">
        <f t="shared" si="241"/>
        <v>0</v>
      </c>
      <c r="C405" s="95">
        <f t="shared" si="236"/>
        <v>0</v>
      </c>
      <c r="D405" s="95">
        <f t="shared" si="237"/>
        <v>0</v>
      </c>
      <c r="E405" s="95">
        <f t="shared" si="238"/>
        <v>0</v>
      </c>
      <c r="F405" s="95">
        <f t="shared" si="239"/>
        <v>0</v>
      </c>
      <c r="G405" s="95">
        <f t="shared" si="240"/>
        <v>0</v>
      </c>
    </row>
    <row r="406" spans="1:7" x14ac:dyDescent="0.2">
      <c r="A406" s="3">
        <v>13</v>
      </c>
      <c r="B406" s="95">
        <f t="shared" si="241"/>
        <v>0</v>
      </c>
      <c r="C406" s="95">
        <f t="shared" si="236"/>
        <v>0</v>
      </c>
      <c r="D406" s="95">
        <f t="shared" si="237"/>
        <v>0</v>
      </c>
      <c r="E406" s="95">
        <f t="shared" si="238"/>
        <v>0</v>
      </c>
      <c r="F406" s="95">
        <f t="shared" si="239"/>
        <v>0</v>
      </c>
      <c r="G406" s="95">
        <f t="shared" si="240"/>
        <v>0</v>
      </c>
    </row>
    <row r="407" spans="1:7" x14ac:dyDescent="0.2">
      <c r="A407" s="3">
        <v>14</v>
      </c>
      <c r="B407" s="95">
        <f t="shared" si="241"/>
        <v>0</v>
      </c>
      <c r="C407" s="95">
        <f t="shared" si="236"/>
        <v>0</v>
      </c>
      <c r="D407" s="95">
        <f t="shared" si="237"/>
        <v>0</v>
      </c>
      <c r="E407" s="95">
        <f t="shared" si="238"/>
        <v>0</v>
      </c>
      <c r="F407" s="95">
        <f t="shared" si="239"/>
        <v>0</v>
      </c>
      <c r="G407" s="95">
        <f t="shared" si="240"/>
        <v>0</v>
      </c>
    </row>
    <row r="408" spans="1:7" x14ac:dyDescent="0.2">
      <c r="A408" s="3">
        <v>15</v>
      </c>
      <c r="B408" s="95">
        <f t="shared" si="241"/>
        <v>0</v>
      </c>
      <c r="C408" s="95">
        <f t="shared" si="236"/>
        <v>0</v>
      </c>
      <c r="D408" s="95">
        <f t="shared" si="237"/>
        <v>0</v>
      </c>
      <c r="E408" s="95">
        <f t="shared" si="238"/>
        <v>0</v>
      </c>
      <c r="F408" s="95">
        <f t="shared" si="239"/>
        <v>0</v>
      </c>
      <c r="G408" s="95">
        <f t="shared" si="240"/>
        <v>0</v>
      </c>
    </row>
    <row r="409" spans="1:7" x14ac:dyDescent="0.2">
      <c r="A409" s="3">
        <v>16</v>
      </c>
      <c r="B409" s="95">
        <f t="shared" si="241"/>
        <v>0</v>
      </c>
      <c r="C409" s="95">
        <f t="shared" si="236"/>
        <v>0</v>
      </c>
      <c r="D409" s="95">
        <f t="shared" si="237"/>
        <v>0</v>
      </c>
      <c r="E409" s="95">
        <f t="shared" si="238"/>
        <v>0</v>
      </c>
      <c r="F409" s="95">
        <f t="shared" si="239"/>
        <v>0</v>
      </c>
      <c r="G409" s="95">
        <f t="shared" si="240"/>
        <v>0</v>
      </c>
    </row>
    <row r="410" spans="1:7" x14ac:dyDescent="0.2">
      <c r="A410" s="3">
        <v>17</v>
      </c>
      <c r="B410" s="95">
        <f t="shared" si="241"/>
        <v>0</v>
      </c>
      <c r="C410" s="95">
        <f t="shared" si="236"/>
        <v>0</v>
      </c>
      <c r="D410" s="95">
        <f t="shared" si="237"/>
        <v>0</v>
      </c>
      <c r="E410" s="95">
        <f t="shared" si="238"/>
        <v>0</v>
      </c>
      <c r="F410" s="95">
        <f t="shared" si="239"/>
        <v>0</v>
      </c>
      <c r="G410" s="95">
        <f t="shared" si="240"/>
        <v>0</v>
      </c>
    </row>
    <row r="411" spans="1:7" x14ac:dyDescent="0.2">
      <c r="A411" s="3">
        <v>18</v>
      </c>
      <c r="B411" s="95">
        <f t="shared" si="241"/>
        <v>0</v>
      </c>
      <c r="C411" s="95">
        <f t="shared" si="236"/>
        <v>0</v>
      </c>
      <c r="D411" s="95">
        <f t="shared" si="237"/>
        <v>0</v>
      </c>
      <c r="E411" s="95">
        <f t="shared" si="238"/>
        <v>0</v>
      </c>
      <c r="F411" s="95">
        <f t="shared" si="239"/>
        <v>0</v>
      </c>
      <c r="G411" s="95">
        <f t="shared" si="240"/>
        <v>0</v>
      </c>
    </row>
    <row r="412" spans="1:7" x14ac:dyDescent="0.2">
      <c r="A412" s="3">
        <v>19</v>
      </c>
      <c r="B412" s="95">
        <f t="shared" si="241"/>
        <v>0</v>
      </c>
      <c r="C412" s="95">
        <f t="shared" si="236"/>
        <v>0</v>
      </c>
      <c r="D412" s="95">
        <f t="shared" si="237"/>
        <v>0</v>
      </c>
      <c r="E412" s="95">
        <f t="shared" si="238"/>
        <v>0</v>
      </c>
      <c r="F412" s="95">
        <f t="shared" si="239"/>
        <v>0</v>
      </c>
      <c r="G412" s="95">
        <f t="shared" si="240"/>
        <v>0</v>
      </c>
    </row>
    <row r="413" spans="1:7" x14ac:dyDescent="0.2">
      <c r="A413" s="3">
        <v>20</v>
      </c>
      <c r="B413" s="95">
        <f t="shared" si="241"/>
        <v>0</v>
      </c>
      <c r="C413" s="95">
        <f t="shared" si="236"/>
        <v>0</v>
      </c>
      <c r="D413" s="95">
        <f t="shared" si="237"/>
        <v>0</v>
      </c>
      <c r="E413" s="95">
        <f t="shared" si="238"/>
        <v>0</v>
      </c>
      <c r="F413" s="95">
        <f t="shared" si="239"/>
        <v>0</v>
      </c>
      <c r="G413" s="95">
        <f t="shared" si="240"/>
        <v>0</v>
      </c>
    </row>
    <row r="414" spans="1:7" x14ac:dyDescent="0.2">
      <c r="B414" s="95"/>
      <c r="C414" s="95"/>
      <c r="D414" s="95"/>
      <c r="E414" s="95"/>
      <c r="F414" s="95"/>
      <c r="G414" s="95"/>
    </row>
    <row r="415" spans="1:7" x14ac:dyDescent="0.2">
      <c r="A415" s="476" t="s">
        <v>800</v>
      </c>
      <c r="B415" s="476"/>
      <c r="C415" s="476"/>
      <c r="D415" s="476"/>
      <c r="E415" s="476"/>
      <c r="F415" s="476"/>
      <c r="G415" s="476"/>
    </row>
    <row r="416" spans="1:7" x14ac:dyDescent="0.2">
      <c r="A416" s="81" t="s">
        <v>94</v>
      </c>
      <c r="B416" s="81" t="s">
        <v>761</v>
      </c>
      <c r="C416" s="81" t="s">
        <v>795</v>
      </c>
      <c r="D416" s="81" t="s">
        <v>792</v>
      </c>
      <c r="E416" s="81" t="s">
        <v>791</v>
      </c>
      <c r="F416" s="81" t="s">
        <v>762</v>
      </c>
      <c r="G416" s="81" t="s">
        <v>763</v>
      </c>
    </row>
    <row r="417" spans="1:7" x14ac:dyDescent="0.2">
      <c r="A417" s="3">
        <v>1</v>
      </c>
      <c r="B417" s="95" t="e">
        <f t="shared" ref="B417:B436" si="242">D$15/$C$6</f>
        <v>#VALUE!</v>
      </c>
      <c r="C417" s="95" t="e">
        <f t="shared" ref="C417:C436" si="243">(D$16+D$15)/$C$6</f>
        <v>#VALUE!</v>
      </c>
      <c r="D417" s="95" t="e">
        <f t="shared" ref="D417:D436" si="244">AS61/$C$6</f>
        <v>#VALUE!</v>
      </c>
      <c r="E417" s="95" t="e">
        <f t="shared" ref="E417:E436" si="245">AS177/$C$6</f>
        <v>#VALUE!</v>
      </c>
      <c r="F417" s="95" t="e">
        <f t="shared" ref="F417:F436" si="246">IF($C$4="iRR",D417+B417,D417)</f>
        <v>#VALUE!</v>
      </c>
      <c r="G417" s="95" t="e">
        <f t="shared" ref="G417:G436" si="247">IF($C$4="IRR",B417+E417,E417)</f>
        <v>#VALUE!</v>
      </c>
    </row>
    <row r="418" spans="1:7" x14ac:dyDescent="0.2">
      <c r="A418" s="3">
        <v>2</v>
      </c>
      <c r="B418" s="95" t="e">
        <f t="shared" si="242"/>
        <v>#VALUE!</v>
      </c>
      <c r="C418" s="95" t="e">
        <f t="shared" si="243"/>
        <v>#VALUE!</v>
      </c>
      <c r="D418" s="95" t="e">
        <f t="shared" si="244"/>
        <v>#VALUE!</v>
      </c>
      <c r="E418" s="95" t="e">
        <f t="shared" si="245"/>
        <v>#VALUE!</v>
      </c>
      <c r="F418" s="95" t="e">
        <f t="shared" si="246"/>
        <v>#VALUE!</v>
      </c>
      <c r="G418" s="95" t="e">
        <f t="shared" si="247"/>
        <v>#VALUE!</v>
      </c>
    </row>
    <row r="419" spans="1:7" x14ac:dyDescent="0.2">
      <c r="A419" s="3">
        <v>3</v>
      </c>
      <c r="B419" s="95" t="e">
        <f t="shared" si="242"/>
        <v>#VALUE!</v>
      </c>
      <c r="C419" s="95" t="e">
        <f t="shared" si="243"/>
        <v>#VALUE!</v>
      </c>
      <c r="D419" s="95" t="e">
        <f t="shared" si="244"/>
        <v>#VALUE!</v>
      </c>
      <c r="E419" s="95" t="e">
        <f t="shared" si="245"/>
        <v>#VALUE!</v>
      </c>
      <c r="F419" s="95" t="e">
        <f t="shared" si="246"/>
        <v>#VALUE!</v>
      </c>
      <c r="G419" s="95" t="e">
        <f t="shared" si="247"/>
        <v>#VALUE!</v>
      </c>
    </row>
    <row r="420" spans="1:7" x14ac:dyDescent="0.2">
      <c r="A420" s="3">
        <v>4</v>
      </c>
      <c r="B420" s="95" t="e">
        <f t="shared" si="242"/>
        <v>#VALUE!</v>
      </c>
      <c r="C420" s="95" t="e">
        <f t="shared" si="243"/>
        <v>#VALUE!</v>
      </c>
      <c r="D420" s="95" t="e">
        <f t="shared" si="244"/>
        <v>#VALUE!</v>
      </c>
      <c r="E420" s="95" t="e">
        <f t="shared" si="245"/>
        <v>#VALUE!</v>
      </c>
      <c r="F420" s="95" t="e">
        <f t="shared" si="246"/>
        <v>#VALUE!</v>
      </c>
      <c r="G420" s="95" t="e">
        <f t="shared" si="247"/>
        <v>#VALUE!</v>
      </c>
    </row>
    <row r="421" spans="1:7" x14ac:dyDescent="0.2">
      <c r="A421" s="3">
        <v>5</v>
      </c>
      <c r="B421" s="95" t="e">
        <f t="shared" si="242"/>
        <v>#VALUE!</v>
      </c>
      <c r="C421" s="95" t="e">
        <f t="shared" si="243"/>
        <v>#VALUE!</v>
      </c>
      <c r="D421" s="95" t="e">
        <f t="shared" si="244"/>
        <v>#VALUE!</v>
      </c>
      <c r="E421" s="95" t="e">
        <f t="shared" si="245"/>
        <v>#VALUE!</v>
      </c>
      <c r="F421" s="95" t="e">
        <f t="shared" si="246"/>
        <v>#VALUE!</v>
      </c>
      <c r="G421" s="95" t="e">
        <f t="shared" si="247"/>
        <v>#VALUE!</v>
      </c>
    </row>
    <row r="422" spans="1:7" x14ac:dyDescent="0.2">
      <c r="A422" s="3">
        <v>6</v>
      </c>
      <c r="B422" s="95" t="e">
        <f t="shared" si="242"/>
        <v>#VALUE!</v>
      </c>
      <c r="C422" s="95" t="e">
        <f t="shared" si="243"/>
        <v>#VALUE!</v>
      </c>
      <c r="D422" s="95" t="e">
        <f t="shared" si="244"/>
        <v>#VALUE!</v>
      </c>
      <c r="E422" s="95" t="e">
        <f t="shared" si="245"/>
        <v>#VALUE!</v>
      </c>
      <c r="F422" s="95" t="e">
        <f t="shared" si="246"/>
        <v>#VALUE!</v>
      </c>
      <c r="G422" s="95" t="e">
        <f t="shared" si="247"/>
        <v>#VALUE!</v>
      </c>
    </row>
    <row r="423" spans="1:7" x14ac:dyDescent="0.2">
      <c r="A423" s="3">
        <v>7</v>
      </c>
      <c r="B423" s="95" t="e">
        <f t="shared" si="242"/>
        <v>#VALUE!</v>
      </c>
      <c r="C423" s="95" t="e">
        <f t="shared" si="243"/>
        <v>#VALUE!</v>
      </c>
      <c r="D423" s="95" t="e">
        <f t="shared" si="244"/>
        <v>#VALUE!</v>
      </c>
      <c r="E423" s="95" t="e">
        <f t="shared" si="245"/>
        <v>#VALUE!</v>
      </c>
      <c r="F423" s="95" t="e">
        <f t="shared" si="246"/>
        <v>#VALUE!</v>
      </c>
      <c r="G423" s="95" t="e">
        <f t="shared" si="247"/>
        <v>#VALUE!</v>
      </c>
    </row>
    <row r="424" spans="1:7" x14ac:dyDescent="0.2">
      <c r="A424" s="3">
        <v>8</v>
      </c>
      <c r="B424" s="95" t="e">
        <f t="shared" si="242"/>
        <v>#VALUE!</v>
      </c>
      <c r="C424" s="95" t="e">
        <f t="shared" si="243"/>
        <v>#VALUE!</v>
      </c>
      <c r="D424" s="95" t="e">
        <f t="shared" si="244"/>
        <v>#VALUE!</v>
      </c>
      <c r="E424" s="95" t="e">
        <f t="shared" si="245"/>
        <v>#VALUE!</v>
      </c>
      <c r="F424" s="95" t="e">
        <f t="shared" si="246"/>
        <v>#VALUE!</v>
      </c>
      <c r="G424" s="95" t="e">
        <f t="shared" si="247"/>
        <v>#VALUE!</v>
      </c>
    </row>
    <row r="425" spans="1:7" x14ac:dyDescent="0.2">
      <c r="A425" s="3">
        <v>9</v>
      </c>
      <c r="B425" s="95" t="e">
        <f t="shared" si="242"/>
        <v>#VALUE!</v>
      </c>
      <c r="C425" s="95" t="e">
        <f t="shared" si="243"/>
        <v>#VALUE!</v>
      </c>
      <c r="D425" s="95" t="e">
        <f t="shared" si="244"/>
        <v>#VALUE!</v>
      </c>
      <c r="E425" s="95" t="e">
        <f t="shared" si="245"/>
        <v>#VALUE!</v>
      </c>
      <c r="F425" s="95" t="e">
        <f t="shared" si="246"/>
        <v>#VALUE!</v>
      </c>
      <c r="G425" s="95" t="e">
        <f t="shared" si="247"/>
        <v>#VALUE!</v>
      </c>
    </row>
    <row r="426" spans="1:7" x14ac:dyDescent="0.2">
      <c r="A426" s="3">
        <v>10</v>
      </c>
      <c r="B426" s="95" t="e">
        <f t="shared" si="242"/>
        <v>#VALUE!</v>
      </c>
      <c r="C426" s="95" t="e">
        <f t="shared" si="243"/>
        <v>#VALUE!</v>
      </c>
      <c r="D426" s="95" t="e">
        <f t="shared" si="244"/>
        <v>#VALUE!</v>
      </c>
      <c r="E426" s="95" t="e">
        <f t="shared" si="245"/>
        <v>#VALUE!</v>
      </c>
      <c r="F426" s="95" t="e">
        <f t="shared" si="246"/>
        <v>#VALUE!</v>
      </c>
      <c r="G426" s="95" t="e">
        <f t="shared" si="247"/>
        <v>#VALUE!</v>
      </c>
    </row>
    <row r="427" spans="1:7" x14ac:dyDescent="0.2">
      <c r="A427" s="3">
        <v>11</v>
      </c>
      <c r="B427" s="95" t="e">
        <f t="shared" si="242"/>
        <v>#VALUE!</v>
      </c>
      <c r="C427" s="95" t="e">
        <f t="shared" si="243"/>
        <v>#VALUE!</v>
      </c>
      <c r="D427" s="95" t="e">
        <f t="shared" si="244"/>
        <v>#VALUE!</v>
      </c>
      <c r="E427" s="95" t="e">
        <f t="shared" si="245"/>
        <v>#VALUE!</v>
      </c>
      <c r="F427" s="95" t="e">
        <f t="shared" si="246"/>
        <v>#VALUE!</v>
      </c>
      <c r="G427" s="95" t="e">
        <f t="shared" si="247"/>
        <v>#VALUE!</v>
      </c>
    </row>
    <row r="428" spans="1:7" x14ac:dyDescent="0.2">
      <c r="A428" s="3">
        <v>12</v>
      </c>
      <c r="B428" s="95" t="e">
        <f t="shared" si="242"/>
        <v>#VALUE!</v>
      </c>
      <c r="C428" s="95" t="e">
        <f t="shared" si="243"/>
        <v>#VALUE!</v>
      </c>
      <c r="D428" s="95" t="e">
        <f t="shared" si="244"/>
        <v>#VALUE!</v>
      </c>
      <c r="E428" s="95" t="e">
        <f t="shared" si="245"/>
        <v>#VALUE!</v>
      </c>
      <c r="F428" s="95" t="e">
        <f t="shared" si="246"/>
        <v>#VALUE!</v>
      </c>
      <c r="G428" s="95" t="e">
        <f t="shared" si="247"/>
        <v>#VALUE!</v>
      </c>
    </row>
    <row r="429" spans="1:7" x14ac:dyDescent="0.2">
      <c r="A429" s="3">
        <v>13</v>
      </c>
      <c r="B429" s="95" t="e">
        <f t="shared" si="242"/>
        <v>#VALUE!</v>
      </c>
      <c r="C429" s="95" t="e">
        <f t="shared" si="243"/>
        <v>#VALUE!</v>
      </c>
      <c r="D429" s="95" t="e">
        <f t="shared" si="244"/>
        <v>#VALUE!</v>
      </c>
      <c r="E429" s="95" t="e">
        <f t="shared" si="245"/>
        <v>#VALUE!</v>
      </c>
      <c r="F429" s="95" t="e">
        <f t="shared" si="246"/>
        <v>#VALUE!</v>
      </c>
      <c r="G429" s="95" t="e">
        <f t="shared" si="247"/>
        <v>#VALUE!</v>
      </c>
    </row>
    <row r="430" spans="1:7" x14ac:dyDescent="0.2">
      <c r="A430" s="3">
        <v>14</v>
      </c>
      <c r="B430" s="95" t="e">
        <f t="shared" si="242"/>
        <v>#VALUE!</v>
      </c>
      <c r="C430" s="95" t="e">
        <f t="shared" si="243"/>
        <v>#VALUE!</v>
      </c>
      <c r="D430" s="95" t="e">
        <f t="shared" si="244"/>
        <v>#VALUE!</v>
      </c>
      <c r="E430" s="95" t="e">
        <f t="shared" si="245"/>
        <v>#VALUE!</v>
      </c>
      <c r="F430" s="95" t="e">
        <f t="shared" si="246"/>
        <v>#VALUE!</v>
      </c>
      <c r="G430" s="95" t="e">
        <f t="shared" si="247"/>
        <v>#VALUE!</v>
      </c>
    </row>
    <row r="431" spans="1:7" x14ac:dyDescent="0.2">
      <c r="A431" s="3">
        <v>15</v>
      </c>
      <c r="B431" s="95" t="e">
        <f t="shared" si="242"/>
        <v>#VALUE!</v>
      </c>
      <c r="C431" s="95" t="e">
        <f t="shared" si="243"/>
        <v>#VALUE!</v>
      </c>
      <c r="D431" s="95" t="e">
        <f t="shared" si="244"/>
        <v>#VALUE!</v>
      </c>
      <c r="E431" s="95" t="e">
        <f t="shared" si="245"/>
        <v>#VALUE!</v>
      </c>
      <c r="F431" s="95" t="e">
        <f t="shared" si="246"/>
        <v>#VALUE!</v>
      </c>
      <c r="G431" s="95" t="e">
        <f t="shared" si="247"/>
        <v>#VALUE!</v>
      </c>
    </row>
    <row r="432" spans="1:7" x14ac:dyDescent="0.2">
      <c r="A432" s="3">
        <v>16</v>
      </c>
      <c r="B432" s="95" t="e">
        <f t="shared" si="242"/>
        <v>#VALUE!</v>
      </c>
      <c r="C432" s="95" t="e">
        <f t="shared" si="243"/>
        <v>#VALUE!</v>
      </c>
      <c r="D432" s="95" t="e">
        <f t="shared" si="244"/>
        <v>#VALUE!</v>
      </c>
      <c r="E432" s="95" t="e">
        <f t="shared" si="245"/>
        <v>#VALUE!</v>
      </c>
      <c r="F432" s="95" t="e">
        <f t="shared" si="246"/>
        <v>#VALUE!</v>
      </c>
      <c r="G432" s="95" t="e">
        <f t="shared" si="247"/>
        <v>#VALUE!</v>
      </c>
    </row>
    <row r="433" spans="1:7" x14ac:dyDescent="0.2">
      <c r="A433" s="3">
        <v>17</v>
      </c>
      <c r="B433" s="95" t="e">
        <f t="shared" si="242"/>
        <v>#VALUE!</v>
      </c>
      <c r="C433" s="95" t="e">
        <f t="shared" si="243"/>
        <v>#VALUE!</v>
      </c>
      <c r="D433" s="95" t="e">
        <f t="shared" si="244"/>
        <v>#VALUE!</v>
      </c>
      <c r="E433" s="95" t="e">
        <f t="shared" si="245"/>
        <v>#VALUE!</v>
      </c>
      <c r="F433" s="95" t="e">
        <f t="shared" si="246"/>
        <v>#VALUE!</v>
      </c>
      <c r="G433" s="95" t="e">
        <f t="shared" si="247"/>
        <v>#VALUE!</v>
      </c>
    </row>
    <row r="434" spans="1:7" x14ac:dyDescent="0.2">
      <c r="A434" s="3">
        <v>18</v>
      </c>
      <c r="B434" s="95" t="e">
        <f t="shared" si="242"/>
        <v>#VALUE!</v>
      </c>
      <c r="C434" s="95" t="e">
        <f t="shared" si="243"/>
        <v>#VALUE!</v>
      </c>
      <c r="D434" s="95" t="e">
        <f t="shared" si="244"/>
        <v>#VALUE!</v>
      </c>
      <c r="E434" s="95" t="e">
        <f t="shared" si="245"/>
        <v>#VALUE!</v>
      </c>
      <c r="F434" s="95" t="e">
        <f t="shared" si="246"/>
        <v>#VALUE!</v>
      </c>
      <c r="G434" s="95" t="e">
        <f t="shared" si="247"/>
        <v>#VALUE!</v>
      </c>
    </row>
    <row r="435" spans="1:7" x14ac:dyDescent="0.2">
      <c r="A435" s="3">
        <v>19</v>
      </c>
      <c r="B435" s="95" t="e">
        <f t="shared" si="242"/>
        <v>#VALUE!</v>
      </c>
      <c r="C435" s="95" t="e">
        <f t="shared" si="243"/>
        <v>#VALUE!</v>
      </c>
      <c r="D435" s="95" t="e">
        <f t="shared" si="244"/>
        <v>#VALUE!</v>
      </c>
      <c r="E435" s="95" t="e">
        <f t="shared" si="245"/>
        <v>#VALUE!</v>
      </c>
      <c r="F435" s="95" t="e">
        <f t="shared" si="246"/>
        <v>#VALUE!</v>
      </c>
      <c r="G435" s="95" t="e">
        <f t="shared" si="247"/>
        <v>#VALUE!</v>
      </c>
    </row>
    <row r="436" spans="1:7" x14ac:dyDescent="0.2">
      <c r="A436" s="3">
        <v>20</v>
      </c>
      <c r="B436" s="95" t="e">
        <f t="shared" si="242"/>
        <v>#VALUE!</v>
      </c>
      <c r="C436" s="95" t="e">
        <f t="shared" si="243"/>
        <v>#VALUE!</v>
      </c>
      <c r="D436" s="95" t="e">
        <f t="shared" si="244"/>
        <v>#VALUE!</v>
      </c>
      <c r="E436" s="95" t="e">
        <f t="shared" si="245"/>
        <v>#VALUE!</v>
      </c>
      <c r="F436" s="95" t="e">
        <f t="shared" si="246"/>
        <v>#VALUE!</v>
      </c>
      <c r="G436" s="95" t="e">
        <f t="shared" si="247"/>
        <v>#VALUE!</v>
      </c>
    </row>
    <row r="438" spans="1:7" x14ac:dyDescent="0.2">
      <c r="F438" s="95" t="e">
        <f>F436-F417</f>
        <v>#VALUE!</v>
      </c>
      <c r="G438" s="95" t="e">
        <f>G436-G417</f>
        <v>#VALUE!</v>
      </c>
    </row>
    <row r="439" spans="1:7" x14ac:dyDescent="0.2">
      <c r="G439" s="95" t="e">
        <f>G438-F438</f>
        <v>#VALUE!</v>
      </c>
    </row>
  </sheetData>
  <sheetProtection algorithmName="SHA-512" hashValue="niulIgZM6ZteGKggf0MHs6ZJj8M1SLCZMlt62C7oup1sIu+896N9KZqyY2be6q55FcKqWPy4nfPRLqbP4bkAuA==" saltValue="B1BpphEAwQQYdISey1Vg7w==" spinCount="100000" sheet="1" objects="1" scenarios="1"/>
  <mergeCells count="61">
    <mergeCell ref="A415:G415"/>
    <mergeCell ref="N367:O367"/>
    <mergeCell ref="AE117:AE137"/>
    <mergeCell ref="U117:U137"/>
    <mergeCell ref="AO117:AO137"/>
    <mergeCell ref="A176:A196"/>
    <mergeCell ref="J176:J196"/>
    <mergeCell ref="S176:S196"/>
    <mergeCell ref="AB176:AB196"/>
    <mergeCell ref="AK176:AK196"/>
    <mergeCell ref="J173:J174"/>
    <mergeCell ref="S173:S174"/>
    <mergeCell ref="AB173:AB174"/>
    <mergeCell ref="AB209:AE214"/>
    <mergeCell ref="U232:U252"/>
    <mergeCell ref="AE232:AE252"/>
    <mergeCell ref="AO232:AO252"/>
    <mergeCell ref="AQ60:AQ80"/>
    <mergeCell ref="AK60:AK80"/>
    <mergeCell ref="AB60:AB80"/>
    <mergeCell ref="A60:A80"/>
    <mergeCell ref="J60:J80"/>
    <mergeCell ref="S60:S80"/>
    <mergeCell ref="K232:K252"/>
    <mergeCell ref="A200:A205"/>
    <mergeCell ref="S57:S58"/>
    <mergeCell ref="AB57:AB58"/>
    <mergeCell ref="A173:A174"/>
    <mergeCell ref="AB91:AE97"/>
    <mergeCell ref="A84:A89"/>
    <mergeCell ref="A91:A111"/>
    <mergeCell ref="A117:A137"/>
    <mergeCell ref="A141:A142"/>
    <mergeCell ref="K117:K137"/>
    <mergeCell ref="A167:A169"/>
    <mergeCell ref="A144:A164"/>
    <mergeCell ref="A1:A2"/>
    <mergeCell ref="A10:A11"/>
    <mergeCell ref="B13:C13"/>
    <mergeCell ref="A18:A49"/>
    <mergeCell ref="J57:J58"/>
    <mergeCell ref="B15:C15"/>
    <mergeCell ref="E3:E7"/>
    <mergeCell ref="A57:A58"/>
    <mergeCell ref="A52:A53"/>
    <mergeCell ref="G18:G38"/>
    <mergeCell ref="B16:C16"/>
    <mergeCell ref="A3:A7"/>
    <mergeCell ref="A256:A257"/>
    <mergeCell ref="A306:A308"/>
    <mergeCell ref="A284:A304"/>
    <mergeCell ref="A207:A227"/>
    <mergeCell ref="A232:A252"/>
    <mergeCell ref="K284:K304"/>
    <mergeCell ref="A344:D344"/>
    <mergeCell ref="A368:D368"/>
    <mergeCell ref="J333:K333"/>
    <mergeCell ref="A259:A279"/>
    <mergeCell ref="A281:B282"/>
    <mergeCell ref="B335:B338"/>
    <mergeCell ref="A310:A330"/>
  </mergeCells>
  <phoneticPr fontId="5" type="noConversion"/>
  <pageMargins left="0.7" right="0.7" top="0.75" bottom="0.75" header="0.3" footer="0.3"/>
  <pageSetup paperSize="9" orientation="portrait" r:id="rId1"/>
  <drawing r:id="rId2"/>
  <tableParts count="38">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 r:id="rId23"/>
    <tablePart r:id="rId24"/>
    <tablePart r:id="rId25"/>
    <tablePart r:id="rId26"/>
    <tablePart r:id="rId27"/>
    <tablePart r:id="rId28"/>
    <tablePart r:id="rId29"/>
    <tablePart r:id="rId30"/>
    <tablePart r:id="rId31"/>
    <tablePart r:id="rId32"/>
    <tablePart r:id="rId33"/>
    <tablePart r:id="rId34"/>
    <tablePart r:id="rId35"/>
    <tablePart r:id="rId36"/>
    <tablePart r:id="rId37"/>
    <tablePart r:id="rId38"/>
    <tablePart r:id="rId39"/>
    <tablePart r:id="rId40"/>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936536-D655-0845-90BF-D8EB5CD133BD}">
  <sheetPr>
    <tabColor rgb="FF00B050"/>
  </sheetPr>
  <dimension ref="A1:AZ439"/>
  <sheetViews>
    <sheetView topLeftCell="A283" zoomScaleNormal="50" workbookViewId="0">
      <selection activeCell="C203" sqref="C203"/>
    </sheetView>
  </sheetViews>
  <sheetFormatPr baseColWidth="10" defaultColWidth="11.1640625" defaultRowHeight="16" x14ac:dyDescent="0.2"/>
  <cols>
    <col min="1" max="1" width="16" style="3" customWidth="1"/>
    <col min="2" max="2" width="26" style="3" bestFit="1" customWidth="1"/>
    <col min="3" max="3" width="20.1640625" style="3" bestFit="1" customWidth="1"/>
    <col min="4" max="4" width="13.83203125" style="3" customWidth="1"/>
    <col min="5" max="5" width="19.6640625" style="3" bestFit="1" customWidth="1"/>
    <col min="6" max="6" width="20.1640625" style="3" bestFit="1" customWidth="1"/>
    <col min="7" max="7" width="14" style="3" customWidth="1"/>
    <col min="8" max="8" width="14.5" style="3" customWidth="1"/>
    <col min="9" max="9" width="15.1640625" style="3" customWidth="1"/>
    <col min="10" max="10" width="15.5" style="3" customWidth="1"/>
    <col min="11" max="11" width="15.1640625" style="3" customWidth="1"/>
    <col min="12" max="12" width="16.5" style="3" customWidth="1"/>
    <col min="13" max="13" width="17" style="3" customWidth="1"/>
    <col min="14" max="14" width="17" style="3" bestFit="1" customWidth="1"/>
    <col min="15" max="15" width="20.6640625" style="3" bestFit="1" customWidth="1"/>
    <col min="16" max="17" width="11.1640625" style="3"/>
    <col min="18" max="18" width="14.1640625" style="3" bestFit="1" customWidth="1"/>
    <col min="19" max="19" width="13.1640625" style="3" customWidth="1"/>
    <col min="20" max="26" width="11.1640625" style="3"/>
    <col min="27" max="27" width="13" style="3" customWidth="1"/>
    <col min="28" max="28" width="12.1640625" style="3" customWidth="1"/>
    <col min="29" max="29" width="12.5" style="3" customWidth="1"/>
    <col min="30" max="30" width="11.1640625" style="3"/>
    <col min="31" max="31" width="11.83203125" style="3" customWidth="1"/>
    <col min="32" max="32" width="12.33203125" style="3" customWidth="1"/>
    <col min="33" max="43" width="11.1640625" style="3"/>
    <col min="44" max="44" width="15.5" style="3" bestFit="1" customWidth="1"/>
    <col min="45" max="16384" width="11.1640625" style="3"/>
  </cols>
  <sheetData>
    <row r="1" spans="1:19" s="212" customFormat="1" x14ac:dyDescent="0.2">
      <c r="A1" s="468" t="s">
        <v>222</v>
      </c>
      <c r="B1" s="212" t="s">
        <v>223</v>
      </c>
      <c r="C1" s="212" t="s">
        <v>188</v>
      </c>
    </row>
    <row r="2" spans="1:19" s="212" customFormat="1" x14ac:dyDescent="0.2">
      <c r="A2" s="468"/>
      <c r="B2" s="213"/>
      <c r="C2" s="213"/>
    </row>
    <row r="3" spans="1:19" ht="16" customHeight="1" x14ac:dyDescent="0.2">
      <c r="A3" s="469" t="s">
        <v>612</v>
      </c>
      <c r="B3" s="4" t="s">
        <v>5</v>
      </c>
      <c r="C3" s="4" t="s">
        <v>12</v>
      </c>
      <c r="D3" s="4"/>
      <c r="E3" s="471" t="s">
        <v>613</v>
      </c>
      <c r="F3" s="4" t="s">
        <v>0</v>
      </c>
      <c r="G3" s="4" t="s">
        <v>8</v>
      </c>
      <c r="H3" s="4" t="s">
        <v>171</v>
      </c>
      <c r="I3" s="39" t="s">
        <v>616</v>
      </c>
      <c r="J3" s="39" t="s">
        <v>790</v>
      </c>
      <c r="K3" s="39" t="s">
        <v>788</v>
      </c>
      <c r="L3" s="39" t="s">
        <v>789</v>
      </c>
      <c r="M3" s="39" t="s">
        <v>783</v>
      </c>
      <c r="N3" s="39" t="s">
        <v>779</v>
      </c>
      <c r="O3" s="39" t="s">
        <v>793</v>
      </c>
      <c r="P3" s="81" t="s">
        <v>228</v>
      </c>
      <c r="Q3" s="39" t="s">
        <v>772</v>
      </c>
      <c r="R3" s="39" t="s">
        <v>773</v>
      </c>
      <c r="S3" s="81" t="s">
        <v>774</v>
      </c>
    </row>
    <row r="4" spans="1:19" ht="16" customHeight="1" x14ac:dyDescent="0.2">
      <c r="A4" s="469"/>
      <c r="B4" s="4" t="s">
        <v>6</v>
      </c>
      <c r="C4" s="4" t="str">
        <f>VLOOKUP(C1,Tableau619[],3,FALSE)</f>
        <v/>
      </c>
      <c r="D4" s="4"/>
      <c r="E4" s="469"/>
      <c r="F4" s="4" t="str">
        <f>C$1</f>
        <v>B</v>
      </c>
      <c r="G4" s="4" t="str">
        <f>INITIAL_FORET!Y6</f>
        <v/>
      </c>
      <c r="H4" s="58" t="str">
        <f>IF(OR(G4=0,G4=""),"",VLOOKUP(G4,Tableau45[],3,FALSE))</f>
        <v/>
      </c>
      <c r="I4" s="103" t="str">
        <f>IF(OR(F4="",G4=""),"",VLOOKUP(CONCATENATE(F4,"_",G4),INITIAL_FORET!$AB$40:$AQ$55,5,FALSE))</f>
        <v/>
      </c>
      <c r="J4" s="16" t="str">
        <f>IF(OR(I4=0,I4=""),"",VLOOKUP(G4,Tableau45[[Essence]:[RiskEss_choisi]],2,FALSE))</f>
        <v/>
      </c>
      <c r="K4" s="130" t="str">
        <f>IF(OR(G4=0,G4=""),"",I4*(1-J4))</f>
        <v/>
      </c>
      <c r="L4" s="227" t="str">
        <f>IF(OR(G4=0,G4=""),"",VLOOKUP(CONCATENATE(F4,"_",G4),INITIAL_FORET!$AB$40:$AQ$55,10,FALSE))</f>
        <v/>
      </c>
      <c r="M4" s="103" t="str">
        <f>IF(OR(G4=0,G4=""),"",VLOOKUP(CONCATENATE(F4,"_",G4),INITIAL_FORET!$AB$40:$AQ$55,12,FALSE))</f>
        <v/>
      </c>
      <c r="N4" s="103" t="str">
        <f>IF(OR(G4=0,G4=""),"",VLOOKUP(CONCATENATE(F4,"_",G4),INITIAL_FORET!$AB$40:$AQ$55,11,FALSE))</f>
        <v/>
      </c>
      <c r="O4" s="103" t="str">
        <f>IF(OR(G4=0,G4=""),"",IF($C$4="IRR",VLOOKUP(CONCATENATE(F4,"_",G4),INITIAL_FORET!$AB$40:$AQ$55,13,FALSE),K4-(K4/$C$6)*SUM($I$19:$I$38)))</f>
        <v/>
      </c>
      <c r="P4" s="3" t="str">
        <f>IF(OR(G4=0,G4=""),"",IF(VLOOKUP(G4,Tableau45[],5,FALSE)="Feuillus","Feuillus","Résineux"))</f>
        <v/>
      </c>
      <c r="Q4" s="103">
        <f>IF(L4="",0,L4*VLOOKUP(G4,Tableau44[[Code_ess]:[FEB]],4,FALSE))</f>
        <v>0</v>
      </c>
      <c r="R4" s="226">
        <f>IF(Q4&gt;0,EXP(-1.0587+0.8836*LN(Q4)+0.284),0)</f>
        <v>0</v>
      </c>
      <c r="S4" s="226">
        <f>SUM(Q4:R4)*0.475*44/12</f>
        <v>0</v>
      </c>
    </row>
    <row r="5" spans="1:19" x14ac:dyDescent="0.2">
      <c r="A5" s="469"/>
      <c r="B5" s="4" t="s">
        <v>87</v>
      </c>
      <c r="C5" s="22" t="str">
        <f>Niv_engt</f>
        <v/>
      </c>
      <c r="D5" s="4"/>
      <c r="E5" s="469"/>
      <c r="F5" s="4" t="str">
        <f>C$1</f>
        <v>B</v>
      </c>
      <c r="G5" s="4" t="str">
        <f>INITIAL_FORET!Y7</f>
        <v/>
      </c>
      <c r="H5" s="58" t="str">
        <f>IF(OR(G5=0,G5=""),"",VLOOKUP(G5,Tableau45[],3,FALSE))</f>
        <v/>
      </c>
      <c r="I5" s="131" t="str">
        <f>IF(OR(F5="",G5=""),"",VLOOKUP(CONCATENATE(F5,"_",G5),INITIAL_FORET!$AB$40:$AQ$55,5,FALSE))</f>
        <v/>
      </c>
      <c r="J5" s="246" t="str">
        <f>IF(OR(I5=0,I5=""),"",VLOOKUP(G5,Tableau45[[Essence]:[RiskEss_choisi]],2,FALSE))</f>
        <v/>
      </c>
      <c r="K5" s="130" t="str">
        <f t="shared" ref="K5:K7" si="0">IF(OR(G5=0,G5=""),"",I5*(1-J5))</f>
        <v/>
      </c>
      <c r="L5" s="227" t="str">
        <f>IF(OR(G5=0,G5=""),"",VLOOKUP(CONCATENATE(F5,"_",G5),INITIAL_FORET!$AB$40:$AQ$55,10,FALSE))</f>
        <v/>
      </c>
      <c r="M5" s="103" t="str">
        <f>IF(OR(G5=0,G5=""),"",VLOOKUP(CONCATENATE(F5,"_",G5),INITIAL_FORET!$AB$40:$AQ$55,12,FALSE))</f>
        <v/>
      </c>
      <c r="N5" s="103" t="str">
        <f>IF(OR(G5=0,G5=""),"",VLOOKUP(CONCATENATE(F5,"_",G5),INITIAL_FORET!$AB$40:$AQ$55,11,FALSE))</f>
        <v/>
      </c>
      <c r="O5" s="103" t="str">
        <f>IF(OR(G5=0,G5=""),"",IF($C$4="IRR",VLOOKUP(CONCATENATE(F5,"_",G5),INITIAL_FORET!$AB$40:$AQ$55,13,FALSE),K5-(K5/$C$6)*SUM($I$19:$I$38)))</f>
        <v/>
      </c>
      <c r="P5" s="3" t="str">
        <f>IF(OR(G5=0,G5=""),"",IF(VLOOKUP(G5,Tableau45[],5,FALSE)="Feuillus","Feuillus","Résineux"))</f>
        <v/>
      </c>
      <c r="Q5" s="103">
        <f>IF(L5="",0,L5*VLOOKUP(G5,Tableau44[[Code_ess]:[FEB]],4,FALSE))</f>
        <v>0</v>
      </c>
      <c r="R5" s="103">
        <f t="shared" ref="R5:R7" si="1">IF(Q5&gt;0,EXP(-1.0587+0.8836*LN(Q5)+0.284),0)</f>
        <v>0</v>
      </c>
      <c r="S5" s="95">
        <f t="shared" ref="S5:S7" si="2">SUM(Q5:R5)*0.475*44/12</f>
        <v>0</v>
      </c>
    </row>
    <row r="6" spans="1:19" x14ac:dyDescent="0.2">
      <c r="A6" s="469"/>
      <c r="B6" s="5" t="s">
        <v>226</v>
      </c>
      <c r="C6" s="29">
        <f>VLOOKUP(C1,Tableau619[],4,FALSE)</f>
        <v>0</v>
      </c>
      <c r="D6" s="4"/>
      <c r="E6" s="469"/>
      <c r="F6" s="4" t="str">
        <f>C$1</f>
        <v>B</v>
      </c>
      <c r="G6" s="4" t="str">
        <f>INITIAL_FORET!Y8</f>
        <v/>
      </c>
      <c r="H6" s="58" t="str">
        <f>IF(OR(G6=0,G6=""),"",VLOOKUP(G6,Tableau45[],3,FALSE))</f>
        <v/>
      </c>
      <c r="I6" s="131" t="str">
        <f>IF(OR(F6="",G6=""),"",VLOOKUP(CONCATENATE(F6,"_",G6),INITIAL_FORET!$AB$40:$AQ$55,5,FALSE))</f>
        <v/>
      </c>
      <c r="J6" s="246" t="str">
        <f>IF(OR(I6=0,I6=""),"",VLOOKUP(G6,Tableau45[[Essence]:[RiskEss_choisi]],2,FALSE))</f>
        <v/>
      </c>
      <c r="K6" s="130" t="str">
        <f t="shared" si="0"/>
        <v/>
      </c>
      <c r="L6" s="227" t="str">
        <f>IF(OR(G6=0,G6=""),"",VLOOKUP(CONCATENATE(F6,"_",G6),INITIAL_FORET!$AB$40:$AQ$55,10,FALSE))</f>
        <v/>
      </c>
      <c r="M6" s="103" t="str">
        <f>IF(OR(G6=0,G6=""),"",VLOOKUP(CONCATENATE(F6,"_",G6),INITIAL_FORET!$AB$40:$AQ$55,12,FALSE))</f>
        <v/>
      </c>
      <c r="N6" s="103" t="str">
        <f>IF(OR(G6=0,G6=""),"",VLOOKUP(CONCATENATE(F6,"_",G6),INITIAL_FORET!$AB$40:$AQ$55,11,FALSE))</f>
        <v/>
      </c>
      <c r="O6" s="103" t="str">
        <f>IF(OR(G6=0,G6=""),"",IF($C$4="IRR",VLOOKUP(CONCATENATE(F6,"_",G6),INITIAL_FORET!$AB$40:$AQ$55,13,FALSE),K6-(K6/$C$6)*SUM($I$19:$I$38)))</f>
        <v/>
      </c>
      <c r="P6" s="3" t="str">
        <f>IF(OR(G6=0,G6=""),"",IF(VLOOKUP(G6,Tableau45[],5,FALSE)="Feuillus","Feuillus","Résineux"))</f>
        <v/>
      </c>
      <c r="Q6" s="103">
        <f>IF(L6="",0,L6*VLOOKUP(G6,Tableau44[[Code_ess]:[FEB]],4,FALSE))</f>
        <v>0</v>
      </c>
      <c r="R6" s="103">
        <f t="shared" si="1"/>
        <v>0</v>
      </c>
      <c r="S6" s="95">
        <f t="shared" si="2"/>
        <v>0</v>
      </c>
    </row>
    <row r="7" spans="1:19" x14ac:dyDescent="0.2">
      <c r="A7" s="469"/>
      <c r="B7" s="5" t="s">
        <v>756</v>
      </c>
      <c r="C7" s="30">
        <f>IF(VLOOKUP(C1,Tableau223[],5,FALSE)="",0,VLOOKUP(C1,Tableau223[],5,FALSE))</f>
        <v>0</v>
      </c>
      <c r="D7" s="4"/>
      <c r="E7" s="469"/>
      <c r="F7" s="4" t="str">
        <f>C$1</f>
        <v>B</v>
      </c>
      <c r="G7" s="4" t="str">
        <f>INITIAL_FORET!Y9</f>
        <v/>
      </c>
      <c r="H7" s="22" t="str">
        <f>IF(OR(G7=0,G7=""),"",VLOOKUP(G7,Tableau45[],3,FALSE))</f>
        <v/>
      </c>
      <c r="I7" s="131" t="str">
        <f>IF(OR(F7="",G7=""),"",VLOOKUP(CONCATENATE(F7,"_",G7),INITIAL_FORET!$AB$40:$AQ$55,5,FALSE))</f>
        <v/>
      </c>
      <c r="J7" s="246" t="str">
        <f>IF(OR(I7=0,I7=""),"",VLOOKUP(G7,Tableau45[[Essence]:[RiskEss_choisi]],2,FALSE))</f>
        <v/>
      </c>
      <c r="K7" s="130" t="str">
        <f t="shared" si="0"/>
        <v/>
      </c>
      <c r="L7" s="227" t="str">
        <f>IF(OR(G7=0,G7=""),"",VLOOKUP(CONCATENATE(F7,"_",G7),INITIAL_FORET!$AB$40:$AQ$55,10,FALSE))</f>
        <v/>
      </c>
      <c r="M7" s="103" t="str">
        <f>IF(OR(G7=0,G7=""),"",VLOOKUP(CONCATENATE(F7,"_",G7),INITIAL_FORET!$AB$40:$AQ$55,12,FALSE))</f>
        <v/>
      </c>
      <c r="N7" s="103" t="str">
        <f>IF(OR(G7=0,G7=""),"",VLOOKUP(CONCATENATE(F7,"_",G7),INITIAL_FORET!$AB$40:$AQ$55,11,FALSE))</f>
        <v/>
      </c>
      <c r="O7" s="103" t="str">
        <f>IF(OR(G7=0,G7=""),"",IF($C$4="IRR",VLOOKUP(CONCATENATE(F7,"_",G7),INITIAL_FORET!$AB$40:$AQ$55,13,FALSE),K7-(K7/$C$6)*SUM($I$19:$I$38)))</f>
        <v/>
      </c>
      <c r="P7" s="3" t="str">
        <f>IF(OR(G7=0,G7=""),"",IF(VLOOKUP(G7,Tableau45[],5,FALSE)="Feuillus","Feuillus","Résineux"))</f>
        <v/>
      </c>
      <c r="Q7" s="103">
        <f>IF(L7="",0,L7*VLOOKUP(G7,Tableau44[[Code_ess]:[FEB]],4,FALSE))</f>
        <v>0</v>
      </c>
      <c r="R7" s="103">
        <f t="shared" si="1"/>
        <v>0</v>
      </c>
      <c r="S7" s="95">
        <f t="shared" si="2"/>
        <v>0</v>
      </c>
    </row>
    <row r="8" spans="1:19" x14ac:dyDescent="0.2">
      <c r="A8" s="330"/>
      <c r="B8" s="5"/>
      <c r="C8" s="32"/>
      <c r="D8" s="4"/>
      <c r="E8" s="60"/>
      <c r="I8" s="11"/>
      <c r="O8" s="4"/>
      <c r="P8" s="4"/>
    </row>
    <row r="9" spans="1:19" x14ac:dyDescent="0.2">
      <c r="A9" s="4"/>
      <c r="B9" s="4"/>
      <c r="C9" s="4"/>
      <c r="D9" s="4"/>
      <c r="E9" s="4"/>
      <c r="F9" s="4"/>
      <c r="G9" s="4"/>
      <c r="I9" s="62" t="s">
        <v>615</v>
      </c>
      <c r="J9" s="4"/>
      <c r="K9" s="232"/>
      <c r="L9" s="4"/>
      <c r="M9" s="12"/>
      <c r="N9" s="4"/>
      <c r="O9" s="4"/>
      <c r="P9" s="4"/>
    </row>
    <row r="10" spans="1:19" ht="16" customHeight="1" x14ac:dyDescent="0.2">
      <c r="A10" s="469" t="s">
        <v>614</v>
      </c>
      <c r="B10" s="4" t="s">
        <v>170</v>
      </c>
      <c r="C10" s="3" t="s">
        <v>17</v>
      </c>
      <c r="D10" s="3" t="s">
        <v>61</v>
      </c>
      <c r="I10" s="132">
        <f>MAX(Tableau15615178406[Vol_tot])</f>
        <v>0</v>
      </c>
      <c r="J10" s="57"/>
      <c r="K10" s="229"/>
      <c r="L10" s="57"/>
      <c r="M10" s="97"/>
      <c r="N10" s="98"/>
    </row>
    <row r="11" spans="1:19" ht="16" customHeight="1" x14ac:dyDescent="0.2">
      <c r="A11" s="469"/>
      <c r="B11" s="4" t="str">
        <f>IF(I4=I10,G4,IF(I5=I10,G5,IF(I6=I10,G6,G7)))</f>
        <v/>
      </c>
      <c r="C11" s="3">
        <f>IF(OR(B11=0,B11=""),0,VLOOKUP(B11,Tableau44[[Code_ess]:[FEB]],4,FALSE))</f>
        <v>0</v>
      </c>
      <c r="D11" s="3">
        <f>IF(OR(B11=0,B11=""),0,VLOOKUP(B11,Tableau44[[Code_ess]:[FEB]],5,FALSE))</f>
        <v>0</v>
      </c>
      <c r="J11" s="4"/>
      <c r="K11" s="230"/>
      <c r="L11" s="57"/>
      <c r="M11" s="57"/>
    </row>
    <row r="12" spans="1:19" ht="16" customHeight="1" x14ac:dyDescent="0.2">
      <c r="A12" s="39"/>
      <c r="B12" s="4"/>
      <c r="C12" s="4"/>
      <c r="D12" s="4"/>
      <c r="J12" s="4"/>
      <c r="K12" s="57"/>
      <c r="L12" s="57"/>
      <c r="M12" s="57"/>
    </row>
    <row r="13" spans="1:19" ht="16" customHeight="1" x14ac:dyDescent="0.2">
      <c r="A13" s="4"/>
      <c r="B13" s="470" t="s">
        <v>625</v>
      </c>
      <c r="C13" s="470"/>
      <c r="D13" s="61">
        <f>IF(C4="REG",75%,IF(C4="RASE",90%,50%))</f>
        <v>0.5</v>
      </c>
      <c r="J13" s="4"/>
      <c r="K13" s="57"/>
      <c r="L13" s="57"/>
      <c r="M13" s="57"/>
    </row>
    <row r="14" spans="1:19" ht="16" customHeight="1" x14ac:dyDescent="0.2">
      <c r="A14" s="4"/>
      <c r="B14" s="4"/>
      <c r="C14" s="4"/>
      <c r="D14" s="22"/>
      <c r="J14" s="4"/>
      <c r="K14" s="57"/>
      <c r="L14" s="57"/>
      <c r="M14" s="57"/>
    </row>
    <row r="15" spans="1:19" ht="16" customHeight="1" x14ac:dyDescent="0.2">
      <c r="A15" s="4"/>
      <c r="B15" s="470" t="s">
        <v>757</v>
      </c>
      <c r="C15" s="470"/>
      <c r="D15" s="132">
        <f>SUM(K4:K7)-SUM(L4:L7)</f>
        <v>0</v>
      </c>
      <c r="E15" s="220"/>
      <c r="F15" s="81"/>
      <c r="J15" s="4"/>
      <c r="K15" s="57"/>
      <c r="L15" s="57"/>
      <c r="M15" s="57"/>
    </row>
    <row r="16" spans="1:19" ht="16" customHeight="1" x14ac:dyDescent="0.2">
      <c r="A16" s="4"/>
      <c r="B16" s="470" t="s">
        <v>794</v>
      </c>
      <c r="C16" s="470"/>
      <c r="D16" s="132">
        <f>SUM(O4:O7)-D15</f>
        <v>0</v>
      </c>
      <c r="E16" s="220"/>
      <c r="F16" s="81"/>
      <c r="J16" s="4"/>
      <c r="K16" s="57"/>
      <c r="L16" s="57"/>
      <c r="M16" s="57"/>
    </row>
    <row r="17" spans="1:16" ht="16" customHeight="1" x14ac:dyDescent="0.2">
      <c r="J17" s="4"/>
      <c r="K17" s="57"/>
      <c r="L17" s="57"/>
      <c r="M17" s="57"/>
    </row>
    <row r="18" spans="1:16" ht="16" customHeight="1" x14ac:dyDescent="0.2">
      <c r="A18" s="471" t="str">
        <f>CONCATENATE("RYTHME CROISSANCE REGE_",B11)</f>
        <v>RYTHME CROISSANCE REGE_</v>
      </c>
      <c r="B18" s="4" t="s">
        <v>94</v>
      </c>
      <c r="C18" s="4" t="s">
        <v>153</v>
      </c>
      <c r="D18" s="4" t="s">
        <v>152</v>
      </c>
      <c r="E18" s="4" t="s">
        <v>151</v>
      </c>
      <c r="G18" s="471" t="s">
        <v>748</v>
      </c>
      <c r="H18" s="3" t="s">
        <v>5</v>
      </c>
      <c r="I18" s="3" t="s">
        <v>749</v>
      </c>
      <c r="J18" s="4" t="s">
        <v>744</v>
      </c>
      <c r="K18" s="4" t="s">
        <v>745</v>
      </c>
      <c r="L18" s="4" t="s">
        <v>746</v>
      </c>
      <c r="M18" s="4" t="s">
        <v>747</v>
      </c>
      <c r="N18" s="4" t="s">
        <v>288</v>
      </c>
      <c r="O18" s="4"/>
      <c r="P18" s="4"/>
    </row>
    <row r="19" spans="1:16" x14ac:dyDescent="0.2">
      <c r="A19" s="471"/>
      <c r="B19" s="4">
        <v>0</v>
      </c>
      <c r="C19" s="10">
        <f>'3.ESS_RÉGÉ'!I22</f>
        <v>0</v>
      </c>
      <c r="D19" s="10">
        <f>'3.ESS_RÉGÉ'!J22</f>
        <v>0</v>
      </c>
      <c r="E19" s="10">
        <f>'3.ESS_RÉGÉ'!K22</f>
        <v>0</v>
      </c>
      <c r="G19" s="471"/>
      <c r="H19" s="3">
        <v>1</v>
      </c>
      <c r="I19" s="11">
        <f>IF($C$4="REG",$C$7*INITIAL_FORET!K21,IF($C$4="RASE",$C$7*INITIAL_FORET!L24,0))</f>
        <v>0</v>
      </c>
      <c r="J19" s="11" cm="1">
        <f t="array" ref="J19">IF($C$6=0,0,IF(INDEX($G$4:$M$7,RIGHT(J$18,1),6)="",0,IF($C$4="IRR",INDEX($G$4:$M$7,RIGHT(J$18,1),7)*80%/20,((INDEX($G$4:$M$7,RIGHT(J$18,1),7))/$C$6)*$I19)))</f>
        <v>0</v>
      </c>
      <c r="K19" s="11" cm="1">
        <f t="array" ref="K19">IF($C$6=0,0,IF(INDEX($G$4:$M$7,RIGHT(K$18,1),6)="",0,IF($C$4="IRR",INDEX($G$4:$M$7,RIGHT(K$18,1),7)*80%/20,((INDEX($G$4:$M$7,RIGHT(K$18,1),7))/$C$6)*$I19)))</f>
        <v>0</v>
      </c>
      <c r="L19" s="11" cm="1">
        <f t="array" ref="L19">IF($C$6=0,0,IF(INDEX($G$4:$M$7,RIGHT(L$18,1),6)="",0,IF($C$4="IRR",INDEX($G$4:$M$7,RIGHT(L$18,1),7)*80%/20,((INDEX($G$4:$M$7,RIGHT(L$18,1),7))/$C$6)*$I19)))</f>
        <v>0</v>
      </c>
      <c r="M19" s="11" cm="1">
        <f t="array" ref="M19">IF($C$6=0,0,IF(INDEX($G$4:$M$7,RIGHT(M$18,1),6)="",0,IF($C$4="IRR",INDEX($G$4:$M$7,RIGHT(M$18,1),7)*80%/20,((INDEX($G$4:$M$7,RIGHT(M$18,1),7))/$C$6)*$I19)))</f>
        <v>0</v>
      </c>
      <c r="N19" s="11">
        <f t="shared" ref="N19:N38" si="3">SUM(J19:M19)</f>
        <v>0</v>
      </c>
      <c r="O19" s="4"/>
      <c r="P19" s="4"/>
    </row>
    <row r="20" spans="1:16" x14ac:dyDescent="0.2">
      <c r="A20" s="471"/>
      <c r="B20" s="12">
        <v>1</v>
      </c>
      <c r="C20" s="10">
        <f>'3.ESS_RÉGÉ'!I23</f>
        <v>0</v>
      </c>
      <c r="D20" s="10">
        <f>'3.ESS_RÉGÉ'!J23</f>
        <v>0</v>
      </c>
      <c r="E20" s="10">
        <f>'3.ESS_RÉGÉ'!K23</f>
        <v>0</v>
      </c>
      <c r="G20" s="471"/>
      <c r="H20" s="3">
        <v>2</v>
      </c>
      <c r="I20" s="11">
        <f>IF($C$4="REG",$C$7*INITIAL_FORET!K22,IF($C$4="RASE",$C$7*INITIAL_FORET!L25,0))</f>
        <v>0</v>
      </c>
      <c r="J20" s="11" cm="1">
        <f t="array" ref="J20">IF($C$6=0,0,IF(INDEX($G$4:$M$7,RIGHT(J$18,1),6)="",0,IF($C$4="IRR",INDEX($G$4:$M$7,RIGHT(J$18,1),7)*80%/20,((INDEX($G$4:$M$7,RIGHT(J$18,1),7))/$C$6)*$I20)))</f>
        <v>0</v>
      </c>
      <c r="K20" s="11" cm="1">
        <f t="array" ref="K20">IF($C$6=0,0,IF(INDEX($G$4:$M$7,RIGHT(K$18,1),6)="",0,IF($C$4="IRR",INDEX($G$4:$M$7,RIGHT(K$18,1),7)*80%/20,((INDEX($G$4:$M$7,RIGHT(K$18,1),7))/$C$6)*$I20)))</f>
        <v>0</v>
      </c>
      <c r="L20" s="11" cm="1">
        <f t="array" ref="L20">IF($C$6=0,0,IF(INDEX($G$4:$M$7,RIGHT(L$18,1),6)="",0,IF($C$4="IRR",INDEX($G$4:$M$7,RIGHT(L$18,1),7)*80%/20,((INDEX($G$4:$M$7,RIGHT(L$18,1),7))/$C$6)*$I20)))</f>
        <v>0</v>
      </c>
      <c r="M20" s="11" cm="1">
        <f t="array" ref="M20">IF($C$6=0,0,IF(INDEX($G$4:$M$7,RIGHT(M$18,1),6)="",0,IF($C$4="IRR",INDEX($G$4:$M$7,RIGHT(M$18,1),7)*80%/20,((INDEX($G$4:$M$7,RIGHT(M$18,1),7))/$C$6)*$I20)))</f>
        <v>0</v>
      </c>
      <c r="N20" s="11">
        <f t="shared" si="3"/>
        <v>0</v>
      </c>
      <c r="O20" s="4"/>
      <c r="P20" s="4"/>
    </row>
    <row r="21" spans="1:16" x14ac:dyDescent="0.2">
      <c r="A21" s="471"/>
      <c r="B21" s="12">
        <v>2</v>
      </c>
      <c r="C21" s="10">
        <f>'3.ESS_RÉGÉ'!I24</f>
        <v>0</v>
      </c>
      <c r="D21" s="10">
        <f>'3.ESS_RÉGÉ'!J24</f>
        <v>0</v>
      </c>
      <c r="E21" s="10">
        <f>'3.ESS_RÉGÉ'!K24</f>
        <v>0</v>
      </c>
      <c r="G21" s="471"/>
      <c r="H21" s="3">
        <v>3</v>
      </c>
      <c r="I21" s="11">
        <f>IF($C$4="REG",$C$7*INITIAL_FORET!K23,IF($C$4="RASE",$C$7*INITIAL_FORET!L26,0))</f>
        <v>0</v>
      </c>
      <c r="J21" s="11" cm="1">
        <f t="array" ref="J21">IF($C$6=0,0,IF(INDEX($G$4:$M$7,RIGHT(J$18,1),6)="",0,IF($C$4="IRR",INDEX($G$4:$M$7,RIGHT(J$18,1),7)*80%/20,((INDEX($G$4:$M$7,RIGHT(J$18,1),7))/$C$6)*$I21)))</f>
        <v>0</v>
      </c>
      <c r="K21" s="11" cm="1">
        <f t="array" ref="K21">IF($C$6=0,0,IF(INDEX($G$4:$M$7,RIGHT(K$18,1),6)="",0,IF($C$4="IRR",INDEX($G$4:$M$7,RIGHT(K$18,1),7)*80%/20,((INDEX($G$4:$M$7,RIGHT(K$18,1),7))/$C$6)*$I21)))</f>
        <v>0</v>
      </c>
      <c r="L21" s="11" cm="1">
        <f t="array" ref="L21">IF($C$6=0,0,IF(INDEX($G$4:$M$7,RIGHT(L$18,1),6)="",0,IF($C$4="IRR",INDEX($G$4:$M$7,RIGHT(L$18,1),7)*80%/20,((INDEX($G$4:$M$7,RIGHT(L$18,1),7))/$C$6)*$I21)))</f>
        <v>0</v>
      </c>
      <c r="M21" s="11" cm="1">
        <f t="array" ref="M21">IF($C$6=0,0,IF(INDEX($G$4:$M$7,RIGHT(M$18,1),6)="",0,IF($C$4="IRR",INDEX($G$4:$M$7,RIGHT(M$18,1),7)*80%/20,((INDEX($G$4:$M$7,RIGHT(M$18,1),7))/$C$6)*$I21)))</f>
        <v>0</v>
      </c>
      <c r="N21" s="11">
        <f t="shared" si="3"/>
        <v>0</v>
      </c>
    </row>
    <row r="22" spans="1:16" x14ac:dyDescent="0.2">
      <c r="A22" s="471"/>
      <c r="B22" s="12">
        <v>3</v>
      </c>
      <c r="C22" s="10">
        <f>'3.ESS_RÉGÉ'!I25</f>
        <v>0</v>
      </c>
      <c r="D22" s="10">
        <f>'3.ESS_RÉGÉ'!J25</f>
        <v>0</v>
      </c>
      <c r="E22" s="10">
        <f>'3.ESS_RÉGÉ'!K25</f>
        <v>0</v>
      </c>
      <c r="G22" s="471"/>
      <c r="H22" s="3">
        <v>4</v>
      </c>
      <c r="I22" s="11">
        <f>IF($C$4="REG",$C$7*INITIAL_FORET!K24,IF($C$4="RASE",$C$7*INITIAL_FORET!L27,0))</f>
        <v>0</v>
      </c>
      <c r="J22" s="11" cm="1">
        <f t="array" ref="J22">IF($C$6=0,0,IF(INDEX($G$4:$M$7,RIGHT(J$18,1),6)="",0,IF($C$4="IRR",INDEX($G$4:$M$7,RIGHT(J$18,1),7)*80%/20,((INDEX($G$4:$M$7,RIGHT(J$18,1),7))/$C$6)*$I22)))</f>
        <v>0</v>
      </c>
      <c r="K22" s="11" cm="1">
        <f t="array" ref="K22">IF($C$6=0,0,IF(INDEX($G$4:$M$7,RIGHT(K$18,1),6)="",0,IF($C$4="IRR",INDEX($G$4:$M$7,RIGHT(K$18,1),7)*80%/20,((INDEX($G$4:$M$7,RIGHT(K$18,1),7))/$C$6)*$I22)))</f>
        <v>0</v>
      </c>
      <c r="L22" s="11" cm="1">
        <f t="array" ref="L22">IF($C$6=0,0,IF(INDEX($G$4:$M$7,RIGHT(L$18,1),6)="",0,IF($C$4="IRR",INDEX($G$4:$M$7,RIGHT(L$18,1),7)*80%/20,((INDEX($G$4:$M$7,RIGHT(L$18,1),7))/$C$6)*$I22)))</f>
        <v>0</v>
      </c>
      <c r="M22" s="11" cm="1">
        <f t="array" ref="M22">IF($C$6=0,0,IF(INDEX($G$4:$M$7,RIGHT(M$18,1),6)="",0,IF($C$4="IRR",INDEX($G$4:$M$7,RIGHT(M$18,1),7)*80%/20,((INDEX($G$4:$M$7,RIGHT(M$18,1),7))/$C$6)*$I22)))</f>
        <v>0</v>
      </c>
      <c r="N22" s="11">
        <f t="shared" si="3"/>
        <v>0</v>
      </c>
    </row>
    <row r="23" spans="1:16" x14ac:dyDescent="0.2">
      <c r="A23" s="471"/>
      <c r="B23" s="12">
        <v>4</v>
      </c>
      <c r="C23" s="10">
        <f>'3.ESS_RÉGÉ'!I26</f>
        <v>0</v>
      </c>
      <c r="D23" s="10">
        <f>'3.ESS_RÉGÉ'!J26</f>
        <v>0</v>
      </c>
      <c r="E23" s="10">
        <f>'3.ESS_RÉGÉ'!K26</f>
        <v>0</v>
      </c>
      <c r="G23" s="471"/>
      <c r="H23" s="3">
        <v>5</v>
      </c>
      <c r="I23" s="11">
        <f>IF($C$4="REG",$C$7*INITIAL_FORET!K25,IF($C$4="RASE",$C$7*INITIAL_FORET!L28,0))</f>
        <v>0</v>
      </c>
      <c r="J23" s="11" cm="1">
        <f t="array" ref="J23">IF($C$6=0,0,IF(INDEX($G$4:$M$7,RIGHT(J$18,1),6)="",0,IF($C$4="IRR",INDEX($G$4:$M$7,RIGHT(J$18,1),7)*80%/20,((INDEX($G$4:$M$7,RIGHT(J$18,1),7))/$C$6)*$I23)))</f>
        <v>0</v>
      </c>
      <c r="K23" s="11" cm="1">
        <f t="array" ref="K23">IF($C$6=0,0,IF(INDEX($G$4:$M$7,RIGHT(K$18,1),6)="",0,IF($C$4="IRR",INDEX($G$4:$M$7,RIGHT(K$18,1),7)*80%/20,((INDEX($G$4:$M$7,RIGHT(K$18,1),7))/$C$6)*$I23)))</f>
        <v>0</v>
      </c>
      <c r="L23" s="11" cm="1">
        <f t="array" ref="L23">IF($C$6=0,0,IF(INDEX($G$4:$M$7,RIGHT(L$18,1),6)="",0,IF($C$4="IRR",INDEX($G$4:$M$7,RIGHT(L$18,1),7)*80%/20,((INDEX($G$4:$M$7,RIGHT(L$18,1),7))/$C$6)*$I23)))</f>
        <v>0</v>
      </c>
      <c r="M23" s="11" cm="1">
        <f t="array" ref="M23">IF($C$6=0,0,IF(INDEX($G$4:$M$7,RIGHT(M$18,1),6)="",0,IF($C$4="IRR",INDEX($G$4:$M$7,RIGHT(M$18,1),7)*80%/20,((INDEX($G$4:$M$7,RIGHT(M$18,1),7))/$C$6)*$I23)))</f>
        <v>0</v>
      </c>
      <c r="N23" s="11">
        <f t="shared" si="3"/>
        <v>0</v>
      </c>
    </row>
    <row r="24" spans="1:16" x14ac:dyDescent="0.2">
      <c r="A24" s="471"/>
      <c r="B24" s="12">
        <v>5</v>
      </c>
      <c r="C24" s="10">
        <f>'3.ESS_RÉGÉ'!I27</f>
        <v>0</v>
      </c>
      <c r="D24" s="10">
        <f>'3.ESS_RÉGÉ'!J27</f>
        <v>0</v>
      </c>
      <c r="E24" s="10">
        <f>'3.ESS_RÉGÉ'!K27</f>
        <v>0</v>
      </c>
      <c r="G24" s="471"/>
      <c r="H24" s="3">
        <v>6</v>
      </c>
      <c r="I24" s="11">
        <f>IF($C$4="REG",$C$7*INITIAL_FORET!K26,IF($C$4="RASE",$C$7*INITIAL_FORET!L29,0))</f>
        <v>0</v>
      </c>
      <c r="J24" s="11" cm="1">
        <f t="array" ref="J24">IF($C$6=0,0,IF(INDEX($G$4:$M$7,RIGHT(J$18,1),6)="",0,IF($C$4="IRR",INDEX($G$4:$M$7,RIGHT(J$18,1),7)*80%/20,((INDEX($G$4:$M$7,RIGHT(J$18,1),7))/$C$6)*$I24)))</f>
        <v>0</v>
      </c>
      <c r="K24" s="11" cm="1">
        <f t="array" ref="K24">IF($C$6=0,0,IF(INDEX($G$4:$M$7,RIGHT(K$18,1),6)="",0,IF($C$4="IRR",INDEX($G$4:$M$7,RIGHT(K$18,1),7)*80%/20,((INDEX($G$4:$M$7,RIGHT(K$18,1),7))/$C$6)*$I24)))</f>
        <v>0</v>
      </c>
      <c r="L24" s="11" cm="1">
        <f t="array" ref="L24">IF($C$6=0,0,IF(INDEX($G$4:$M$7,RIGHT(L$18,1),6)="",0,IF($C$4="IRR",INDEX($G$4:$M$7,RIGHT(L$18,1),7)*80%/20,((INDEX($G$4:$M$7,RIGHT(L$18,1),7))/$C$6)*$I24)))</f>
        <v>0</v>
      </c>
      <c r="M24" s="11" cm="1">
        <f t="array" ref="M24">IF($C$6=0,0,IF(INDEX($G$4:$M$7,RIGHT(M$18,1),6)="",0,IF($C$4="IRR",INDEX($G$4:$M$7,RIGHT(M$18,1),7)*80%/20,((INDEX($G$4:$M$7,RIGHT(M$18,1),7))/$C$6)*$I24)))</f>
        <v>0</v>
      </c>
      <c r="N24" s="11">
        <f t="shared" si="3"/>
        <v>0</v>
      </c>
    </row>
    <row r="25" spans="1:16" x14ac:dyDescent="0.2">
      <c r="A25" s="471"/>
      <c r="B25" s="12">
        <v>6</v>
      </c>
      <c r="C25" s="10">
        <f>'3.ESS_RÉGÉ'!I28</f>
        <v>0</v>
      </c>
      <c r="D25" s="10">
        <f>'3.ESS_RÉGÉ'!J28</f>
        <v>0</v>
      </c>
      <c r="E25" s="10">
        <f>'3.ESS_RÉGÉ'!K28</f>
        <v>0</v>
      </c>
      <c r="G25" s="471"/>
      <c r="H25" s="3">
        <v>7</v>
      </c>
      <c r="I25" s="11">
        <f>IF($C$4="REG",$C$7*INITIAL_FORET!K27,IF($C$4="RASE",$C$7*INITIAL_FORET!L30,0))</f>
        <v>0</v>
      </c>
      <c r="J25" s="11" cm="1">
        <f t="array" ref="J25">IF($C$6=0,0,IF(INDEX($G$4:$M$7,RIGHT(J$18,1),6)="",0,IF($C$4="IRR",INDEX($G$4:$M$7,RIGHT(J$18,1),7)*80%/20,((INDEX($G$4:$M$7,RIGHT(J$18,1),7))/$C$6)*$I25)))</f>
        <v>0</v>
      </c>
      <c r="K25" s="11" cm="1">
        <f t="array" ref="K25">IF($C$6=0,0,IF(INDEX($G$4:$M$7,RIGHT(K$18,1),6)="",0,IF($C$4="IRR",INDEX($G$4:$M$7,RIGHT(K$18,1),7)*80%/20,((INDEX($G$4:$M$7,RIGHT(K$18,1),7))/$C$6)*$I25)))</f>
        <v>0</v>
      </c>
      <c r="L25" s="11" cm="1">
        <f t="array" ref="L25">IF($C$6=0,0,IF(INDEX($G$4:$M$7,RIGHT(L$18,1),6)="",0,IF($C$4="IRR",INDEX($G$4:$M$7,RIGHT(L$18,1),7)*80%/20,((INDEX($G$4:$M$7,RIGHT(L$18,1),7))/$C$6)*$I25)))</f>
        <v>0</v>
      </c>
      <c r="M25" s="11" cm="1">
        <f t="array" ref="M25">IF($C$6=0,0,IF(INDEX($G$4:$M$7,RIGHT(M$18,1),6)="",0,IF($C$4="IRR",INDEX($G$4:$M$7,RIGHT(M$18,1),7)*80%/20,((INDEX($G$4:$M$7,RIGHT(M$18,1),7))/$C$6)*$I25)))</f>
        <v>0</v>
      </c>
      <c r="N25" s="11">
        <f t="shared" si="3"/>
        <v>0</v>
      </c>
    </row>
    <row r="26" spans="1:16" x14ac:dyDescent="0.2">
      <c r="A26" s="471"/>
      <c r="B26" s="12">
        <v>7</v>
      </c>
      <c r="C26" s="10">
        <f>'3.ESS_RÉGÉ'!I29</f>
        <v>0</v>
      </c>
      <c r="D26" s="10">
        <f>'3.ESS_RÉGÉ'!J29</f>
        <v>0</v>
      </c>
      <c r="E26" s="10">
        <f>'3.ESS_RÉGÉ'!K29</f>
        <v>0</v>
      </c>
      <c r="G26" s="471"/>
      <c r="H26" s="3">
        <v>8</v>
      </c>
      <c r="I26" s="11">
        <f>IF($C$4="REG",$C$7*INITIAL_FORET!K28,IF($C$4="RASE",$C$7*INITIAL_FORET!L31,0))</f>
        <v>0</v>
      </c>
      <c r="J26" s="11" cm="1">
        <f t="array" ref="J26">IF($C$6=0,0,IF(INDEX($G$4:$M$7,RIGHT(J$18,1),6)="",0,IF($C$4="IRR",INDEX($G$4:$M$7,RIGHT(J$18,1),7)*80%/20,((INDEX($G$4:$M$7,RIGHT(J$18,1),7))/$C$6)*$I26)))</f>
        <v>0</v>
      </c>
      <c r="K26" s="11" cm="1">
        <f t="array" ref="K26">IF($C$6=0,0,IF(INDEX($G$4:$M$7,RIGHT(K$18,1),6)="",0,IF($C$4="IRR",INDEX($G$4:$M$7,RIGHT(K$18,1),7)*80%/20,((INDEX($G$4:$M$7,RIGHT(K$18,1),7))/$C$6)*$I26)))</f>
        <v>0</v>
      </c>
      <c r="L26" s="11" cm="1">
        <f t="array" ref="L26">IF($C$6=0,0,IF(INDEX($G$4:$M$7,RIGHT(L$18,1),6)="",0,IF($C$4="IRR",INDEX($G$4:$M$7,RIGHT(L$18,1),7)*80%/20,((INDEX($G$4:$M$7,RIGHT(L$18,1),7))/$C$6)*$I26)))</f>
        <v>0</v>
      </c>
      <c r="M26" s="11" cm="1">
        <f t="array" ref="M26">IF($C$6=0,0,IF(INDEX($G$4:$M$7,RIGHT(M$18,1),6)="",0,IF($C$4="IRR",INDEX($G$4:$M$7,RIGHT(M$18,1),7)*80%/20,((INDEX($G$4:$M$7,RIGHT(M$18,1),7))/$C$6)*$I26)))</f>
        <v>0</v>
      </c>
      <c r="N26" s="11">
        <f t="shared" si="3"/>
        <v>0</v>
      </c>
    </row>
    <row r="27" spans="1:16" x14ac:dyDescent="0.2">
      <c r="A27" s="471"/>
      <c r="B27" s="12">
        <v>8</v>
      </c>
      <c r="C27" s="10">
        <f>'3.ESS_RÉGÉ'!I30</f>
        <v>0</v>
      </c>
      <c r="D27" s="10">
        <f>'3.ESS_RÉGÉ'!J30</f>
        <v>0</v>
      </c>
      <c r="E27" s="10">
        <f>'3.ESS_RÉGÉ'!K30</f>
        <v>0</v>
      </c>
      <c r="G27" s="471"/>
      <c r="H27" s="3">
        <v>9</v>
      </c>
      <c r="I27" s="11">
        <f>IF($C$4="REG",$C$7*INITIAL_FORET!K29,IF($C$4="RASE",$C$7*INITIAL_FORET!L32,0))</f>
        <v>0</v>
      </c>
      <c r="J27" s="11" cm="1">
        <f t="array" ref="J27">IF($C$6=0,0,IF(INDEX($G$4:$M$7,RIGHT(J$18,1),6)="",0,IF($C$4="IRR",INDEX($G$4:$M$7,RIGHT(J$18,1),7)*80%/20,((INDEX($G$4:$M$7,RIGHT(J$18,1),7))/$C$6)*$I27)))</f>
        <v>0</v>
      </c>
      <c r="K27" s="11" cm="1">
        <f t="array" ref="K27">IF($C$6=0,0,IF(INDEX($G$4:$M$7,RIGHT(K$18,1),6)="",0,IF($C$4="IRR",INDEX($G$4:$M$7,RIGHT(K$18,1),7)*80%/20,((INDEX($G$4:$M$7,RIGHT(K$18,1),7))/$C$6)*$I27)))</f>
        <v>0</v>
      </c>
      <c r="L27" s="11" cm="1">
        <f t="array" ref="L27">IF($C$6=0,0,IF(INDEX($G$4:$M$7,RIGHT(L$18,1),6)="",0,IF($C$4="IRR",INDEX($G$4:$M$7,RIGHT(L$18,1),7)*80%/20,((INDEX($G$4:$M$7,RIGHT(L$18,1),7))/$C$6)*$I27)))</f>
        <v>0</v>
      </c>
      <c r="M27" s="11" cm="1">
        <f t="array" ref="M27">IF($C$6=0,0,IF(INDEX($G$4:$M$7,RIGHT(M$18,1),6)="",0,IF($C$4="IRR",INDEX($G$4:$M$7,RIGHT(M$18,1),7)*80%/20,((INDEX($G$4:$M$7,RIGHT(M$18,1),7))/$C$6)*$I27)))</f>
        <v>0</v>
      </c>
      <c r="N27" s="11">
        <f t="shared" si="3"/>
        <v>0</v>
      </c>
    </row>
    <row r="28" spans="1:16" x14ac:dyDescent="0.2">
      <c r="A28" s="471"/>
      <c r="B28" s="12">
        <v>9</v>
      </c>
      <c r="C28" s="10">
        <f>'3.ESS_RÉGÉ'!I31</f>
        <v>0</v>
      </c>
      <c r="D28" s="10">
        <f>'3.ESS_RÉGÉ'!J31</f>
        <v>0</v>
      </c>
      <c r="E28" s="10">
        <f>'3.ESS_RÉGÉ'!K31</f>
        <v>0</v>
      </c>
      <c r="G28" s="471"/>
      <c r="H28" s="3">
        <v>10</v>
      </c>
      <c r="I28" s="11">
        <f>IF($C$4="REG",$C$7*INITIAL_FORET!K30,IF($C$4="RASE",$C$7*INITIAL_FORET!L33,0))</f>
        <v>0</v>
      </c>
      <c r="J28" s="11" cm="1">
        <f t="array" ref="J28">IF($C$6=0,0,IF(INDEX($G$4:$M$7,RIGHT(J$18,1),6)="",0,IF($C$4="IRR",INDEX($G$4:$M$7,RIGHT(J$18,1),7)*80%/20,((INDEX($G$4:$M$7,RIGHT(J$18,1),7))/$C$6)*$I28)))</f>
        <v>0</v>
      </c>
      <c r="K28" s="11" cm="1">
        <f t="array" ref="K28">IF($C$6=0,0,IF(INDEX($G$4:$M$7,RIGHT(K$18,1),6)="",0,IF($C$4="IRR",INDEX($G$4:$M$7,RIGHT(K$18,1),7)*80%/20,((INDEX($G$4:$M$7,RIGHT(K$18,1),7))/$C$6)*$I28)))</f>
        <v>0</v>
      </c>
      <c r="L28" s="11" cm="1">
        <f t="array" ref="L28">IF($C$6=0,0,IF(INDEX($G$4:$M$7,RIGHT(L$18,1),6)="",0,IF($C$4="IRR",INDEX($G$4:$M$7,RIGHT(L$18,1),7)*80%/20,((INDEX($G$4:$M$7,RIGHT(L$18,1),7))/$C$6)*$I28)))</f>
        <v>0</v>
      </c>
      <c r="M28" s="11" cm="1">
        <f t="array" ref="M28">IF($C$6=0,0,IF(INDEX($G$4:$M$7,RIGHT(M$18,1),6)="",0,IF($C$4="IRR",INDEX($G$4:$M$7,RIGHT(M$18,1),7)*80%/20,((INDEX($G$4:$M$7,RIGHT(M$18,1),7))/$C$6)*$I28)))</f>
        <v>0</v>
      </c>
      <c r="N28" s="11">
        <f t="shared" si="3"/>
        <v>0</v>
      </c>
    </row>
    <row r="29" spans="1:16" x14ac:dyDescent="0.2">
      <c r="A29" s="471"/>
      <c r="B29" s="12">
        <v>10</v>
      </c>
      <c r="C29" s="10">
        <f>'3.ESS_RÉGÉ'!I32</f>
        <v>0</v>
      </c>
      <c r="D29" s="10">
        <f>'3.ESS_RÉGÉ'!J32</f>
        <v>0</v>
      </c>
      <c r="E29" s="10">
        <f>'3.ESS_RÉGÉ'!K32</f>
        <v>0</v>
      </c>
      <c r="G29" s="471"/>
      <c r="H29" s="3">
        <v>11</v>
      </c>
      <c r="I29" s="11">
        <f>IF($C$4="REG",$C$7*INITIAL_FORET!K31,IF($C$4="RASE",$C$7*INITIAL_FORET!L34,0))</f>
        <v>0</v>
      </c>
      <c r="J29" s="11" cm="1">
        <f t="array" ref="J29">IF($C$6=0,0,IF(INDEX($G$4:$M$7,RIGHT(J$18,1),6)="",0,IF($C$4="IRR",INDEX($G$4:$M$7,RIGHT(J$18,1),7)*80%/20,((INDEX($G$4:$M$7,RIGHT(J$18,1),7))/$C$6)*$I29)))</f>
        <v>0</v>
      </c>
      <c r="K29" s="11" cm="1">
        <f t="array" ref="K29">IF($C$6=0,0,IF(INDEX($G$4:$M$7,RIGHT(K$18,1),6)="",0,IF($C$4="IRR",INDEX($G$4:$M$7,RIGHT(K$18,1),7)*80%/20,((INDEX($G$4:$M$7,RIGHT(K$18,1),7))/$C$6)*$I29)))</f>
        <v>0</v>
      </c>
      <c r="L29" s="11" cm="1">
        <f t="array" ref="L29">IF($C$6=0,0,IF(INDEX($G$4:$M$7,RIGHT(L$18,1),6)="",0,IF($C$4="IRR",INDEX($G$4:$M$7,RIGHT(L$18,1),7)*80%/20,((INDEX($G$4:$M$7,RIGHT(L$18,1),7))/$C$6)*$I29)))</f>
        <v>0</v>
      </c>
      <c r="M29" s="11" cm="1">
        <f t="array" ref="M29">IF($C$6=0,0,IF(INDEX($G$4:$M$7,RIGHT(M$18,1),6)="",0,IF($C$4="IRR",INDEX($G$4:$M$7,RIGHT(M$18,1),7)*80%/20,((INDEX($G$4:$M$7,RIGHT(M$18,1),7))/$C$6)*$I29)))</f>
        <v>0</v>
      </c>
      <c r="N29" s="11">
        <f t="shared" si="3"/>
        <v>0</v>
      </c>
    </row>
    <row r="30" spans="1:16" x14ac:dyDescent="0.2">
      <c r="A30" s="471"/>
      <c r="B30" s="12">
        <v>11</v>
      </c>
      <c r="C30" s="10">
        <f>'3.ESS_RÉGÉ'!I33</f>
        <v>0</v>
      </c>
      <c r="D30" s="10">
        <f>'3.ESS_RÉGÉ'!J33</f>
        <v>0</v>
      </c>
      <c r="E30" s="10">
        <f>'3.ESS_RÉGÉ'!K33</f>
        <v>0</v>
      </c>
      <c r="G30" s="471"/>
      <c r="H30" s="3">
        <v>12</v>
      </c>
      <c r="I30" s="11">
        <f>IF($C$4="REG",$C$7*INITIAL_FORET!K32,IF($C$4="RASE",$C$7*INITIAL_FORET!L35,0))</f>
        <v>0</v>
      </c>
      <c r="J30" s="11" cm="1">
        <f t="array" ref="J30">IF($C$6=0,0,IF(INDEX($G$4:$M$7,RIGHT(J$18,1),6)="",0,IF($C$4="IRR",INDEX($G$4:$M$7,RIGHT(J$18,1),7)*80%/20,((INDEX($G$4:$M$7,RIGHT(J$18,1),7))/$C$6)*$I30)))</f>
        <v>0</v>
      </c>
      <c r="K30" s="11" cm="1">
        <f t="array" ref="K30">IF($C$6=0,0,IF(INDEX($G$4:$M$7,RIGHT(K$18,1),6)="",0,IF($C$4="IRR",INDEX($G$4:$M$7,RIGHT(K$18,1),7)*80%/20,((INDEX($G$4:$M$7,RIGHT(K$18,1),7))/$C$6)*$I30)))</f>
        <v>0</v>
      </c>
      <c r="L30" s="11" cm="1">
        <f t="array" ref="L30">IF($C$6=0,0,IF(INDEX($G$4:$M$7,RIGHT(L$18,1),6)="",0,IF($C$4="IRR",INDEX($G$4:$M$7,RIGHT(L$18,1),7)*80%/20,((INDEX($G$4:$M$7,RIGHT(L$18,1),7))/$C$6)*$I30)))</f>
        <v>0</v>
      </c>
      <c r="M30" s="11" cm="1">
        <f t="array" ref="M30">IF($C$6=0,0,IF(INDEX($G$4:$M$7,RIGHT(M$18,1),6)="",0,IF($C$4="IRR",INDEX($G$4:$M$7,RIGHT(M$18,1),7)*80%/20,((INDEX($G$4:$M$7,RIGHT(M$18,1),7))/$C$6)*$I30)))</f>
        <v>0</v>
      </c>
      <c r="N30" s="11">
        <f t="shared" si="3"/>
        <v>0</v>
      </c>
    </row>
    <row r="31" spans="1:16" x14ac:dyDescent="0.2">
      <c r="A31" s="471"/>
      <c r="B31" s="12">
        <v>12</v>
      </c>
      <c r="C31" s="10">
        <f>'3.ESS_RÉGÉ'!I34</f>
        <v>0</v>
      </c>
      <c r="D31" s="10">
        <f>'3.ESS_RÉGÉ'!J34</f>
        <v>0</v>
      </c>
      <c r="E31" s="10">
        <f>'3.ESS_RÉGÉ'!K34</f>
        <v>0</v>
      </c>
      <c r="G31" s="471"/>
      <c r="H31" s="3">
        <v>13</v>
      </c>
      <c r="I31" s="11">
        <f>IF($C$4="REG",$C$7*INITIAL_FORET!K33,IF($C$4="RASE",$C$7*INITIAL_FORET!L36,0))</f>
        <v>0</v>
      </c>
      <c r="J31" s="11" cm="1">
        <f t="array" ref="J31">IF($C$6=0,0,IF(INDEX($G$4:$M$7,RIGHT(J$18,1),6)="",0,IF($C$4="IRR",INDEX($G$4:$M$7,RIGHT(J$18,1),7)*80%/20,((INDEX($G$4:$M$7,RIGHT(J$18,1),7))/$C$6)*$I31)))</f>
        <v>0</v>
      </c>
      <c r="K31" s="11" cm="1">
        <f t="array" ref="K31">IF($C$6=0,0,IF(INDEX($G$4:$M$7,RIGHT(K$18,1),6)="",0,IF($C$4="IRR",INDEX($G$4:$M$7,RIGHT(K$18,1),7)*80%/20,((INDEX($G$4:$M$7,RIGHT(K$18,1),7))/$C$6)*$I31)))</f>
        <v>0</v>
      </c>
      <c r="L31" s="11" cm="1">
        <f t="array" ref="L31">IF($C$6=0,0,IF(INDEX($G$4:$M$7,RIGHT(L$18,1),6)="",0,IF($C$4="IRR",INDEX($G$4:$M$7,RIGHT(L$18,1),7)*80%/20,((INDEX($G$4:$M$7,RIGHT(L$18,1),7))/$C$6)*$I31)))</f>
        <v>0</v>
      </c>
      <c r="M31" s="11" cm="1">
        <f t="array" ref="M31">IF($C$6=0,0,IF(INDEX($G$4:$M$7,RIGHT(M$18,1),6)="",0,IF($C$4="IRR",INDEX($G$4:$M$7,RIGHT(M$18,1),7)*80%/20,((INDEX($G$4:$M$7,RIGHT(M$18,1),7))/$C$6)*$I31)))</f>
        <v>0</v>
      </c>
      <c r="N31" s="11">
        <f t="shared" si="3"/>
        <v>0</v>
      </c>
    </row>
    <row r="32" spans="1:16" x14ac:dyDescent="0.2">
      <c r="A32" s="471"/>
      <c r="B32" s="12">
        <v>13</v>
      </c>
      <c r="C32" s="10">
        <f>'3.ESS_RÉGÉ'!I35</f>
        <v>0</v>
      </c>
      <c r="D32" s="10">
        <f>'3.ESS_RÉGÉ'!J35</f>
        <v>0</v>
      </c>
      <c r="E32" s="10">
        <f>'3.ESS_RÉGÉ'!K35</f>
        <v>0</v>
      </c>
      <c r="G32" s="471"/>
      <c r="H32" s="3">
        <v>14</v>
      </c>
      <c r="I32" s="11">
        <f>IF($C$4="REG",$C$7*INITIAL_FORET!K34,IF($C$4="RASE",$C$7*INITIAL_FORET!L37,0))</f>
        <v>0</v>
      </c>
      <c r="J32" s="11" cm="1">
        <f t="array" ref="J32">IF($C$6=0,0,IF(INDEX($G$4:$M$7,RIGHT(J$18,1),6)="",0,IF($C$4="IRR",INDEX($G$4:$M$7,RIGHT(J$18,1),7)*80%/20,((INDEX($G$4:$M$7,RIGHT(J$18,1),7))/$C$6)*$I32)))</f>
        <v>0</v>
      </c>
      <c r="K32" s="11" cm="1">
        <f t="array" ref="K32">IF($C$6=0,0,IF(INDEX($G$4:$M$7,RIGHT(K$18,1),6)="",0,IF($C$4="IRR",INDEX($G$4:$M$7,RIGHT(K$18,1),7)*80%/20,((INDEX($G$4:$M$7,RIGHT(K$18,1),7))/$C$6)*$I32)))</f>
        <v>0</v>
      </c>
      <c r="L32" s="11" cm="1">
        <f t="array" ref="L32">IF($C$6=0,0,IF(INDEX($G$4:$M$7,RIGHT(L$18,1),6)="",0,IF($C$4="IRR",INDEX($G$4:$M$7,RIGHT(L$18,1),7)*80%/20,((INDEX($G$4:$M$7,RIGHT(L$18,1),7))/$C$6)*$I32)))</f>
        <v>0</v>
      </c>
      <c r="M32" s="11" cm="1">
        <f t="array" ref="M32">IF($C$6=0,0,IF(INDEX($G$4:$M$7,RIGHT(M$18,1),6)="",0,IF($C$4="IRR",INDEX($G$4:$M$7,RIGHT(M$18,1),7)*80%/20,((INDEX($G$4:$M$7,RIGHT(M$18,1),7))/$C$6)*$I32)))</f>
        <v>0</v>
      </c>
      <c r="N32" s="11">
        <f t="shared" si="3"/>
        <v>0</v>
      </c>
    </row>
    <row r="33" spans="1:14" x14ac:dyDescent="0.2">
      <c r="A33" s="471"/>
      <c r="B33" s="12">
        <v>14</v>
      </c>
      <c r="C33" s="10">
        <f>'3.ESS_RÉGÉ'!I36</f>
        <v>0</v>
      </c>
      <c r="D33" s="10">
        <f>'3.ESS_RÉGÉ'!J36</f>
        <v>0</v>
      </c>
      <c r="E33" s="10">
        <f>'3.ESS_RÉGÉ'!K36</f>
        <v>0</v>
      </c>
      <c r="G33" s="471"/>
      <c r="H33" s="3">
        <v>15</v>
      </c>
      <c r="I33" s="11">
        <f>IF($C$4="REG",$C$7*INITIAL_FORET!K35,IF($C$4="RASE",$C$7*INITIAL_FORET!L38,0))</f>
        <v>0</v>
      </c>
      <c r="J33" s="11" cm="1">
        <f t="array" ref="J33">IF($C$6=0,0,IF(INDEX($G$4:$M$7,RIGHT(J$18,1),6)="",0,IF($C$4="IRR",INDEX($G$4:$M$7,RIGHT(J$18,1),7)*80%/20,((INDEX($G$4:$M$7,RIGHT(J$18,1),7))/$C$6)*$I33)))</f>
        <v>0</v>
      </c>
      <c r="K33" s="11" cm="1">
        <f t="array" ref="K33">IF($C$6=0,0,IF(INDEX($G$4:$M$7,RIGHT(K$18,1),6)="",0,IF($C$4="IRR",INDEX($G$4:$M$7,RIGHT(K$18,1),7)*80%/20,((INDEX($G$4:$M$7,RIGHT(K$18,1),7))/$C$6)*$I33)))</f>
        <v>0</v>
      </c>
      <c r="L33" s="11" cm="1">
        <f t="array" ref="L33">IF($C$6=0,0,IF(INDEX($G$4:$M$7,RIGHT(L$18,1),6)="",0,IF($C$4="IRR",INDEX($G$4:$M$7,RIGHT(L$18,1),7)*80%/20,((INDEX($G$4:$M$7,RIGHT(L$18,1),7))/$C$6)*$I33)))</f>
        <v>0</v>
      </c>
      <c r="M33" s="11" cm="1">
        <f t="array" ref="M33">IF($C$6=0,0,IF(INDEX($G$4:$M$7,RIGHT(M$18,1),6)="",0,IF($C$4="IRR",INDEX($G$4:$M$7,RIGHT(M$18,1),7)*80%/20,((INDEX($G$4:$M$7,RIGHT(M$18,1),7))/$C$6)*$I33)))</f>
        <v>0</v>
      </c>
      <c r="N33" s="11">
        <f t="shared" si="3"/>
        <v>0</v>
      </c>
    </row>
    <row r="34" spans="1:14" x14ac:dyDescent="0.2">
      <c r="A34" s="471"/>
      <c r="B34" s="12">
        <v>15</v>
      </c>
      <c r="C34" s="10">
        <f>'3.ESS_RÉGÉ'!I37</f>
        <v>0</v>
      </c>
      <c r="D34" s="10">
        <f>'3.ESS_RÉGÉ'!J37</f>
        <v>0</v>
      </c>
      <c r="E34" s="10">
        <f>'3.ESS_RÉGÉ'!K37</f>
        <v>0</v>
      </c>
      <c r="G34" s="471"/>
      <c r="H34" s="3">
        <v>16</v>
      </c>
      <c r="I34" s="11">
        <f>IF($C$4="REG",$C$7*INITIAL_FORET!K36,IF($C$4="RASE",$C$7*INITIAL_FORET!L39,0))</f>
        <v>0</v>
      </c>
      <c r="J34" s="11" cm="1">
        <f t="array" ref="J34">IF($C$6=0,0,IF(INDEX($G$4:$M$7,RIGHT(J$18,1),6)="",0,IF($C$4="IRR",INDEX($G$4:$M$7,RIGHT(J$18,1),7)*80%/20,((INDEX($G$4:$M$7,RIGHT(J$18,1),7))/$C$6)*$I34)))</f>
        <v>0</v>
      </c>
      <c r="K34" s="11" cm="1">
        <f t="array" ref="K34">IF($C$6=0,0,IF(INDEX($G$4:$M$7,RIGHT(K$18,1),6)="",0,IF($C$4="IRR",INDEX($G$4:$M$7,RIGHT(K$18,1),7)*80%/20,((INDEX($G$4:$M$7,RIGHT(K$18,1),7))/$C$6)*$I34)))</f>
        <v>0</v>
      </c>
      <c r="L34" s="11" cm="1">
        <f t="array" ref="L34">IF($C$6=0,0,IF(INDEX($G$4:$M$7,RIGHT(L$18,1),6)="",0,IF($C$4="IRR",INDEX($G$4:$M$7,RIGHT(L$18,1),7)*80%/20,((INDEX($G$4:$M$7,RIGHT(L$18,1),7))/$C$6)*$I34)))</f>
        <v>0</v>
      </c>
      <c r="M34" s="11" cm="1">
        <f t="array" ref="M34">IF($C$6=0,0,IF(INDEX($G$4:$M$7,RIGHT(M$18,1),6)="",0,IF($C$4="IRR",INDEX($G$4:$M$7,RIGHT(M$18,1),7)*80%/20,((INDEX($G$4:$M$7,RIGHT(M$18,1),7))/$C$6)*$I34)))</f>
        <v>0</v>
      </c>
      <c r="N34" s="11">
        <f t="shared" si="3"/>
        <v>0</v>
      </c>
    </row>
    <row r="35" spans="1:14" x14ac:dyDescent="0.2">
      <c r="A35" s="471"/>
      <c r="B35" s="12">
        <v>16</v>
      </c>
      <c r="C35" s="10">
        <f>'3.ESS_RÉGÉ'!I38</f>
        <v>0</v>
      </c>
      <c r="D35" s="10">
        <f>'3.ESS_RÉGÉ'!J38</f>
        <v>0</v>
      </c>
      <c r="E35" s="10">
        <f>'3.ESS_RÉGÉ'!K38</f>
        <v>0</v>
      </c>
      <c r="G35" s="471"/>
      <c r="H35" s="3">
        <v>17</v>
      </c>
      <c r="I35" s="11">
        <f>IF($C$4="REG",$C$7*INITIAL_FORET!K37,IF($C$4="RASE",$C$7*INITIAL_FORET!L40,0))</f>
        <v>0</v>
      </c>
      <c r="J35" s="11" cm="1">
        <f t="array" ref="J35">IF($C$6=0,0,IF(INDEX($G$4:$M$7,RIGHT(J$18,1),6)="",0,IF($C$4="IRR",INDEX($G$4:$M$7,RIGHT(J$18,1),7)*80%/20,((INDEX($G$4:$M$7,RIGHT(J$18,1),7))/$C$6)*$I35)))</f>
        <v>0</v>
      </c>
      <c r="K35" s="11" cm="1">
        <f t="array" ref="K35">IF($C$6=0,0,IF(INDEX($G$4:$M$7,RIGHT(K$18,1),6)="",0,IF($C$4="IRR",INDEX($G$4:$M$7,RIGHT(K$18,1),7)*80%/20,((INDEX($G$4:$M$7,RIGHT(K$18,1),7))/$C$6)*$I35)))</f>
        <v>0</v>
      </c>
      <c r="L35" s="11" cm="1">
        <f t="array" ref="L35">IF($C$6=0,0,IF(INDEX($G$4:$M$7,RIGHT(L$18,1),6)="",0,IF($C$4="IRR",INDEX($G$4:$M$7,RIGHT(L$18,1),7)*80%/20,((INDEX($G$4:$M$7,RIGHT(L$18,1),7))/$C$6)*$I35)))</f>
        <v>0</v>
      </c>
      <c r="M35" s="11" cm="1">
        <f t="array" ref="M35">IF($C$6=0,0,IF(INDEX($G$4:$M$7,RIGHT(M$18,1),6)="",0,IF($C$4="IRR",INDEX($G$4:$M$7,RIGHT(M$18,1),7)*80%/20,((INDEX($G$4:$M$7,RIGHT(M$18,1),7))/$C$6)*$I35)))</f>
        <v>0</v>
      </c>
      <c r="N35" s="11">
        <f t="shared" si="3"/>
        <v>0</v>
      </c>
    </row>
    <row r="36" spans="1:14" x14ac:dyDescent="0.2">
      <c r="A36" s="471"/>
      <c r="B36" s="12">
        <v>17</v>
      </c>
      <c r="C36" s="10">
        <f>'3.ESS_RÉGÉ'!I39</f>
        <v>0</v>
      </c>
      <c r="D36" s="10">
        <f>'3.ESS_RÉGÉ'!J39</f>
        <v>0</v>
      </c>
      <c r="E36" s="10">
        <f>'3.ESS_RÉGÉ'!K39</f>
        <v>0</v>
      </c>
      <c r="G36" s="471"/>
      <c r="H36" s="3">
        <v>18</v>
      </c>
      <c r="I36" s="11">
        <f>IF($C$4="REG",$C$7*INITIAL_FORET!K38,IF($C$4="RASE",$C$7*INITIAL_FORET!L41,0))</f>
        <v>0</v>
      </c>
      <c r="J36" s="11" cm="1">
        <f t="array" ref="J36">IF($C$6=0,0,IF(INDEX($G$4:$M$7,RIGHT(J$18,1),6)="",0,IF($C$4="IRR",INDEX($G$4:$M$7,RIGHT(J$18,1),7)*80%/20,((INDEX($G$4:$M$7,RIGHT(J$18,1),7))/$C$6)*$I36)))</f>
        <v>0</v>
      </c>
      <c r="K36" s="11" cm="1">
        <f t="array" ref="K36">IF($C$6=0,0,IF(INDEX($G$4:$M$7,RIGHT(K$18,1),6)="",0,IF($C$4="IRR",INDEX($G$4:$M$7,RIGHT(K$18,1),7)*80%/20,((INDEX($G$4:$M$7,RIGHT(K$18,1),7))/$C$6)*$I36)))</f>
        <v>0</v>
      </c>
      <c r="L36" s="11" cm="1">
        <f t="array" ref="L36">IF($C$6=0,0,IF(INDEX($G$4:$M$7,RIGHT(L$18,1),6)="",0,IF($C$4="IRR",INDEX($G$4:$M$7,RIGHT(L$18,1),7)*80%/20,((INDEX($G$4:$M$7,RIGHT(L$18,1),7))/$C$6)*$I36)))</f>
        <v>0</v>
      </c>
      <c r="M36" s="11" cm="1">
        <f t="array" ref="M36">IF($C$6=0,0,IF(INDEX($G$4:$M$7,RIGHT(M$18,1),6)="",0,IF($C$4="IRR",INDEX($G$4:$M$7,RIGHT(M$18,1),7)*80%/20,((INDEX($G$4:$M$7,RIGHT(M$18,1),7))/$C$6)*$I36)))</f>
        <v>0</v>
      </c>
      <c r="N36" s="11">
        <f t="shared" si="3"/>
        <v>0</v>
      </c>
    </row>
    <row r="37" spans="1:14" x14ac:dyDescent="0.2">
      <c r="A37" s="471"/>
      <c r="B37" s="12">
        <v>18</v>
      </c>
      <c r="C37" s="10">
        <f>'3.ESS_RÉGÉ'!I40</f>
        <v>0</v>
      </c>
      <c r="D37" s="10">
        <f>'3.ESS_RÉGÉ'!J40</f>
        <v>0</v>
      </c>
      <c r="E37" s="10">
        <f>'3.ESS_RÉGÉ'!K40</f>
        <v>0</v>
      </c>
      <c r="G37" s="471"/>
      <c r="H37" s="3">
        <v>19</v>
      </c>
      <c r="I37" s="11">
        <f>IF($C$4="REG",$C$7*INITIAL_FORET!K39,IF($C$4="RASE",$C$7*INITIAL_FORET!L42,0))</f>
        <v>0</v>
      </c>
      <c r="J37" s="11" cm="1">
        <f t="array" ref="J37">IF($C$6=0,0,IF(INDEX($G$4:$M$7,RIGHT(J$18,1),6)="",0,IF($C$4="IRR",INDEX($G$4:$M$7,RIGHT(J$18,1),7)*80%/20,((INDEX($G$4:$M$7,RIGHT(J$18,1),7))/$C$6)*$I37)))</f>
        <v>0</v>
      </c>
      <c r="K37" s="11" cm="1">
        <f t="array" ref="K37">IF($C$6=0,0,IF(INDEX($G$4:$M$7,RIGHT(K$18,1),6)="",0,IF($C$4="IRR",INDEX($G$4:$M$7,RIGHT(K$18,1),7)*80%/20,((INDEX($G$4:$M$7,RIGHT(K$18,1),7))/$C$6)*$I37)))</f>
        <v>0</v>
      </c>
      <c r="L37" s="11" cm="1">
        <f t="array" ref="L37">IF($C$6=0,0,IF(INDEX($G$4:$M$7,RIGHT(L$18,1),6)="",0,IF($C$4="IRR",INDEX($G$4:$M$7,RIGHT(L$18,1),7)*80%/20,((INDEX($G$4:$M$7,RIGHT(L$18,1),7))/$C$6)*$I37)))</f>
        <v>0</v>
      </c>
      <c r="M37" s="11" cm="1">
        <f t="array" ref="M37">IF($C$6=0,0,IF(INDEX($G$4:$M$7,RIGHT(M$18,1),6)="",0,IF($C$4="IRR",INDEX($G$4:$M$7,RIGHT(M$18,1),7)*80%/20,((INDEX($G$4:$M$7,RIGHT(M$18,1),7))/$C$6)*$I37)))</f>
        <v>0</v>
      </c>
      <c r="N37" s="11">
        <f t="shared" si="3"/>
        <v>0</v>
      </c>
    </row>
    <row r="38" spans="1:14" x14ac:dyDescent="0.2">
      <c r="A38" s="471"/>
      <c r="B38" s="12">
        <v>19</v>
      </c>
      <c r="C38" s="10">
        <f>'3.ESS_RÉGÉ'!I41</f>
        <v>0</v>
      </c>
      <c r="D38" s="10">
        <f>'3.ESS_RÉGÉ'!J41</f>
        <v>0</v>
      </c>
      <c r="E38" s="10">
        <f>'3.ESS_RÉGÉ'!K41</f>
        <v>0</v>
      </c>
      <c r="G38" s="471"/>
      <c r="H38" s="3">
        <v>20</v>
      </c>
      <c r="I38" s="11">
        <f>IF($C$4="REG",$C$7*INITIAL_FORET!K40,IF($C$4="RASE",$C$7*INITIAL_FORET!L43,0))</f>
        <v>0</v>
      </c>
      <c r="J38" s="11" cm="1">
        <f t="array" ref="J38">IF($C$6=0,0,IF(INDEX($G$4:$M$7,RIGHT(J$18,1),6)="",0,IF($C$4="IRR",INDEX($G$4:$M$7,RIGHT(J$18,1),7)*80%/20,((INDEX($G$4:$M$7,RIGHT(J$18,1),7))/$C$6)*$I38)))</f>
        <v>0</v>
      </c>
      <c r="K38" s="11" cm="1">
        <f t="array" ref="K38">IF($C$6=0,0,IF(INDEX($G$4:$M$7,RIGHT(K$18,1),6)="",0,IF($C$4="IRR",INDEX($G$4:$M$7,RIGHT(K$18,1),7)*80%/20,((INDEX($G$4:$M$7,RIGHT(K$18,1),7))/$C$6)*$I38)))</f>
        <v>0</v>
      </c>
      <c r="L38" s="11" cm="1">
        <f t="array" ref="L38">IF($C$6=0,0,IF(INDEX($G$4:$M$7,RIGHT(L$18,1),6)="",0,IF($C$4="IRR",INDEX($G$4:$M$7,RIGHT(L$18,1),7)*80%/20,((INDEX($G$4:$M$7,RIGHT(L$18,1),7))/$C$6)*$I38)))</f>
        <v>0</v>
      </c>
      <c r="M38" s="11" cm="1">
        <f t="array" ref="M38">IF($C$6=0,0,IF(INDEX($G$4:$M$7,RIGHT(M$18,1),6)="",0,IF($C$4="IRR",INDEX($G$4:$M$7,RIGHT(M$18,1),7)*80%/20,((INDEX($G$4:$M$7,RIGHT(M$18,1),7))/$C$6)*$I38)))</f>
        <v>0</v>
      </c>
      <c r="N38" s="11">
        <f t="shared" si="3"/>
        <v>0</v>
      </c>
    </row>
    <row r="39" spans="1:14" x14ac:dyDescent="0.2">
      <c r="A39" s="471"/>
      <c r="B39" s="12">
        <v>20</v>
      </c>
      <c r="C39" s="10">
        <f>'3.ESS_RÉGÉ'!I42</f>
        <v>0</v>
      </c>
      <c r="D39" s="10">
        <f>'3.ESS_RÉGÉ'!J42</f>
        <v>0</v>
      </c>
      <c r="E39" s="10">
        <f>'3.ESS_RÉGÉ'!K42</f>
        <v>0</v>
      </c>
      <c r="G39" s="219"/>
      <c r="I39" s="11"/>
      <c r="J39" s="11"/>
      <c r="K39" s="11"/>
      <c r="L39" s="11"/>
      <c r="M39" s="11"/>
    </row>
    <row r="40" spans="1:14" x14ac:dyDescent="0.2">
      <c r="A40" s="471"/>
      <c r="B40" s="12">
        <v>21</v>
      </c>
      <c r="C40" s="10">
        <f>'3.ESS_RÉGÉ'!I43</f>
        <v>0</v>
      </c>
      <c r="D40" s="10">
        <f>'3.ESS_RÉGÉ'!J43</f>
        <v>0</v>
      </c>
      <c r="E40" s="10">
        <f>'3.ESS_RÉGÉ'!K43</f>
        <v>0</v>
      </c>
      <c r="G40" s="166"/>
    </row>
    <row r="41" spans="1:14" x14ac:dyDescent="0.2">
      <c r="A41" s="471"/>
      <c r="B41" s="12">
        <v>22</v>
      </c>
      <c r="C41" s="10">
        <f>'3.ESS_RÉGÉ'!I44</f>
        <v>0</v>
      </c>
      <c r="D41" s="10">
        <f>'3.ESS_RÉGÉ'!J44</f>
        <v>0</v>
      </c>
      <c r="E41" s="10">
        <f>'3.ESS_RÉGÉ'!K44</f>
        <v>0</v>
      </c>
      <c r="G41" s="166"/>
    </row>
    <row r="42" spans="1:14" x14ac:dyDescent="0.2">
      <c r="A42" s="471"/>
      <c r="B42" s="12">
        <v>23</v>
      </c>
      <c r="C42" s="10">
        <f>'3.ESS_RÉGÉ'!I45</f>
        <v>0</v>
      </c>
      <c r="D42" s="10">
        <f>'3.ESS_RÉGÉ'!J45</f>
        <v>0</v>
      </c>
      <c r="E42" s="10">
        <f>'3.ESS_RÉGÉ'!K45</f>
        <v>0</v>
      </c>
      <c r="G42" s="166"/>
    </row>
    <row r="43" spans="1:14" x14ac:dyDescent="0.2">
      <c r="A43" s="471"/>
      <c r="B43" s="12">
        <v>24</v>
      </c>
      <c r="C43" s="10">
        <f>'3.ESS_RÉGÉ'!I46</f>
        <v>0</v>
      </c>
      <c r="D43" s="10">
        <f>'3.ESS_RÉGÉ'!J46</f>
        <v>0</v>
      </c>
      <c r="E43" s="10">
        <f>'3.ESS_RÉGÉ'!K46</f>
        <v>0</v>
      </c>
      <c r="G43" s="166"/>
    </row>
    <row r="44" spans="1:14" x14ac:dyDescent="0.2">
      <c r="A44" s="471"/>
      <c r="B44" s="12">
        <v>25</v>
      </c>
      <c r="C44" s="10">
        <f>'3.ESS_RÉGÉ'!I47</f>
        <v>0</v>
      </c>
      <c r="D44" s="10">
        <f>'3.ESS_RÉGÉ'!J47</f>
        <v>0</v>
      </c>
      <c r="E44" s="10">
        <f>'3.ESS_RÉGÉ'!K47</f>
        <v>0</v>
      </c>
      <c r="G44" s="166"/>
    </row>
    <row r="45" spans="1:14" x14ac:dyDescent="0.2">
      <c r="A45" s="471"/>
      <c r="B45" s="12">
        <v>26</v>
      </c>
      <c r="C45" s="10">
        <f>'3.ESS_RÉGÉ'!I48</f>
        <v>0</v>
      </c>
      <c r="D45" s="10">
        <f>'3.ESS_RÉGÉ'!J48</f>
        <v>0</v>
      </c>
      <c r="E45" s="10">
        <f>'3.ESS_RÉGÉ'!K48</f>
        <v>0</v>
      </c>
      <c r="G45" s="166"/>
    </row>
    <row r="46" spans="1:14" x14ac:dyDescent="0.2">
      <c r="A46" s="471"/>
      <c r="B46" s="12">
        <v>27</v>
      </c>
      <c r="C46" s="10">
        <f>'3.ESS_RÉGÉ'!I49</f>
        <v>0</v>
      </c>
      <c r="D46" s="10">
        <f>'3.ESS_RÉGÉ'!J49</f>
        <v>0</v>
      </c>
      <c r="E46" s="10">
        <f>'3.ESS_RÉGÉ'!K49</f>
        <v>0</v>
      </c>
      <c r="G46" s="166"/>
    </row>
    <row r="47" spans="1:14" x14ac:dyDescent="0.2">
      <c r="A47" s="471"/>
      <c r="B47" s="12">
        <v>28</v>
      </c>
      <c r="C47" s="10">
        <f>'3.ESS_RÉGÉ'!I50</f>
        <v>0</v>
      </c>
      <c r="D47" s="10">
        <f>'3.ESS_RÉGÉ'!J50</f>
        <v>0</v>
      </c>
      <c r="E47" s="10">
        <f>'3.ESS_RÉGÉ'!K50</f>
        <v>0</v>
      </c>
      <c r="G47" s="166"/>
    </row>
    <row r="48" spans="1:14" x14ac:dyDescent="0.2">
      <c r="A48" s="471"/>
      <c r="B48" s="12">
        <v>29</v>
      </c>
      <c r="C48" s="10">
        <f>'3.ESS_RÉGÉ'!I51</f>
        <v>0</v>
      </c>
      <c r="D48" s="10">
        <f>'3.ESS_RÉGÉ'!J51</f>
        <v>0</v>
      </c>
      <c r="E48" s="10">
        <f>'3.ESS_RÉGÉ'!K51</f>
        <v>0</v>
      </c>
      <c r="G48" s="166"/>
    </row>
    <row r="49" spans="1:52" x14ac:dyDescent="0.2">
      <c r="A49" s="471"/>
      <c r="B49" s="12">
        <v>30</v>
      </c>
      <c r="C49" s="10">
        <f>'3.ESS_RÉGÉ'!I52</f>
        <v>0</v>
      </c>
      <c r="D49" s="10">
        <f>'3.ESS_RÉGÉ'!J52</f>
        <v>0</v>
      </c>
      <c r="E49" s="10">
        <f>'3.ESS_RÉGÉ'!K52</f>
        <v>0</v>
      </c>
      <c r="G49" s="166"/>
    </row>
    <row r="52" spans="1:52" s="137" customFormat="1" x14ac:dyDescent="0.2">
      <c r="A52" s="473" t="s">
        <v>14</v>
      </c>
      <c r="B52" s="137" t="s">
        <v>6</v>
      </c>
      <c r="C52" s="138" t="str">
        <f>C4</f>
        <v/>
      </c>
    </row>
    <row r="53" spans="1:52" s="137" customFormat="1" x14ac:dyDescent="0.2">
      <c r="A53" s="473"/>
      <c r="B53" s="139" t="s">
        <v>181</v>
      </c>
      <c r="C53" s="139">
        <f>C6</f>
        <v>0</v>
      </c>
    </row>
    <row r="55" spans="1:52" x14ac:dyDescent="0.2">
      <c r="A55" s="134" t="s">
        <v>626</v>
      </c>
      <c r="B55" s="134"/>
      <c r="C55" s="134"/>
      <c r="D55" s="134"/>
      <c r="E55" s="134"/>
      <c r="F55" s="134"/>
      <c r="G55" s="134"/>
      <c r="H55" s="134"/>
      <c r="I55" s="134"/>
      <c r="J55" s="134"/>
      <c r="K55" s="134"/>
      <c r="L55" s="134"/>
      <c r="M55" s="133"/>
      <c r="N55" s="133"/>
      <c r="O55" s="133"/>
      <c r="P55" s="133"/>
      <c r="Q55" s="133"/>
      <c r="R55" s="133"/>
      <c r="S55" s="133"/>
      <c r="T55" s="133"/>
      <c r="U55" s="133"/>
      <c r="V55" s="133"/>
      <c r="W55" s="133"/>
      <c r="X55" s="133"/>
      <c r="Y55" s="133"/>
      <c r="Z55" s="133"/>
      <c r="AA55" s="133"/>
      <c r="AB55" s="133"/>
      <c r="AC55" s="133"/>
      <c r="AD55" s="133"/>
      <c r="AE55" s="133"/>
      <c r="AF55" s="133"/>
      <c r="AG55" s="133"/>
      <c r="AH55" s="133"/>
      <c r="AI55" s="133"/>
      <c r="AJ55" s="133"/>
      <c r="AK55" s="133"/>
      <c r="AL55" s="133"/>
      <c r="AM55" s="133"/>
      <c r="AN55" s="133"/>
      <c r="AO55" s="133"/>
      <c r="AP55" s="133"/>
      <c r="AQ55" s="133"/>
      <c r="AR55" s="133"/>
      <c r="AS55" s="133"/>
      <c r="AT55" s="133"/>
      <c r="AU55" s="133"/>
      <c r="AV55" s="133"/>
      <c r="AW55" s="133"/>
      <c r="AX55" s="133"/>
      <c r="AY55" s="133"/>
      <c r="AZ55" s="133"/>
    </row>
    <row r="57" spans="1:52" ht="16" customHeight="1" x14ac:dyDescent="0.2">
      <c r="A57" s="472" t="str">
        <f>CONCATENATE($C$1,"_ESS_1")</f>
        <v>B_ESS_1</v>
      </c>
      <c r="B57" s="3" t="s">
        <v>8</v>
      </c>
      <c r="C57" s="3" t="s">
        <v>17</v>
      </c>
      <c r="D57" s="3" t="s">
        <v>61</v>
      </c>
      <c r="E57" s="3" t="s">
        <v>88</v>
      </c>
      <c r="F57" s="3" t="s">
        <v>297</v>
      </c>
      <c r="G57" s="99"/>
      <c r="J57" s="472" t="str">
        <f>CONCATENATE($C$1,"_ESS_2")</f>
        <v>B_ESS_2</v>
      </c>
      <c r="K57" s="3" t="s">
        <v>8</v>
      </c>
      <c r="L57" s="3" t="s">
        <v>17</v>
      </c>
      <c r="M57" s="3" t="s">
        <v>61</v>
      </c>
      <c r="N57" s="3" t="s">
        <v>88</v>
      </c>
      <c r="O57" s="3" t="s">
        <v>297</v>
      </c>
      <c r="S57" s="472" t="str">
        <f>CONCATENATE($C$1,"_ESS_3")</f>
        <v>B_ESS_3</v>
      </c>
      <c r="T57" s="3" t="s">
        <v>8</v>
      </c>
      <c r="U57" s="3" t="s">
        <v>17</v>
      </c>
      <c r="V57" s="3" t="s">
        <v>61</v>
      </c>
      <c r="W57" s="3" t="s">
        <v>88</v>
      </c>
      <c r="X57" s="3" t="s">
        <v>297</v>
      </c>
      <c r="AB57" s="472" t="str">
        <f>CONCATENATE($C$1,"_ESS_4")</f>
        <v>B_ESS_4</v>
      </c>
      <c r="AC57" s="3" t="s">
        <v>8</v>
      </c>
      <c r="AD57" s="3" t="s">
        <v>17</v>
      </c>
      <c r="AE57" s="3" t="s">
        <v>61</v>
      </c>
      <c r="AF57" s="3" t="s">
        <v>88</v>
      </c>
      <c r="AG57" s="3" t="s">
        <v>297</v>
      </c>
    </row>
    <row r="58" spans="1:52" x14ac:dyDescent="0.2">
      <c r="A58" s="472"/>
      <c r="B58" s="42" t="str">
        <f>G4</f>
        <v/>
      </c>
      <c r="C58" s="3">
        <f>IF(OR(B58=0,B58=""),0,VLOOKUP(B58,Tableau44[[Code_ess]:[FEB]],4,FALSE))</f>
        <v>0</v>
      </c>
      <c r="D58" s="3">
        <f>IF(OR(B58=0,B58=""),0,VLOOKUP(B58,Tableau44[[Code_ess]:[FEB]],5,FALSE))</f>
        <v>0</v>
      </c>
      <c r="E58" s="43">
        <f>IF(OR(B58=0,B58=""),0,VLOOKUP(B58,$G$4:$H$7,2,FALSE))</f>
        <v>0</v>
      </c>
      <c r="F58" s="3">
        <f>IF(OR(B58=0,B58=""),0,VLOOKUP(B58,Listes!$C$7:$D$36,2,FALSE))</f>
        <v>0</v>
      </c>
      <c r="H58" s="44"/>
      <c r="J58" s="472"/>
      <c r="K58" s="3" t="str">
        <f>G5</f>
        <v/>
      </c>
      <c r="L58" s="3">
        <f>IF(OR(K58=0,K58=""),0,VLOOKUP(K58,Tableau44[[Code_ess]:[FEB]],4,FALSE))</f>
        <v>0</v>
      </c>
      <c r="M58" s="3">
        <f>IF(OR(K58=0,K58=""),0,VLOOKUP(K58,Tableau44[[Code_ess]:[FEB]],5,FALSE))</f>
        <v>0</v>
      </c>
      <c r="N58" s="43">
        <f>IF(OR(K58=0,K58=""),0,VLOOKUP(K58,$G$4:$H$7,2,FALSE))</f>
        <v>0</v>
      </c>
      <c r="O58" s="3">
        <f>IF(OR(K58=0,K58=""),0,VLOOKUP(K58,Listes!$C$7:$D$36,2,FALSE))</f>
        <v>0</v>
      </c>
      <c r="R58" s="44"/>
      <c r="S58" s="472"/>
      <c r="T58" s="3" t="str">
        <f>G6</f>
        <v/>
      </c>
      <c r="U58" s="3">
        <f>IF(OR(T58=0,T58=""),0,VLOOKUP(T58,Tableau44[[Code_ess]:[FEB]],4,FALSE))</f>
        <v>0</v>
      </c>
      <c r="V58" s="3">
        <f>IF(OR(T58=0,T58=""),0,VLOOKUP(T58,Tableau44[[Code_ess]:[FEB]],5,FALSE))</f>
        <v>0</v>
      </c>
      <c r="W58" s="43">
        <f>IF(OR(T58=0,T58=""),0,VLOOKUP(T58,$G$4:$H$7,2,FALSE))</f>
        <v>0</v>
      </c>
      <c r="X58" s="3">
        <f>IF(OR(T58=0,T58=""),0,VLOOKUP(T58,Listes!$C$7:$D$36,2,FALSE))</f>
        <v>0</v>
      </c>
      <c r="Z58" s="44"/>
      <c r="AB58" s="472"/>
      <c r="AC58" s="3" t="str">
        <f>G7</f>
        <v/>
      </c>
      <c r="AD58" s="3">
        <f>IF(OR(AC58=0,AC58=""),0,VLOOKUP(AC58,Tableau44[[Code_ess]:[FEB]],4,FALSE))</f>
        <v>0</v>
      </c>
      <c r="AE58" s="3">
        <f>IF(OR(AC58=0,AC58=""),0,VLOOKUP(AC58,Tableau44[[Code_ess]:[FEB]],5,FALSE))</f>
        <v>0</v>
      </c>
      <c r="AF58" s="43">
        <f>IF(OR(AC58=0,AC58=""),0,VLOOKUP(AC58,$G$4:$H$7,2,FALSE))</f>
        <v>0</v>
      </c>
      <c r="AG58" s="3">
        <f>IF(OR(AC58=0,AC58=""),0,VLOOKUP(AC58,Listes!$C$7:$D$36,2,FALSE))</f>
        <v>0</v>
      </c>
    </row>
    <row r="60" spans="1:52" ht="16" customHeight="1" x14ac:dyDescent="0.2">
      <c r="A60" s="472" t="str">
        <f>CONCATENATE("SQ_REF_",A57)</f>
        <v>SQ_REF_B_ESS_1</v>
      </c>
      <c r="B60" s="3" t="s">
        <v>15</v>
      </c>
      <c r="C60" s="3" t="s">
        <v>19</v>
      </c>
      <c r="D60" s="3" t="s">
        <v>18</v>
      </c>
      <c r="E60" s="3" t="s">
        <v>16</v>
      </c>
      <c r="F60" s="3" t="s">
        <v>78</v>
      </c>
      <c r="G60" s="3" t="s">
        <v>79</v>
      </c>
      <c r="H60" s="3" t="s">
        <v>56</v>
      </c>
      <c r="J60" s="472" t="str">
        <f>CONCATENATE("SQ_REF_",J57)</f>
        <v>SQ_REF_B_ESS_2</v>
      </c>
      <c r="K60" s="3" t="s">
        <v>15</v>
      </c>
      <c r="L60" s="3" t="s">
        <v>19</v>
      </c>
      <c r="M60" s="3" t="s">
        <v>18</v>
      </c>
      <c r="N60" s="3" t="s">
        <v>16</v>
      </c>
      <c r="O60" s="3" t="s">
        <v>78</v>
      </c>
      <c r="P60" s="3" t="s">
        <v>79</v>
      </c>
      <c r="Q60" s="3" t="s">
        <v>56</v>
      </c>
      <c r="S60" s="472" t="str">
        <f>CONCATENATE("SQ_REF_",S57)</f>
        <v>SQ_REF_B_ESS_3</v>
      </c>
      <c r="T60" s="3" t="s">
        <v>15</v>
      </c>
      <c r="U60" s="3" t="s">
        <v>19</v>
      </c>
      <c r="V60" s="3" t="s">
        <v>18</v>
      </c>
      <c r="W60" s="3" t="s">
        <v>16</v>
      </c>
      <c r="X60" s="3" t="s">
        <v>78</v>
      </c>
      <c r="Y60" s="3" t="s">
        <v>79</v>
      </c>
      <c r="Z60" s="3" t="s">
        <v>56</v>
      </c>
      <c r="AB60" s="472" t="str">
        <f>CONCATENATE("SQ_REF_",AB57)</f>
        <v>SQ_REF_B_ESS_4</v>
      </c>
      <c r="AC60" s="3" t="s">
        <v>15</v>
      </c>
      <c r="AD60" s="3" t="s">
        <v>19</v>
      </c>
      <c r="AE60" s="3" t="s">
        <v>18</v>
      </c>
      <c r="AF60" s="3" t="s">
        <v>16</v>
      </c>
      <c r="AG60" s="3" t="s">
        <v>78</v>
      </c>
      <c r="AH60" s="3" t="s">
        <v>79</v>
      </c>
      <c r="AI60" s="3" t="s">
        <v>56</v>
      </c>
      <c r="AK60" s="472"/>
      <c r="AL60" s="3" t="s">
        <v>28</v>
      </c>
      <c r="AM60" s="3" t="s">
        <v>121</v>
      </c>
      <c r="AN60" s="3" t="s">
        <v>123</v>
      </c>
      <c r="AO60" s="44" t="s">
        <v>124</v>
      </c>
      <c r="AP60" s="44"/>
      <c r="AQ60" s="472"/>
      <c r="AR60" s="3" t="s">
        <v>94</v>
      </c>
      <c r="AS60" s="3" t="s">
        <v>758</v>
      </c>
    </row>
    <row r="61" spans="1:52" ht="16" customHeight="1" x14ac:dyDescent="0.2">
      <c r="A61" s="472"/>
      <c r="B61" s="3">
        <v>1</v>
      </c>
      <c r="C61" s="45">
        <f>IF(OR(B58="",B58=0),0,VLOOKUP(B58,$G$4:$M$7,6,FALSE))</f>
        <v>0</v>
      </c>
      <c r="D61" s="45">
        <f>IF(OR(C61="",C61=0),0,IF(B61=1,INDEX($J$19:$M$38,MATCH(B61,$H$19:$H$38,0),MATCH(RIGHT(A$57,5),$J$18:$M$18,0)),INDEX($J$19:$M$38,MATCH(B61,$H$19:$H$38,0),MATCH(RIGHT(A$57,5),$J$18:$M$18,0))+C61-E60))</f>
        <v>0</v>
      </c>
      <c r="E61" s="45">
        <f>IF(D61="",0,C61-D61)</f>
        <v>0</v>
      </c>
      <c r="F61" s="45">
        <f>IF(E61=0,0,E61*C$58)</f>
        <v>0</v>
      </c>
      <c r="G61" s="45">
        <f t="shared" ref="G61:G80" si="4">IF(F61&gt;0,EXP(-1.0587+0.8836*LN(F61)+0.284),0)</f>
        <v>0</v>
      </c>
      <c r="H61" s="45">
        <f>SUM(F61:G61)*0.475*44/12</f>
        <v>0</v>
      </c>
      <c r="I61" s="45"/>
      <c r="J61" s="472"/>
      <c r="K61" s="3">
        <v>1</v>
      </c>
      <c r="L61" s="45">
        <f>IF(OR(K58="",K58=0),0,VLOOKUP(K58,$G$4:$M$7,6,FALSE))</f>
        <v>0</v>
      </c>
      <c r="M61" s="45">
        <f>IF(OR(L61="",L61=0),0,IF(K61=1,INDEX($J$19:$M$38,MATCH(K61,$H$19:$H$38,0),MATCH(RIGHT(J$57,5),$J$18:$M$18,0)),INDEX($J$19:$M$38,MATCH(K61,$H$19:$H$38,0),MATCH(RIGHT(J$57,5),$J$18:$M$18,0))+L61-N60))</f>
        <v>0</v>
      </c>
      <c r="N61" s="45">
        <f>IF(M61="",0,L61-M61)</f>
        <v>0</v>
      </c>
      <c r="O61" s="45">
        <f t="shared" ref="O61:O80" si="5">IF(N61=0,0,N61*L$58)</f>
        <v>0</v>
      </c>
      <c r="P61" s="45">
        <f t="shared" ref="P61:P80" si="6">IF(O61&gt;0,EXP(-1.0587+0.8836*LN(O61)+0.284),0)</f>
        <v>0</v>
      </c>
      <c r="Q61" s="45">
        <f t="shared" ref="Q61:Q80" si="7">SUM(O61:P61)*0.475*44/12</f>
        <v>0</v>
      </c>
      <c r="R61" s="45"/>
      <c r="S61" s="472"/>
      <c r="T61" s="3">
        <v>1</v>
      </c>
      <c r="U61" s="45">
        <f>IF(OR(T58="",T58=0),0,VLOOKUP(T58,$G$4:$M$7,6,FALSE))</f>
        <v>0</v>
      </c>
      <c r="V61" s="45">
        <f>IF(OR(U61="",U61=0),0,IF(T61=1,INDEX($J$19:$M$38,MATCH(T61,$H$19:$H$38,0),MATCH(RIGHT(S$57,5),$J$18:$M$18,0)),INDEX($J$19:$M$38,MATCH(T61,$H$19:$H$38,0),MATCH(RIGHT(S$57,5),$J$18:$M$18,0))+U61-W60))</f>
        <v>0</v>
      </c>
      <c r="W61" s="45">
        <f>IF(V61="",0,U61-V61)</f>
        <v>0</v>
      </c>
      <c r="X61" s="45">
        <f>IF(W61=0,0,W61*U$58)</f>
        <v>0</v>
      </c>
      <c r="Y61" s="45">
        <f t="shared" ref="Y61:Y80" si="8">IF(X61&gt;0,EXP(-1.0587+0.8836*LN(X61)+0.284),0)</f>
        <v>0</v>
      </c>
      <c r="Z61" s="45">
        <f t="shared" ref="Z61:Z80" si="9">SUM(X61:Y61)*0.475*44/12</f>
        <v>0</v>
      </c>
      <c r="AA61" s="45"/>
      <c r="AB61" s="472"/>
      <c r="AC61" s="3">
        <v>1</v>
      </c>
      <c r="AD61" s="45">
        <f>IF(OR(AC58="",AC58=0),0,VLOOKUP(AC58,$G$4:$M$7,6,FALSE))</f>
        <v>0</v>
      </c>
      <c r="AE61" s="45">
        <f>IF(OR(AD61="",AD61=0),0,IF(AC61=1,INDEX($J$19:$M$38,MATCH(AC61,$H$19:$H$38,0),MATCH(RIGHT(AB$57,5),$J$18:$M$18,0)),INDEX($J$19:$M$38,MATCH(AC61,$H$19:$H$38,0),MATCH(RIGHT(AB$57,5),$J$18:$M$18,0))+AD61-AF60))</f>
        <v>0</v>
      </c>
      <c r="AF61" s="45">
        <f>IF(AE61="",0,AD61-AE61)</f>
        <v>0</v>
      </c>
      <c r="AG61" s="45">
        <f t="shared" ref="AG61:AG80" si="10">IF(AF61=0,0,AF61*AD$58)</f>
        <v>0</v>
      </c>
      <c r="AH61" s="45">
        <f t="shared" ref="AH61:AH80" si="11">IF(AG61&gt;0,EXP(-1.0587+0.8836*LN(AG61)+0.284),0)</f>
        <v>0</v>
      </c>
      <c r="AI61" s="45">
        <f t="shared" ref="AI61:AI80" si="12">SUM(AG61:AH61)*0.475*44/12</f>
        <v>0</v>
      </c>
      <c r="AJ61" s="45"/>
      <c r="AK61" s="472"/>
      <c r="AL61" s="3">
        <v>1</v>
      </c>
      <c r="AM61" s="11">
        <f t="shared" ref="AM61:AM80" si="13">SUM(D61,M61,V61,AE61)</f>
        <v>0</v>
      </c>
      <c r="AN61" s="46">
        <f t="shared" ref="AN61:AN80" si="14">IF(OR($C$6=0,SUM($M$4:$M$7)=0),0,AM61/SUM($M$4:$M$7))</f>
        <v>0</v>
      </c>
      <c r="AO61" s="47">
        <f t="shared" ref="AO61:AO80" si="15">AN61*50%</f>
        <v>0</v>
      </c>
      <c r="AP61" s="47"/>
      <c r="AQ61" s="472"/>
      <c r="AR61" s="108">
        <v>1</v>
      </c>
      <c r="AS61" s="110">
        <f>C61+L61+U61+AD61</f>
        <v>0</v>
      </c>
    </row>
    <row r="62" spans="1:52" x14ac:dyDescent="0.2">
      <c r="A62" s="472"/>
      <c r="B62" s="3">
        <v>2</v>
      </c>
      <c r="C62" s="45">
        <f>IF(E61=0,0,E61*(1+E$58))</f>
        <v>0</v>
      </c>
      <c r="D62" s="45">
        <f t="shared" ref="D62:D80" si="16">IF(OR(C62="",C62=0),0,IF(B62=1,INDEX($J$19:$M$38,MATCH(B62,$H$19:$H$38,0),MATCH(RIGHT(A$57,5),$J$18:$M$18,0)),INDEX($J$19:$M$38,MATCH(B62,$H$19:$H$38,0),MATCH(RIGHT(A$57,5),$J$18:$M$18,0))+C62-E61))</f>
        <v>0</v>
      </c>
      <c r="E62" s="11">
        <f>IF(D62="",0,C62-D62)</f>
        <v>0</v>
      </c>
      <c r="F62" s="45">
        <f>IF(E62=0,0,E62*C$58)</f>
        <v>0</v>
      </c>
      <c r="G62" s="45">
        <f t="shared" si="4"/>
        <v>0</v>
      </c>
      <c r="H62" s="11">
        <f t="shared" ref="H62:H80" si="17">SUM(F62:G62)*0.475*44/12</f>
        <v>0</v>
      </c>
      <c r="I62" s="11"/>
      <c r="J62" s="472"/>
      <c r="K62" s="3">
        <v>2</v>
      </c>
      <c r="L62" s="45">
        <f>IF(N61=0,0,N61*(1+N$58))</f>
        <v>0</v>
      </c>
      <c r="M62" s="45">
        <f t="shared" ref="M62:M80" si="18">IF(OR(L62="",L62=0),0,IF(K62=1,INDEX($J$19:$M$38,MATCH(K62,$H$19:$H$38,0),MATCH(RIGHT(J$57,5),$J$18:$M$18,0)),INDEX($J$19:$M$38,MATCH(K62,$H$19:$H$38,0),MATCH(RIGHT(J$57,5),$J$18:$M$18,0))+L62-N61))</f>
        <v>0</v>
      </c>
      <c r="N62" s="11">
        <f>IF(M62="",0,L62-M62)</f>
        <v>0</v>
      </c>
      <c r="O62" s="45">
        <f t="shared" si="5"/>
        <v>0</v>
      </c>
      <c r="P62" s="45">
        <f t="shared" si="6"/>
        <v>0</v>
      </c>
      <c r="Q62" s="11">
        <f t="shared" si="7"/>
        <v>0</v>
      </c>
      <c r="R62" s="11"/>
      <c r="S62" s="472"/>
      <c r="T62" s="3">
        <v>2</v>
      </c>
      <c r="U62" s="45">
        <f>IF(W61=0,0,W61*(1+W$58))</f>
        <v>0</v>
      </c>
      <c r="V62" s="45">
        <f t="shared" ref="V62:V80" si="19">IF(OR(U62="",U62=0),0,IF(T62=1,INDEX($J$19:$M$38,MATCH(T62,$H$19:$H$38,0),MATCH(RIGHT(S$57,5),$J$18:$M$18,0)),INDEX($J$19:$M$38,MATCH(T62,$H$19:$H$38,0),MATCH(RIGHT(S$57,5),$J$18:$M$18,0))+U62-W61))</f>
        <v>0</v>
      </c>
      <c r="W62" s="11">
        <f>IF(V62="",0,U62-V62)</f>
        <v>0</v>
      </c>
      <c r="X62" s="45">
        <f t="shared" ref="X62:X80" si="20">IF(W62=0,0,W62*U$58)</f>
        <v>0</v>
      </c>
      <c r="Y62" s="45">
        <f t="shared" si="8"/>
        <v>0</v>
      </c>
      <c r="Z62" s="11">
        <f t="shared" si="9"/>
        <v>0</v>
      </c>
      <c r="AA62" s="11"/>
      <c r="AB62" s="472"/>
      <c r="AC62" s="3">
        <v>2</v>
      </c>
      <c r="AD62" s="45">
        <f>IF(AF61=0,0,AF61*(1+AF$58))</f>
        <v>0</v>
      </c>
      <c r="AE62" s="45">
        <f t="shared" ref="AE62:AE80" si="21">IF(OR(AD62="",AD62=0),0,IF(AC62=1,INDEX($J$19:$M$38,MATCH(AC62,$H$19:$H$38,0),MATCH(RIGHT(AB$57,5),$J$18:$M$18,0)),INDEX($J$19:$M$38,MATCH(AC62,$H$19:$H$38,0),MATCH(RIGHT(AB$57,5),$J$18:$M$18,0))+AD62-AF61))</f>
        <v>0</v>
      </c>
      <c r="AF62" s="11">
        <f>IF(AE62="",0,AD62-AE62)</f>
        <v>0</v>
      </c>
      <c r="AG62" s="45">
        <f>IF(AF62=0,0,AF62*AD$58)</f>
        <v>0</v>
      </c>
      <c r="AH62" s="45">
        <f t="shared" si="11"/>
        <v>0</v>
      </c>
      <c r="AI62" s="11">
        <f t="shared" si="12"/>
        <v>0</v>
      </c>
      <c r="AJ62" s="11"/>
      <c r="AK62" s="472"/>
      <c r="AL62" s="3">
        <v>2</v>
      </c>
      <c r="AM62" s="11">
        <f t="shared" si="13"/>
        <v>0</v>
      </c>
      <c r="AN62" s="46">
        <f t="shared" si="14"/>
        <v>0</v>
      </c>
      <c r="AO62" s="47">
        <f t="shared" si="15"/>
        <v>0</v>
      </c>
      <c r="AP62" s="47"/>
      <c r="AQ62" s="472"/>
      <c r="AR62" s="109">
        <v>2</v>
      </c>
      <c r="AS62" s="111">
        <f>E62+N62+W62+AF62</f>
        <v>0</v>
      </c>
    </row>
    <row r="63" spans="1:52" x14ac:dyDescent="0.2">
      <c r="A63" s="472"/>
      <c r="B63" s="3">
        <v>3</v>
      </c>
      <c r="C63" s="45">
        <f t="shared" ref="C63:C80" si="22">IF(E62=0,0,E62*(1+E$58))</f>
        <v>0</v>
      </c>
      <c r="D63" s="45">
        <f t="shared" si="16"/>
        <v>0</v>
      </c>
      <c r="E63" s="11">
        <f t="shared" ref="E63:E80" si="23">IF(D63="",0,C63-D63)</f>
        <v>0</v>
      </c>
      <c r="F63" s="45">
        <f t="shared" ref="F63:F80" si="24">IF(E63=0,0,E63*C$58)</f>
        <v>0</v>
      </c>
      <c r="G63" s="45">
        <f t="shared" si="4"/>
        <v>0</v>
      </c>
      <c r="H63" s="11">
        <f t="shared" si="17"/>
        <v>0</v>
      </c>
      <c r="I63" s="11"/>
      <c r="J63" s="472"/>
      <c r="K63" s="3">
        <v>3</v>
      </c>
      <c r="L63" s="45">
        <f t="shared" ref="L63:L80" si="25">IF(N62=0,0,N62*(1+N$58))</f>
        <v>0</v>
      </c>
      <c r="M63" s="45">
        <f t="shared" si="18"/>
        <v>0</v>
      </c>
      <c r="N63" s="11">
        <f t="shared" ref="N63:N80" si="26">IF(M63="",0,L63-M63)</f>
        <v>0</v>
      </c>
      <c r="O63" s="45">
        <f t="shared" si="5"/>
        <v>0</v>
      </c>
      <c r="P63" s="45">
        <f t="shared" si="6"/>
        <v>0</v>
      </c>
      <c r="Q63" s="11">
        <f t="shared" si="7"/>
        <v>0</v>
      </c>
      <c r="R63" s="11"/>
      <c r="S63" s="472"/>
      <c r="T63" s="3">
        <v>3</v>
      </c>
      <c r="U63" s="45">
        <f t="shared" ref="U63:U80" si="27">IF(W62=0,0,W62*(1+W$58))</f>
        <v>0</v>
      </c>
      <c r="V63" s="45">
        <f t="shared" si="19"/>
        <v>0</v>
      </c>
      <c r="W63" s="11">
        <f t="shared" ref="W63:W80" si="28">IF(V63="",0,U63-V63)</f>
        <v>0</v>
      </c>
      <c r="X63" s="45">
        <f t="shared" si="20"/>
        <v>0</v>
      </c>
      <c r="Y63" s="45">
        <f t="shared" si="8"/>
        <v>0</v>
      </c>
      <c r="Z63" s="11">
        <f t="shared" si="9"/>
        <v>0</v>
      </c>
      <c r="AA63" s="11"/>
      <c r="AB63" s="472"/>
      <c r="AC63" s="3">
        <v>3</v>
      </c>
      <c r="AD63" s="45">
        <f t="shared" ref="AD63:AD80" si="29">IF(AF62=0,0,AF62*(1+AF$58))</f>
        <v>0</v>
      </c>
      <c r="AE63" s="45">
        <f t="shared" si="21"/>
        <v>0</v>
      </c>
      <c r="AF63" s="11">
        <f t="shared" ref="AF63:AF80" si="30">IF(AE63="",0,AD63-AE63)</f>
        <v>0</v>
      </c>
      <c r="AG63" s="45">
        <f t="shared" si="10"/>
        <v>0</v>
      </c>
      <c r="AH63" s="45">
        <f t="shared" si="11"/>
        <v>0</v>
      </c>
      <c r="AI63" s="11">
        <f t="shared" si="12"/>
        <v>0</v>
      </c>
      <c r="AJ63" s="11"/>
      <c r="AK63" s="472"/>
      <c r="AL63" s="3">
        <v>3</v>
      </c>
      <c r="AM63" s="11">
        <f t="shared" si="13"/>
        <v>0</v>
      </c>
      <c r="AN63" s="46">
        <f t="shared" si="14"/>
        <v>0</v>
      </c>
      <c r="AO63" s="47">
        <f t="shared" si="15"/>
        <v>0</v>
      </c>
      <c r="AP63" s="47"/>
      <c r="AQ63" s="472"/>
      <c r="AR63" s="108">
        <v>3</v>
      </c>
      <c r="AS63" s="111">
        <f t="shared" ref="AS63:AS80" si="31">E63+N63+W63+AF63</f>
        <v>0</v>
      </c>
    </row>
    <row r="64" spans="1:52" x14ac:dyDescent="0.2">
      <c r="A64" s="472"/>
      <c r="B64" s="3">
        <v>4</v>
      </c>
      <c r="C64" s="45">
        <f t="shared" si="22"/>
        <v>0</v>
      </c>
      <c r="D64" s="45">
        <f t="shared" si="16"/>
        <v>0</v>
      </c>
      <c r="E64" s="11">
        <f t="shared" si="23"/>
        <v>0</v>
      </c>
      <c r="F64" s="45">
        <f t="shared" si="24"/>
        <v>0</v>
      </c>
      <c r="G64" s="45">
        <f t="shared" si="4"/>
        <v>0</v>
      </c>
      <c r="H64" s="11">
        <f t="shared" si="17"/>
        <v>0</v>
      </c>
      <c r="I64" s="11"/>
      <c r="J64" s="472"/>
      <c r="K64" s="3">
        <v>4</v>
      </c>
      <c r="L64" s="45">
        <f t="shared" si="25"/>
        <v>0</v>
      </c>
      <c r="M64" s="45">
        <f t="shared" si="18"/>
        <v>0</v>
      </c>
      <c r="N64" s="11">
        <f t="shared" si="26"/>
        <v>0</v>
      </c>
      <c r="O64" s="45">
        <f t="shared" si="5"/>
        <v>0</v>
      </c>
      <c r="P64" s="45">
        <f t="shared" si="6"/>
        <v>0</v>
      </c>
      <c r="Q64" s="11">
        <f t="shared" si="7"/>
        <v>0</v>
      </c>
      <c r="R64" s="11"/>
      <c r="S64" s="472"/>
      <c r="T64" s="3">
        <v>4</v>
      </c>
      <c r="U64" s="45">
        <f t="shared" si="27"/>
        <v>0</v>
      </c>
      <c r="V64" s="45">
        <f t="shared" si="19"/>
        <v>0</v>
      </c>
      <c r="W64" s="11">
        <f t="shared" si="28"/>
        <v>0</v>
      </c>
      <c r="X64" s="45">
        <f t="shared" si="20"/>
        <v>0</v>
      </c>
      <c r="Y64" s="45">
        <f t="shared" si="8"/>
        <v>0</v>
      </c>
      <c r="Z64" s="11">
        <f t="shared" si="9"/>
        <v>0</v>
      </c>
      <c r="AA64" s="11"/>
      <c r="AB64" s="472"/>
      <c r="AC64" s="3">
        <v>4</v>
      </c>
      <c r="AD64" s="45">
        <f t="shared" si="29"/>
        <v>0</v>
      </c>
      <c r="AE64" s="45">
        <f t="shared" si="21"/>
        <v>0</v>
      </c>
      <c r="AF64" s="11">
        <f t="shared" si="30"/>
        <v>0</v>
      </c>
      <c r="AG64" s="45">
        <f t="shared" si="10"/>
        <v>0</v>
      </c>
      <c r="AH64" s="45">
        <f t="shared" si="11"/>
        <v>0</v>
      </c>
      <c r="AI64" s="11">
        <f t="shared" si="12"/>
        <v>0</v>
      </c>
      <c r="AJ64" s="11"/>
      <c r="AK64" s="472"/>
      <c r="AL64" s="3">
        <v>4</v>
      </c>
      <c r="AM64" s="11">
        <f t="shared" si="13"/>
        <v>0</v>
      </c>
      <c r="AN64" s="46">
        <f t="shared" si="14"/>
        <v>0</v>
      </c>
      <c r="AO64" s="47">
        <f t="shared" si="15"/>
        <v>0</v>
      </c>
      <c r="AP64" s="47"/>
      <c r="AQ64" s="472"/>
      <c r="AR64" s="109">
        <v>4</v>
      </c>
      <c r="AS64" s="111">
        <f t="shared" si="31"/>
        <v>0</v>
      </c>
    </row>
    <row r="65" spans="1:45" x14ac:dyDescent="0.2">
      <c r="A65" s="472"/>
      <c r="B65" s="3">
        <v>5</v>
      </c>
      <c r="C65" s="45">
        <f t="shared" si="22"/>
        <v>0</v>
      </c>
      <c r="D65" s="45">
        <f t="shared" si="16"/>
        <v>0</v>
      </c>
      <c r="E65" s="11">
        <f t="shared" si="23"/>
        <v>0</v>
      </c>
      <c r="F65" s="45">
        <f t="shared" si="24"/>
        <v>0</v>
      </c>
      <c r="G65" s="45">
        <f t="shared" si="4"/>
        <v>0</v>
      </c>
      <c r="H65" s="11">
        <f t="shared" si="17"/>
        <v>0</v>
      </c>
      <c r="I65" s="11"/>
      <c r="J65" s="472"/>
      <c r="K65" s="3">
        <v>5</v>
      </c>
      <c r="L65" s="45">
        <f t="shared" si="25"/>
        <v>0</v>
      </c>
      <c r="M65" s="45">
        <f t="shared" si="18"/>
        <v>0</v>
      </c>
      <c r="N65" s="11">
        <f t="shared" si="26"/>
        <v>0</v>
      </c>
      <c r="O65" s="45">
        <f t="shared" si="5"/>
        <v>0</v>
      </c>
      <c r="P65" s="45">
        <f t="shared" si="6"/>
        <v>0</v>
      </c>
      <c r="Q65" s="11">
        <f t="shared" si="7"/>
        <v>0</v>
      </c>
      <c r="R65" s="11"/>
      <c r="S65" s="472"/>
      <c r="T65" s="3">
        <v>5</v>
      </c>
      <c r="U65" s="45">
        <f t="shared" si="27"/>
        <v>0</v>
      </c>
      <c r="V65" s="45">
        <f t="shared" si="19"/>
        <v>0</v>
      </c>
      <c r="W65" s="11">
        <f t="shared" si="28"/>
        <v>0</v>
      </c>
      <c r="X65" s="45">
        <f t="shared" si="20"/>
        <v>0</v>
      </c>
      <c r="Y65" s="45">
        <f t="shared" si="8"/>
        <v>0</v>
      </c>
      <c r="Z65" s="11">
        <f t="shared" si="9"/>
        <v>0</v>
      </c>
      <c r="AA65" s="11"/>
      <c r="AB65" s="472"/>
      <c r="AC65" s="3">
        <v>5</v>
      </c>
      <c r="AD65" s="45">
        <f t="shared" si="29"/>
        <v>0</v>
      </c>
      <c r="AE65" s="45">
        <f t="shared" si="21"/>
        <v>0</v>
      </c>
      <c r="AF65" s="11">
        <f t="shared" si="30"/>
        <v>0</v>
      </c>
      <c r="AG65" s="45">
        <f t="shared" si="10"/>
        <v>0</v>
      </c>
      <c r="AH65" s="45">
        <f t="shared" si="11"/>
        <v>0</v>
      </c>
      <c r="AI65" s="11">
        <f t="shared" si="12"/>
        <v>0</v>
      </c>
      <c r="AJ65" s="11"/>
      <c r="AK65" s="472"/>
      <c r="AL65" s="3">
        <v>5</v>
      </c>
      <c r="AM65" s="11">
        <f t="shared" si="13"/>
        <v>0</v>
      </c>
      <c r="AN65" s="46">
        <f t="shared" si="14"/>
        <v>0</v>
      </c>
      <c r="AO65" s="47">
        <f t="shared" si="15"/>
        <v>0</v>
      </c>
      <c r="AP65" s="47"/>
      <c r="AQ65" s="472"/>
      <c r="AR65" s="108">
        <v>5</v>
      </c>
      <c r="AS65" s="111">
        <f t="shared" si="31"/>
        <v>0</v>
      </c>
    </row>
    <row r="66" spans="1:45" x14ac:dyDescent="0.2">
      <c r="A66" s="472"/>
      <c r="B66" s="3">
        <v>6</v>
      </c>
      <c r="C66" s="45">
        <f t="shared" si="22"/>
        <v>0</v>
      </c>
      <c r="D66" s="45">
        <f t="shared" si="16"/>
        <v>0</v>
      </c>
      <c r="E66" s="11">
        <f t="shared" si="23"/>
        <v>0</v>
      </c>
      <c r="F66" s="45">
        <f t="shared" si="24"/>
        <v>0</v>
      </c>
      <c r="G66" s="45">
        <f t="shared" si="4"/>
        <v>0</v>
      </c>
      <c r="H66" s="11">
        <f t="shared" si="17"/>
        <v>0</v>
      </c>
      <c r="I66" s="11"/>
      <c r="J66" s="472"/>
      <c r="K66" s="3">
        <v>6</v>
      </c>
      <c r="L66" s="45">
        <f t="shared" si="25"/>
        <v>0</v>
      </c>
      <c r="M66" s="45">
        <f t="shared" si="18"/>
        <v>0</v>
      </c>
      <c r="N66" s="11">
        <f t="shared" si="26"/>
        <v>0</v>
      </c>
      <c r="O66" s="45">
        <f t="shared" si="5"/>
        <v>0</v>
      </c>
      <c r="P66" s="45">
        <f t="shared" si="6"/>
        <v>0</v>
      </c>
      <c r="Q66" s="11">
        <f t="shared" si="7"/>
        <v>0</v>
      </c>
      <c r="R66" s="11"/>
      <c r="S66" s="472"/>
      <c r="T66" s="3">
        <v>6</v>
      </c>
      <c r="U66" s="45">
        <f t="shared" si="27"/>
        <v>0</v>
      </c>
      <c r="V66" s="45">
        <f t="shared" si="19"/>
        <v>0</v>
      </c>
      <c r="W66" s="11">
        <f t="shared" si="28"/>
        <v>0</v>
      </c>
      <c r="X66" s="45">
        <f t="shared" si="20"/>
        <v>0</v>
      </c>
      <c r="Y66" s="45">
        <f t="shared" si="8"/>
        <v>0</v>
      </c>
      <c r="Z66" s="11">
        <f t="shared" si="9"/>
        <v>0</v>
      </c>
      <c r="AA66" s="11"/>
      <c r="AB66" s="472"/>
      <c r="AC66" s="3">
        <v>6</v>
      </c>
      <c r="AD66" s="45">
        <f t="shared" si="29"/>
        <v>0</v>
      </c>
      <c r="AE66" s="45">
        <f t="shared" si="21"/>
        <v>0</v>
      </c>
      <c r="AF66" s="11">
        <f t="shared" si="30"/>
        <v>0</v>
      </c>
      <c r="AG66" s="45">
        <f t="shared" si="10"/>
        <v>0</v>
      </c>
      <c r="AH66" s="45">
        <f t="shared" si="11"/>
        <v>0</v>
      </c>
      <c r="AI66" s="11">
        <f t="shared" si="12"/>
        <v>0</v>
      </c>
      <c r="AJ66" s="11"/>
      <c r="AK66" s="472"/>
      <c r="AL66" s="3">
        <v>6</v>
      </c>
      <c r="AM66" s="11">
        <f t="shared" si="13"/>
        <v>0</v>
      </c>
      <c r="AN66" s="46">
        <f t="shared" si="14"/>
        <v>0</v>
      </c>
      <c r="AO66" s="47">
        <f t="shared" si="15"/>
        <v>0</v>
      </c>
      <c r="AP66" s="47"/>
      <c r="AQ66" s="472"/>
      <c r="AR66" s="109">
        <v>6</v>
      </c>
      <c r="AS66" s="111">
        <f t="shared" si="31"/>
        <v>0</v>
      </c>
    </row>
    <row r="67" spans="1:45" x14ac:dyDescent="0.2">
      <c r="A67" s="472"/>
      <c r="B67" s="3">
        <v>7</v>
      </c>
      <c r="C67" s="45">
        <f t="shared" si="22"/>
        <v>0</v>
      </c>
      <c r="D67" s="45">
        <f t="shared" si="16"/>
        <v>0</v>
      </c>
      <c r="E67" s="11">
        <f t="shared" si="23"/>
        <v>0</v>
      </c>
      <c r="F67" s="45">
        <f t="shared" si="24"/>
        <v>0</v>
      </c>
      <c r="G67" s="45">
        <f t="shared" si="4"/>
        <v>0</v>
      </c>
      <c r="H67" s="11">
        <f t="shared" si="17"/>
        <v>0</v>
      </c>
      <c r="I67" s="11"/>
      <c r="J67" s="472"/>
      <c r="K67" s="3">
        <v>7</v>
      </c>
      <c r="L67" s="45">
        <f t="shared" si="25"/>
        <v>0</v>
      </c>
      <c r="M67" s="45">
        <f t="shared" si="18"/>
        <v>0</v>
      </c>
      <c r="N67" s="11">
        <f t="shared" si="26"/>
        <v>0</v>
      </c>
      <c r="O67" s="45">
        <f t="shared" si="5"/>
        <v>0</v>
      </c>
      <c r="P67" s="45">
        <f t="shared" si="6"/>
        <v>0</v>
      </c>
      <c r="Q67" s="11">
        <f t="shared" si="7"/>
        <v>0</v>
      </c>
      <c r="R67" s="11"/>
      <c r="S67" s="472"/>
      <c r="T67" s="3">
        <v>7</v>
      </c>
      <c r="U67" s="45">
        <f t="shared" si="27"/>
        <v>0</v>
      </c>
      <c r="V67" s="45">
        <f t="shared" si="19"/>
        <v>0</v>
      </c>
      <c r="W67" s="11">
        <f t="shared" si="28"/>
        <v>0</v>
      </c>
      <c r="X67" s="45">
        <f t="shared" si="20"/>
        <v>0</v>
      </c>
      <c r="Y67" s="45">
        <f t="shared" si="8"/>
        <v>0</v>
      </c>
      <c r="Z67" s="11">
        <f t="shared" si="9"/>
        <v>0</v>
      </c>
      <c r="AA67" s="11"/>
      <c r="AB67" s="472"/>
      <c r="AC67" s="3">
        <v>7</v>
      </c>
      <c r="AD67" s="45">
        <f t="shared" si="29"/>
        <v>0</v>
      </c>
      <c r="AE67" s="45">
        <f t="shared" si="21"/>
        <v>0</v>
      </c>
      <c r="AF67" s="11">
        <f t="shared" si="30"/>
        <v>0</v>
      </c>
      <c r="AG67" s="45">
        <f t="shared" si="10"/>
        <v>0</v>
      </c>
      <c r="AH67" s="45">
        <f t="shared" si="11"/>
        <v>0</v>
      </c>
      <c r="AI67" s="11">
        <f t="shared" si="12"/>
        <v>0</v>
      </c>
      <c r="AJ67" s="11"/>
      <c r="AK67" s="472"/>
      <c r="AL67" s="3">
        <v>7</v>
      </c>
      <c r="AM67" s="11">
        <f t="shared" si="13"/>
        <v>0</v>
      </c>
      <c r="AN67" s="46">
        <f t="shared" si="14"/>
        <v>0</v>
      </c>
      <c r="AO67" s="47">
        <f t="shared" si="15"/>
        <v>0</v>
      </c>
      <c r="AP67" s="47"/>
      <c r="AQ67" s="472"/>
      <c r="AR67" s="108">
        <v>7</v>
      </c>
      <c r="AS67" s="111">
        <f t="shared" si="31"/>
        <v>0</v>
      </c>
    </row>
    <row r="68" spans="1:45" x14ac:dyDescent="0.2">
      <c r="A68" s="472"/>
      <c r="B68" s="3">
        <v>8</v>
      </c>
      <c r="C68" s="45">
        <f t="shared" si="22"/>
        <v>0</v>
      </c>
      <c r="D68" s="45">
        <f t="shared" si="16"/>
        <v>0</v>
      </c>
      <c r="E68" s="11">
        <f t="shared" si="23"/>
        <v>0</v>
      </c>
      <c r="F68" s="45">
        <f t="shared" si="24"/>
        <v>0</v>
      </c>
      <c r="G68" s="45">
        <f t="shared" si="4"/>
        <v>0</v>
      </c>
      <c r="H68" s="11">
        <f t="shared" si="17"/>
        <v>0</v>
      </c>
      <c r="I68" s="11"/>
      <c r="J68" s="472"/>
      <c r="K68" s="3">
        <v>8</v>
      </c>
      <c r="L68" s="45">
        <f t="shared" si="25"/>
        <v>0</v>
      </c>
      <c r="M68" s="45">
        <f t="shared" si="18"/>
        <v>0</v>
      </c>
      <c r="N68" s="11">
        <f t="shared" si="26"/>
        <v>0</v>
      </c>
      <c r="O68" s="45">
        <f t="shared" si="5"/>
        <v>0</v>
      </c>
      <c r="P68" s="45">
        <f t="shared" si="6"/>
        <v>0</v>
      </c>
      <c r="Q68" s="11">
        <f t="shared" si="7"/>
        <v>0</v>
      </c>
      <c r="R68" s="11"/>
      <c r="S68" s="472"/>
      <c r="T68" s="3">
        <v>8</v>
      </c>
      <c r="U68" s="45">
        <f t="shared" si="27"/>
        <v>0</v>
      </c>
      <c r="V68" s="45">
        <f t="shared" si="19"/>
        <v>0</v>
      </c>
      <c r="W68" s="11">
        <f t="shared" si="28"/>
        <v>0</v>
      </c>
      <c r="X68" s="45">
        <f t="shared" si="20"/>
        <v>0</v>
      </c>
      <c r="Y68" s="45">
        <f t="shared" si="8"/>
        <v>0</v>
      </c>
      <c r="Z68" s="11">
        <f t="shared" si="9"/>
        <v>0</v>
      </c>
      <c r="AA68" s="11"/>
      <c r="AB68" s="472"/>
      <c r="AC68" s="3">
        <v>8</v>
      </c>
      <c r="AD68" s="45">
        <f t="shared" si="29"/>
        <v>0</v>
      </c>
      <c r="AE68" s="45">
        <f t="shared" si="21"/>
        <v>0</v>
      </c>
      <c r="AF68" s="11">
        <f t="shared" si="30"/>
        <v>0</v>
      </c>
      <c r="AG68" s="45">
        <f t="shared" si="10"/>
        <v>0</v>
      </c>
      <c r="AH68" s="45">
        <f t="shared" si="11"/>
        <v>0</v>
      </c>
      <c r="AI68" s="11">
        <f t="shared" si="12"/>
        <v>0</v>
      </c>
      <c r="AJ68" s="11"/>
      <c r="AK68" s="472"/>
      <c r="AL68" s="3">
        <v>8</v>
      </c>
      <c r="AM68" s="11">
        <f t="shared" si="13"/>
        <v>0</v>
      </c>
      <c r="AN68" s="46">
        <f t="shared" si="14"/>
        <v>0</v>
      </c>
      <c r="AO68" s="47">
        <f t="shared" si="15"/>
        <v>0</v>
      </c>
      <c r="AP68" s="47"/>
      <c r="AQ68" s="472"/>
      <c r="AR68" s="109">
        <v>8</v>
      </c>
      <c r="AS68" s="111">
        <f t="shared" si="31"/>
        <v>0</v>
      </c>
    </row>
    <row r="69" spans="1:45" x14ac:dyDescent="0.2">
      <c r="A69" s="472"/>
      <c r="B69" s="3">
        <v>9</v>
      </c>
      <c r="C69" s="45">
        <f t="shared" si="22"/>
        <v>0</v>
      </c>
      <c r="D69" s="45">
        <f t="shared" si="16"/>
        <v>0</v>
      </c>
      <c r="E69" s="11">
        <f t="shared" si="23"/>
        <v>0</v>
      </c>
      <c r="F69" s="45">
        <f t="shared" si="24"/>
        <v>0</v>
      </c>
      <c r="G69" s="45">
        <f t="shared" si="4"/>
        <v>0</v>
      </c>
      <c r="H69" s="11">
        <f t="shared" si="17"/>
        <v>0</v>
      </c>
      <c r="I69" s="11"/>
      <c r="J69" s="472"/>
      <c r="K69" s="3">
        <v>9</v>
      </c>
      <c r="L69" s="45">
        <f t="shared" si="25"/>
        <v>0</v>
      </c>
      <c r="M69" s="45">
        <f t="shared" si="18"/>
        <v>0</v>
      </c>
      <c r="N69" s="11">
        <f t="shared" si="26"/>
        <v>0</v>
      </c>
      <c r="O69" s="45">
        <f t="shared" si="5"/>
        <v>0</v>
      </c>
      <c r="P69" s="45">
        <f t="shared" si="6"/>
        <v>0</v>
      </c>
      <c r="Q69" s="11">
        <f t="shared" si="7"/>
        <v>0</v>
      </c>
      <c r="R69" s="11"/>
      <c r="S69" s="472"/>
      <c r="T69" s="3">
        <v>9</v>
      </c>
      <c r="U69" s="45">
        <f t="shared" si="27"/>
        <v>0</v>
      </c>
      <c r="V69" s="45">
        <f t="shared" si="19"/>
        <v>0</v>
      </c>
      <c r="W69" s="11">
        <f t="shared" si="28"/>
        <v>0</v>
      </c>
      <c r="X69" s="45">
        <f t="shared" si="20"/>
        <v>0</v>
      </c>
      <c r="Y69" s="45">
        <f t="shared" si="8"/>
        <v>0</v>
      </c>
      <c r="Z69" s="11">
        <f t="shared" si="9"/>
        <v>0</v>
      </c>
      <c r="AA69" s="11"/>
      <c r="AB69" s="472"/>
      <c r="AC69" s="3">
        <v>9</v>
      </c>
      <c r="AD69" s="45">
        <f t="shared" si="29"/>
        <v>0</v>
      </c>
      <c r="AE69" s="45">
        <f t="shared" si="21"/>
        <v>0</v>
      </c>
      <c r="AF69" s="11">
        <f t="shared" si="30"/>
        <v>0</v>
      </c>
      <c r="AG69" s="45">
        <f t="shared" si="10"/>
        <v>0</v>
      </c>
      <c r="AH69" s="45">
        <f t="shared" si="11"/>
        <v>0</v>
      </c>
      <c r="AI69" s="11">
        <f t="shared" si="12"/>
        <v>0</v>
      </c>
      <c r="AJ69" s="11"/>
      <c r="AK69" s="472"/>
      <c r="AL69" s="3">
        <v>9</v>
      </c>
      <c r="AM69" s="11">
        <f t="shared" si="13"/>
        <v>0</v>
      </c>
      <c r="AN69" s="46">
        <f t="shared" si="14"/>
        <v>0</v>
      </c>
      <c r="AO69" s="47">
        <f t="shared" si="15"/>
        <v>0</v>
      </c>
      <c r="AP69" s="47"/>
      <c r="AQ69" s="472"/>
      <c r="AR69" s="108">
        <v>9</v>
      </c>
      <c r="AS69" s="111">
        <f t="shared" si="31"/>
        <v>0</v>
      </c>
    </row>
    <row r="70" spans="1:45" x14ac:dyDescent="0.2">
      <c r="A70" s="472"/>
      <c r="B70" s="3">
        <v>10</v>
      </c>
      <c r="C70" s="45">
        <f t="shared" si="22"/>
        <v>0</v>
      </c>
      <c r="D70" s="45">
        <f t="shared" si="16"/>
        <v>0</v>
      </c>
      <c r="E70" s="11">
        <f t="shared" si="23"/>
        <v>0</v>
      </c>
      <c r="F70" s="45">
        <f t="shared" si="24"/>
        <v>0</v>
      </c>
      <c r="G70" s="45">
        <f t="shared" si="4"/>
        <v>0</v>
      </c>
      <c r="H70" s="11">
        <f t="shared" si="17"/>
        <v>0</v>
      </c>
      <c r="I70" s="11"/>
      <c r="J70" s="472"/>
      <c r="K70" s="3">
        <v>10</v>
      </c>
      <c r="L70" s="45">
        <f t="shared" si="25"/>
        <v>0</v>
      </c>
      <c r="M70" s="45">
        <f t="shared" si="18"/>
        <v>0</v>
      </c>
      <c r="N70" s="11">
        <f t="shared" si="26"/>
        <v>0</v>
      </c>
      <c r="O70" s="45">
        <f t="shared" si="5"/>
        <v>0</v>
      </c>
      <c r="P70" s="45">
        <f t="shared" si="6"/>
        <v>0</v>
      </c>
      <c r="Q70" s="11">
        <f t="shared" si="7"/>
        <v>0</v>
      </c>
      <c r="R70" s="11"/>
      <c r="S70" s="472"/>
      <c r="T70" s="3">
        <v>10</v>
      </c>
      <c r="U70" s="45">
        <f t="shared" si="27"/>
        <v>0</v>
      </c>
      <c r="V70" s="45">
        <f t="shared" si="19"/>
        <v>0</v>
      </c>
      <c r="W70" s="11">
        <f t="shared" si="28"/>
        <v>0</v>
      </c>
      <c r="X70" s="45">
        <f t="shared" si="20"/>
        <v>0</v>
      </c>
      <c r="Y70" s="45">
        <f t="shared" si="8"/>
        <v>0</v>
      </c>
      <c r="Z70" s="11">
        <f t="shared" si="9"/>
        <v>0</v>
      </c>
      <c r="AA70" s="11"/>
      <c r="AB70" s="472"/>
      <c r="AC70" s="3">
        <v>10</v>
      </c>
      <c r="AD70" s="45">
        <f t="shared" si="29"/>
        <v>0</v>
      </c>
      <c r="AE70" s="45">
        <f t="shared" si="21"/>
        <v>0</v>
      </c>
      <c r="AF70" s="11">
        <f t="shared" si="30"/>
        <v>0</v>
      </c>
      <c r="AG70" s="45">
        <f t="shared" si="10"/>
        <v>0</v>
      </c>
      <c r="AH70" s="45">
        <f t="shared" si="11"/>
        <v>0</v>
      </c>
      <c r="AI70" s="11">
        <f t="shared" si="12"/>
        <v>0</v>
      </c>
      <c r="AJ70" s="11"/>
      <c r="AK70" s="472"/>
      <c r="AL70" s="3">
        <v>10</v>
      </c>
      <c r="AM70" s="11">
        <f t="shared" si="13"/>
        <v>0</v>
      </c>
      <c r="AN70" s="46">
        <f t="shared" si="14"/>
        <v>0</v>
      </c>
      <c r="AO70" s="47">
        <f t="shared" si="15"/>
        <v>0</v>
      </c>
      <c r="AP70" s="47"/>
      <c r="AQ70" s="472"/>
      <c r="AR70" s="109">
        <v>10</v>
      </c>
      <c r="AS70" s="111">
        <f t="shared" si="31"/>
        <v>0</v>
      </c>
    </row>
    <row r="71" spans="1:45" x14ac:dyDescent="0.2">
      <c r="A71" s="472"/>
      <c r="B71" s="3">
        <v>11</v>
      </c>
      <c r="C71" s="45">
        <f t="shared" si="22"/>
        <v>0</v>
      </c>
      <c r="D71" s="45">
        <f t="shared" si="16"/>
        <v>0</v>
      </c>
      <c r="E71" s="11">
        <f t="shared" si="23"/>
        <v>0</v>
      </c>
      <c r="F71" s="45">
        <f t="shared" si="24"/>
        <v>0</v>
      </c>
      <c r="G71" s="45">
        <f t="shared" si="4"/>
        <v>0</v>
      </c>
      <c r="H71" s="11">
        <f t="shared" si="17"/>
        <v>0</v>
      </c>
      <c r="I71" s="11"/>
      <c r="J71" s="472"/>
      <c r="K71" s="3">
        <v>11</v>
      </c>
      <c r="L71" s="45">
        <f t="shared" si="25"/>
        <v>0</v>
      </c>
      <c r="M71" s="45">
        <f t="shared" si="18"/>
        <v>0</v>
      </c>
      <c r="N71" s="11">
        <f t="shared" si="26"/>
        <v>0</v>
      </c>
      <c r="O71" s="45">
        <f t="shared" si="5"/>
        <v>0</v>
      </c>
      <c r="P71" s="45">
        <f t="shared" si="6"/>
        <v>0</v>
      </c>
      <c r="Q71" s="11">
        <f t="shared" si="7"/>
        <v>0</v>
      </c>
      <c r="R71" s="11"/>
      <c r="S71" s="472"/>
      <c r="T71" s="3">
        <v>11</v>
      </c>
      <c r="U71" s="45">
        <f t="shared" si="27"/>
        <v>0</v>
      </c>
      <c r="V71" s="45">
        <f t="shared" si="19"/>
        <v>0</v>
      </c>
      <c r="W71" s="11">
        <f t="shared" si="28"/>
        <v>0</v>
      </c>
      <c r="X71" s="45">
        <f t="shared" si="20"/>
        <v>0</v>
      </c>
      <c r="Y71" s="45">
        <f t="shared" si="8"/>
        <v>0</v>
      </c>
      <c r="Z71" s="11">
        <f t="shared" si="9"/>
        <v>0</v>
      </c>
      <c r="AA71" s="11"/>
      <c r="AB71" s="472"/>
      <c r="AC71" s="3">
        <v>11</v>
      </c>
      <c r="AD71" s="45">
        <f t="shared" si="29"/>
        <v>0</v>
      </c>
      <c r="AE71" s="45">
        <f t="shared" si="21"/>
        <v>0</v>
      </c>
      <c r="AF71" s="11">
        <f t="shared" si="30"/>
        <v>0</v>
      </c>
      <c r="AG71" s="45">
        <f t="shared" si="10"/>
        <v>0</v>
      </c>
      <c r="AH71" s="45">
        <f t="shared" si="11"/>
        <v>0</v>
      </c>
      <c r="AI71" s="11">
        <f t="shared" si="12"/>
        <v>0</v>
      </c>
      <c r="AJ71" s="11"/>
      <c r="AK71" s="472"/>
      <c r="AL71" s="3">
        <v>11</v>
      </c>
      <c r="AM71" s="11">
        <f t="shared" si="13"/>
        <v>0</v>
      </c>
      <c r="AN71" s="46">
        <f t="shared" si="14"/>
        <v>0</v>
      </c>
      <c r="AO71" s="47">
        <f t="shared" si="15"/>
        <v>0</v>
      </c>
      <c r="AP71" s="47"/>
      <c r="AQ71" s="472"/>
      <c r="AR71" s="108">
        <v>11</v>
      </c>
      <c r="AS71" s="111">
        <f t="shared" si="31"/>
        <v>0</v>
      </c>
    </row>
    <row r="72" spans="1:45" x14ac:dyDescent="0.2">
      <c r="A72" s="472"/>
      <c r="B72" s="3">
        <v>12</v>
      </c>
      <c r="C72" s="45">
        <f t="shared" si="22"/>
        <v>0</v>
      </c>
      <c r="D72" s="45">
        <f t="shared" si="16"/>
        <v>0</v>
      </c>
      <c r="E72" s="11">
        <f t="shared" si="23"/>
        <v>0</v>
      </c>
      <c r="F72" s="45">
        <f t="shared" si="24"/>
        <v>0</v>
      </c>
      <c r="G72" s="45">
        <f t="shared" si="4"/>
        <v>0</v>
      </c>
      <c r="H72" s="11">
        <f t="shared" si="17"/>
        <v>0</v>
      </c>
      <c r="I72" s="11"/>
      <c r="J72" s="472"/>
      <c r="K72" s="3">
        <v>12</v>
      </c>
      <c r="L72" s="45">
        <f t="shared" si="25"/>
        <v>0</v>
      </c>
      <c r="M72" s="45">
        <f t="shared" si="18"/>
        <v>0</v>
      </c>
      <c r="N72" s="11">
        <f t="shared" si="26"/>
        <v>0</v>
      </c>
      <c r="O72" s="45">
        <f t="shared" si="5"/>
        <v>0</v>
      </c>
      <c r="P72" s="45">
        <f t="shared" si="6"/>
        <v>0</v>
      </c>
      <c r="Q72" s="11">
        <f t="shared" si="7"/>
        <v>0</v>
      </c>
      <c r="R72" s="11"/>
      <c r="S72" s="472"/>
      <c r="T72" s="3">
        <v>12</v>
      </c>
      <c r="U72" s="45">
        <f t="shared" si="27"/>
        <v>0</v>
      </c>
      <c r="V72" s="45">
        <f t="shared" si="19"/>
        <v>0</v>
      </c>
      <c r="W72" s="11">
        <f t="shared" si="28"/>
        <v>0</v>
      </c>
      <c r="X72" s="45">
        <f t="shared" si="20"/>
        <v>0</v>
      </c>
      <c r="Y72" s="45">
        <f t="shared" si="8"/>
        <v>0</v>
      </c>
      <c r="Z72" s="11">
        <f t="shared" si="9"/>
        <v>0</v>
      </c>
      <c r="AA72" s="11"/>
      <c r="AB72" s="472"/>
      <c r="AC72" s="3">
        <v>12</v>
      </c>
      <c r="AD72" s="45">
        <f t="shared" si="29"/>
        <v>0</v>
      </c>
      <c r="AE72" s="45">
        <f t="shared" si="21"/>
        <v>0</v>
      </c>
      <c r="AF72" s="11">
        <f t="shared" si="30"/>
        <v>0</v>
      </c>
      <c r="AG72" s="45">
        <f t="shared" si="10"/>
        <v>0</v>
      </c>
      <c r="AH72" s="45">
        <f t="shared" si="11"/>
        <v>0</v>
      </c>
      <c r="AI72" s="11">
        <f t="shared" si="12"/>
        <v>0</v>
      </c>
      <c r="AJ72" s="11"/>
      <c r="AK72" s="472"/>
      <c r="AL72" s="3">
        <v>12</v>
      </c>
      <c r="AM72" s="11">
        <f t="shared" si="13"/>
        <v>0</v>
      </c>
      <c r="AN72" s="46">
        <f t="shared" si="14"/>
        <v>0</v>
      </c>
      <c r="AO72" s="47">
        <f t="shared" si="15"/>
        <v>0</v>
      </c>
      <c r="AP72" s="47"/>
      <c r="AQ72" s="472"/>
      <c r="AR72" s="109">
        <v>12</v>
      </c>
      <c r="AS72" s="111">
        <f t="shared" si="31"/>
        <v>0</v>
      </c>
    </row>
    <row r="73" spans="1:45" x14ac:dyDescent="0.2">
      <c r="A73" s="472"/>
      <c r="B73" s="3">
        <v>13</v>
      </c>
      <c r="C73" s="45">
        <f t="shared" si="22"/>
        <v>0</v>
      </c>
      <c r="D73" s="45">
        <f t="shared" si="16"/>
        <v>0</v>
      </c>
      <c r="E73" s="11">
        <f t="shared" si="23"/>
        <v>0</v>
      </c>
      <c r="F73" s="45">
        <f t="shared" si="24"/>
        <v>0</v>
      </c>
      <c r="G73" s="45">
        <f t="shared" si="4"/>
        <v>0</v>
      </c>
      <c r="H73" s="11">
        <f t="shared" si="17"/>
        <v>0</v>
      </c>
      <c r="I73" s="11"/>
      <c r="J73" s="472"/>
      <c r="K73" s="3">
        <v>13</v>
      </c>
      <c r="L73" s="45">
        <f t="shared" si="25"/>
        <v>0</v>
      </c>
      <c r="M73" s="45">
        <f t="shared" si="18"/>
        <v>0</v>
      </c>
      <c r="N73" s="11">
        <f t="shared" si="26"/>
        <v>0</v>
      </c>
      <c r="O73" s="45">
        <f t="shared" si="5"/>
        <v>0</v>
      </c>
      <c r="P73" s="45">
        <f t="shared" si="6"/>
        <v>0</v>
      </c>
      <c r="Q73" s="11">
        <f t="shared" si="7"/>
        <v>0</v>
      </c>
      <c r="R73" s="11"/>
      <c r="S73" s="472"/>
      <c r="T73" s="3">
        <v>13</v>
      </c>
      <c r="U73" s="45">
        <f t="shared" si="27"/>
        <v>0</v>
      </c>
      <c r="V73" s="45">
        <f t="shared" si="19"/>
        <v>0</v>
      </c>
      <c r="W73" s="11">
        <f t="shared" si="28"/>
        <v>0</v>
      </c>
      <c r="X73" s="45">
        <f t="shared" si="20"/>
        <v>0</v>
      </c>
      <c r="Y73" s="45">
        <f t="shared" si="8"/>
        <v>0</v>
      </c>
      <c r="Z73" s="11">
        <f t="shared" si="9"/>
        <v>0</v>
      </c>
      <c r="AA73" s="11"/>
      <c r="AB73" s="472"/>
      <c r="AC73" s="3">
        <v>13</v>
      </c>
      <c r="AD73" s="45">
        <f t="shared" si="29"/>
        <v>0</v>
      </c>
      <c r="AE73" s="45">
        <f t="shared" si="21"/>
        <v>0</v>
      </c>
      <c r="AF73" s="11">
        <f t="shared" si="30"/>
        <v>0</v>
      </c>
      <c r="AG73" s="45">
        <f t="shared" si="10"/>
        <v>0</v>
      </c>
      <c r="AH73" s="45">
        <f t="shared" si="11"/>
        <v>0</v>
      </c>
      <c r="AI73" s="11">
        <f t="shared" si="12"/>
        <v>0</v>
      </c>
      <c r="AJ73" s="11"/>
      <c r="AK73" s="472"/>
      <c r="AL73" s="3">
        <v>13</v>
      </c>
      <c r="AM73" s="11">
        <f t="shared" si="13"/>
        <v>0</v>
      </c>
      <c r="AN73" s="46">
        <f t="shared" si="14"/>
        <v>0</v>
      </c>
      <c r="AO73" s="47">
        <f t="shared" si="15"/>
        <v>0</v>
      </c>
      <c r="AP73" s="47"/>
      <c r="AQ73" s="472"/>
      <c r="AR73" s="108">
        <v>13</v>
      </c>
      <c r="AS73" s="111">
        <f t="shared" si="31"/>
        <v>0</v>
      </c>
    </row>
    <row r="74" spans="1:45" x14ac:dyDescent="0.2">
      <c r="A74" s="472"/>
      <c r="B74" s="3">
        <v>14</v>
      </c>
      <c r="C74" s="45">
        <f t="shared" si="22"/>
        <v>0</v>
      </c>
      <c r="D74" s="45">
        <f t="shared" si="16"/>
        <v>0</v>
      </c>
      <c r="E74" s="11">
        <f t="shared" si="23"/>
        <v>0</v>
      </c>
      <c r="F74" s="45">
        <f t="shared" si="24"/>
        <v>0</v>
      </c>
      <c r="G74" s="45">
        <f t="shared" si="4"/>
        <v>0</v>
      </c>
      <c r="H74" s="11">
        <f t="shared" si="17"/>
        <v>0</v>
      </c>
      <c r="I74" s="11"/>
      <c r="J74" s="472"/>
      <c r="K74" s="3">
        <v>14</v>
      </c>
      <c r="L74" s="45">
        <f t="shared" si="25"/>
        <v>0</v>
      </c>
      <c r="M74" s="45">
        <f t="shared" si="18"/>
        <v>0</v>
      </c>
      <c r="N74" s="11">
        <f t="shared" si="26"/>
        <v>0</v>
      </c>
      <c r="O74" s="45">
        <f t="shared" si="5"/>
        <v>0</v>
      </c>
      <c r="P74" s="45">
        <f t="shared" si="6"/>
        <v>0</v>
      </c>
      <c r="Q74" s="11">
        <f t="shared" si="7"/>
        <v>0</v>
      </c>
      <c r="R74" s="11"/>
      <c r="S74" s="472"/>
      <c r="T74" s="3">
        <v>14</v>
      </c>
      <c r="U74" s="45">
        <f t="shared" si="27"/>
        <v>0</v>
      </c>
      <c r="V74" s="45">
        <f t="shared" si="19"/>
        <v>0</v>
      </c>
      <c r="W74" s="11">
        <f t="shared" si="28"/>
        <v>0</v>
      </c>
      <c r="X74" s="45">
        <f t="shared" si="20"/>
        <v>0</v>
      </c>
      <c r="Y74" s="45">
        <f t="shared" si="8"/>
        <v>0</v>
      </c>
      <c r="Z74" s="11">
        <f t="shared" si="9"/>
        <v>0</v>
      </c>
      <c r="AA74" s="11"/>
      <c r="AB74" s="472"/>
      <c r="AC74" s="3">
        <v>14</v>
      </c>
      <c r="AD74" s="45">
        <f t="shared" si="29"/>
        <v>0</v>
      </c>
      <c r="AE74" s="45">
        <f t="shared" si="21"/>
        <v>0</v>
      </c>
      <c r="AF74" s="11">
        <f t="shared" si="30"/>
        <v>0</v>
      </c>
      <c r="AG74" s="45">
        <f t="shared" si="10"/>
        <v>0</v>
      </c>
      <c r="AH74" s="45">
        <f t="shared" si="11"/>
        <v>0</v>
      </c>
      <c r="AI74" s="11">
        <f t="shared" si="12"/>
        <v>0</v>
      </c>
      <c r="AJ74" s="11"/>
      <c r="AK74" s="472"/>
      <c r="AL74" s="3">
        <v>14</v>
      </c>
      <c r="AM74" s="11">
        <f t="shared" si="13"/>
        <v>0</v>
      </c>
      <c r="AN74" s="46">
        <f t="shared" si="14"/>
        <v>0</v>
      </c>
      <c r="AO74" s="47">
        <f t="shared" si="15"/>
        <v>0</v>
      </c>
      <c r="AP74" s="47"/>
      <c r="AQ74" s="472"/>
      <c r="AR74" s="109">
        <v>14</v>
      </c>
      <c r="AS74" s="111">
        <f t="shared" si="31"/>
        <v>0</v>
      </c>
    </row>
    <row r="75" spans="1:45" x14ac:dyDescent="0.2">
      <c r="A75" s="472"/>
      <c r="B75" s="3">
        <v>15</v>
      </c>
      <c r="C75" s="45">
        <f t="shared" si="22"/>
        <v>0</v>
      </c>
      <c r="D75" s="45">
        <f t="shared" si="16"/>
        <v>0</v>
      </c>
      <c r="E75" s="45">
        <f t="shared" si="23"/>
        <v>0</v>
      </c>
      <c r="F75" s="45">
        <f t="shared" si="24"/>
        <v>0</v>
      </c>
      <c r="G75" s="45">
        <f t="shared" si="4"/>
        <v>0</v>
      </c>
      <c r="H75" s="45">
        <f t="shared" si="17"/>
        <v>0</v>
      </c>
      <c r="I75" s="45"/>
      <c r="J75" s="472"/>
      <c r="K75" s="3">
        <v>15</v>
      </c>
      <c r="L75" s="45">
        <f t="shared" si="25"/>
        <v>0</v>
      </c>
      <c r="M75" s="45">
        <f t="shared" si="18"/>
        <v>0</v>
      </c>
      <c r="N75" s="11">
        <f t="shared" si="26"/>
        <v>0</v>
      </c>
      <c r="O75" s="45">
        <f t="shared" si="5"/>
        <v>0</v>
      </c>
      <c r="P75" s="45">
        <f t="shared" si="6"/>
        <v>0</v>
      </c>
      <c r="Q75" s="11">
        <f t="shared" si="7"/>
        <v>0</v>
      </c>
      <c r="R75" s="45"/>
      <c r="S75" s="472"/>
      <c r="T75" s="3">
        <v>15</v>
      </c>
      <c r="U75" s="45">
        <f t="shared" si="27"/>
        <v>0</v>
      </c>
      <c r="V75" s="45">
        <f t="shared" si="19"/>
        <v>0</v>
      </c>
      <c r="W75" s="11">
        <f t="shared" si="28"/>
        <v>0</v>
      </c>
      <c r="X75" s="45">
        <f t="shared" si="20"/>
        <v>0</v>
      </c>
      <c r="Y75" s="45">
        <f t="shared" si="8"/>
        <v>0</v>
      </c>
      <c r="Z75" s="11">
        <f t="shared" si="9"/>
        <v>0</v>
      </c>
      <c r="AA75" s="45"/>
      <c r="AB75" s="472"/>
      <c r="AC75" s="3">
        <v>15</v>
      </c>
      <c r="AD75" s="45">
        <f t="shared" si="29"/>
        <v>0</v>
      </c>
      <c r="AE75" s="45">
        <f t="shared" si="21"/>
        <v>0</v>
      </c>
      <c r="AF75" s="11">
        <f t="shared" si="30"/>
        <v>0</v>
      </c>
      <c r="AG75" s="45">
        <f t="shared" si="10"/>
        <v>0</v>
      </c>
      <c r="AH75" s="45">
        <f t="shared" si="11"/>
        <v>0</v>
      </c>
      <c r="AI75" s="11">
        <f t="shared" si="12"/>
        <v>0</v>
      </c>
      <c r="AJ75" s="45"/>
      <c r="AK75" s="472"/>
      <c r="AL75" s="3">
        <v>15</v>
      </c>
      <c r="AM75" s="11">
        <f t="shared" si="13"/>
        <v>0</v>
      </c>
      <c r="AN75" s="46">
        <f t="shared" si="14"/>
        <v>0</v>
      </c>
      <c r="AO75" s="47">
        <f t="shared" si="15"/>
        <v>0</v>
      </c>
      <c r="AP75" s="47"/>
      <c r="AQ75" s="472"/>
      <c r="AR75" s="108">
        <v>15</v>
      </c>
      <c r="AS75" s="111">
        <f t="shared" si="31"/>
        <v>0</v>
      </c>
    </row>
    <row r="76" spans="1:45" x14ac:dyDescent="0.2">
      <c r="A76" s="472"/>
      <c r="B76" s="3">
        <v>16</v>
      </c>
      <c r="C76" s="45">
        <f t="shared" si="22"/>
        <v>0</v>
      </c>
      <c r="D76" s="45">
        <f t="shared" si="16"/>
        <v>0</v>
      </c>
      <c r="E76" s="45">
        <f t="shared" si="23"/>
        <v>0</v>
      </c>
      <c r="F76" s="45">
        <f t="shared" si="24"/>
        <v>0</v>
      </c>
      <c r="G76" s="45">
        <f t="shared" si="4"/>
        <v>0</v>
      </c>
      <c r="H76" s="11">
        <f t="shared" si="17"/>
        <v>0</v>
      </c>
      <c r="I76" s="11"/>
      <c r="J76" s="472"/>
      <c r="K76" s="3">
        <v>16</v>
      </c>
      <c r="L76" s="45">
        <f t="shared" si="25"/>
        <v>0</v>
      </c>
      <c r="M76" s="45">
        <f t="shared" si="18"/>
        <v>0</v>
      </c>
      <c r="N76" s="11">
        <f t="shared" si="26"/>
        <v>0</v>
      </c>
      <c r="O76" s="45">
        <f t="shared" si="5"/>
        <v>0</v>
      </c>
      <c r="P76" s="45">
        <f t="shared" si="6"/>
        <v>0</v>
      </c>
      <c r="Q76" s="11">
        <f t="shared" si="7"/>
        <v>0</v>
      </c>
      <c r="R76" s="11"/>
      <c r="S76" s="472"/>
      <c r="T76" s="3">
        <v>16</v>
      </c>
      <c r="U76" s="45">
        <f t="shared" si="27"/>
        <v>0</v>
      </c>
      <c r="V76" s="45">
        <f t="shared" si="19"/>
        <v>0</v>
      </c>
      <c r="W76" s="11">
        <f t="shared" si="28"/>
        <v>0</v>
      </c>
      <c r="X76" s="45">
        <f t="shared" si="20"/>
        <v>0</v>
      </c>
      <c r="Y76" s="45">
        <f t="shared" si="8"/>
        <v>0</v>
      </c>
      <c r="Z76" s="11">
        <f t="shared" si="9"/>
        <v>0</v>
      </c>
      <c r="AA76" s="11"/>
      <c r="AB76" s="472"/>
      <c r="AC76" s="3">
        <v>16</v>
      </c>
      <c r="AD76" s="45">
        <f t="shared" si="29"/>
        <v>0</v>
      </c>
      <c r="AE76" s="45">
        <f t="shared" si="21"/>
        <v>0</v>
      </c>
      <c r="AF76" s="11">
        <f t="shared" si="30"/>
        <v>0</v>
      </c>
      <c r="AG76" s="45">
        <f t="shared" si="10"/>
        <v>0</v>
      </c>
      <c r="AH76" s="45">
        <f t="shared" si="11"/>
        <v>0</v>
      </c>
      <c r="AI76" s="11">
        <f t="shared" si="12"/>
        <v>0</v>
      </c>
      <c r="AJ76" s="11"/>
      <c r="AK76" s="472"/>
      <c r="AL76" s="3">
        <v>16</v>
      </c>
      <c r="AM76" s="11">
        <f t="shared" si="13"/>
        <v>0</v>
      </c>
      <c r="AN76" s="46">
        <f t="shared" si="14"/>
        <v>0</v>
      </c>
      <c r="AO76" s="47">
        <f t="shared" si="15"/>
        <v>0</v>
      </c>
      <c r="AP76" s="47"/>
      <c r="AQ76" s="472"/>
      <c r="AR76" s="109">
        <v>16</v>
      </c>
      <c r="AS76" s="111">
        <f t="shared" si="31"/>
        <v>0</v>
      </c>
    </row>
    <row r="77" spans="1:45" x14ac:dyDescent="0.2">
      <c r="A77" s="472"/>
      <c r="B77" s="3">
        <v>17</v>
      </c>
      <c r="C77" s="45">
        <f t="shared" si="22"/>
        <v>0</v>
      </c>
      <c r="D77" s="45">
        <f t="shared" si="16"/>
        <v>0</v>
      </c>
      <c r="E77" s="11">
        <f t="shared" si="23"/>
        <v>0</v>
      </c>
      <c r="F77" s="45">
        <f t="shared" si="24"/>
        <v>0</v>
      </c>
      <c r="G77" s="11">
        <f t="shared" si="4"/>
        <v>0</v>
      </c>
      <c r="H77" s="11">
        <f t="shared" si="17"/>
        <v>0</v>
      </c>
      <c r="I77" s="11"/>
      <c r="J77" s="472"/>
      <c r="K77" s="3">
        <v>17</v>
      </c>
      <c r="L77" s="45">
        <f t="shared" si="25"/>
        <v>0</v>
      </c>
      <c r="M77" s="45">
        <f t="shared" si="18"/>
        <v>0</v>
      </c>
      <c r="N77" s="11">
        <f t="shared" si="26"/>
        <v>0</v>
      </c>
      <c r="O77" s="45">
        <f t="shared" si="5"/>
        <v>0</v>
      </c>
      <c r="P77" s="45">
        <f t="shared" si="6"/>
        <v>0</v>
      </c>
      <c r="Q77" s="11">
        <f t="shared" si="7"/>
        <v>0</v>
      </c>
      <c r="R77" s="11"/>
      <c r="S77" s="472"/>
      <c r="T77" s="3">
        <v>17</v>
      </c>
      <c r="U77" s="45">
        <f t="shared" si="27"/>
        <v>0</v>
      </c>
      <c r="V77" s="45">
        <f t="shared" si="19"/>
        <v>0</v>
      </c>
      <c r="W77" s="11">
        <f t="shared" si="28"/>
        <v>0</v>
      </c>
      <c r="X77" s="45">
        <f t="shared" si="20"/>
        <v>0</v>
      </c>
      <c r="Y77" s="45">
        <f t="shared" si="8"/>
        <v>0</v>
      </c>
      <c r="Z77" s="11">
        <f t="shared" si="9"/>
        <v>0</v>
      </c>
      <c r="AA77" s="11"/>
      <c r="AB77" s="472"/>
      <c r="AC77" s="3">
        <v>17</v>
      </c>
      <c r="AD77" s="45">
        <f t="shared" si="29"/>
        <v>0</v>
      </c>
      <c r="AE77" s="45">
        <f t="shared" si="21"/>
        <v>0</v>
      </c>
      <c r="AF77" s="11">
        <f t="shared" si="30"/>
        <v>0</v>
      </c>
      <c r="AG77" s="45">
        <f t="shared" si="10"/>
        <v>0</v>
      </c>
      <c r="AH77" s="45">
        <f t="shared" si="11"/>
        <v>0</v>
      </c>
      <c r="AI77" s="11">
        <f t="shared" si="12"/>
        <v>0</v>
      </c>
      <c r="AJ77" s="11"/>
      <c r="AK77" s="472"/>
      <c r="AL77" s="3">
        <v>17</v>
      </c>
      <c r="AM77" s="11">
        <f t="shared" si="13"/>
        <v>0</v>
      </c>
      <c r="AN77" s="46">
        <f t="shared" si="14"/>
        <v>0</v>
      </c>
      <c r="AO77" s="47">
        <f t="shared" si="15"/>
        <v>0</v>
      </c>
      <c r="AP77" s="47"/>
      <c r="AQ77" s="472"/>
      <c r="AR77" s="108">
        <v>17</v>
      </c>
      <c r="AS77" s="111">
        <f t="shared" si="31"/>
        <v>0</v>
      </c>
    </row>
    <row r="78" spans="1:45" x14ac:dyDescent="0.2">
      <c r="A78" s="472"/>
      <c r="B78" s="3">
        <v>18</v>
      </c>
      <c r="C78" s="45">
        <f t="shared" si="22"/>
        <v>0</v>
      </c>
      <c r="D78" s="45">
        <f t="shared" si="16"/>
        <v>0</v>
      </c>
      <c r="E78" s="11">
        <f t="shared" si="23"/>
        <v>0</v>
      </c>
      <c r="F78" s="45">
        <f t="shared" si="24"/>
        <v>0</v>
      </c>
      <c r="G78" s="11">
        <f t="shared" si="4"/>
        <v>0</v>
      </c>
      <c r="H78" s="11">
        <f t="shared" si="17"/>
        <v>0</v>
      </c>
      <c r="I78" s="11"/>
      <c r="J78" s="472"/>
      <c r="K78" s="3">
        <v>18</v>
      </c>
      <c r="L78" s="45">
        <f t="shared" si="25"/>
        <v>0</v>
      </c>
      <c r="M78" s="45">
        <f t="shared" si="18"/>
        <v>0</v>
      </c>
      <c r="N78" s="11">
        <f t="shared" si="26"/>
        <v>0</v>
      </c>
      <c r="O78" s="45">
        <f t="shared" si="5"/>
        <v>0</v>
      </c>
      <c r="P78" s="45">
        <f t="shared" si="6"/>
        <v>0</v>
      </c>
      <c r="Q78" s="11">
        <f t="shared" si="7"/>
        <v>0</v>
      </c>
      <c r="R78" s="11"/>
      <c r="S78" s="472"/>
      <c r="T78" s="3">
        <v>18</v>
      </c>
      <c r="U78" s="45">
        <f t="shared" si="27"/>
        <v>0</v>
      </c>
      <c r="V78" s="45">
        <f t="shared" si="19"/>
        <v>0</v>
      </c>
      <c r="W78" s="11">
        <f t="shared" si="28"/>
        <v>0</v>
      </c>
      <c r="X78" s="45">
        <f t="shared" si="20"/>
        <v>0</v>
      </c>
      <c r="Y78" s="45">
        <f t="shared" si="8"/>
        <v>0</v>
      </c>
      <c r="Z78" s="11">
        <f t="shared" si="9"/>
        <v>0</v>
      </c>
      <c r="AA78" s="11"/>
      <c r="AB78" s="472"/>
      <c r="AC78" s="3">
        <v>18</v>
      </c>
      <c r="AD78" s="45">
        <f t="shared" si="29"/>
        <v>0</v>
      </c>
      <c r="AE78" s="45">
        <f t="shared" si="21"/>
        <v>0</v>
      </c>
      <c r="AF78" s="11">
        <f t="shared" si="30"/>
        <v>0</v>
      </c>
      <c r="AG78" s="45">
        <f t="shared" si="10"/>
        <v>0</v>
      </c>
      <c r="AH78" s="45">
        <f t="shared" si="11"/>
        <v>0</v>
      </c>
      <c r="AI78" s="11">
        <f t="shared" si="12"/>
        <v>0</v>
      </c>
      <c r="AJ78" s="11"/>
      <c r="AK78" s="472"/>
      <c r="AL78" s="3">
        <v>18</v>
      </c>
      <c r="AM78" s="11">
        <f t="shared" si="13"/>
        <v>0</v>
      </c>
      <c r="AN78" s="46">
        <f t="shared" si="14"/>
        <v>0</v>
      </c>
      <c r="AO78" s="47">
        <f t="shared" si="15"/>
        <v>0</v>
      </c>
      <c r="AP78" s="47"/>
      <c r="AQ78" s="472"/>
      <c r="AR78" s="109">
        <v>18</v>
      </c>
      <c r="AS78" s="111">
        <f t="shared" si="31"/>
        <v>0</v>
      </c>
    </row>
    <row r="79" spans="1:45" x14ac:dyDescent="0.2">
      <c r="A79" s="472"/>
      <c r="B79" s="3">
        <v>19</v>
      </c>
      <c r="C79" s="45">
        <f t="shared" si="22"/>
        <v>0</v>
      </c>
      <c r="D79" s="45">
        <f t="shared" si="16"/>
        <v>0</v>
      </c>
      <c r="E79" s="11">
        <f t="shared" si="23"/>
        <v>0</v>
      </c>
      <c r="F79" s="45">
        <f t="shared" si="24"/>
        <v>0</v>
      </c>
      <c r="G79" s="11">
        <f t="shared" si="4"/>
        <v>0</v>
      </c>
      <c r="H79" s="11">
        <f t="shared" si="17"/>
        <v>0</v>
      </c>
      <c r="I79" s="11"/>
      <c r="J79" s="472"/>
      <c r="K79" s="3">
        <v>19</v>
      </c>
      <c r="L79" s="45">
        <f t="shared" si="25"/>
        <v>0</v>
      </c>
      <c r="M79" s="45">
        <f t="shared" si="18"/>
        <v>0</v>
      </c>
      <c r="N79" s="11">
        <f t="shared" si="26"/>
        <v>0</v>
      </c>
      <c r="O79" s="45">
        <f t="shared" si="5"/>
        <v>0</v>
      </c>
      <c r="P79" s="45">
        <f t="shared" si="6"/>
        <v>0</v>
      </c>
      <c r="Q79" s="11">
        <f t="shared" si="7"/>
        <v>0</v>
      </c>
      <c r="R79" s="11"/>
      <c r="S79" s="472"/>
      <c r="T79" s="3">
        <v>19</v>
      </c>
      <c r="U79" s="45">
        <f t="shared" si="27"/>
        <v>0</v>
      </c>
      <c r="V79" s="45">
        <f t="shared" si="19"/>
        <v>0</v>
      </c>
      <c r="W79" s="11">
        <f t="shared" si="28"/>
        <v>0</v>
      </c>
      <c r="X79" s="45">
        <f t="shared" si="20"/>
        <v>0</v>
      </c>
      <c r="Y79" s="45">
        <f t="shared" si="8"/>
        <v>0</v>
      </c>
      <c r="Z79" s="11">
        <f t="shared" si="9"/>
        <v>0</v>
      </c>
      <c r="AA79" s="11"/>
      <c r="AB79" s="472"/>
      <c r="AC79" s="3">
        <v>19</v>
      </c>
      <c r="AD79" s="45">
        <f t="shared" si="29"/>
        <v>0</v>
      </c>
      <c r="AE79" s="45">
        <f t="shared" si="21"/>
        <v>0</v>
      </c>
      <c r="AF79" s="11">
        <f t="shared" si="30"/>
        <v>0</v>
      </c>
      <c r="AG79" s="45">
        <f t="shared" si="10"/>
        <v>0</v>
      </c>
      <c r="AH79" s="45">
        <f t="shared" si="11"/>
        <v>0</v>
      </c>
      <c r="AI79" s="11">
        <f t="shared" si="12"/>
        <v>0</v>
      </c>
      <c r="AJ79" s="11"/>
      <c r="AK79" s="472"/>
      <c r="AL79" s="3">
        <v>19</v>
      </c>
      <c r="AM79" s="11">
        <f t="shared" si="13"/>
        <v>0</v>
      </c>
      <c r="AN79" s="46">
        <f t="shared" si="14"/>
        <v>0</v>
      </c>
      <c r="AO79" s="47">
        <f t="shared" si="15"/>
        <v>0</v>
      </c>
      <c r="AP79" s="47"/>
      <c r="AQ79" s="472"/>
      <c r="AR79" s="108">
        <v>19</v>
      </c>
      <c r="AS79" s="111">
        <f t="shared" si="31"/>
        <v>0</v>
      </c>
    </row>
    <row r="80" spans="1:45" x14ac:dyDescent="0.2">
      <c r="A80" s="472"/>
      <c r="B80" s="3">
        <v>20</v>
      </c>
      <c r="C80" s="45">
        <f t="shared" si="22"/>
        <v>0</v>
      </c>
      <c r="D80" s="45">
        <f t="shared" si="16"/>
        <v>0</v>
      </c>
      <c r="E80" s="11">
        <f t="shared" si="23"/>
        <v>0</v>
      </c>
      <c r="F80" s="45">
        <f t="shared" si="24"/>
        <v>0</v>
      </c>
      <c r="G80" s="11">
        <f t="shared" si="4"/>
        <v>0</v>
      </c>
      <c r="H80" s="11">
        <f t="shared" si="17"/>
        <v>0</v>
      </c>
      <c r="I80" s="11"/>
      <c r="J80" s="472"/>
      <c r="K80" s="3">
        <v>20</v>
      </c>
      <c r="L80" s="45">
        <f t="shared" si="25"/>
        <v>0</v>
      </c>
      <c r="M80" s="45">
        <f t="shared" si="18"/>
        <v>0</v>
      </c>
      <c r="N80" s="11">
        <f t="shared" si="26"/>
        <v>0</v>
      </c>
      <c r="O80" s="45">
        <f t="shared" si="5"/>
        <v>0</v>
      </c>
      <c r="P80" s="45">
        <f t="shared" si="6"/>
        <v>0</v>
      </c>
      <c r="Q80" s="11">
        <f t="shared" si="7"/>
        <v>0</v>
      </c>
      <c r="R80" s="11"/>
      <c r="S80" s="472"/>
      <c r="T80" s="3">
        <v>20</v>
      </c>
      <c r="U80" s="45">
        <f t="shared" si="27"/>
        <v>0</v>
      </c>
      <c r="V80" s="45">
        <f t="shared" si="19"/>
        <v>0</v>
      </c>
      <c r="W80" s="11">
        <f t="shared" si="28"/>
        <v>0</v>
      </c>
      <c r="X80" s="45">
        <f t="shared" si="20"/>
        <v>0</v>
      </c>
      <c r="Y80" s="45">
        <f t="shared" si="8"/>
        <v>0</v>
      </c>
      <c r="Z80" s="11">
        <f t="shared" si="9"/>
        <v>0</v>
      </c>
      <c r="AA80" s="11"/>
      <c r="AB80" s="472"/>
      <c r="AC80" s="3">
        <v>20</v>
      </c>
      <c r="AD80" s="45">
        <f t="shared" si="29"/>
        <v>0</v>
      </c>
      <c r="AE80" s="45">
        <f t="shared" si="21"/>
        <v>0</v>
      </c>
      <c r="AF80" s="11">
        <f t="shared" si="30"/>
        <v>0</v>
      </c>
      <c r="AG80" s="45">
        <f t="shared" si="10"/>
        <v>0</v>
      </c>
      <c r="AH80" s="45">
        <f t="shared" si="11"/>
        <v>0</v>
      </c>
      <c r="AI80" s="11">
        <f t="shared" si="12"/>
        <v>0</v>
      </c>
      <c r="AJ80" s="11"/>
      <c r="AK80" s="472"/>
      <c r="AL80" s="3">
        <v>20</v>
      </c>
      <c r="AM80" s="11">
        <f t="shared" si="13"/>
        <v>0</v>
      </c>
      <c r="AN80" s="46">
        <f t="shared" si="14"/>
        <v>0</v>
      </c>
      <c r="AO80" s="47">
        <f t="shared" si="15"/>
        <v>0</v>
      </c>
      <c r="AP80" s="47"/>
      <c r="AQ80" s="472"/>
      <c r="AR80" s="109">
        <v>20</v>
      </c>
      <c r="AS80" s="111">
        <f t="shared" si="31"/>
        <v>0</v>
      </c>
    </row>
    <row r="82" spans="1:52" x14ac:dyDescent="0.2">
      <c r="A82" s="134" t="s">
        <v>627</v>
      </c>
      <c r="B82" s="134"/>
      <c r="C82" s="134"/>
      <c r="D82" s="134"/>
      <c r="E82" s="134"/>
      <c r="F82" s="134"/>
      <c r="G82" s="134"/>
      <c r="H82" s="134"/>
      <c r="I82" s="134"/>
      <c r="J82" s="134"/>
      <c r="K82" s="134"/>
      <c r="L82" s="134"/>
      <c r="M82" s="133"/>
      <c r="N82" s="133"/>
      <c r="O82" s="133"/>
      <c r="P82" s="133"/>
      <c r="Q82" s="133"/>
      <c r="R82" s="133"/>
      <c r="S82" s="133"/>
      <c r="T82" s="133"/>
      <c r="U82" s="133"/>
      <c r="V82" s="133"/>
      <c r="W82" s="133"/>
      <c r="X82" s="133"/>
      <c r="Y82" s="133"/>
      <c r="Z82" s="133"/>
      <c r="AA82" s="133"/>
      <c r="AB82" s="133"/>
      <c r="AC82" s="133"/>
      <c r="AD82" s="133"/>
      <c r="AE82" s="133"/>
      <c r="AF82" s="133"/>
      <c r="AG82" s="133"/>
      <c r="AH82" s="133"/>
      <c r="AI82" s="133"/>
      <c r="AJ82" s="133"/>
      <c r="AK82" s="133"/>
      <c r="AL82" s="133"/>
      <c r="AM82" s="133"/>
      <c r="AN82" s="133"/>
      <c r="AO82" s="133"/>
      <c r="AP82" s="133"/>
      <c r="AQ82" s="133"/>
      <c r="AR82" s="133"/>
      <c r="AS82" s="133"/>
      <c r="AT82" s="133"/>
      <c r="AU82" s="133"/>
      <c r="AV82" s="133"/>
      <c r="AW82" s="133"/>
      <c r="AX82" s="133"/>
      <c r="AY82" s="133"/>
      <c r="AZ82" s="133"/>
    </row>
    <row r="84" spans="1:52" customFormat="1" x14ac:dyDescent="0.2">
      <c r="A84" s="472" t="s">
        <v>182</v>
      </c>
      <c r="B84" s="4" t="s">
        <v>94</v>
      </c>
      <c r="C84" s="4">
        <v>1</v>
      </c>
      <c r="D84" s="4">
        <v>2</v>
      </c>
      <c r="E84" s="4">
        <v>3</v>
      </c>
      <c r="F84" s="4">
        <v>4</v>
      </c>
      <c r="G84" s="4">
        <v>5</v>
      </c>
      <c r="H84" s="4">
        <v>6</v>
      </c>
      <c r="I84" s="4">
        <v>7</v>
      </c>
      <c r="J84" s="4">
        <v>8</v>
      </c>
      <c r="K84" s="4">
        <v>9</v>
      </c>
      <c r="L84" s="4">
        <v>10</v>
      </c>
      <c r="M84" s="4">
        <v>11</v>
      </c>
      <c r="N84" s="4">
        <v>12</v>
      </c>
      <c r="O84" s="4">
        <v>13</v>
      </c>
      <c r="P84" s="4">
        <v>14</v>
      </c>
      <c r="Q84" s="4">
        <v>15</v>
      </c>
      <c r="R84" s="4">
        <v>16</v>
      </c>
      <c r="S84" s="4">
        <v>17</v>
      </c>
      <c r="T84" s="4">
        <v>18</v>
      </c>
      <c r="U84" s="4">
        <v>19</v>
      </c>
      <c r="V84" s="4">
        <v>20</v>
      </c>
      <c r="W84" s="4"/>
      <c r="X84" s="4"/>
      <c r="Y84" s="4"/>
      <c r="Z84" s="4"/>
      <c r="AA84" s="4"/>
      <c r="AB84" s="4"/>
      <c r="AC84" s="4"/>
      <c r="AD84" s="4"/>
      <c r="AE84" s="4"/>
      <c r="AF84" s="4"/>
    </row>
    <row r="85" spans="1:52" customFormat="1" x14ac:dyDescent="0.2">
      <c r="A85" s="472"/>
      <c r="B85" s="3" t="s">
        <v>629</v>
      </c>
      <c r="C85" s="50">
        <f>IF(C84=1,$C$6,B88)</f>
        <v>0</v>
      </c>
      <c r="D85" s="50">
        <f>IF(D84=1,$C$6,C88)</f>
        <v>0</v>
      </c>
      <c r="E85" s="50">
        <f t="shared" ref="E85:V85" si="32">IF(E84=1,$C$6,D88)</f>
        <v>0</v>
      </c>
      <c r="F85" s="50">
        <f t="shared" si="32"/>
        <v>0</v>
      </c>
      <c r="G85" s="50">
        <f t="shared" si="32"/>
        <v>0</v>
      </c>
      <c r="H85" s="50">
        <f t="shared" si="32"/>
        <v>0</v>
      </c>
      <c r="I85" s="50">
        <f t="shared" si="32"/>
        <v>0</v>
      </c>
      <c r="J85" s="50">
        <f t="shared" si="32"/>
        <v>0</v>
      </c>
      <c r="K85" s="50">
        <f t="shared" si="32"/>
        <v>0</v>
      </c>
      <c r="L85" s="50">
        <f t="shared" si="32"/>
        <v>0</v>
      </c>
      <c r="M85" s="50">
        <f t="shared" si="32"/>
        <v>0</v>
      </c>
      <c r="N85" s="50">
        <f t="shared" si="32"/>
        <v>0</v>
      </c>
      <c r="O85" s="50">
        <f t="shared" si="32"/>
        <v>0</v>
      </c>
      <c r="P85" s="50">
        <f t="shared" si="32"/>
        <v>0</v>
      </c>
      <c r="Q85" s="50">
        <f t="shared" si="32"/>
        <v>0</v>
      </c>
      <c r="R85" s="50">
        <f t="shared" si="32"/>
        <v>0</v>
      </c>
      <c r="S85" s="50">
        <f t="shared" si="32"/>
        <v>0</v>
      </c>
      <c r="T85" s="50">
        <f t="shared" si="32"/>
        <v>0</v>
      </c>
      <c r="U85" s="50">
        <f t="shared" si="32"/>
        <v>0</v>
      </c>
      <c r="V85" s="50">
        <f t="shared" si="32"/>
        <v>0</v>
      </c>
      <c r="W85" s="50"/>
      <c r="X85" s="50"/>
      <c r="Y85" s="50"/>
      <c r="Z85" s="50"/>
      <c r="AA85" s="50"/>
      <c r="AB85" s="50"/>
      <c r="AC85" s="50"/>
      <c r="AD85" s="50"/>
      <c r="AE85" s="50"/>
      <c r="AF85" s="50"/>
    </row>
    <row r="86" spans="1:52" customFormat="1" x14ac:dyDescent="0.2">
      <c r="A86" s="472"/>
      <c r="B86" s="3" t="s">
        <v>630</v>
      </c>
      <c r="C86" s="50">
        <f>IF(SUM($M$4:$M$7)=0,0,IF(ROUND(C85,2)&lt;=0,0,IF(OR($C$4="RASE",$C$4="REG"),INDEX($H$19:$I$38,MATCH(C$84,$H$19:$H$38,0),2)*$D$13,VLOOKUP(C84,$AL$61:$AO$80,4,FALSE)*C85)))</f>
        <v>0</v>
      </c>
      <c r="D86" s="50">
        <f t="shared" ref="D86:V86" si="33">IF(SUM($M$4:$M$7)=0,0,IF(ROUND(D85,2)&lt;=0,0,IF(OR($C$4="RASE",$C$4="REG"),INDEX($H$19:$I$38,MATCH(D$84,$H$19:$H$38,0),2)*$D$13,VLOOKUP(D84,$AL$61:$AO$80,4,FALSE)*D85)))</f>
        <v>0</v>
      </c>
      <c r="E86" s="50">
        <f t="shared" si="33"/>
        <v>0</v>
      </c>
      <c r="F86" s="50">
        <f t="shared" si="33"/>
        <v>0</v>
      </c>
      <c r="G86" s="50">
        <f t="shared" si="33"/>
        <v>0</v>
      </c>
      <c r="H86" s="50">
        <f t="shared" si="33"/>
        <v>0</v>
      </c>
      <c r="I86" s="50">
        <f t="shared" si="33"/>
        <v>0</v>
      </c>
      <c r="J86" s="50">
        <f t="shared" si="33"/>
        <v>0</v>
      </c>
      <c r="K86" s="50">
        <f t="shared" si="33"/>
        <v>0</v>
      </c>
      <c r="L86" s="50">
        <f t="shared" si="33"/>
        <v>0</v>
      </c>
      <c r="M86" s="50">
        <f t="shared" si="33"/>
        <v>0</v>
      </c>
      <c r="N86" s="50">
        <f t="shared" si="33"/>
        <v>0</v>
      </c>
      <c r="O86" s="50">
        <f t="shared" si="33"/>
        <v>0</v>
      </c>
      <c r="P86" s="50">
        <f t="shared" si="33"/>
        <v>0</v>
      </c>
      <c r="Q86" s="50">
        <f t="shared" si="33"/>
        <v>0</v>
      </c>
      <c r="R86" s="50">
        <f t="shared" si="33"/>
        <v>0</v>
      </c>
      <c r="S86" s="50">
        <f t="shared" si="33"/>
        <v>0</v>
      </c>
      <c r="T86" s="50">
        <f t="shared" si="33"/>
        <v>0</v>
      </c>
      <c r="U86" s="50">
        <f t="shared" si="33"/>
        <v>0</v>
      </c>
      <c r="V86" s="50">
        <f t="shared" si="33"/>
        <v>0</v>
      </c>
      <c r="W86" s="50"/>
      <c r="X86" s="50"/>
      <c r="Y86" s="50"/>
      <c r="Z86" s="50"/>
      <c r="AA86" s="50"/>
      <c r="AB86" s="50"/>
      <c r="AC86" s="50"/>
      <c r="AD86" s="50"/>
      <c r="AE86" s="50"/>
      <c r="AF86" s="50"/>
      <c r="AG86" s="50"/>
      <c r="AH86" s="50"/>
      <c r="AI86" s="50"/>
      <c r="AJ86" s="50"/>
      <c r="AK86" s="50"/>
      <c r="AL86" s="50"/>
      <c r="AM86" s="50"/>
      <c r="AN86" s="50"/>
      <c r="AO86" s="50"/>
      <c r="AP86" s="50"/>
      <c r="AQ86" s="50"/>
      <c r="AR86" s="50"/>
      <c r="AS86" s="50"/>
    </row>
    <row r="87" spans="1:52" customFormat="1" x14ac:dyDescent="0.2">
      <c r="A87" s="472"/>
      <c r="B87" s="3" t="s">
        <v>631</v>
      </c>
      <c r="C87" s="50">
        <f>IF(C84=1,C86,C86+B87)</f>
        <v>0</v>
      </c>
      <c r="D87" s="50">
        <f>IF(D84=1,D86,D86+C87)</f>
        <v>0</v>
      </c>
      <c r="E87" s="50">
        <f t="shared" ref="E87:V87" si="34">IF(E84=1,E86,E86+D87)</f>
        <v>0</v>
      </c>
      <c r="F87" s="50">
        <f t="shared" si="34"/>
        <v>0</v>
      </c>
      <c r="G87" s="50">
        <f t="shared" si="34"/>
        <v>0</v>
      </c>
      <c r="H87" s="50">
        <f t="shared" si="34"/>
        <v>0</v>
      </c>
      <c r="I87" s="50">
        <f t="shared" si="34"/>
        <v>0</v>
      </c>
      <c r="J87" s="50">
        <f>IF(J84=1,J86,J86+I87)</f>
        <v>0</v>
      </c>
      <c r="K87" s="50">
        <f t="shared" si="34"/>
        <v>0</v>
      </c>
      <c r="L87" s="50">
        <f t="shared" si="34"/>
        <v>0</v>
      </c>
      <c r="M87" s="50">
        <f t="shared" si="34"/>
        <v>0</v>
      </c>
      <c r="N87" s="50">
        <f t="shared" si="34"/>
        <v>0</v>
      </c>
      <c r="O87" s="50">
        <f t="shared" si="34"/>
        <v>0</v>
      </c>
      <c r="P87" s="50">
        <f t="shared" si="34"/>
        <v>0</v>
      </c>
      <c r="Q87" s="50">
        <f t="shared" si="34"/>
        <v>0</v>
      </c>
      <c r="R87" s="50">
        <f t="shared" si="34"/>
        <v>0</v>
      </c>
      <c r="S87" s="50">
        <f t="shared" si="34"/>
        <v>0</v>
      </c>
      <c r="T87" s="50">
        <f t="shared" si="34"/>
        <v>0</v>
      </c>
      <c r="U87" s="50">
        <f t="shared" si="34"/>
        <v>0</v>
      </c>
      <c r="V87" s="50">
        <f t="shared" si="34"/>
        <v>0</v>
      </c>
      <c r="W87" s="50"/>
      <c r="X87" s="50"/>
      <c r="Y87" s="50"/>
      <c r="Z87" s="50"/>
      <c r="AA87" s="50"/>
      <c r="AB87" s="50"/>
      <c r="AC87" s="50"/>
      <c r="AD87" s="50"/>
      <c r="AE87" s="50"/>
      <c r="AF87" s="50"/>
      <c r="AG87" s="50"/>
      <c r="AH87" s="50"/>
      <c r="AI87" s="50"/>
      <c r="AJ87" s="50"/>
      <c r="AK87" s="50"/>
      <c r="AL87" s="50"/>
      <c r="AM87" s="50"/>
      <c r="AN87" s="50"/>
      <c r="AO87" s="50"/>
      <c r="AP87" s="50"/>
      <c r="AQ87" s="50"/>
      <c r="AR87" s="50"/>
      <c r="AS87" s="50"/>
    </row>
    <row r="88" spans="1:52" s="4" customFormat="1" ht="17" x14ac:dyDescent="0.2">
      <c r="A88" s="472"/>
      <c r="B88" s="38" t="s">
        <v>632</v>
      </c>
      <c r="C88" s="50">
        <f>C85-C86</f>
        <v>0</v>
      </c>
      <c r="D88" s="50">
        <f t="shared" ref="D88:V88" si="35">D85-D86</f>
        <v>0</v>
      </c>
      <c r="E88" s="50">
        <f t="shared" si="35"/>
        <v>0</v>
      </c>
      <c r="F88" s="50">
        <f t="shared" si="35"/>
        <v>0</v>
      </c>
      <c r="G88" s="50">
        <f t="shared" si="35"/>
        <v>0</v>
      </c>
      <c r="H88" s="50">
        <f t="shared" si="35"/>
        <v>0</v>
      </c>
      <c r="I88" s="50">
        <f t="shared" si="35"/>
        <v>0</v>
      </c>
      <c r="J88" s="50">
        <f t="shared" si="35"/>
        <v>0</v>
      </c>
      <c r="K88" s="50">
        <f t="shared" si="35"/>
        <v>0</v>
      </c>
      <c r="L88" s="50">
        <f t="shared" si="35"/>
        <v>0</v>
      </c>
      <c r="M88" s="50">
        <f t="shared" si="35"/>
        <v>0</v>
      </c>
      <c r="N88" s="50">
        <f t="shared" si="35"/>
        <v>0</v>
      </c>
      <c r="O88" s="50">
        <f t="shared" si="35"/>
        <v>0</v>
      </c>
      <c r="P88" s="50">
        <f t="shared" si="35"/>
        <v>0</v>
      </c>
      <c r="Q88" s="50">
        <f t="shared" si="35"/>
        <v>0</v>
      </c>
      <c r="R88" s="50">
        <f t="shared" si="35"/>
        <v>0</v>
      </c>
      <c r="S88" s="50">
        <f t="shared" si="35"/>
        <v>0</v>
      </c>
      <c r="T88" s="50">
        <f t="shared" si="35"/>
        <v>0</v>
      </c>
      <c r="U88" s="50">
        <f t="shared" si="35"/>
        <v>0</v>
      </c>
      <c r="V88" s="50">
        <f t="shared" si="35"/>
        <v>0</v>
      </c>
      <c r="W88" s="50"/>
      <c r="X88" s="50"/>
      <c r="Y88" s="50"/>
      <c r="Z88" s="50"/>
      <c r="AA88" s="50"/>
      <c r="AB88" s="50"/>
      <c r="AC88" s="50"/>
      <c r="AD88" s="50"/>
      <c r="AE88" s="50"/>
      <c r="AF88" s="50"/>
    </row>
    <row r="89" spans="1:52" s="55" customFormat="1" x14ac:dyDescent="0.2">
      <c r="A89" s="472"/>
      <c r="B89" s="53" t="s">
        <v>189</v>
      </c>
      <c r="C89" s="54">
        <f>SUM(C88,C87)</f>
        <v>0</v>
      </c>
      <c r="D89" s="54">
        <f t="shared" ref="D89:V89" si="36">SUM(D88,D87)</f>
        <v>0</v>
      </c>
      <c r="E89" s="54">
        <f t="shared" si="36"/>
        <v>0</v>
      </c>
      <c r="F89" s="54">
        <f t="shared" si="36"/>
        <v>0</v>
      </c>
      <c r="G89" s="54">
        <f t="shared" si="36"/>
        <v>0</v>
      </c>
      <c r="H89" s="54">
        <f t="shared" si="36"/>
        <v>0</v>
      </c>
      <c r="I89" s="54">
        <f t="shared" si="36"/>
        <v>0</v>
      </c>
      <c r="J89" s="54">
        <f t="shared" si="36"/>
        <v>0</v>
      </c>
      <c r="K89" s="54">
        <f t="shared" si="36"/>
        <v>0</v>
      </c>
      <c r="L89" s="54">
        <f t="shared" si="36"/>
        <v>0</v>
      </c>
      <c r="M89" s="54">
        <f t="shared" si="36"/>
        <v>0</v>
      </c>
      <c r="N89" s="54">
        <f t="shared" si="36"/>
        <v>0</v>
      </c>
      <c r="O89" s="54">
        <f t="shared" si="36"/>
        <v>0</v>
      </c>
      <c r="P89" s="54">
        <f t="shared" si="36"/>
        <v>0</v>
      </c>
      <c r="Q89" s="54">
        <f t="shared" si="36"/>
        <v>0</v>
      </c>
      <c r="R89" s="54">
        <f t="shared" si="36"/>
        <v>0</v>
      </c>
      <c r="S89" s="54">
        <f t="shared" si="36"/>
        <v>0</v>
      </c>
      <c r="T89" s="54">
        <f t="shared" si="36"/>
        <v>0</v>
      </c>
      <c r="U89" s="54">
        <f t="shared" si="36"/>
        <v>0</v>
      </c>
      <c r="V89" s="54">
        <f t="shared" si="36"/>
        <v>0</v>
      </c>
      <c r="W89" s="54"/>
      <c r="X89" s="54"/>
      <c r="Y89" s="54"/>
      <c r="Z89" s="54"/>
      <c r="AA89" s="54"/>
      <c r="AB89" s="54"/>
      <c r="AC89" s="54"/>
      <c r="AD89" s="54"/>
      <c r="AE89" s="54"/>
      <c r="AF89" s="54"/>
    </row>
    <row r="91" spans="1:52" ht="16" customHeight="1" x14ac:dyDescent="0.2">
      <c r="A91" s="472" t="str">
        <f>CONCATENATE("SQ_REF_",C1,"_JP_",B11)</f>
        <v>SQ_REF_B_JP_</v>
      </c>
      <c r="B91" s="3" t="s">
        <v>94</v>
      </c>
      <c r="C91" s="3" t="s">
        <v>95</v>
      </c>
      <c r="D91" s="3" t="s">
        <v>96</v>
      </c>
      <c r="E91" s="3" t="s">
        <v>97</v>
      </c>
      <c r="F91" s="3" t="s">
        <v>98</v>
      </c>
      <c r="G91" s="3" t="s">
        <v>99</v>
      </c>
      <c r="H91" s="3" t="s">
        <v>100</v>
      </c>
      <c r="I91" s="3" t="s">
        <v>101</v>
      </c>
      <c r="J91" s="3" t="s">
        <v>102</v>
      </c>
      <c r="K91" s="3" t="s">
        <v>103</v>
      </c>
      <c r="L91" s="3" t="s">
        <v>104</v>
      </c>
      <c r="M91" s="3" t="s">
        <v>105</v>
      </c>
      <c r="N91" s="3" t="s">
        <v>106</v>
      </c>
      <c r="O91" s="3" t="s">
        <v>107</v>
      </c>
      <c r="P91" s="3" t="s">
        <v>108</v>
      </c>
      <c r="Q91" s="3" t="s">
        <v>109</v>
      </c>
      <c r="R91" s="3" t="s">
        <v>110</v>
      </c>
      <c r="S91" s="3" t="s">
        <v>111</v>
      </c>
      <c r="T91" s="3" t="s">
        <v>112</v>
      </c>
      <c r="U91" s="3" t="s">
        <v>113</v>
      </c>
      <c r="V91" s="3" t="s">
        <v>114</v>
      </c>
      <c r="W91" s="3" t="s">
        <v>117</v>
      </c>
      <c r="X91" s="3" t="s">
        <v>116</v>
      </c>
      <c r="Y91" s="3" t="s">
        <v>115</v>
      </c>
      <c r="Z91" s="3" t="s">
        <v>229</v>
      </c>
      <c r="AB91" s="474" t="s">
        <v>118</v>
      </c>
      <c r="AC91" s="474"/>
      <c r="AD91" s="474"/>
      <c r="AE91" s="474"/>
    </row>
    <row r="92" spans="1:52" x14ac:dyDescent="0.2">
      <c r="A92" s="472"/>
      <c r="B92" s="3">
        <v>1</v>
      </c>
      <c r="C92" s="11">
        <f t="shared" ref="C92:R107" si="37">(C$86)*IF($B92&gt;=C$84,IF($B92=C$84,$E$19,VLOOKUP($B92-C$84,$B$19:$E$49,4,FALSE)),0)</f>
        <v>0</v>
      </c>
      <c r="D92" s="11">
        <f t="shared" si="37"/>
        <v>0</v>
      </c>
      <c r="E92" s="11">
        <f t="shared" si="37"/>
        <v>0</v>
      </c>
      <c r="F92" s="11">
        <f t="shared" si="37"/>
        <v>0</v>
      </c>
      <c r="G92" s="11">
        <f t="shared" si="37"/>
        <v>0</v>
      </c>
      <c r="H92" s="11">
        <f t="shared" si="37"/>
        <v>0</v>
      </c>
      <c r="I92" s="11">
        <f t="shared" si="37"/>
        <v>0</v>
      </c>
      <c r="J92" s="11">
        <f t="shared" si="37"/>
        <v>0</v>
      </c>
      <c r="K92" s="11">
        <f t="shared" si="37"/>
        <v>0</v>
      </c>
      <c r="L92" s="11">
        <f t="shared" si="37"/>
        <v>0</v>
      </c>
      <c r="M92" s="11">
        <f t="shared" si="37"/>
        <v>0</v>
      </c>
      <c r="N92" s="11">
        <f t="shared" si="37"/>
        <v>0</v>
      </c>
      <c r="O92" s="11">
        <f t="shared" si="37"/>
        <v>0</v>
      </c>
      <c r="P92" s="11">
        <f t="shared" si="37"/>
        <v>0</v>
      </c>
      <c r="Q92" s="11">
        <f t="shared" si="37"/>
        <v>0</v>
      </c>
      <c r="R92" s="11">
        <f t="shared" si="37"/>
        <v>0</v>
      </c>
      <c r="S92" s="11">
        <f t="shared" ref="S92:V111" si="38">(S$86)*IF($B92&gt;=S$84,IF($B92=S$84,$E$19,VLOOKUP($B92-S$84,$B$19:$E$49,4,FALSE)),0)</f>
        <v>0</v>
      </c>
      <c r="T92" s="11">
        <f t="shared" si="38"/>
        <v>0</v>
      </c>
      <c r="U92" s="11">
        <f t="shared" si="38"/>
        <v>0</v>
      </c>
      <c r="V92" s="11">
        <f t="shared" si="38"/>
        <v>0</v>
      </c>
      <c r="W92" s="11">
        <f>SUM(C92:V92)*D$11*C$11</f>
        <v>0</v>
      </c>
      <c r="X92" s="11">
        <f t="shared" ref="X92:X111" si="39">IF(W92&gt;0,EXP(-1.0587+0.8836*LN(W92)+0.284),0)</f>
        <v>0</v>
      </c>
      <c r="Y92" s="11">
        <f t="shared" ref="Y92:Y111" si="40">SUM(W92:X92)*0.475*44/12</f>
        <v>0</v>
      </c>
      <c r="Z92" s="11">
        <f>SUM(C92:V92)</f>
        <v>0</v>
      </c>
      <c r="AB92" s="474"/>
      <c r="AC92" s="474"/>
      <c r="AD92" s="474"/>
      <c r="AE92" s="474"/>
      <c r="AH92" s="11"/>
    </row>
    <row r="93" spans="1:52" x14ac:dyDescent="0.2">
      <c r="A93" s="472"/>
      <c r="B93" s="3">
        <v>2</v>
      </c>
      <c r="C93" s="11">
        <f t="shared" si="37"/>
        <v>0</v>
      </c>
      <c r="D93" s="11">
        <f t="shared" si="37"/>
        <v>0</v>
      </c>
      <c r="E93" s="11">
        <f t="shared" si="37"/>
        <v>0</v>
      </c>
      <c r="F93" s="11">
        <f t="shared" si="37"/>
        <v>0</v>
      </c>
      <c r="G93" s="11">
        <f t="shared" si="37"/>
        <v>0</v>
      </c>
      <c r="H93" s="11">
        <f t="shared" si="37"/>
        <v>0</v>
      </c>
      <c r="I93" s="11">
        <f t="shared" si="37"/>
        <v>0</v>
      </c>
      <c r="J93" s="11">
        <f t="shared" si="37"/>
        <v>0</v>
      </c>
      <c r="K93" s="11">
        <f t="shared" si="37"/>
        <v>0</v>
      </c>
      <c r="L93" s="11">
        <f t="shared" si="37"/>
        <v>0</v>
      </c>
      <c r="M93" s="11">
        <f t="shared" si="37"/>
        <v>0</v>
      </c>
      <c r="N93" s="11">
        <f t="shared" si="37"/>
        <v>0</v>
      </c>
      <c r="O93" s="11">
        <f t="shared" si="37"/>
        <v>0</v>
      </c>
      <c r="P93" s="11">
        <f t="shared" si="37"/>
        <v>0</v>
      </c>
      <c r="Q93" s="11">
        <f t="shared" si="37"/>
        <v>0</v>
      </c>
      <c r="R93" s="11">
        <f t="shared" si="37"/>
        <v>0</v>
      </c>
      <c r="S93" s="11">
        <f t="shared" si="38"/>
        <v>0</v>
      </c>
      <c r="T93" s="11">
        <f t="shared" si="38"/>
        <v>0</v>
      </c>
      <c r="U93" s="11">
        <f t="shared" si="38"/>
        <v>0</v>
      </c>
      <c r="V93" s="11">
        <f t="shared" si="38"/>
        <v>0</v>
      </c>
      <c r="W93" s="11">
        <f t="shared" ref="W93:W111" si="41">SUM(C93:V93)*D$11*C$11</f>
        <v>0</v>
      </c>
      <c r="X93" s="11">
        <f t="shared" si="39"/>
        <v>0</v>
      </c>
      <c r="Y93" s="11">
        <f t="shared" si="40"/>
        <v>0</v>
      </c>
      <c r="Z93" s="11">
        <f t="shared" ref="Z93:Z111" si="42">SUM(C93:V93)</f>
        <v>0</v>
      </c>
      <c r="AB93" s="474"/>
      <c r="AC93" s="474"/>
      <c r="AD93" s="474"/>
      <c r="AE93" s="474"/>
      <c r="AH93" s="11"/>
    </row>
    <row r="94" spans="1:52" x14ac:dyDescent="0.2">
      <c r="A94" s="472"/>
      <c r="B94" s="3">
        <v>3</v>
      </c>
      <c r="C94" s="11">
        <f t="shared" si="37"/>
        <v>0</v>
      </c>
      <c r="D94" s="11">
        <f t="shared" si="37"/>
        <v>0</v>
      </c>
      <c r="E94" s="11">
        <f t="shared" si="37"/>
        <v>0</v>
      </c>
      <c r="F94" s="11">
        <f t="shared" si="37"/>
        <v>0</v>
      </c>
      <c r="G94" s="11">
        <f t="shared" si="37"/>
        <v>0</v>
      </c>
      <c r="H94" s="11">
        <f t="shared" si="37"/>
        <v>0</v>
      </c>
      <c r="I94" s="11">
        <f t="shared" si="37"/>
        <v>0</v>
      </c>
      <c r="J94" s="11">
        <f t="shared" si="37"/>
        <v>0</v>
      </c>
      <c r="K94" s="11">
        <f t="shared" si="37"/>
        <v>0</v>
      </c>
      <c r="L94" s="11">
        <f t="shared" si="37"/>
        <v>0</v>
      </c>
      <c r="M94" s="11">
        <f t="shared" si="37"/>
        <v>0</v>
      </c>
      <c r="N94" s="11">
        <f t="shared" si="37"/>
        <v>0</v>
      </c>
      <c r="O94" s="11">
        <f t="shared" si="37"/>
        <v>0</v>
      </c>
      <c r="P94" s="11">
        <f t="shared" si="37"/>
        <v>0</v>
      </c>
      <c r="Q94" s="11">
        <f t="shared" si="37"/>
        <v>0</v>
      </c>
      <c r="R94" s="11">
        <f t="shared" si="37"/>
        <v>0</v>
      </c>
      <c r="S94" s="11">
        <f t="shared" si="38"/>
        <v>0</v>
      </c>
      <c r="T94" s="11">
        <f t="shared" si="38"/>
        <v>0</v>
      </c>
      <c r="U94" s="11">
        <f t="shared" si="38"/>
        <v>0</v>
      </c>
      <c r="V94" s="11">
        <f t="shared" si="38"/>
        <v>0</v>
      </c>
      <c r="W94" s="11">
        <f t="shared" si="41"/>
        <v>0</v>
      </c>
      <c r="X94" s="11">
        <f t="shared" si="39"/>
        <v>0</v>
      </c>
      <c r="Y94" s="11">
        <f t="shared" si="40"/>
        <v>0</v>
      </c>
      <c r="Z94" s="11">
        <f t="shared" si="42"/>
        <v>0</v>
      </c>
      <c r="AB94" s="474"/>
      <c r="AC94" s="474"/>
      <c r="AD94" s="474"/>
      <c r="AE94" s="474"/>
      <c r="AH94" s="11"/>
    </row>
    <row r="95" spans="1:52" x14ac:dyDescent="0.2">
      <c r="A95" s="472"/>
      <c r="B95" s="3">
        <v>4</v>
      </c>
      <c r="C95" s="11">
        <f t="shared" si="37"/>
        <v>0</v>
      </c>
      <c r="D95" s="11">
        <f t="shared" si="37"/>
        <v>0</v>
      </c>
      <c r="E95" s="11">
        <f t="shared" si="37"/>
        <v>0</v>
      </c>
      <c r="F95" s="11">
        <f t="shared" si="37"/>
        <v>0</v>
      </c>
      <c r="G95" s="11">
        <f t="shared" si="37"/>
        <v>0</v>
      </c>
      <c r="H95" s="11">
        <f t="shared" si="37"/>
        <v>0</v>
      </c>
      <c r="I95" s="11">
        <f t="shared" si="37"/>
        <v>0</v>
      </c>
      <c r="J95" s="11">
        <f t="shared" si="37"/>
        <v>0</v>
      </c>
      <c r="K95" s="11">
        <f t="shared" si="37"/>
        <v>0</v>
      </c>
      <c r="L95" s="11">
        <f t="shared" si="37"/>
        <v>0</v>
      </c>
      <c r="M95" s="11">
        <f t="shared" si="37"/>
        <v>0</v>
      </c>
      <c r="N95" s="11">
        <f t="shared" si="37"/>
        <v>0</v>
      </c>
      <c r="O95" s="11">
        <f t="shared" si="37"/>
        <v>0</v>
      </c>
      <c r="P95" s="11">
        <f t="shared" si="37"/>
        <v>0</v>
      </c>
      <c r="Q95" s="11">
        <f t="shared" si="37"/>
        <v>0</v>
      </c>
      <c r="R95" s="11">
        <f t="shared" si="37"/>
        <v>0</v>
      </c>
      <c r="S95" s="11">
        <f t="shared" si="38"/>
        <v>0</v>
      </c>
      <c r="T95" s="11">
        <f t="shared" si="38"/>
        <v>0</v>
      </c>
      <c r="U95" s="11">
        <f t="shared" si="38"/>
        <v>0</v>
      </c>
      <c r="V95" s="11">
        <f t="shared" si="38"/>
        <v>0</v>
      </c>
      <c r="W95" s="11">
        <f t="shared" si="41"/>
        <v>0</v>
      </c>
      <c r="X95" s="11">
        <f t="shared" si="39"/>
        <v>0</v>
      </c>
      <c r="Y95" s="11">
        <f t="shared" si="40"/>
        <v>0</v>
      </c>
      <c r="Z95" s="11">
        <f t="shared" si="42"/>
        <v>0</v>
      </c>
      <c r="AB95" s="474"/>
      <c r="AC95" s="474"/>
      <c r="AD95" s="474"/>
      <c r="AE95" s="474"/>
      <c r="AH95" s="11"/>
    </row>
    <row r="96" spans="1:52" x14ac:dyDescent="0.2">
      <c r="A96" s="472"/>
      <c r="B96" s="3">
        <v>5</v>
      </c>
      <c r="C96" s="11">
        <f t="shared" si="37"/>
        <v>0</v>
      </c>
      <c r="D96" s="11">
        <f t="shared" si="37"/>
        <v>0</v>
      </c>
      <c r="E96" s="11">
        <f t="shared" si="37"/>
        <v>0</v>
      </c>
      <c r="F96" s="11">
        <f t="shared" si="37"/>
        <v>0</v>
      </c>
      <c r="G96" s="11">
        <f t="shared" si="37"/>
        <v>0</v>
      </c>
      <c r="H96" s="11">
        <f t="shared" si="37"/>
        <v>0</v>
      </c>
      <c r="I96" s="11">
        <f t="shared" si="37"/>
        <v>0</v>
      </c>
      <c r="J96" s="11">
        <f t="shared" si="37"/>
        <v>0</v>
      </c>
      <c r="K96" s="11">
        <f t="shared" si="37"/>
        <v>0</v>
      </c>
      <c r="L96" s="11">
        <f t="shared" si="37"/>
        <v>0</v>
      </c>
      <c r="M96" s="11">
        <f t="shared" si="37"/>
        <v>0</v>
      </c>
      <c r="N96" s="11">
        <f t="shared" si="37"/>
        <v>0</v>
      </c>
      <c r="O96" s="11">
        <f t="shared" si="37"/>
        <v>0</v>
      </c>
      <c r="P96" s="11">
        <f t="shared" si="37"/>
        <v>0</v>
      </c>
      <c r="Q96" s="11">
        <f t="shared" si="37"/>
        <v>0</v>
      </c>
      <c r="R96" s="11">
        <f t="shared" si="37"/>
        <v>0</v>
      </c>
      <c r="S96" s="11">
        <f t="shared" si="38"/>
        <v>0</v>
      </c>
      <c r="T96" s="11">
        <f t="shared" si="38"/>
        <v>0</v>
      </c>
      <c r="U96" s="11">
        <f t="shared" si="38"/>
        <v>0</v>
      </c>
      <c r="V96" s="11">
        <f t="shared" si="38"/>
        <v>0</v>
      </c>
      <c r="W96" s="11">
        <f t="shared" si="41"/>
        <v>0</v>
      </c>
      <c r="X96" s="11">
        <f t="shared" si="39"/>
        <v>0</v>
      </c>
      <c r="Y96" s="11">
        <f t="shared" si="40"/>
        <v>0</v>
      </c>
      <c r="Z96" s="11">
        <f t="shared" si="42"/>
        <v>0</v>
      </c>
      <c r="AB96" s="474"/>
      <c r="AC96" s="474"/>
      <c r="AD96" s="474"/>
      <c r="AE96" s="474"/>
      <c r="AH96" s="11"/>
    </row>
    <row r="97" spans="1:34" x14ac:dyDescent="0.2">
      <c r="A97" s="472"/>
      <c r="B97" s="3">
        <v>6</v>
      </c>
      <c r="C97" s="11">
        <f t="shared" si="37"/>
        <v>0</v>
      </c>
      <c r="D97" s="11">
        <f t="shared" si="37"/>
        <v>0</v>
      </c>
      <c r="E97" s="11">
        <f t="shared" si="37"/>
        <v>0</v>
      </c>
      <c r="F97" s="11">
        <f t="shared" si="37"/>
        <v>0</v>
      </c>
      <c r="G97" s="11">
        <f t="shared" si="37"/>
        <v>0</v>
      </c>
      <c r="H97" s="11">
        <f t="shared" si="37"/>
        <v>0</v>
      </c>
      <c r="I97" s="11">
        <f t="shared" si="37"/>
        <v>0</v>
      </c>
      <c r="J97" s="11">
        <f t="shared" si="37"/>
        <v>0</v>
      </c>
      <c r="K97" s="11">
        <f t="shared" si="37"/>
        <v>0</v>
      </c>
      <c r="L97" s="11">
        <f t="shared" si="37"/>
        <v>0</v>
      </c>
      <c r="M97" s="11">
        <f t="shared" si="37"/>
        <v>0</v>
      </c>
      <c r="N97" s="11">
        <f t="shared" si="37"/>
        <v>0</v>
      </c>
      <c r="O97" s="11">
        <f t="shared" si="37"/>
        <v>0</v>
      </c>
      <c r="P97" s="11">
        <f t="shared" si="37"/>
        <v>0</v>
      </c>
      <c r="Q97" s="11">
        <f t="shared" si="37"/>
        <v>0</v>
      </c>
      <c r="R97" s="11">
        <f t="shared" si="37"/>
        <v>0</v>
      </c>
      <c r="S97" s="11">
        <f t="shared" si="38"/>
        <v>0</v>
      </c>
      <c r="T97" s="11">
        <f t="shared" si="38"/>
        <v>0</v>
      </c>
      <c r="U97" s="11">
        <f t="shared" si="38"/>
        <v>0</v>
      </c>
      <c r="V97" s="11">
        <f t="shared" si="38"/>
        <v>0</v>
      </c>
      <c r="W97" s="11">
        <f t="shared" si="41"/>
        <v>0</v>
      </c>
      <c r="X97" s="11">
        <f t="shared" si="39"/>
        <v>0</v>
      </c>
      <c r="Y97" s="11">
        <f t="shared" si="40"/>
        <v>0</v>
      </c>
      <c r="Z97" s="11">
        <f t="shared" si="42"/>
        <v>0</v>
      </c>
      <c r="AB97" s="474"/>
      <c r="AC97" s="474"/>
      <c r="AD97" s="474"/>
      <c r="AE97" s="474"/>
      <c r="AH97" s="11"/>
    </row>
    <row r="98" spans="1:34" x14ac:dyDescent="0.2">
      <c r="A98" s="472"/>
      <c r="B98" s="3">
        <v>7</v>
      </c>
      <c r="C98" s="11">
        <f t="shared" si="37"/>
        <v>0</v>
      </c>
      <c r="D98" s="11">
        <f t="shared" si="37"/>
        <v>0</v>
      </c>
      <c r="E98" s="11">
        <f t="shared" si="37"/>
        <v>0</v>
      </c>
      <c r="F98" s="11">
        <f t="shared" si="37"/>
        <v>0</v>
      </c>
      <c r="G98" s="11">
        <f t="shared" si="37"/>
        <v>0</v>
      </c>
      <c r="H98" s="11">
        <f t="shared" si="37"/>
        <v>0</v>
      </c>
      <c r="I98" s="11">
        <f t="shared" si="37"/>
        <v>0</v>
      </c>
      <c r="J98" s="11">
        <f t="shared" si="37"/>
        <v>0</v>
      </c>
      <c r="K98" s="11">
        <f t="shared" si="37"/>
        <v>0</v>
      </c>
      <c r="L98" s="11">
        <f t="shared" si="37"/>
        <v>0</v>
      </c>
      <c r="M98" s="11">
        <f t="shared" si="37"/>
        <v>0</v>
      </c>
      <c r="N98" s="11">
        <f t="shared" si="37"/>
        <v>0</v>
      </c>
      <c r="O98" s="11">
        <f t="shared" si="37"/>
        <v>0</v>
      </c>
      <c r="P98" s="11">
        <f t="shared" si="37"/>
        <v>0</v>
      </c>
      <c r="Q98" s="11">
        <f t="shared" si="37"/>
        <v>0</v>
      </c>
      <c r="R98" s="11">
        <f t="shared" si="37"/>
        <v>0</v>
      </c>
      <c r="S98" s="11">
        <f t="shared" si="38"/>
        <v>0</v>
      </c>
      <c r="T98" s="11">
        <f t="shared" si="38"/>
        <v>0</v>
      </c>
      <c r="U98" s="11">
        <f t="shared" si="38"/>
        <v>0</v>
      </c>
      <c r="V98" s="11">
        <f t="shared" si="38"/>
        <v>0</v>
      </c>
      <c r="W98" s="11">
        <f t="shared" si="41"/>
        <v>0</v>
      </c>
      <c r="X98" s="11">
        <f t="shared" si="39"/>
        <v>0</v>
      </c>
      <c r="Y98" s="11">
        <f t="shared" si="40"/>
        <v>0</v>
      </c>
      <c r="Z98" s="11">
        <f t="shared" si="42"/>
        <v>0</v>
      </c>
      <c r="AH98" s="11"/>
    </row>
    <row r="99" spans="1:34" x14ac:dyDescent="0.2">
      <c r="A99" s="472"/>
      <c r="B99" s="3">
        <v>8</v>
      </c>
      <c r="C99" s="11">
        <f t="shared" si="37"/>
        <v>0</v>
      </c>
      <c r="D99" s="11">
        <f t="shared" si="37"/>
        <v>0</v>
      </c>
      <c r="E99" s="11">
        <f t="shared" si="37"/>
        <v>0</v>
      </c>
      <c r="F99" s="11">
        <f t="shared" si="37"/>
        <v>0</v>
      </c>
      <c r="G99" s="11">
        <f t="shared" si="37"/>
        <v>0</v>
      </c>
      <c r="H99" s="11">
        <f t="shared" si="37"/>
        <v>0</v>
      </c>
      <c r="I99" s="11">
        <f t="shared" si="37"/>
        <v>0</v>
      </c>
      <c r="J99" s="11">
        <f t="shared" si="37"/>
        <v>0</v>
      </c>
      <c r="K99" s="11">
        <f t="shared" si="37"/>
        <v>0</v>
      </c>
      <c r="L99" s="11">
        <f t="shared" si="37"/>
        <v>0</v>
      </c>
      <c r="M99" s="11">
        <f t="shared" si="37"/>
        <v>0</v>
      </c>
      <c r="N99" s="11">
        <f t="shared" si="37"/>
        <v>0</v>
      </c>
      <c r="O99" s="11">
        <f t="shared" si="37"/>
        <v>0</v>
      </c>
      <c r="P99" s="11">
        <f t="shared" si="37"/>
        <v>0</v>
      </c>
      <c r="Q99" s="11">
        <f t="shared" si="37"/>
        <v>0</v>
      </c>
      <c r="R99" s="11">
        <f t="shared" si="37"/>
        <v>0</v>
      </c>
      <c r="S99" s="11">
        <f t="shared" si="38"/>
        <v>0</v>
      </c>
      <c r="T99" s="11">
        <f t="shared" si="38"/>
        <v>0</v>
      </c>
      <c r="U99" s="11">
        <f t="shared" si="38"/>
        <v>0</v>
      </c>
      <c r="V99" s="11">
        <f t="shared" si="38"/>
        <v>0</v>
      </c>
      <c r="W99" s="11">
        <f t="shared" si="41"/>
        <v>0</v>
      </c>
      <c r="X99" s="11">
        <f t="shared" si="39"/>
        <v>0</v>
      </c>
      <c r="Y99" s="11">
        <f t="shared" si="40"/>
        <v>0</v>
      </c>
      <c r="Z99" s="11">
        <f t="shared" si="42"/>
        <v>0</v>
      </c>
      <c r="AB99" s="86"/>
      <c r="AC99" s="86"/>
      <c r="AD99" s="86"/>
      <c r="AE99" s="86"/>
      <c r="AH99" s="11"/>
    </row>
    <row r="100" spans="1:34" x14ac:dyDescent="0.2">
      <c r="A100" s="472"/>
      <c r="B100" s="3">
        <v>9</v>
      </c>
      <c r="C100" s="11">
        <f t="shared" si="37"/>
        <v>0</v>
      </c>
      <c r="D100" s="11">
        <f t="shared" si="37"/>
        <v>0</v>
      </c>
      <c r="E100" s="11">
        <f t="shared" si="37"/>
        <v>0</v>
      </c>
      <c r="F100" s="11">
        <f t="shared" si="37"/>
        <v>0</v>
      </c>
      <c r="G100" s="11">
        <f t="shared" si="37"/>
        <v>0</v>
      </c>
      <c r="H100" s="11">
        <f t="shared" si="37"/>
        <v>0</v>
      </c>
      <c r="I100" s="11">
        <f t="shared" si="37"/>
        <v>0</v>
      </c>
      <c r="J100" s="11">
        <f t="shared" si="37"/>
        <v>0</v>
      </c>
      <c r="K100" s="11">
        <f t="shared" si="37"/>
        <v>0</v>
      </c>
      <c r="L100" s="11">
        <f t="shared" si="37"/>
        <v>0</v>
      </c>
      <c r="M100" s="11">
        <f t="shared" si="37"/>
        <v>0</v>
      </c>
      <c r="N100" s="11">
        <f t="shared" si="37"/>
        <v>0</v>
      </c>
      <c r="O100" s="11">
        <f t="shared" si="37"/>
        <v>0</v>
      </c>
      <c r="P100" s="11">
        <f t="shared" si="37"/>
        <v>0</v>
      </c>
      <c r="Q100" s="11">
        <f t="shared" si="37"/>
        <v>0</v>
      </c>
      <c r="R100" s="11">
        <f t="shared" si="37"/>
        <v>0</v>
      </c>
      <c r="S100" s="11">
        <f t="shared" si="38"/>
        <v>0</v>
      </c>
      <c r="T100" s="11">
        <f t="shared" si="38"/>
        <v>0</v>
      </c>
      <c r="U100" s="11">
        <f t="shared" si="38"/>
        <v>0</v>
      </c>
      <c r="V100" s="11">
        <f t="shared" si="38"/>
        <v>0</v>
      </c>
      <c r="W100" s="11">
        <f t="shared" si="41"/>
        <v>0</v>
      </c>
      <c r="X100" s="11">
        <f t="shared" si="39"/>
        <v>0</v>
      </c>
      <c r="Y100" s="11">
        <f t="shared" si="40"/>
        <v>0</v>
      </c>
      <c r="Z100" s="11">
        <f t="shared" si="42"/>
        <v>0</v>
      </c>
      <c r="AB100" s="86"/>
      <c r="AC100" s="86"/>
      <c r="AD100" s="86"/>
      <c r="AE100" s="86"/>
      <c r="AH100" s="11"/>
    </row>
    <row r="101" spans="1:34" x14ac:dyDescent="0.2">
      <c r="A101" s="472"/>
      <c r="B101" s="3">
        <v>10</v>
      </c>
      <c r="C101" s="11">
        <f t="shared" si="37"/>
        <v>0</v>
      </c>
      <c r="D101" s="11">
        <f t="shared" si="37"/>
        <v>0</v>
      </c>
      <c r="E101" s="11">
        <f t="shared" si="37"/>
        <v>0</v>
      </c>
      <c r="F101" s="11">
        <f t="shared" si="37"/>
        <v>0</v>
      </c>
      <c r="G101" s="11">
        <f t="shared" si="37"/>
        <v>0</v>
      </c>
      <c r="H101" s="11">
        <f t="shared" si="37"/>
        <v>0</v>
      </c>
      <c r="I101" s="11">
        <f t="shared" si="37"/>
        <v>0</v>
      </c>
      <c r="J101" s="11">
        <f t="shared" si="37"/>
        <v>0</v>
      </c>
      <c r="K101" s="11">
        <f t="shared" si="37"/>
        <v>0</v>
      </c>
      <c r="L101" s="11">
        <f t="shared" si="37"/>
        <v>0</v>
      </c>
      <c r="M101" s="11">
        <f t="shared" si="37"/>
        <v>0</v>
      </c>
      <c r="N101" s="11">
        <f t="shared" si="37"/>
        <v>0</v>
      </c>
      <c r="O101" s="11">
        <f t="shared" si="37"/>
        <v>0</v>
      </c>
      <c r="P101" s="11">
        <f t="shared" si="37"/>
        <v>0</v>
      </c>
      <c r="Q101" s="11">
        <f t="shared" si="37"/>
        <v>0</v>
      </c>
      <c r="R101" s="11">
        <f t="shared" si="37"/>
        <v>0</v>
      </c>
      <c r="S101" s="11">
        <f t="shared" si="38"/>
        <v>0</v>
      </c>
      <c r="T101" s="11">
        <f t="shared" si="38"/>
        <v>0</v>
      </c>
      <c r="U101" s="11">
        <f t="shared" si="38"/>
        <v>0</v>
      </c>
      <c r="V101" s="11">
        <f t="shared" si="38"/>
        <v>0</v>
      </c>
      <c r="W101" s="11">
        <f t="shared" si="41"/>
        <v>0</v>
      </c>
      <c r="X101" s="11">
        <f t="shared" si="39"/>
        <v>0</v>
      </c>
      <c r="Y101" s="11">
        <f t="shared" si="40"/>
        <v>0</v>
      </c>
      <c r="Z101" s="11">
        <f t="shared" si="42"/>
        <v>0</v>
      </c>
      <c r="AB101" s="86"/>
      <c r="AC101" s="86"/>
      <c r="AD101" s="86"/>
      <c r="AE101" s="86"/>
      <c r="AH101" s="11"/>
    </row>
    <row r="102" spans="1:34" x14ac:dyDescent="0.2">
      <c r="A102" s="472"/>
      <c r="B102" s="3">
        <v>11</v>
      </c>
      <c r="C102" s="11">
        <f t="shared" si="37"/>
        <v>0</v>
      </c>
      <c r="D102" s="11">
        <f t="shared" si="37"/>
        <v>0</v>
      </c>
      <c r="E102" s="11">
        <f t="shared" si="37"/>
        <v>0</v>
      </c>
      <c r="F102" s="11">
        <f t="shared" si="37"/>
        <v>0</v>
      </c>
      <c r="G102" s="11">
        <f t="shared" si="37"/>
        <v>0</v>
      </c>
      <c r="H102" s="11">
        <f t="shared" si="37"/>
        <v>0</v>
      </c>
      <c r="I102" s="11">
        <f t="shared" si="37"/>
        <v>0</v>
      </c>
      <c r="J102" s="11">
        <f t="shared" si="37"/>
        <v>0</v>
      </c>
      <c r="K102" s="11">
        <f t="shared" si="37"/>
        <v>0</v>
      </c>
      <c r="L102" s="11">
        <f t="shared" si="37"/>
        <v>0</v>
      </c>
      <c r="M102" s="11">
        <f t="shared" si="37"/>
        <v>0</v>
      </c>
      <c r="N102" s="11">
        <f t="shared" si="37"/>
        <v>0</v>
      </c>
      <c r="O102" s="11">
        <f t="shared" si="37"/>
        <v>0</v>
      </c>
      <c r="P102" s="11">
        <f t="shared" si="37"/>
        <v>0</v>
      </c>
      <c r="Q102" s="11">
        <f t="shared" si="37"/>
        <v>0</v>
      </c>
      <c r="R102" s="11">
        <f t="shared" si="37"/>
        <v>0</v>
      </c>
      <c r="S102" s="11">
        <f t="shared" si="38"/>
        <v>0</v>
      </c>
      <c r="T102" s="11">
        <f t="shared" si="38"/>
        <v>0</v>
      </c>
      <c r="U102" s="11">
        <f t="shared" si="38"/>
        <v>0</v>
      </c>
      <c r="V102" s="11">
        <f t="shared" si="38"/>
        <v>0</v>
      </c>
      <c r="W102" s="11">
        <f t="shared" si="41"/>
        <v>0</v>
      </c>
      <c r="X102" s="11">
        <f t="shared" si="39"/>
        <v>0</v>
      </c>
      <c r="Y102" s="11">
        <f t="shared" si="40"/>
        <v>0</v>
      </c>
      <c r="Z102" s="11">
        <f t="shared" si="42"/>
        <v>0</v>
      </c>
      <c r="AB102" s="86"/>
      <c r="AC102" s="86"/>
      <c r="AD102" s="86"/>
      <c r="AE102" s="86"/>
      <c r="AH102" s="11"/>
    </row>
    <row r="103" spans="1:34" x14ac:dyDescent="0.2">
      <c r="A103" s="472"/>
      <c r="B103" s="3">
        <v>12</v>
      </c>
      <c r="C103" s="11">
        <f t="shared" si="37"/>
        <v>0</v>
      </c>
      <c r="D103" s="11">
        <f t="shared" si="37"/>
        <v>0</v>
      </c>
      <c r="E103" s="11">
        <f t="shared" si="37"/>
        <v>0</v>
      </c>
      <c r="F103" s="11">
        <f t="shared" si="37"/>
        <v>0</v>
      </c>
      <c r="G103" s="11">
        <f t="shared" si="37"/>
        <v>0</v>
      </c>
      <c r="H103" s="11">
        <f t="shared" si="37"/>
        <v>0</v>
      </c>
      <c r="I103" s="11">
        <f t="shared" si="37"/>
        <v>0</v>
      </c>
      <c r="J103" s="11">
        <f t="shared" si="37"/>
        <v>0</v>
      </c>
      <c r="K103" s="11">
        <f t="shared" si="37"/>
        <v>0</v>
      </c>
      <c r="L103" s="11">
        <f t="shared" si="37"/>
        <v>0</v>
      </c>
      <c r="M103" s="11">
        <f t="shared" si="37"/>
        <v>0</v>
      </c>
      <c r="N103" s="11">
        <f t="shared" si="37"/>
        <v>0</v>
      </c>
      <c r="O103" s="11">
        <f t="shared" si="37"/>
        <v>0</v>
      </c>
      <c r="P103" s="11">
        <f t="shared" si="37"/>
        <v>0</v>
      </c>
      <c r="Q103" s="11">
        <f t="shared" si="37"/>
        <v>0</v>
      </c>
      <c r="R103" s="11">
        <f t="shared" si="37"/>
        <v>0</v>
      </c>
      <c r="S103" s="11">
        <f t="shared" si="38"/>
        <v>0</v>
      </c>
      <c r="T103" s="11">
        <f t="shared" si="38"/>
        <v>0</v>
      </c>
      <c r="U103" s="11">
        <f t="shared" si="38"/>
        <v>0</v>
      </c>
      <c r="V103" s="11">
        <f t="shared" si="38"/>
        <v>0</v>
      </c>
      <c r="W103" s="11">
        <f t="shared" si="41"/>
        <v>0</v>
      </c>
      <c r="X103" s="11">
        <f t="shared" si="39"/>
        <v>0</v>
      </c>
      <c r="Y103" s="11">
        <f t="shared" si="40"/>
        <v>0</v>
      </c>
      <c r="Z103" s="11">
        <f t="shared" si="42"/>
        <v>0</v>
      </c>
      <c r="AB103" s="86"/>
      <c r="AC103" s="86"/>
      <c r="AD103" s="86"/>
      <c r="AE103" s="86"/>
      <c r="AH103" s="11"/>
    </row>
    <row r="104" spans="1:34" x14ac:dyDescent="0.2">
      <c r="A104" s="472"/>
      <c r="B104" s="3">
        <v>13</v>
      </c>
      <c r="C104" s="11">
        <f t="shared" si="37"/>
        <v>0</v>
      </c>
      <c r="D104" s="11">
        <f t="shared" si="37"/>
        <v>0</v>
      </c>
      <c r="E104" s="11">
        <f t="shared" si="37"/>
        <v>0</v>
      </c>
      <c r="F104" s="11">
        <f t="shared" si="37"/>
        <v>0</v>
      </c>
      <c r="G104" s="11">
        <f t="shared" si="37"/>
        <v>0</v>
      </c>
      <c r="H104" s="11">
        <f t="shared" si="37"/>
        <v>0</v>
      </c>
      <c r="I104" s="11">
        <f t="shared" si="37"/>
        <v>0</v>
      </c>
      <c r="J104" s="11">
        <f t="shared" si="37"/>
        <v>0</v>
      </c>
      <c r="K104" s="11">
        <f t="shared" si="37"/>
        <v>0</v>
      </c>
      <c r="L104" s="11">
        <f t="shared" si="37"/>
        <v>0</v>
      </c>
      <c r="M104" s="11">
        <f t="shared" si="37"/>
        <v>0</v>
      </c>
      <c r="N104" s="11">
        <f t="shared" si="37"/>
        <v>0</v>
      </c>
      <c r="O104" s="11">
        <f t="shared" si="37"/>
        <v>0</v>
      </c>
      <c r="P104" s="11">
        <f t="shared" si="37"/>
        <v>0</v>
      </c>
      <c r="Q104" s="11">
        <f t="shared" si="37"/>
        <v>0</v>
      </c>
      <c r="R104" s="11">
        <f t="shared" si="37"/>
        <v>0</v>
      </c>
      <c r="S104" s="11">
        <f t="shared" si="38"/>
        <v>0</v>
      </c>
      <c r="T104" s="11">
        <f t="shared" si="38"/>
        <v>0</v>
      </c>
      <c r="U104" s="11">
        <f t="shared" si="38"/>
        <v>0</v>
      </c>
      <c r="V104" s="11">
        <f t="shared" si="38"/>
        <v>0</v>
      </c>
      <c r="W104" s="11">
        <f t="shared" si="41"/>
        <v>0</v>
      </c>
      <c r="X104" s="11">
        <f t="shared" si="39"/>
        <v>0</v>
      </c>
      <c r="Y104" s="11">
        <f t="shared" si="40"/>
        <v>0</v>
      </c>
      <c r="Z104" s="11">
        <f t="shared" si="42"/>
        <v>0</v>
      </c>
      <c r="AB104" s="86"/>
      <c r="AC104" s="86"/>
      <c r="AD104" s="86"/>
      <c r="AE104" s="86"/>
      <c r="AH104" s="11"/>
    </row>
    <row r="105" spans="1:34" x14ac:dyDescent="0.2">
      <c r="A105" s="472"/>
      <c r="B105" s="3">
        <v>14</v>
      </c>
      <c r="C105" s="11">
        <f t="shared" si="37"/>
        <v>0</v>
      </c>
      <c r="D105" s="11">
        <f t="shared" si="37"/>
        <v>0</v>
      </c>
      <c r="E105" s="11">
        <f t="shared" si="37"/>
        <v>0</v>
      </c>
      <c r="F105" s="11">
        <f t="shared" si="37"/>
        <v>0</v>
      </c>
      <c r="G105" s="11">
        <f t="shared" si="37"/>
        <v>0</v>
      </c>
      <c r="H105" s="11">
        <f t="shared" si="37"/>
        <v>0</v>
      </c>
      <c r="I105" s="11">
        <f t="shared" si="37"/>
        <v>0</v>
      </c>
      <c r="J105" s="11">
        <f t="shared" si="37"/>
        <v>0</v>
      </c>
      <c r="K105" s="11">
        <f t="shared" si="37"/>
        <v>0</v>
      </c>
      <c r="L105" s="11">
        <f t="shared" si="37"/>
        <v>0</v>
      </c>
      <c r="M105" s="11">
        <f t="shared" si="37"/>
        <v>0</v>
      </c>
      <c r="N105" s="11">
        <f t="shared" si="37"/>
        <v>0</v>
      </c>
      <c r="O105" s="11">
        <f t="shared" si="37"/>
        <v>0</v>
      </c>
      <c r="P105" s="11">
        <f t="shared" si="37"/>
        <v>0</v>
      </c>
      <c r="Q105" s="11">
        <f t="shared" si="37"/>
        <v>0</v>
      </c>
      <c r="R105" s="11">
        <f t="shared" si="37"/>
        <v>0</v>
      </c>
      <c r="S105" s="11">
        <f t="shared" si="38"/>
        <v>0</v>
      </c>
      <c r="T105" s="11">
        <f t="shared" si="38"/>
        <v>0</v>
      </c>
      <c r="U105" s="11">
        <f t="shared" si="38"/>
        <v>0</v>
      </c>
      <c r="V105" s="11">
        <f t="shared" si="38"/>
        <v>0</v>
      </c>
      <c r="W105" s="11">
        <f t="shared" si="41"/>
        <v>0</v>
      </c>
      <c r="X105" s="11">
        <f t="shared" si="39"/>
        <v>0</v>
      </c>
      <c r="Y105" s="11">
        <f t="shared" si="40"/>
        <v>0</v>
      </c>
      <c r="Z105" s="11">
        <f t="shared" si="42"/>
        <v>0</v>
      </c>
      <c r="AB105" s="86"/>
      <c r="AC105" s="86"/>
      <c r="AD105" s="86"/>
      <c r="AE105" s="86"/>
      <c r="AH105" s="11"/>
    </row>
    <row r="106" spans="1:34" x14ac:dyDescent="0.2">
      <c r="A106" s="472"/>
      <c r="B106" s="3">
        <v>15</v>
      </c>
      <c r="C106" s="11">
        <f t="shared" si="37"/>
        <v>0</v>
      </c>
      <c r="D106" s="11">
        <f t="shared" si="37"/>
        <v>0</v>
      </c>
      <c r="E106" s="11">
        <f t="shared" si="37"/>
        <v>0</v>
      </c>
      <c r="F106" s="11">
        <f t="shared" si="37"/>
        <v>0</v>
      </c>
      <c r="G106" s="11">
        <f t="shared" si="37"/>
        <v>0</v>
      </c>
      <c r="H106" s="11">
        <f t="shared" si="37"/>
        <v>0</v>
      </c>
      <c r="I106" s="11">
        <f t="shared" si="37"/>
        <v>0</v>
      </c>
      <c r="J106" s="11">
        <f t="shared" si="37"/>
        <v>0</v>
      </c>
      <c r="K106" s="11">
        <f t="shared" si="37"/>
        <v>0</v>
      </c>
      <c r="L106" s="11">
        <f t="shared" si="37"/>
        <v>0</v>
      </c>
      <c r="M106" s="11">
        <f t="shared" si="37"/>
        <v>0</v>
      </c>
      <c r="N106" s="11">
        <f t="shared" si="37"/>
        <v>0</v>
      </c>
      <c r="O106" s="11">
        <f t="shared" si="37"/>
        <v>0</v>
      </c>
      <c r="P106" s="11">
        <f t="shared" si="37"/>
        <v>0</v>
      </c>
      <c r="Q106" s="11">
        <f t="shared" si="37"/>
        <v>0</v>
      </c>
      <c r="R106" s="11">
        <f t="shared" si="37"/>
        <v>0</v>
      </c>
      <c r="S106" s="11">
        <f t="shared" si="38"/>
        <v>0</v>
      </c>
      <c r="T106" s="11">
        <f t="shared" si="38"/>
        <v>0</v>
      </c>
      <c r="U106" s="11">
        <f t="shared" si="38"/>
        <v>0</v>
      </c>
      <c r="V106" s="11">
        <f t="shared" si="38"/>
        <v>0</v>
      </c>
      <c r="W106" s="11">
        <f t="shared" si="41"/>
        <v>0</v>
      </c>
      <c r="X106" s="11">
        <f t="shared" si="39"/>
        <v>0</v>
      </c>
      <c r="Y106" s="11">
        <f t="shared" si="40"/>
        <v>0</v>
      </c>
      <c r="Z106" s="11">
        <f t="shared" si="42"/>
        <v>0</v>
      </c>
      <c r="AH106" s="11"/>
    </row>
    <row r="107" spans="1:34" x14ac:dyDescent="0.2">
      <c r="A107" s="472"/>
      <c r="B107" s="3">
        <v>16</v>
      </c>
      <c r="C107" s="11">
        <f t="shared" si="37"/>
        <v>0</v>
      </c>
      <c r="D107" s="11">
        <f t="shared" si="37"/>
        <v>0</v>
      </c>
      <c r="E107" s="11">
        <f t="shared" si="37"/>
        <v>0</v>
      </c>
      <c r="F107" s="11">
        <f t="shared" si="37"/>
        <v>0</v>
      </c>
      <c r="G107" s="11">
        <f t="shared" si="37"/>
        <v>0</v>
      </c>
      <c r="H107" s="11">
        <f t="shared" si="37"/>
        <v>0</v>
      </c>
      <c r="I107" s="11">
        <f t="shared" si="37"/>
        <v>0</v>
      </c>
      <c r="J107" s="11">
        <f t="shared" si="37"/>
        <v>0</v>
      </c>
      <c r="K107" s="11">
        <f t="shared" si="37"/>
        <v>0</v>
      </c>
      <c r="L107" s="11">
        <f t="shared" si="37"/>
        <v>0</v>
      </c>
      <c r="M107" s="11">
        <f t="shared" si="37"/>
        <v>0</v>
      </c>
      <c r="N107" s="11">
        <f t="shared" si="37"/>
        <v>0</v>
      </c>
      <c r="O107" s="11">
        <f t="shared" si="37"/>
        <v>0</v>
      </c>
      <c r="P107" s="11">
        <f t="shared" si="37"/>
        <v>0</v>
      </c>
      <c r="Q107" s="11">
        <f t="shared" si="37"/>
        <v>0</v>
      </c>
      <c r="R107" s="11">
        <f t="shared" ref="R107:R111" si="43">(R$86)*IF($B107&gt;=R$84,IF($B107=R$84,$E$19,VLOOKUP($B107-R$84,$B$19:$E$49,4,FALSE)),0)</f>
        <v>0</v>
      </c>
      <c r="S107" s="11">
        <f t="shared" si="38"/>
        <v>0</v>
      </c>
      <c r="T107" s="11">
        <f t="shared" si="38"/>
        <v>0</v>
      </c>
      <c r="U107" s="11">
        <f t="shared" si="38"/>
        <v>0</v>
      </c>
      <c r="V107" s="11">
        <f t="shared" si="38"/>
        <v>0</v>
      </c>
      <c r="W107" s="11">
        <f t="shared" si="41"/>
        <v>0</v>
      </c>
      <c r="X107" s="11">
        <f t="shared" si="39"/>
        <v>0</v>
      </c>
      <c r="Y107" s="11">
        <f t="shared" si="40"/>
        <v>0</v>
      </c>
      <c r="Z107" s="11">
        <f t="shared" si="42"/>
        <v>0</v>
      </c>
      <c r="AH107" s="11"/>
    </row>
    <row r="108" spans="1:34" x14ac:dyDescent="0.2">
      <c r="A108" s="472"/>
      <c r="B108" s="3">
        <v>17</v>
      </c>
      <c r="C108" s="11">
        <f t="shared" ref="C108:Q111" si="44">(C$86)*IF($B108&gt;=C$84,IF($B108=C$84,$E$19,VLOOKUP($B108-C$84,$B$19:$E$49,4,FALSE)),0)</f>
        <v>0</v>
      </c>
      <c r="D108" s="11">
        <f t="shared" si="44"/>
        <v>0</v>
      </c>
      <c r="E108" s="11">
        <f t="shared" si="44"/>
        <v>0</v>
      </c>
      <c r="F108" s="11">
        <f t="shared" si="44"/>
        <v>0</v>
      </c>
      <c r="G108" s="11">
        <f t="shared" si="44"/>
        <v>0</v>
      </c>
      <c r="H108" s="11">
        <f t="shared" si="44"/>
        <v>0</v>
      </c>
      <c r="I108" s="11">
        <f t="shared" si="44"/>
        <v>0</v>
      </c>
      <c r="J108" s="11">
        <f t="shared" si="44"/>
        <v>0</v>
      </c>
      <c r="K108" s="11">
        <f t="shared" si="44"/>
        <v>0</v>
      </c>
      <c r="L108" s="11">
        <f t="shared" si="44"/>
        <v>0</v>
      </c>
      <c r="M108" s="11">
        <f t="shared" si="44"/>
        <v>0</v>
      </c>
      <c r="N108" s="11">
        <f t="shared" si="44"/>
        <v>0</v>
      </c>
      <c r="O108" s="11">
        <f t="shared" si="44"/>
        <v>0</v>
      </c>
      <c r="P108" s="11">
        <f t="shared" si="44"/>
        <v>0</v>
      </c>
      <c r="Q108" s="11">
        <f t="shared" si="44"/>
        <v>0</v>
      </c>
      <c r="R108" s="11">
        <f t="shared" si="43"/>
        <v>0</v>
      </c>
      <c r="S108" s="11">
        <f t="shared" si="38"/>
        <v>0</v>
      </c>
      <c r="T108" s="11">
        <f t="shared" si="38"/>
        <v>0</v>
      </c>
      <c r="U108" s="11">
        <f t="shared" si="38"/>
        <v>0</v>
      </c>
      <c r="V108" s="11">
        <f t="shared" si="38"/>
        <v>0</v>
      </c>
      <c r="W108" s="11">
        <f t="shared" si="41"/>
        <v>0</v>
      </c>
      <c r="X108" s="11">
        <f t="shared" si="39"/>
        <v>0</v>
      </c>
      <c r="Y108" s="11">
        <f t="shared" si="40"/>
        <v>0</v>
      </c>
      <c r="Z108" s="11">
        <f t="shared" si="42"/>
        <v>0</v>
      </c>
      <c r="AH108" s="11"/>
    </row>
    <row r="109" spans="1:34" x14ac:dyDescent="0.2">
      <c r="A109" s="472"/>
      <c r="B109" s="3">
        <v>18</v>
      </c>
      <c r="C109" s="11">
        <f t="shared" si="44"/>
        <v>0</v>
      </c>
      <c r="D109" s="11">
        <f t="shared" si="44"/>
        <v>0</v>
      </c>
      <c r="E109" s="11">
        <f t="shared" si="44"/>
        <v>0</v>
      </c>
      <c r="F109" s="11">
        <f t="shared" si="44"/>
        <v>0</v>
      </c>
      <c r="G109" s="11">
        <f t="shared" si="44"/>
        <v>0</v>
      </c>
      <c r="H109" s="11">
        <f t="shared" si="44"/>
        <v>0</v>
      </c>
      <c r="I109" s="11">
        <f t="shared" si="44"/>
        <v>0</v>
      </c>
      <c r="J109" s="11">
        <f t="shared" si="44"/>
        <v>0</v>
      </c>
      <c r="K109" s="11">
        <f t="shared" si="44"/>
        <v>0</v>
      </c>
      <c r="L109" s="11">
        <f t="shared" si="44"/>
        <v>0</v>
      </c>
      <c r="M109" s="11">
        <f t="shared" si="44"/>
        <v>0</v>
      </c>
      <c r="N109" s="11">
        <f t="shared" si="44"/>
        <v>0</v>
      </c>
      <c r="O109" s="11">
        <f t="shared" si="44"/>
        <v>0</v>
      </c>
      <c r="P109" s="11">
        <f t="shared" si="44"/>
        <v>0</v>
      </c>
      <c r="Q109" s="11">
        <f t="shared" si="44"/>
        <v>0</v>
      </c>
      <c r="R109" s="11">
        <f t="shared" si="43"/>
        <v>0</v>
      </c>
      <c r="S109" s="11">
        <f t="shared" si="38"/>
        <v>0</v>
      </c>
      <c r="T109" s="11">
        <f t="shared" si="38"/>
        <v>0</v>
      </c>
      <c r="U109" s="11">
        <f t="shared" si="38"/>
        <v>0</v>
      </c>
      <c r="V109" s="11">
        <f t="shared" si="38"/>
        <v>0</v>
      </c>
      <c r="W109" s="11">
        <f t="shared" si="41"/>
        <v>0</v>
      </c>
      <c r="X109" s="11">
        <f t="shared" si="39"/>
        <v>0</v>
      </c>
      <c r="Y109" s="11">
        <f t="shared" si="40"/>
        <v>0</v>
      </c>
      <c r="Z109" s="11">
        <f t="shared" si="42"/>
        <v>0</v>
      </c>
      <c r="AH109" s="11"/>
    </row>
    <row r="110" spans="1:34" x14ac:dyDescent="0.2">
      <c r="A110" s="472"/>
      <c r="B110" s="3">
        <v>19</v>
      </c>
      <c r="C110" s="11">
        <f t="shared" si="44"/>
        <v>0</v>
      </c>
      <c r="D110" s="11">
        <f t="shared" si="44"/>
        <v>0</v>
      </c>
      <c r="E110" s="11">
        <f t="shared" si="44"/>
        <v>0</v>
      </c>
      <c r="F110" s="11">
        <f t="shared" si="44"/>
        <v>0</v>
      </c>
      <c r="G110" s="11">
        <f t="shared" si="44"/>
        <v>0</v>
      </c>
      <c r="H110" s="11">
        <f t="shared" si="44"/>
        <v>0</v>
      </c>
      <c r="I110" s="11">
        <f t="shared" si="44"/>
        <v>0</v>
      </c>
      <c r="J110" s="11">
        <f t="shared" si="44"/>
        <v>0</v>
      </c>
      <c r="K110" s="11">
        <f t="shared" si="44"/>
        <v>0</v>
      </c>
      <c r="L110" s="11">
        <f t="shared" si="44"/>
        <v>0</v>
      </c>
      <c r="M110" s="11">
        <f t="shared" si="44"/>
        <v>0</v>
      </c>
      <c r="N110" s="11">
        <f t="shared" si="44"/>
        <v>0</v>
      </c>
      <c r="O110" s="11">
        <f t="shared" si="44"/>
        <v>0</v>
      </c>
      <c r="P110" s="11">
        <f t="shared" si="44"/>
        <v>0</v>
      </c>
      <c r="Q110" s="11">
        <f t="shared" si="44"/>
        <v>0</v>
      </c>
      <c r="R110" s="11">
        <f t="shared" si="43"/>
        <v>0</v>
      </c>
      <c r="S110" s="11">
        <f t="shared" si="38"/>
        <v>0</v>
      </c>
      <c r="T110" s="11">
        <f t="shared" si="38"/>
        <v>0</v>
      </c>
      <c r="U110" s="11">
        <f t="shared" si="38"/>
        <v>0</v>
      </c>
      <c r="V110" s="11">
        <f t="shared" si="38"/>
        <v>0</v>
      </c>
      <c r="W110" s="11">
        <f t="shared" si="41"/>
        <v>0</v>
      </c>
      <c r="X110" s="11">
        <f t="shared" si="39"/>
        <v>0</v>
      </c>
      <c r="Y110" s="11">
        <f t="shared" si="40"/>
        <v>0</v>
      </c>
      <c r="Z110" s="11">
        <f t="shared" si="42"/>
        <v>0</v>
      </c>
      <c r="AH110" s="11"/>
    </row>
    <row r="111" spans="1:34" x14ac:dyDescent="0.2">
      <c r="A111" s="472"/>
      <c r="B111" s="3">
        <v>20</v>
      </c>
      <c r="C111" s="11">
        <f t="shared" si="44"/>
        <v>0</v>
      </c>
      <c r="D111" s="11">
        <f t="shared" si="44"/>
        <v>0</v>
      </c>
      <c r="E111" s="11">
        <f t="shared" si="44"/>
        <v>0</v>
      </c>
      <c r="F111" s="11">
        <f t="shared" si="44"/>
        <v>0</v>
      </c>
      <c r="G111" s="11">
        <f t="shared" si="44"/>
        <v>0</v>
      </c>
      <c r="H111" s="11">
        <f t="shared" si="44"/>
        <v>0</v>
      </c>
      <c r="I111" s="11">
        <f t="shared" si="44"/>
        <v>0</v>
      </c>
      <c r="J111" s="11">
        <f t="shared" si="44"/>
        <v>0</v>
      </c>
      <c r="K111" s="11">
        <f t="shared" si="44"/>
        <v>0</v>
      </c>
      <c r="L111" s="11">
        <f t="shared" si="44"/>
        <v>0</v>
      </c>
      <c r="M111" s="11">
        <f t="shared" si="44"/>
        <v>0</v>
      </c>
      <c r="N111" s="11">
        <f t="shared" si="44"/>
        <v>0</v>
      </c>
      <c r="O111" s="11">
        <f t="shared" si="44"/>
        <v>0</v>
      </c>
      <c r="P111" s="11">
        <f t="shared" si="44"/>
        <v>0</v>
      </c>
      <c r="Q111" s="11">
        <f t="shared" si="44"/>
        <v>0</v>
      </c>
      <c r="R111" s="11">
        <f t="shared" si="43"/>
        <v>0</v>
      </c>
      <c r="S111" s="11">
        <f t="shared" si="38"/>
        <v>0</v>
      </c>
      <c r="T111" s="11">
        <f t="shared" si="38"/>
        <v>0</v>
      </c>
      <c r="U111" s="11">
        <f t="shared" si="38"/>
        <v>0</v>
      </c>
      <c r="V111" s="11">
        <f t="shared" si="38"/>
        <v>0</v>
      </c>
      <c r="W111" s="11">
        <f t="shared" si="41"/>
        <v>0</v>
      </c>
      <c r="X111" s="11">
        <f t="shared" si="39"/>
        <v>0</v>
      </c>
      <c r="Y111" s="11">
        <f t="shared" si="40"/>
        <v>0</v>
      </c>
      <c r="Z111" s="11">
        <f t="shared" si="42"/>
        <v>0</v>
      </c>
      <c r="AH111" s="11"/>
    </row>
    <row r="112" spans="1:34" x14ac:dyDescent="0.2">
      <c r="A112" s="215"/>
      <c r="C112" s="11"/>
      <c r="D112" s="11"/>
      <c r="E112" s="11"/>
      <c r="F112" s="11"/>
      <c r="G112" s="11"/>
      <c r="H112" s="11"/>
      <c r="I112" s="11"/>
      <c r="J112" s="11"/>
      <c r="K112" s="11"/>
      <c r="L112" s="11"/>
      <c r="M112" s="11"/>
      <c r="N112" s="11"/>
      <c r="O112" s="11"/>
      <c r="P112" s="11"/>
      <c r="Q112" s="11"/>
      <c r="R112" s="11"/>
      <c r="S112" s="11"/>
      <c r="T112" s="11"/>
      <c r="U112" s="11"/>
      <c r="V112" s="11"/>
      <c r="W112" s="11"/>
      <c r="X112" s="11"/>
      <c r="Y112" s="11"/>
      <c r="Z112" s="11"/>
      <c r="AH112" s="11"/>
    </row>
    <row r="114" spans="1:52" x14ac:dyDescent="0.2">
      <c r="A114" s="134" t="s">
        <v>628</v>
      </c>
      <c r="B114" s="134"/>
      <c r="C114" s="134"/>
      <c r="D114" s="134"/>
      <c r="E114" s="134"/>
      <c r="F114" s="134"/>
      <c r="G114" s="134"/>
      <c r="H114" s="134"/>
      <c r="I114" s="134"/>
      <c r="J114" s="134"/>
      <c r="K114" s="134"/>
      <c r="L114" s="134"/>
      <c r="M114" s="133"/>
      <c r="N114" s="133"/>
      <c r="O114" s="133"/>
      <c r="P114" s="133"/>
      <c r="Q114" s="133"/>
      <c r="R114" s="133"/>
      <c r="S114" s="133"/>
      <c r="T114" s="133"/>
      <c r="U114" s="133"/>
      <c r="V114" s="133"/>
      <c r="W114" s="133"/>
      <c r="X114" s="133"/>
      <c r="Y114" s="133"/>
      <c r="Z114" s="133"/>
      <c r="AA114" s="133"/>
      <c r="AB114" s="133"/>
      <c r="AC114" s="133"/>
      <c r="AD114" s="133"/>
      <c r="AE114" s="133"/>
      <c r="AF114" s="133"/>
      <c r="AG114" s="133"/>
      <c r="AH114" s="133"/>
      <c r="AI114" s="133"/>
      <c r="AJ114" s="133"/>
      <c r="AK114" s="133"/>
      <c r="AL114" s="133"/>
      <c r="AM114" s="133"/>
      <c r="AN114" s="133"/>
      <c r="AO114" s="133"/>
      <c r="AP114" s="133"/>
      <c r="AQ114" s="133"/>
      <c r="AR114" s="133"/>
      <c r="AS114" s="133"/>
      <c r="AT114" s="133"/>
      <c r="AU114" s="133"/>
      <c r="AV114" s="133"/>
      <c r="AW114" s="133"/>
      <c r="AX114" s="133"/>
      <c r="AY114" s="133"/>
      <c r="AZ114" s="133"/>
    </row>
    <row r="115" spans="1:52" x14ac:dyDescent="0.2">
      <c r="A115" s="37"/>
      <c r="C115" s="11"/>
      <c r="D115" s="11"/>
      <c r="E115" s="11"/>
      <c r="F115" s="11"/>
      <c r="G115" s="11"/>
      <c r="H115" s="11"/>
      <c r="I115" s="11"/>
      <c r="J115" s="11"/>
      <c r="K115" s="11"/>
      <c r="L115" s="11"/>
      <c r="M115" s="11"/>
      <c r="N115" s="11"/>
      <c r="O115" s="11"/>
      <c r="P115" s="11"/>
      <c r="Q115" s="11"/>
      <c r="R115" s="11"/>
      <c r="S115" s="11"/>
      <c r="T115" s="11"/>
      <c r="U115" s="11"/>
      <c r="V115" s="11"/>
      <c r="W115" s="11"/>
      <c r="X115" s="11"/>
      <c r="Y115" s="11"/>
      <c r="Z115" s="11"/>
      <c r="AA115" s="11"/>
      <c r="AB115" s="11"/>
      <c r="AC115" s="11"/>
      <c r="AD115" s="11"/>
      <c r="AE115" s="11"/>
      <c r="AF115" s="11"/>
      <c r="AG115" s="11"/>
      <c r="AH115" s="11"/>
      <c r="AI115" s="11"/>
    </row>
    <row r="116" spans="1:52" ht="17" x14ac:dyDescent="0.2">
      <c r="A116" s="40" t="s">
        <v>159</v>
      </c>
      <c r="B116" s="3" t="str">
        <f>B58</f>
        <v/>
      </c>
      <c r="C116" s="3" t="e">
        <f>IF(B116=0,0,VLOOKUP(B116,Listes!$C$7:$E$36,3,FALSE))</f>
        <v>#N/A</v>
      </c>
      <c r="L116" s="3" t="str">
        <f>K58</f>
        <v/>
      </c>
      <c r="M116" s="3" t="e">
        <f>IF(L116=0,0,VLOOKUP(L116,Listes!$C$7:$E$36,3,FALSE))</f>
        <v>#N/A</v>
      </c>
      <c r="V116" s="3" t="str">
        <f>T58</f>
        <v/>
      </c>
      <c r="W116" s="3" t="e">
        <f>IF(V116=0,0,VLOOKUP(V116,Listes!$C$7:$E$36,3,FALSE))</f>
        <v>#N/A</v>
      </c>
      <c r="AF116" s="3" t="str">
        <f>AC58</f>
        <v/>
      </c>
      <c r="AG116" s="3" t="e">
        <f>IF(AF116=0,0,VLOOKUP(AF116,Listes!$C$7:$E$36,3,FALSE))</f>
        <v>#N/A</v>
      </c>
    </row>
    <row r="117" spans="1:52" ht="16" customHeight="1" x14ac:dyDescent="0.2">
      <c r="A117" s="472" t="str">
        <f>CONCATENATE("ST_REF_",A57)</f>
        <v>ST_REF_B_ESS_1</v>
      </c>
      <c r="B117" s="3" t="s">
        <v>15</v>
      </c>
      <c r="C117" s="3" t="s">
        <v>127</v>
      </c>
      <c r="D117" s="3" t="s">
        <v>161</v>
      </c>
      <c r="E117" s="3" t="s">
        <v>162</v>
      </c>
      <c r="F117" s="3" t="s">
        <v>163</v>
      </c>
      <c r="G117" s="3" t="s">
        <v>81</v>
      </c>
      <c r="H117" s="3" t="s">
        <v>84</v>
      </c>
      <c r="I117" s="3" t="s">
        <v>83</v>
      </c>
      <c r="K117" s="472" t="str">
        <f>CONCATENATE("ST_REF_",J57)</f>
        <v>ST_REF_B_ESS_2</v>
      </c>
      <c r="L117" s="3" t="s">
        <v>15</v>
      </c>
      <c r="M117" s="3" t="s">
        <v>127</v>
      </c>
      <c r="N117" s="3" t="s">
        <v>161</v>
      </c>
      <c r="O117" s="3" t="s">
        <v>162</v>
      </c>
      <c r="P117" s="3" t="s">
        <v>163</v>
      </c>
      <c r="Q117" s="3" t="s">
        <v>81</v>
      </c>
      <c r="R117" s="3" t="s">
        <v>84</v>
      </c>
      <c r="S117" s="3" t="s">
        <v>83</v>
      </c>
      <c r="U117" s="472" t="str">
        <f>CONCATENATE("ST_REF_",S57)</f>
        <v>ST_REF_B_ESS_3</v>
      </c>
      <c r="V117" s="3" t="s">
        <v>15</v>
      </c>
      <c r="W117" s="3" t="s">
        <v>127</v>
      </c>
      <c r="X117" s="3" t="s">
        <v>161</v>
      </c>
      <c r="Y117" s="3" t="s">
        <v>162</v>
      </c>
      <c r="Z117" s="3" t="s">
        <v>163</v>
      </c>
      <c r="AA117" s="3" t="s">
        <v>81</v>
      </c>
      <c r="AB117" s="3" t="s">
        <v>84</v>
      </c>
      <c r="AC117" s="3" t="s">
        <v>83</v>
      </c>
      <c r="AE117" s="472" t="str">
        <f>CONCATENATE("ST_REF_",AB57)</f>
        <v>ST_REF_B_ESS_4</v>
      </c>
      <c r="AF117" s="3" t="s">
        <v>15</v>
      </c>
      <c r="AG117" s="3" t="s">
        <v>127</v>
      </c>
      <c r="AH117" s="3" t="s">
        <v>161</v>
      </c>
      <c r="AI117" s="3" t="s">
        <v>162</v>
      </c>
      <c r="AJ117" s="3" t="s">
        <v>163</v>
      </c>
      <c r="AK117" s="3" t="s">
        <v>81</v>
      </c>
      <c r="AL117" s="3" t="s">
        <v>84</v>
      </c>
      <c r="AM117" s="3" t="s">
        <v>83</v>
      </c>
      <c r="AO117" s="472" t="str">
        <f>CONCATENATE("RECAP_ST_REF_",C1)</f>
        <v>RECAP_ST_REF_B</v>
      </c>
      <c r="AP117" s="3" t="s">
        <v>15</v>
      </c>
      <c r="AQ117" s="3" t="s">
        <v>81</v>
      </c>
      <c r="AR117" s="3" t="s">
        <v>84</v>
      </c>
      <c r="AS117" s="3" t="s">
        <v>83</v>
      </c>
      <c r="AT117" s="3" t="s">
        <v>27</v>
      </c>
      <c r="AU117" s="3" t="s">
        <v>85</v>
      </c>
    </row>
    <row r="118" spans="1:52" x14ac:dyDescent="0.2">
      <c r="A118" s="472"/>
      <c r="B118" s="3">
        <v>1</v>
      </c>
      <c r="C118" s="45">
        <f t="shared" ref="C118:C137" si="45">D61</f>
        <v>0</v>
      </c>
      <c r="D118" s="45">
        <f>IF(OR(C118=0,C118=""),0,C118*C$58*0.475)</f>
        <v>0</v>
      </c>
      <c r="E118" s="45">
        <f>IF(OR(D118=0,D118="",B$116=0),0,D118*INDEX(Listes!$K$1:$Q$12,MATCH(B$116,Listes!$K$1:$K$12,0),MATCH(E$117,Listes!$K$1:$Q$1,0)))</f>
        <v>0</v>
      </c>
      <c r="F118" s="45">
        <f t="shared" ref="F118:F137" si="46">D118-E118</f>
        <v>0</v>
      </c>
      <c r="G118" s="45">
        <f>IF(OR(B$116=0,B$116=""),0,F118*INDEX(Listes!$K$15:$P$26,MATCH(B$116,Listes!$K$15:$K$26,0),MATCH(G$117,Listes!$K$15:$P$15,0))*INDEX(Listes!$K$29:$O$31,MATCH(C$116,Listes!$K$29:$K$31,0),MATCH(G$117,Listes!$K$29:$O$29,0)))</f>
        <v>0</v>
      </c>
      <c r="H118" s="45">
        <f>IF(OR(B$116=0,B$116=""),0,F118*INDEX(Listes!$K$15:$P$26,MATCH(B$116,Listes!$K$15:$K$26,0),MATCH(H$117,Listes!$K$15:$P$15,0))*INDEX(Listes!$K$29:$O$31,MATCH(C$116,Listes!$K$29:$K$31,0),MATCH(H$117,Listes!$K$29:$O$29,0)))</f>
        <v>0</v>
      </c>
      <c r="I118" s="45">
        <f>IF(OR(B$116=0,B$116=""),0,F118*INDEX(Listes!$K$15:$P$26,MATCH(B$116,Listes!$K$15:$K$26,0),MATCH(I$117,Listes!$K$15:$P$15,0))*INDEX(Listes!$K$29:$O$31,MATCH(C$116,Listes!$K$29:$K$31,0),MATCH(I$117,Listes!$K$29:$O$29,0)))</f>
        <v>0</v>
      </c>
      <c r="K118" s="472"/>
      <c r="L118" s="3">
        <v>1</v>
      </c>
      <c r="M118" s="45">
        <f t="shared" ref="M118:M137" si="47">M61</f>
        <v>0</v>
      </c>
      <c r="N118" s="45">
        <f t="shared" ref="N118:N137" si="48">IF(OR(M118=0,M118=""),0,M118*L$58*0.475)</f>
        <v>0</v>
      </c>
      <c r="O118" s="45">
        <f>IF(OR(N118=0,N118="",L$116=0),0,N118*INDEX(Listes!$K$1:$Q$12,MATCH(L$116,Listes!$K$1:$K$12,0),MATCH(O$117,Listes!$K$1:$Q$1,0)))</f>
        <v>0</v>
      </c>
      <c r="P118" s="45">
        <f t="shared" ref="P118:P137" si="49">N118-O118</f>
        <v>0</v>
      </c>
      <c r="Q118" s="45">
        <f>IF(OR(L$116=0,L$116=""),0,P118*INDEX(Listes!$K$15:$P$26,MATCH(L$116,Listes!$K$15:$K$26,0),MATCH(Q$117,Listes!$K$15:$P$15,0))*INDEX(Listes!$K$29:$O$31,MATCH(M$116,Listes!$K$29:$K$31,0),MATCH(Q$117,Listes!$K$29:$O$29,0)))</f>
        <v>0</v>
      </c>
      <c r="R118" s="45">
        <f>IF(OR(L$116=0,L$116=""),0,P118*INDEX(Listes!$K$15:$P$26,MATCH(L$116,Listes!$K$15:$K$26,0),MATCH(R$117,Listes!$K$15:$P$15,0))*INDEX(Listes!$K$29:$O$31,MATCH(M$116,Listes!$K$29:$K$31,0),MATCH(R$117,Listes!$K$29:$O$29,0)))</f>
        <v>0</v>
      </c>
      <c r="S118" s="45">
        <f>IF(OR(L$116=0,L$116=""),0,P118*INDEX(Listes!$K$15:$P$26,MATCH(L$116,Listes!$K$15:$K$26,0),MATCH(S$117,Listes!$K$15:$P$15,0))*INDEX(Listes!$K$29:$O$31,MATCH(M$116,Listes!$K$29:$K$31,0),MATCH(S$117,Listes!$K$29:$O$29,0)))</f>
        <v>0</v>
      </c>
      <c r="U118" s="472"/>
      <c r="V118" s="3">
        <v>1</v>
      </c>
      <c r="W118" s="45">
        <f t="shared" ref="W118:W137" si="50">V61</f>
        <v>0</v>
      </c>
      <c r="X118" s="45">
        <f t="shared" ref="X118:X137" si="51">IF(OR(W118=0,W118=""),0,W118*U$58*0.475)</f>
        <v>0</v>
      </c>
      <c r="Y118" s="45">
        <f>IF(OR(X118=0,X118="",V$116=0),0,X118*INDEX(Listes!$K$1:$Q$12,MATCH(V$116,Listes!$K$1:$K$12,0),MATCH(Y$117,Listes!$K$1:$Q$1,0)))</f>
        <v>0</v>
      </c>
      <c r="Z118" s="45">
        <f t="shared" ref="Z118:Z137" si="52">X118-Y118</f>
        <v>0</v>
      </c>
      <c r="AA118" s="45">
        <f>IF(OR(V$116=0,V$116=""),0,Z118*INDEX(Listes!$K$15:$P$26,MATCH(V$116,Listes!$K$15:$K$26,0),MATCH(AA$117,Listes!$K$15:$P$15,0))*INDEX(Listes!$K$29:$O$31,MATCH(W$116,Listes!$K$29:$K$31,0),MATCH(AA$117,Listes!$K$29:$O$29,0)))</f>
        <v>0</v>
      </c>
      <c r="AB118" s="45">
        <f>IF(OR(V$116=0,V$116=""),0,Z118*INDEX(Listes!$K$15:$P$26,MATCH(V$116,Listes!$K$15:$K$26,0),MATCH(AB$117,Listes!$K$15:$P$15,0))*INDEX(Listes!$K$29:$O$31,MATCH(W$116,Listes!$K$29:$K$31,0),MATCH(AB$117,Listes!$K$29:$O$29,0)))</f>
        <v>0</v>
      </c>
      <c r="AC118" s="45">
        <f>IF(OR(V$116=0,V$116=""),0,Z118*INDEX(Listes!$K$15:$P$26,MATCH(V$116,Listes!$K$15:$K$26,0),MATCH(AC$117,Listes!$K$15:$P$15,0))*INDEX(Listes!$K$29:$O$31,MATCH(W$116,Listes!$K$29:$K$31,0),MATCH(AC$117,Listes!$K$29:$O$29,0)))</f>
        <v>0</v>
      </c>
      <c r="AE118" s="472"/>
      <c r="AF118" s="3">
        <v>1</v>
      </c>
      <c r="AG118" s="45">
        <f t="shared" ref="AG118:AG137" si="53">AE61</f>
        <v>0</v>
      </c>
      <c r="AH118" s="45">
        <f t="shared" ref="AH118:AH137" si="54">IF(OR(AG118=0,AG118=""),0,AG118*AD$58*0.475)</f>
        <v>0</v>
      </c>
      <c r="AI118" s="45">
        <f>IF(OR(AH118=0,AH118="",AF$116=0),0,AH118*INDEX(Listes!$K$1:$Q$12,MATCH(AF$116,Listes!$K$1:$K$12,0),MATCH(AI$117,Listes!$K$1:$Q$1,0)))</f>
        <v>0</v>
      </c>
      <c r="AJ118" s="45">
        <f t="shared" ref="AJ118:AJ137" si="55">AH118-AI118</f>
        <v>0</v>
      </c>
      <c r="AK118" s="45">
        <f>IF(OR(AF$116=0,AF$116=""),0,AJ118*INDEX(Listes!$K$15:$P$26,MATCH(AF$116,Listes!$K$15:$K$26,0),MATCH(AK$117,Listes!$K$15:$P$15,0))*INDEX(Listes!$K$29:$O$31,MATCH(AG$116,Listes!$K$29:$K$31,0),MATCH(AK$117,Listes!$K$29:$O$29,0)))</f>
        <v>0</v>
      </c>
      <c r="AL118" s="45">
        <f>IF(OR(AF$116=0,AF$116=""),0,AJ118*INDEX(Listes!$K$15:$P$26,MATCH(AF$116,Listes!$K$15:$K$26,0),MATCH(AL$117,Listes!$K$15:$P$15,0))*INDEX(Listes!$K$29:$O$31,MATCH(AG$116,Listes!$K$29:$K$31,0),MATCH(AL$117,Listes!$K$29:$O$29,0)))</f>
        <v>0</v>
      </c>
      <c r="AM118" s="45">
        <f>IF(OR(AF$116=0,AF$116=""),0,AJ118*INDEX(Listes!$K$15:$P$26,MATCH(AF$116,Listes!$K$15:$K$26,0),MATCH(AM$117,Listes!$K$15:$P$15,0))*INDEX(Listes!$K$29:$O$31,MATCH(AG$116,Listes!$K$29:$K$31,0),MATCH(AM$117,Listes!$K$29:$O$29,0)))</f>
        <v>0</v>
      </c>
      <c r="AN118" s="45"/>
      <c r="AO118" s="472"/>
      <c r="AP118" s="3">
        <v>1</v>
      </c>
      <c r="AQ118" s="11">
        <f t="shared" ref="AQ118:AS137" si="56">SUM(G118,Q118,AA118,AK118)</f>
        <v>0</v>
      </c>
      <c r="AR118" s="11">
        <f t="shared" si="56"/>
        <v>0</v>
      </c>
      <c r="AS118" s="11">
        <f t="shared" si="56"/>
        <v>0</v>
      </c>
      <c r="AT118" s="11">
        <f>AQ118*VLOOKUP(AQ$117,Tableau17[],4,FALSE)+AR118*VLOOKUP(AR$117,Tableau17[],4,FALSE)+AS118*VLOOKUP(AS$117,Tableau17[],4,FALSE)</f>
        <v>0</v>
      </c>
      <c r="AU118" s="11">
        <f>AQ118*VLOOKUP(AQ$117,Tableau17[],3,FALSE)+AR118*VLOOKUP(AR$117,Tableau17[],3,FALSE)+AS118*VLOOKUP(AS$117,Tableau17[],3,FALSE)</f>
        <v>0</v>
      </c>
      <c r="AW118" s="11"/>
      <c r="AX118" s="113"/>
    </row>
    <row r="119" spans="1:52" x14ac:dyDescent="0.2">
      <c r="A119" s="472"/>
      <c r="B119" s="3">
        <v>2</v>
      </c>
      <c r="C119" s="45">
        <f t="shared" si="45"/>
        <v>0</v>
      </c>
      <c r="D119" s="45">
        <f t="shared" ref="D119:D137" si="57">IF(OR(C119=0,C119=""),0,C119*C$58*0.475)</f>
        <v>0</v>
      </c>
      <c r="E119" s="45">
        <f>IF(OR(D119=0,D119="",B$116=0),0,D119*INDEX(Listes!$K$1:$Q$12,MATCH(B$116,Listes!$K$1:$K$12,0),MATCH(E$117,Listes!$K$1:$Q$1,0)))</f>
        <v>0</v>
      </c>
      <c r="F119" s="45">
        <f t="shared" si="46"/>
        <v>0</v>
      </c>
      <c r="G119" s="11">
        <f>IF(OR(B$116=0,B$116=""),0,F119*INDEX(Listes!$K$15:$P$26,MATCH(B$116,Listes!$K$15:$K$26,0),MATCH(G$117,Listes!$K$15:$P$15,0))*INDEX(Listes!$K$29:$O$31,MATCH(C$116,Listes!$K$29:$K$31,0),MATCH(G$117,Listes!$K$29:$O$29,0)))</f>
        <v>0</v>
      </c>
      <c r="H119" s="45">
        <f>IF(OR(B$116=0,B$116=""),0,F119*INDEX(Listes!$K$15:$P$26,MATCH(B$116,Listes!$K$15:$K$26,0),MATCH(H$117,Listes!$K$15:$P$15,0))*INDEX(Listes!$K$29:$O$31,MATCH(C$116,Listes!$K$29:$K$31,0),MATCH(H$117,Listes!$K$29:$O$29,0)))</f>
        <v>0</v>
      </c>
      <c r="I119" s="45">
        <f>IF(OR(B$116=0,B$116=""),0,F119*INDEX(Listes!$K$15:$P$26,MATCH(B$116,Listes!$K$15:$K$26,0),MATCH(I$117,Listes!$K$15:$P$15,0))*INDEX(Listes!$K$29:$O$31,MATCH(C$116,Listes!$K$29:$K$31,0),MATCH(I$117,Listes!$K$29:$O$29,0)))</f>
        <v>0</v>
      </c>
      <c r="K119" s="472"/>
      <c r="L119" s="3">
        <v>2</v>
      </c>
      <c r="M119" s="45">
        <f t="shared" si="47"/>
        <v>0</v>
      </c>
      <c r="N119" s="45">
        <f t="shared" si="48"/>
        <v>0</v>
      </c>
      <c r="O119" s="45">
        <f>IF(OR(N119=0,N119="",L$116=0),0,N119*INDEX(Listes!$K$1:$Q$12,MATCH(L$116,Listes!$K$1:$K$12,0),MATCH(O$117,Listes!$K$1:$Q$1,0)))</f>
        <v>0</v>
      </c>
      <c r="P119" s="45">
        <f t="shared" si="49"/>
        <v>0</v>
      </c>
      <c r="Q119" s="11">
        <f>IF(OR(L$116=0,L$116=""),0,P119*INDEX(Listes!$K$15:$P$26,MATCH(L$116,Listes!$K$15:$K$26,0),MATCH(Q$117,Listes!$K$15:$P$15,0))*INDEX(Listes!$K$29:$O$31,MATCH(M$116,Listes!$K$29:$K$31,0),MATCH(Q$117,Listes!$K$29:$O$29,0)))</f>
        <v>0</v>
      </c>
      <c r="R119" s="45">
        <f>IF(OR(L$116=0,L$116=""),0,P119*INDEX(Listes!$K$15:$P$26,MATCH(L$116,Listes!$K$15:$K$26,0),MATCH(R$117,Listes!$K$15:$P$15,0))*INDEX(Listes!$K$29:$O$31,MATCH(M$116,Listes!$K$29:$K$31,0),MATCH(R$117,Listes!$K$29:$O$29,0)))</f>
        <v>0</v>
      </c>
      <c r="S119" s="45">
        <f>IF(OR(L$116=0,L$116=""),0,P119*INDEX(Listes!$K$15:$P$26,MATCH(L$116,Listes!$K$15:$K$26,0),MATCH(S$117,Listes!$K$15:$P$15,0))*INDEX(Listes!$K$29:$O$31,MATCH(M$116,Listes!$K$29:$K$31,0),MATCH(S$117,Listes!$K$29:$O$29,0)))</f>
        <v>0</v>
      </c>
      <c r="U119" s="472"/>
      <c r="V119" s="3">
        <v>2</v>
      </c>
      <c r="W119" s="45">
        <f t="shared" si="50"/>
        <v>0</v>
      </c>
      <c r="X119" s="45">
        <f t="shared" si="51"/>
        <v>0</v>
      </c>
      <c r="Y119" s="45">
        <f>IF(OR(X119=0,X119="",V$116=0),0,X119*INDEX(Listes!$K$1:$Q$12,MATCH(V$116,Listes!$K$1:$K$12,0),MATCH(Y$117,Listes!$K$1:$Q$1,0)))</f>
        <v>0</v>
      </c>
      <c r="Z119" s="45">
        <f t="shared" si="52"/>
        <v>0</v>
      </c>
      <c r="AA119" s="11">
        <f>IF(OR(V$116=0,V$116=""),0,Z119*INDEX(Listes!$K$15:$P$26,MATCH(V$116,Listes!$K$15:$K$26,0),MATCH(AA$117,Listes!$K$15:$P$15,0))*INDEX(Listes!$K$29:$O$31,MATCH(W$116,Listes!$K$29:$K$31,0),MATCH(AA$117,Listes!$K$29:$O$29,0)))</f>
        <v>0</v>
      </c>
      <c r="AB119" s="45">
        <f>IF(OR(V$116=0,V$116=""),0,Z119*INDEX(Listes!$K$15:$P$26,MATCH(V$116,Listes!$K$15:$K$26,0),MATCH(AB$117,Listes!$K$15:$P$15,0))*INDEX(Listes!$K$29:$O$31,MATCH(W$116,Listes!$K$29:$K$31,0),MATCH(AB$117,Listes!$K$29:$O$29,0)))</f>
        <v>0</v>
      </c>
      <c r="AC119" s="45">
        <f>IF(OR(V$116=0,V$116=""),0,Z119*INDEX(Listes!$K$15:$P$26,MATCH(V$116,Listes!$K$15:$K$26,0),MATCH(AC$117,Listes!$K$15:$P$15,0))*INDEX(Listes!$K$29:$O$31,MATCH(W$116,Listes!$K$29:$K$31,0),MATCH(AC$117,Listes!$K$29:$O$29,0)))</f>
        <v>0</v>
      </c>
      <c r="AE119" s="472"/>
      <c r="AF119" s="3">
        <v>2</v>
      </c>
      <c r="AG119" s="45">
        <f t="shared" si="53"/>
        <v>0</v>
      </c>
      <c r="AH119" s="45">
        <f t="shared" si="54"/>
        <v>0</v>
      </c>
      <c r="AI119" s="45">
        <f>IF(OR(AH119=0,AH119="",AF$116=0),0,AH119*INDEX(Listes!$K$1:$Q$12,MATCH(AF$116,Listes!$K$1:$K$12,0),MATCH(AI$117,Listes!$K$1:$Q$1,0)))</f>
        <v>0</v>
      </c>
      <c r="AJ119" s="45">
        <f t="shared" si="55"/>
        <v>0</v>
      </c>
      <c r="AK119" s="11">
        <f>IF(OR(AF$116=0,AF$116=""),0,AJ119*INDEX(Listes!$K$15:$P$26,MATCH(AF$116,Listes!$K$15:$K$26,0),MATCH(AK$117,Listes!$K$15:$P$15,0))*INDEX(Listes!$K$29:$O$31,MATCH(AG$116,Listes!$K$29:$K$31,0),MATCH(AK$117,Listes!$K$29:$O$29,0)))</f>
        <v>0</v>
      </c>
      <c r="AL119" s="45">
        <f>IF(OR(AF$116=0,AF$116=""),0,AJ119*INDEX(Listes!$K$15:$P$26,MATCH(AF$116,Listes!$K$15:$K$26,0),MATCH(AL$117,Listes!$K$15:$P$15,0))*INDEX(Listes!$K$29:$O$31,MATCH(AG$116,Listes!$K$29:$K$31,0),MATCH(AL$117,Listes!$K$29:$O$29,0)))</f>
        <v>0</v>
      </c>
      <c r="AM119" s="45">
        <f>IF(OR(AF$116=0,AF$116=""),0,AJ119*INDEX(Listes!$K$15:$P$26,MATCH(AF$116,Listes!$K$15:$K$26,0),MATCH(AM$117,Listes!$K$15:$P$15,0))*INDEX(Listes!$K$29:$O$31,MATCH(AG$116,Listes!$K$29:$K$31,0),MATCH(AM$117,Listes!$K$29:$O$29,0)))</f>
        <v>0</v>
      </c>
      <c r="AN119" s="45"/>
      <c r="AO119" s="472"/>
      <c r="AP119" s="3">
        <v>2</v>
      </c>
      <c r="AQ119" s="11">
        <f t="shared" si="56"/>
        <v>0</v>
      </c>
      <c r="AR119" s="11">
        <f t="shared" si="56"/>
        <v>0</v>
      </c>
      <c r="AS119" s="11">
        <f t="shared" si="56"/>
        <v>0</v>
      </c>
      <c r="AT119" s="11">
        <f>AQ119*VLOOKUP(AQ$117,Tableau17[],4,FALSE)+AR119*VLOOKUP(AR$117,Tableau17[],4,FALSE)+AS119*VLOOKUP(AS$117,Tableau17[],4,FALSE)</f>
        <v>0</v>
      </c>
      <c r="AU119" s="11">
        <f>AQ119*VLOOKUP(AQ$117,Tableau17[],3,FALSE)+AR119*VLOOKUP(AR$117,Tableau17[],3,FALSE)+AS119*VLOOKUP(AS$117,Tableau17[],3,FALSE)</f>
        <v>0</v>
      </c>
      <c r="AW119" s="11"/>
      <c r="AX119" s="113"/>
    </row>
    <row r="120" spans="1:52" x14ac:dyDescent="0.2">
      <c r="A120" s="472"/>
      <c r="B120" s="3">
        <v>3</v>
      </c>
      <c r="C120" s="45">
        <f t="shared" si="45"/>
        <v>0</v>
      </c>
      <c r="D120" s="11">
        <f t="shared" si="57"/>
        <v>0</v>
      </c>
      <c r="E120" s="45">
        <f>IF(OR(D120=0,D120="",B$116=0),0,D120*INDEX(Listes!$K$1:$Q$12,MATCH(B$116,Listes!$K$1:$K$12,0),MATCH(E$117,Listes!$K$1:$Q$1,0)))</f>
        <v>0</v>
      </c>
      <c r="F120" s="45">
        <f t="shared" si="46"/>
        <v>0</v>
      </c>
      <c r="G120" s="11">
        <f>IF(OR(B$116=0,B$116=""),0,F120*INDEX(Listes!$K$15:$P$26,MATCH(B$116,Listes!$K$15:$K$26,0),MATCH(G$117,Listes!$K$15:$P$15,0))*INDEX(Listes!$K$29:$O$31,MATCH(C$116,Listes!$K$29:$K$31,0),MATCH(G$117,Listes!$K$29:$O$29,0)))</f>
        <v>0</v>
      </c>
      <c r="H120" s="45">
        <f>IF(OR(B$116=0,B$116=""),0,F120*INDEX(Listes!$K$15:$P$26,MATCH(B$116,Listes!$K$15:$K$26,0),MATCH(H$117,Listes!$K$15:$P$15,0))*INDEX(Listes!$K$29:$O$31,MATCH(C$116,Listes!$K$29:$K$31,0),MATCH(H$117,Listes!$K$29:$O$29,0)))</f>
        <v>0</v>
      </c>
      <c r="I120" s="45">
        <f>IF(OR(B$116=0,B$116=""),0,F120*INDEX(Listes!$K$15:$P$26,MATCH(B$116,Listes!$K$15:$K$26,0),MATCH(I$117,Listes!$K$15:$P$15,0))*INDEX(Listes!$K$29:$O$31,MATCH(C$116,Listes!$K$29:$K$31,0),MATCH(I$117,Listes!$K$29:$O$29,0)))</f>
        <v>0</v>
      </c>
      <c r="K120" s="472"/>
      <c r="L120" s="3">
        <v>3</v>
      </c>
      <c r="M120" s="45">
        <f t="shared" si="47"/>
        <v>0</v>
      </c>
      <c r="N120" s="11">
        <f t="shared" si="48"/>
        <v>0</v>
      </c>
      <c r="O120" s="45">
        <f>IF(OR(N120=0,N120="",L$116=0),0,N120*INDEX(Listes!$K$1:$Q$12,MATCH(L$116,Listes!$K$1:$K$12,0),MATCH(O$117,Listes!$K$1:$Q$1,0)))</f>
        <v>0</v>
      </c>
      <c r="P120" s="45">
        <f t="shared" si="49"/>
        <v>0</v>
      </c>
      <c r="Q120" s="11">
        <f>IF(OR(L$116=0,L$116=""),0,P120*INDEX(Listes!$K$15:$P$26,MATCH(L$116,Listes!$K$15:$K$26,0),MATCH(Q$117,Listes!$K$15:$P$15,0))*INDEX(Listes!$K$29:$O$31,MATCH(M$116,Listes!$K$29:$K$31,0),MATCH(Q$117,Listes!$K$29:$O$29,0)))</f>
        <v>0</v>
      </c>
      <c r="R120" s="45">
        <f>IF(OR(L$116=0,L$116=""),0,P120*INDEX(Listes!$K$15:$P$26,MATCH(L$116,Listes!$K$15:$K$26,0),MATCH(R$117,Listes!$K$15:$P$15,0))*INDEX(Listes!$K$29:$O$31,MATCH(M$116,Listes!$K$29:$K$31,0),MATCH(R$117,Listes!$K$29:$O$29,0)))</f>
        <v>0</v>
      </c>
      <c r="S120" s="45">
        <f>IF(OR(L$116=0,L$116=""),0,P120*INDEX(Listes!$K$15:$P$26,MATCH(L$116,Listes!$K$15:$K$26,0),MATCH(S$117,Listes!$K$15:$P$15,0))*INDEX(Listes!$K$29:$O$31,MATCH(M$116,Listes!$K$29:$K$31,0),MATCH(S$117,Listes!$K$29:$O$29,0)))</f>
        <v>0</v>
      </c>
      <c r="U120" s="472"/>
      <c r="V120" s="3">
        <v>3</v>
      </c>
      <c r="W120" s="45">
        <f t="shared" si="50"/>
        <v>0</v>
      </c>
      <c r="X120" s="11">
        <f t="shared" si="51"/>
        <v>0</v>
      </c>
      <c r="Y120" s="45">
        <f>IF(OR(X120=0,X120="",V$116=0),0,X120*INDEX(Listes!$K$1:$Q$12,MATCH(V$116,Listes!$K$1:$K$12,0),MATCH(Y$117,Listes!$K$1:$Q$1,0)))</f>
        <v>0</v>
      </c>
      <c r="Z120" s="45">
        <f t="shared" si="52"/>
        <v>0</v>
      </c>
      <c r="AA120" s="11">
        <f>IF(OR(V$116=0,V$116=""),0,Z120*INDEX(Listes!$K$15:$P$26,MATCH(V$116,Listes!$K$15:$K$26,0),MATCH(AA$117,Listes!$K$15:$P$15,0))*INDEX(Listes!$K$29:$O$31,MATCH(W$116,Listes!$K$29:$K$31,0),MATCH(AA$117,Listes!$K$29:$O$29,0)))</f>
        <v>0</v>
      </c>
      <c r="AB120" s="45">
        <f>IF(OR(V$116=0,V$116=""),0,Z120*INDEX(Listes!$K$15:$P$26,MATCH(V$116,Listes!$K$15:$K$26,0),MATCH(AB$117,Listes!$K$15:$P$15,0))*INDEX(Listes!$K$29:$O$31,MATCH(W$116,Listes!$K$29:$K$31,0),MATCH(AB$117,Listes!$K$29:$O$29,0)))</f>
        <v>0</v>
      </c>
      <c r="AC120" s="45">
        <f>IF(OR(V$116=0,V$116=""),0,Z120*INDEX(Listes!$K$15:$P$26,MATCH(V$116,Listes!$K$15:$K$26,0),MATCH(AC$117,Listes!$K$15:$P$15,0))*INDEX(Listes!$K$29:$O$31,MATCH(W$116,Listes!$K$29:$K$31,0),MATCH(AC$117,Listes!$K$29:$O$29,0)))</f>
        <v>0</v>
      </c>
      <c r="AE120" s="472"/>
      <c r="AF120" s="3">
        <v>3</v>
      </c>
      <c r="AG120" s="45">
        <f t="shared" si="53"/>
        <v>0</v>
      </c>
      <c r="AH120" s="11">
        <f t="shared" si="54"/>
        <v>0</v>
      </c>
      <c r="AI120" s="45">
        <f>IF(OR(AH120=0,AH120="",AF$116=0),0,AH120*INDEX(Listes!$K$1:$Q$12,MATCH(AF$116,Listes!$K$1:$K$12,0),MATCH(AI$117,Listes!$K$1:$Q$1,0)))</f>
        <v>0</v>
      </c>
      <c r="AJ120" s="45">
        <f t="shared" si="55"/>
        <v>0</v>
      </c>
      <c r="AK120" s="11">
        <f>IF(OR(AF$116=0,AF$116=""),0,AJ120*INDEX(Listes!$K$15:$P$26,MATCH(AF$116,Listes!$K$15:$K$26,0),MATCH(AK$117,Listes!$K$15:$P$15,0))*INDEX(Listes!$K$29:$O$31,MATCH(AG$116,Listes!$K$29:$K$31,0),MATCH(AK$117,Listes!$K$29:$O$29,0)))</f>
        <v>0</v>
      </c>
      <c r="AL120" s="45">
        <f>IF(OR(AF$116=0,AF$116=""),0,AJ120*INDEX(Listes!$K$15:$P$26,MATCH(AF$116,Listes!$K$15:$K$26,0),MATCH(AL$117,Listes!$K$15:$P$15,0))*INDEX(Listes!$K$29:$O$31,MATCH(AG$116,Listes!$K$29:$K$31,0),MATCH(AL$117,Listes!$K$29:$O$29,0)))</f>
        <v>0</v>
      </c>
      <c r="AM120" s="45">
        <f>IF(OR(AF$116=0,AF$116=""),0,AJ120*INDEX(Listes!$K$15:$P$26,MATCH(AF$116,Listes!$K$15:$K$26,0),MATCH(AM$117,Listes!$K$15:$P$15,0))*INDEX(Listes!$K$29:$O$31,MATCH(AG$116,Listes!$K$29:$K$31,0),MATCH(AM$117,Listes!$K$29:$O$29,0)))</f>
        <v>0</v>
      </c>
      <c r="AN120" s="45"/>
      <c r="AO120" s="472"/>
      <c r="AP120" s="3">
        <v>3</v>
      </c>
      <c r="AQ120" s="11">
        <f t="shared" si="56"/>
        <v>0</v>
      </c>
      <c r="AR120" s="11">
        <f t="shared" si="56"/>
        <v>0</v>
      </c>
      <c r="AS120" s="11">
        <f t="shared" si="56"/>
        <v>0</v>
      </c>
      <c r="AT120" s="11">
        <f>AQ120*VLOOKUP(AQ$117,Tableau17[],4,FALSE)+AR120*VLOOKUP(AR$117,Tableau17[],4,FALSE)+AS120*VLOOKUP(AS$117,Tableau17[],4,FALSE)</f>
        <v>0</v>
      </c>
      <c r="AU120" s="11">
        <f>AQ120*VLOOKUP(AQ$117,Tableau17[],3,FALSE)+AR120*VLOOKUP(AR$117,Tableau17[],3,FALSE)+AS120*VLOOKUP(AS$117,Tableau17[],3,FALSE)</f>
        <v>0</v>
      </c>
      <c r="AW120" s="11"/>
      <c r="AX120" s="113"/>
    </row>
    <row r="121" spans="1:52" x14ac:dyDescent="0.2">
      <c r="A121" s="472"/>
      <c r="B121" s="3">
        <v>4</v>
      </c>
      <c r="C121" s="45">
        <f t="shared" si="45"/>
        <v>0</v>
      </c>
      <c r="D121" s="11">
        <f t="shared" si="57"/>
        <v>0</v>
      </c>
      <c r="E121" s="45">
        <f>IF(OR(D121=0,D121="",B$116=0),0,D121*INDEX(Listes!$K$1:$Q$12,MATCH(B$116,Listes!$K$1:$K$12,0),MATCH(E$117,Listes!$K$1:$Q$1,0)))</f>
        <v>0</v>
      </c>
      <c r="F121" s="45">
        <f t="shared" si="46"/>
        <v>0</v>
      </c>
      <c r="G121" s="11">
        <f>IF(OR(B$116=0,B$116=""),0,F121*INDEX(Listes!$K$15:$P$26,MATCH(B$116,Listes!$K$15:$K$26,0),MATCH(G$117,Listes!$K$15:$P$15,0))*INDEX(Listes!$K$29:$O$31,MATCH(C$116,Listes!$K$29:$K$31,0),MATCH(G$117,Listes!$K$29:$O$29,0)))</f>
        <v>0</v>
      </c>
      <c r="H121" s="45">
        <f>IF(OR(B$116=0,B$116=""),0,F121*INDEX(Listes!$K$15:$P$26,MATCH(B$116,Listes!$K$15:$K$26,0),MATCH(H$117,Listes!$K$15:$P$15,0))*INDEX(Listes!$K$29:$O$31,MATCH(C$116,Listes!$K$29:$K$31,0),MATCH(H$117,Listes!$K$29:$O$29,0)))</f>
        <v>0</v>
      </c>
      <c r="I121" s="45">
        <f>IF(OR(B$116=0,B$116=""),0,F121*INDEX(Listes!$K$15:$P$26,MATCH(B$116,Listes!$K$15:$K$26,0),MATCH(I$117,Listes!$K$15:$P$15,0))*INDEX(Listes!$K$29:$O$31,MATCH(C$116,Listes!$K$29:$K$31,0),MATCH(I$117,Listes!$K$29:$O$29,0)))</f>
        <v>0</v>
      </c>
      <c r="K121" s="472"/>
      <c r="L121" s="3">
        <v>4</v>
      </c>
      <c r="M121" s="45">
        <f t="shared" si="47"/>
        <v>0</v>
      </c>
      <c r="N121" s="11">
        <f t="shared" si="48"/>
        <v>0</v>
      </c>
      <c r="O121" s="45">
        <f>IF(OR(N121=0,N121="",L$116=0),0,N121*INDEX(Listes!$K$1:$Q$12,MATCH(L$116,Listes!$K$1:$K$12,0),MATCH(O$117,Listes!$K$1:$Q$1,0)))</f>
        <v>0</v>
      </c>
      <c r="P121" s="45">
        <f t="shared" si="49"/>
        <v>0</v>
      </c>
      <c r="Q121" s="11">
        <f>IF(OR(L$116=0,L$116=""),0,P121*INDEX(Listes!$K$15:$P$26,MATCH(L$116,Listes!$K$15:$K$26,0),MATCH(Q$117,Listes!$K$15:$P$15,0))*INDEX(Listes!$K$29:$O$31,MATCH(M$116,Listes!$K$29:$K$31,0),MATCH(Q$117,Listes!$K$29:$O$29,0)))</f>
        <v>0</v>
      </c>
      <c r="R121" s="45">
        <f>IF(OR(L$116=0,L$116=""),0,P121*INDEX(Listes!$K$15:$P$26,MATCH(L$116,Listes!$K$15:$K$26,0),MATCH(R$117,Listes!$K$15:$P$15,0))*INDEX(Listes!$K$29:$O$31,MATCH(M$116,Listes!$K$29:$K$31,0),MATCH(R$117,Listes!$K$29:$O$29,0)))</f>
        <v>0</v>
      </c>
      <c r="S121" s="45">
        <f>IF(OR(L$116=0,L$116=""),0,P121*INDEX(Listes!$K$15:$P$26,MATCH(L$116,Listes!$K$15:$K$26,0),MATCH(S$117,Listes!$K$15:$P$15,0))*INDEX(Listes!$K$29:$O$31,MATCH(M$116,Listes!$K$29:$K$31,0),MATCH(S$117,Listes!$K$29:$O$29,0)))</f>
        <v>0</v>
      </c>
      <c r="U121" s="472"/>
      <c r="V121" s="3">
        <v>4</v>
      </c>
      <c r="W121" s="45">
        <f t="shared" si="50"/>
        <v>0</v>
      </c>
      <c r="X121" s="11">
        <f t="shared" si="51"/>
        <v>0</v>
      </c>
      <c r="Y121" s="45">
        <f>IF(OR(X121=0,X121="",V$116=0),0,X121*INDEX(Listes!$K$1:$Q$12,MATCH(V$116,Listes!$K$1:$K$12,0),MATCH(Y$117,Listes!$K$1:$Q$1,0)))</f>
        <v>0</v>
      </c>
      <c r="Z121" s="45">
        <f t="shared" si="52"/>
        <v>0</v>
      </c>
      <c r="AA121" s="11">
        <f>IF(OR(V$116=0,V$116=""),0,Z121*INDEX(Listes!$K$15:$P$26,MATCH(V$116,Listes!$K$15:$K$26,0),MATCH(AA$117,Listes!$K$15:$P$15,0))*INDEX(Listes!$K$29:$O$31,MATCH(W$116,Listes!$K$29:$K$31,0),MATCH(AA$117,Listes!$K$29:$O$29,0)))</f>
        <v>0</v>
      </c>
      <c r="AB121" s="45">
        <f>IF(OR(V$116=0,V$116=""),0,Z121*INDEX(Listes!$K$15:$P$26,MATCH(V$116,Listes!$K$15:$K$26,0),MATCH(AB$117,Listes!$K$15:$P$15,0))*INDEX(Listes!$K$29:$O$31,MATCH(W$116,Listes!$K$29:$K$31,0),MATCH(AB$117,Listes!$K$29:$O$29,0)))</f>
        <v>0</v>
      </c>
      <c r="AC121" s="45">
        <f>IF(OR(V$116=0,V$116=""),0,Z121*INDEX(Listes!$K$15:$P$26,MATCH(V$116,Listes!$K$15:$K$26,0),MATCH(AC$117,Listes!$K$15:$P$15,0))*INDEX(Listes!$K$29:$O$31,MATCH(W$116,Listes!$K$29:$K$31,0),MATCH(AC$117,Listes!$K$29:$O$29,0)))</f>
        <v>0</v>
      </c>
      <c r="AE121" s="472"/>
      <c r="AF121" s="3">
        <v>4</v>
      </c>
      <c r="AG121" s="45">
        <f t="shared" si="53"/>
        <v>0</v>
      </c>
      <c r="AH121" s="11">
        <f t="shared" si="54"/>
        <v>0</v>
      </c>
      <c r="AI121" s="45">
        <f>IF(OR(AH121=0,AH121="",AF$116=0),0,AH121*INDEX(Listes!$K$1:$Q$12,MATCH(AF$116,Listes!$K$1:$K$12,0),MATCH(AI$117,Listes!$K$1:$Q$1,0)))</f>
        <v>0</v>
      </c>
      <c r="AJ121" s="45">
        <f t="shared" si="55"/>
        <v>0</v>
      </c>
      <c r="AK121" s="11">
        <f>IF(OR(AF$116=0,AF$116=""),0,AJ121*INDEX(Listes!$K$15:$P$26,MATCH(AF$116,Listes!$K$15:$K$26,0),MATCH(AK$117,Listes!$K$15:$P$15,0))*INDEX(Listes!$K$29:$O$31,MATCH(AG$116,Listes!$K$29:$K$31,0),MATCH(AK$117,Listes!$K$29:$O$29,0)))</f>
        <v>0</v>
      </c>
      <c r="AL121" s="45">
        <f>IF(OR(AF$116=0,AF$116=""),0,AJ121*INDEX(Listes!$K$15:$P$26,MATCH(AF$116,Listes!$K$15:$K$26,0),MATCH(AL$117,Listes!$K$15:$P$15,0))*INDEX(Listes!$K$29:$O$31,MATCH(AG$116,Listes!$K$29:$K$31,0),MATCH(AL$117,Listes!$K$29:$O$29,0)))</f>
        <v>0</v>
      </c>
      <c r="AM121" s="45">
        <f>IF(OR(AF$116=0,AF$116=""),0,AJ121*INDEX(Listes!$K$15:$P$26,MATCH(AF$116,Listes!$K$15:$K$26,0),MATCH(AM$117,Listes!$K$15:$P$15,0))*INDEX(Listes!$K$29:$O$31,MATCH(AG$116,Listes!$K$29:$K$31,0),MATCH(AM$117,Listes!$K$29:$O$29,0)))</f>
        <v>0</v>
      </c>
      <c r="AN121" s="45"/>
      <c r="AO121" s="472"/>
      <c r="AP121" s="3">
        <v>4</v>
      </c>
      <c r="AQ121" s="11">
        <f t="shared" si="56"/>
        <v>0</v>
      </c>
      <c r="AR121" s="11">
        <f t="shared" si="56"/>
        <v>0</v>
      </c>
      <c r="AS121" s="11">
        <f t="shared" si="56"/>
        <v>0</v>
      </c>
      <c r="AT121" s="11">
        <f>AQ121*VLOOKUP(AQ$117,Tableau17[],4,FALSE)+AR121*VLOOKUP(AR$117,Tableau17[],4,FALSE)+AS121*VLOOKUP(AS$117,Tableau17[],4,FALSE)</f>
        <v>0</v>
      </c>
      <c r="AU121" s="11">
        <f>AQ121*VLOOKUP(AQ$117,Tableau17[],3,FALSE)+AR121*VLOOKUP(AR$117,Tableau17[],3,FALSE)+AS121*VLOOKUP(AS$117,Tableau17[],3,FALSE)</f>
        <v>0</v>
      </c>
      <c r="AW121" s="11"/>
      <c r="AX121" s="113"/>
    </row>
    <row r="122" spans="1:52" x14ac:dyDescent="0.2">
      <c r="A122" s="472"/>
      <c r="B122" s="3">
        <v>5</v>
      </c>
      <c r="C122" s="45">
        <f t="shared" si="45"/>
        <v>0</v>
      </c>
      <c r="D122" s="11">
        <f t="shared" si="57"/>
        <v>0</v>
      </c>
      <c r="E122" s="45">
        <f>IF(OR(D122=0,D122="",B$116=0),0,D122*INDEX(Listes!$K$1:$Q$12,MATCH(B$116,Listes!$K$1:$K$12,0),MATCH(E$117,Listes!$K$1:$Q$1,0)))</f>
        <v>0</v>
      </c>
      <c r="F122" s="45">
        <f t="shared" si="46"/>
        <v>0</v>
      </c>
      <c r="G122" s="11">
        <f>IF(OR(B$116=0,B$116=""),0,F122*INDEX(Listes!$K$15:$P$26,MATCH(B$116,Listes!$K$15:$K$26,0),MATCH(G$117,Listes!$K$15:$P$15,0))*INDEX(Listes!$K$29:$O$31,MATCH(C$116,Listes!$K$29:$K$31,0),MATCH(G$117,Listes!$K$29:$O$29,0)))</f>
        <v>0</v>
      </c>
      <c r="H122" s="45">
        <f>IF(OR(B$116=0,B$116=""),0,F122*INDEX(Listes!$K$15:$P$26,MATCH(B$116,Listes!$K$15:$K$26,0),MATCH(H$117,Listes!$K$15:$P$15,0))*INDEX(Listes!$K$29:$O$31,MATCH(C$116,Listes!$K$29:$K$31,0),MATCH(H$117,Listes!$K$29:$O$29,0)))</f>
        <v>0</v>
      </c>
      <c r="I122" s="45">
        <f>IF(OR(B$116=0,B$116=""),0,F122*INDEX(Listes!$K$15:$P$26,MATCH(B$116,Listes!$K$15:$K$26,0),MATCH(I$117,Listes!$K$15:$P$15,0))*INDEX(Listes!$K$29:$O$31,MATCH(C$116,Listes!$K$29:$K$31,0),MATCH(I$117,Listes!$K$29:$O$29,0)))</f>
        <v>0</v>
      </c>
      <c r="K122" s="472"/>
      <c r="L122" s="3">
        <v>5</v>
      </c>
      <c r="M122" s="45">
        <f t="shared" si="47"/>
        <v>0</v>
      </c>
      <c r="N122" s="11">
        <f t="shared" si="48"/>
        <v>0</v>
      </c>
      <c r="O122" s="45">
        <f>IF(OR(N122=0,N122="",L$116=0),0,N122*INDEX(Listes!$K$1:$Q$12,MATCH(L$116,Listes!$K$1:$K$12,0),MATCH(O$117,Listes!$K$1:$Q$1,0)))</f>
        <v>0</v>
      </c>
      <c r="P122" s="45">
        <f t="shared" si="49"/>
        <v>0</v>
      </c>
      <c r="Q122" s="11">
        <f>IF(OR(L$116=0,L$116=""),0,P122*INDEX(Listes!$K$15:$P$26,MATCH(L$116,Listes!$K$15:$K$26,0),MATCH(Q$117,Listes!$K$15:$P$15,0))*INDEX(Listes!$K$29:$O$31,MATCH(M$116,Listes!$K$29:$K$31,0),MATCH(Q$117,Listes!$K$29:$O$29,0)))</f>
        <v>0</v>
      </c>
      <c r="R122" s="45">
        <f>IF(OR(L$116=0,L$116=""),0,P122*INDEX(Listes!$K$15:$P$26,MATCH(L$116,Listes!$K$15:$K$26,0),MATCH(R$117,Listes!$K$15:$P$15,0))*INDEX(Listes!$K$29:$O$31,MATCH(M$116,Listes!$K$29:$K$31,0),MATCH(R$117,Listes!$K$29:$O$29,0)))</f>
        <v>0</v>
      </c>
      <c r="S122" s="45">
        <f>IF(OR(L$116=0,L$116=""),0,P122*INDEX(Listes!$K$15:$P$26,MATCH(L$116,Listes!$K$15:$K$26,0),MATCH(S$117,Listes!$K$15:$P$15,0))*INDEX(Listes!$K$29:$O$31,MATCH(M$116,Listes!$K$29:$K$31,0),MATCH(S$117,Listes!$K$29:$O$29,0)))</f>
        <v>0</v>
      </c>
      <c r="U122" s="472"/>
      <c r="V122" s="3">
        <v>5</v>
      </c>
      <c r="W122" s="45">
        <f t="shared" si="50"/>
        <v>0</v>
      </c>
      <c r="X122" s="11">
        <f t="shared" si="51"/>
        <v>0</v>
      </c>
      <c r="Y122" s="45">
        <f>IF(OR(X122=0,X122="",V$116=0),0,X122*INDEX(Listes!$K$1:$Q$12,MATCH(V$116,Listes!$K$1:$K$12,0),MATCH(Y$117,Listes!$K$1:$Q$1,0)))</f>
        <v>0</v>
      </c>
      <c r="Z122" s="45">
        <f t="shared" si="52"/>
        <v>0</v>
      </c>
      <c r="AA122" s="11">
        <f>IF(OR(V$116=0,V$116=""),0,Z122*INDEX(Listes!$K$15:$P$26,MATCH(V$116,Listes!$K$15:$K$26,0),MATCH(AA$117,Listes!$K$15:$P$15,0))*INDEX(Listes!$K$29:$O$31,MATCH(W$116,Listes!$K$29:$K$31,0),MATCH(AA$117,Listes!$K$29:$O$29,0)))</f>
        <v>0</v>
      </c>
      <c r="AB122" s="45">
        <f>IF(OR(V$116=0,V$116=""),0,Z122*INDEX(Listes!$K$15:$P$26,MATCH(V$116,Listes!$K$15:$K$26,0),MATCH(AB$117,Listes!$K$15:$P$15,0))*INDEX(Listes!$K$29:$O$31,MATCH(W$116,Listes!$K$29:$K$31,0),MATCH(AB$117,Listes!$K$29:$O$29,0)))</f>
        <v>0</v>
      </c>
      <c r="AC122" s="45">
        <f>IF(OR(V$116=0,V$116=""),0,Z122*INDEX(Listes!$K$15:$P$26,MATCH(V$116,Listes!$K$15:$K$26,0),MATCH(AC$117,Listes!$K$15:$P$15,0))*INDEX(Listes!$K$29:$O$31,MATCH(W$116,Listes!$K$29:$K$31,0),MATCH(AC$117,Listes!$K$29:$O$29,0)))</f>
        <v>0</v>
      </c>
      <c r="AE122" s="472"/>
      <c r="AF122" s="3">
        <v>5</v>
      </c>
      <c r="AG122" s="45">
        <f t="shared" si="53"/>
        <v>0</v>
      </c>
      <c r="AH122" s="11">
        <f t="shared" si="54"/>
        <v>0</v>
      </c>
      <c r="AI122" s="45">
        <f>IF(OR(AH122=0,AH122="",AF$116=0),0,AH122*INDEX(Listes!$K$1:$Q$12,MATCH(AF$116,Listes!$K$1:$K$12,0),MATCH(AI$117,Listes!$K$1:$Q$1,0)))</f>
        <v>0</v>
      </c>
      <c r="AJ122" s="45">
        <f t="shared" si="55"/>
        <v>0</v>
      </c>
      <c r="AK122" s="11">
        <f>IF(OR(AF$116=0,AF$116=""),0,AJ122*INDEX(Listes!$K$15:$P$26,MATCH(AF$116,Listes!$K$15:$K$26,0),MATCH(AK$117,Listes!$K$15:$P$15,0))*INDEX(Listes!$K$29:$O$31,MATCH(AG$116,Listes!$K$29:$K$31,0),MATCH(AK$117,Listes!$K$29:$O$29,0)))</f>
        <v>0</v>
      </c>
      <c r="AL122" s="45">
        <f>IF(OR(AF$116=0,AF$116=""),0,AJ122*INDEX(Listes!$K$15:$P$26,MATCH(AF$116,Listes!$K$15:$K$26,0),MATCH(AL$117,Listes!$K$15:$P$15,0))*INDEX(Listes!$K$29:$O$31,MATCH(AG$116,Listes!$K$29:$K$31,0),MATCH(AL$117,Listes!$K$29:$O$29,0)))</f>
        <v>0</v>
      </c>
      <c r="AM122" s="45">
        <f>IF(OR(AF$116=0,AF$116=""),0,AJ122*INDEX(Listes!$K$15:$P$26,MATCH(AF$116,Listes!$K$15:$K$26,0),MATCH(AM$117,Listes!$K$15:$P$15,0))*INDEX(Listes!$K$29:$O$31,MATCH(AG$116,Listes!$K$29:$K$31,0),MATCH(AM$117,Listes!$K$29:$O$29,0)))</f>
        <v>0</v>
      </c>
      <c r="AN122" s="45"/>
      <c r="AO122" s="472"/>
      <c r="AP122" s="3">
        <v>5</v>
      </c>
      <c r="AQ122" s="11">
        <f t="shared" si="56"/>
        <v>0</v>
      </c>
      <c r="AR122" s="11">
        <f t="shared" si="56"/>
        <v>0</v>
      </c>
      <c r="AS122" s="11">
        <f t="shared" si="56"/>
        <v>0</v>
      </c>
      <c r="AT122" s="11">
        <f>AQ122*VLOOKUP(AQ$117,Tableau17[],4,FALSE)+AR122*VLOOKUP(AR$117,Tableau17[],4,FALSE)+AS122*VLOOKUP(AS$117,Tableau17[],4,FALSE)</f>
        <v>0</v>
      </c>
      <c r="AU122" s="11">
        <f>AQ122*VLOOKUP(AQ$117,Tableau17[],3,FALSE)+AR122*VLOOKUP(AR$117,Tableau17[],3,FALSE)+AS122*VLOOKUP(AS$117,Tableau17[],3,FALSE)</f>
        <v>0</v>
      </c>
      <c r="AW122" s="11"/>
      <c r="AX122" s="113"/>
    </row>
    <row r="123" spans="1:52" x14ac:dyDescent="0.2">
      <c r="A123" s="472"/>
      <c r="B123" s="3">
        <v>6</v>
      </c>
      <c r="C123" s="45">
        <f t="shared" si="45"/>
        <v>0</v>
      </c>
      <c r="D123" s="11">
        <f t="shared" si="57"/>
        <v>0</v>
      </c>
      <c r="E123" s="45">
        <f>IF(OR(D123=0,D123="",B$116=0),0,D123*INDEX(Listes!$K$1:$Q$12,MATCH(B$116,Listes!$K$1:$K$12,0),MATCH(E$117,Listes!$K$1:$Q$1,0)))</f>
        <v>0</v>
      </c>
      <c r="F123" s="45">
        <f t="shared" si="46"/>
        <v>0</v>
      </c>
      <c r="G123" s="11">
        <f>IF(OR(B$116=0,B$116=""),0,F123*INDEX(Listes!$K$15:$P$26,MATCH(B$116,Listes!$K$15:$K$26,0),MATCH(G$117,Listes!$K$15:$P$15,0))*INDEX(Listes!$K$29:$O$31,MATCH(C$116,Listes!$K$29:$K$31,0),MATCH(G$117,Listes!$K$29:$O$29,0)))</f>
        <v>0</v>
      </c>
      <c r="H123" s="45">
        <f>IF(OR(B$116=0,B$116=""),0,F123*INDEX(Listes!$K$15:$P$26,MATCH(B$116,Listes!$K$15:$K$26,0),MATCH(H$117,Listes!$K$15:$P$15,0))*INDEX(Listes!$K$29:$O$31,MATCH(C$116,Listes!$K$29:$K$31,0),MATCH(H$117,Listes!$K$29:$O$29,0)))</f>
        <v>0</v>
      </c>
      <c r="I123" s="45">
        <f>IF(OR(B$116=0,B$116=""),0,F123*INDEX(Listes!$K$15:$P$26,MATCH(B$116,Listes!$K$15:$K$26,0),MATCH(I$117,Listes!$K$15:$P$15,0))*INDEX(Listes!$K$29:$O$31,MATCH(C$116,Listes!$K$29:$K$31,0),MATCH(I$117,Listes!$K$29:$O$29,0)))</f>
        <v>0</v>
      </c>
      <c r="K123" s="472"/>
      <c r="L123" s="3">
        <v>6</v>
      </c>
      <c r="M123" s="45">
        <f t="shared" si="47"/>
        <v>0</v>
      </c>
      <c r="N123" s="11">
        <f t="shared" si="48"/>
        <v>0</v>
      </c>
      <c r="O123" s="45">
        <f>IF(OR(N123=0,N123="",L$116=0),0,N123*INDEX(Listes!$K$1:$Q$12,MATCH(L$116,Listes!$K$1:$K$12,0),MATCH(O$117,Listes!$K$1:$Q$1,0)))</f>
        <v>0</v>
      </c>
      <c r="P123" s="45">
        <f t="shared" si="49"/>
        <v>0</v>
      </c>
      <c r="Q123" s="11">
        <f>IF(OR(L$116=0,L$116=""),0,P123*INDEX(Listes!$K$15:$P$26,MATCH(L$116,Listes!$K$15:$K$26,0),MATCH(Q$117,Listes!$K$15:$P$15,0))*INDEX(Listes!$K$29:$O$31,MATCH(M$116,Listes!$K$29:$K$31,0),MATCH(Q$117,Listes!$K$29:$O$29,0)))</f>
        <v>0</v>
      </c>
      <c r="R123" s="45">
        <f>IF(OR(L$116=0,L$116=""),0,P123*INDEX(Listes!$K$15:$P$26,MATCH(L$116,Listes!$K$15:$K$26,0),MATCH(R$117,Listes!$K$15:$P$15,0))*INDEX(Listes!$K$29:$O$31,MATCH(M$116,Listes!$K$29:$K$31,0),MATCH(R$117,Listes!$K$29:$O$29,0)))</f>
        <v>0</v>
      </c>
      <c r="S123" s="45">
        <f>IF(OR(L$116=0,L$116=""),0,P123*INDEX(Listes!$K$15:$P$26,MATCH(L$116,Listes!$K$15:$K$26,0),MATCH(S$117,Listes!$K$15:$P$15,0))*INDEX(Listes!$K$29:$O$31,MATCH(M$116,Listes!$K$29:$K$31,0),MATCH(S$117,Listes!$K$29:$O$29,0)))</f>
        <v>0</v>
      </c>
      <c r="U123" s="472"/>
      <c r="V123" s="3">
        <v>6</v>
      </c>
      <c r="W123" s="45">
        <f t="shared" si="50"/>
        <v>0</v>
      </c>
      <c r="X123" s="11">
        <f t="shared" si="51"/>
        <v>0</v>
      </c>
      <c r="Y123" s="45">
        <f>IF(OR(X123=0,X123="",V$116=0),0,X123*INDEX(Listes!$K$1:$Q$12,MATCH(V$116,Listes!$K$1:$K$12,0),MATCH(Y$117,Listes!$K$1:$Q$1,0)))</f>
        <v>0</v>
      </c>
      <c r="Z123" s="45">
        <f t="shared" si="52"/>
        <v>0</v>
      </c>
      <c r="AA123" s="11">
        <f>IF(OR(V$116=0,V$116=""),0,Z123*INDEX(Listes!$K$15:$P$26,MATCH(V$116,Listes!$K$15:$K$26,0),MATCH(AA$117,Listes!$K$15:$P$15,0))*INDEX(Listes!$K$29:$O$31,MATCH(W$116,Listes!$K$29:$K$31,0),MATCH(AA$117,Listes!$K$29:$O$29,0)))</f>
        <v>0</v>
      </c>
      <c r="AB123" s="45">
        <f>IF(OR(V$116=0,V$116=""),0,Z123*INDEX(Listes!$K$15:$P$26,MATCH(V$116,Listes!$K$15:$K$26,0),MATCH(AB$117,Listes!$K$15:$P$15,0))*INDEX(Listes!$K$29:$O$31,MATCH(W$116,Listes!$K$29:$K$31,0),MATCH(AB$117,Listes!$K$29:$O$29,0)))</f>
        <v>0</v>
      </c>
      <c r="AC123" s="45">
        <f>IF(OR(V$116=0,V$116=""),0,Z123*INDEX(Listes!$K$15:$P$26,MATCH(V$116,Listes!$K$15:$K$26,0),MATCH(AC$117,Listes!$K$15:$P$15,0))*INDEX(Listes!$K$29:$O$31,MATCH(W$116,Listes!$K$29:$K$31,0),MATCH(AC$117,Listes!$K$29:$O$29,0)))</f>
        <v>0</v>
      </c>
      <c r="AE123" s="472"/>
      <c r="AF123" s="3">
        <v>6</v>
      </c>
      <c r="AG123" s="45">
        <f t="shared" si="53"/>
        <v>0</v>
      </c>
      <c r="AH123" s="11">
        <f t="shared" si="54"/>
        <v>0</v>
      </c>
      <c r="AI123" s="45">
        <f>IF(OR(AH123=0,AH123="",AF$116=0),0,AH123*INDEX(Listes!$K$1:$Q$12,MATCH(AF$116,Listes!$K$1:$K$12,0),MATCH(AI$117,Listes!$K$1:$Q$1,0)))</f>
        <v>0</v>
      </c>
      <c r="AJ123" s="45">
        <f t="shared" si="55"/>
        <v>0</v>
      </c>
      <c r="AK123" s="11">
        <f>IF(OR(AF$116=0,AF$116=""),0,AJ123*INDEX(Listes!$K$15:$P$26,MATCH(AF$116,Listes!$K$15:$K$26,0),MATCH(AK$117,Listes!$K$15:$P$15,0))*INDEX(Listes!$K$29:$O$31,MATCH(AG$116,Listes!$K$29:$K$31,0),MATCH(AK$117,Listes!$K$29:$O$29,0)))</f>
        <v>0</v>
      </c>
      <c r="AL123" s="45">
        <f>IF(OR(AF$116=0,AF$116=""),0,AJ123*INDEX(Listes!$K$15:$P$26,MATCH(AF$116,Listes!$K$15:$K$26,0),MATCH(AL$117,Listes!$K$15:$P$15,0))*INDEX(Listes!$K$29:$O$31,MATCH(AG$116,Listes!$K$29:$K$31,0),MATCH(AL$117,Listes!$K$29:$O$29,0)))</f>
        <v>0</v>
      </c>
      <c r="AM123" s="45">
        <f>IF(OR(AF$116=0,AF$116=""),0,AJ123*INDEX(Listes!$K$15:$P$26,MATCH(AF$116,Listes!$K$15:$K$26,0),MATCH(AM$117,Listes!$K$15:$P$15,0))*INDEX(Listes!$K$29:$O$31,MATCH(AG$116,Listes!$K$29:$K$31,0),MATCH(AM$117,Listes!$K$29:$O$29,0)))</f>
        <v>0</v>
      </c>
      <c r="AN123" s="45"/>
      <c r="AO123" s="472"/>
      <c r="AP123" s="3">
        <v>6</v>
      </c>
      <c r="AQ123" s="11">
        <f t="shared" si="56"/>
        <v>0</v>
      </c>
      <c r="AR123" s="11">
        <f t="shared" si="56"/>
        <v>0</v>
      </c>
      <c r="AS123" s="11">
        <f t="shared" si="56"/>
        <v>0</v>
      </c>
      <c r="AT123" s="11">
        <f>AQ123*VLOOKUP(AQ$117,Tableau17[],4,FALSE)+AR123*VLOOKUP(AR$117,Tableau17[],4,FALSE)+AS123*VLOOKUP(AS$117,Tableau17[],4,FALSE)</f>
        <v>0</v>
      </c>
      <c r="AU123" s="11">
        <f>AQ123*VLOOKUP(AQ$117,Tableau17[],3,FALSE)+AR123*VLOOKUP(AR$117,Tableau17[],3,FALSE)+AS123*VLOOKUP(AS$117,Tableau17[],3,FALSE)</f>
        <v>0</v>
      </c>
      <c r="AW123" s="11"/>
      <c r="AX123" s="113"/>
    </row>
    <row r="124" spans="1:52" x14ac:dyDescent="0.2">
      <c r="A124" s="472"/>
      <c r="B124" s="3">
        <v>7</v>
      </c>
      <c r="C124" s="45">
        <f t="shared" si="45"/>
        <v>0</v>
      </c>
      <c r="D124" s="11">
        <f t="shared" si="57"/>
        <v>0</v>
      </c>
      <c r="E124" s="45">
        <f>IF(OR(D124=0,D124="",B$116=0),0,D124*INDEX(Listes!$K$1:$Q$12,MATCH(B$116,Listes!$K$1:$K$12,0),MATCH(E$117,Listes!$K$1:$Q$1,0)))</f>
        <v>0</v>
      </c>
      <c r="F124" s="45">
        <f t="shared" si="46"/>
        <v>0</v>
      </c>
      <c r="G124" s="11">
        <f>IF(OR(B$116=0,B$116=""),0,F124*INDEX(Listes!$K$15:$P$26,MATCH(B$116,Listes!$K$15:$K$26,0),MATCH(G$117,Listes!$K$15:$P$15,0))*INDEX(Listes!$K$29:$O$31,MATCH(C$116,Listes!$K$29:$K$31,0),MATCH(G$117,Listes!$K$29:$O$29,0)))</f>
        <v>0</v>
      </c>
      <c r="H124" s="45">
        <f>IF(OR(B$116=0,B$116=""),0,F124*INDEX(Listes!$K$15:$P$26,MATCH(B$116,Listes!$K$15:$K$26,0),MATCH(H$117,Listes!$K$15:$P$15,0))*INDEX(Listes!$K$29:$O$31,MATCH(C$116,Listes!$K$29:$K$31,0),MATCH(H$117,Listes!$K$29:$O$29,0)))</f>
        <v>0</v>
      </c>
      <c r="I124" s="45">
        <f>IF(OR(B$116=0,B$116=""),0,F124*INDEX(Listes!$K$15:$P$26,MATCH(B$116,Listes!$K$15:$K$26,0),MATCH(I$117,Listes!$K$15:$P$15,0))*INDEX(Listes!$K$29:$O$31,MATCH(C$116,Listes!$K$29:$K$31,0),MATCH(I$117,Listes!$K$29:$O$29,0)))</f>
        <v>0</v>
      </c>
      <c r="K124" s="472"/>
      <c r="L124" s="3">
        <v>7</v>
      </c>
      <c r="M124" s="45">
        <f t="shared" si="47"/>
        <v>0</v>
      </c>
      <c r="N124" s="11">
        <f t="shared" si="48"/>
        <v>0</v>
      </c>
      <c r="O124" s="45">
        <f>IF(OR(N124=0,N124="",L$116=0),0,N124*INDEX(Listes!$K$1:$Q$12,MATCH(L$116,Listes!$K$1:$K$12,0),MATCH(O$117,Listes!$K$1:$Q$1,0)))</f>
        <v>0</v>
      </c>
      <c r="P124" s="45">
        <f t="shared" si="49"/>
        <v>0</v>
      </c>
      <c r="Q124" s="11">
        <f>IF(OR(L$116=0,L$116=""),0,P124*INDEX(Listes!$K$15:$P$26,MATCH(L$116,Listes!$K$15:$K$26,0),MATCH(Q$117,Listes!$K$15:$P$15,0))*INDEX(Listes!$K$29:$O$31,MATCH(M$116,Listes!$K$29:$K$31,0),MATCH(Q$117,Listes!$K$29:$O$29,0)))</f>
        <v>0</v>
      </c>
      <c r="R124" s="45">
        <f>IF(OR(L$116=0,L$116=""),0,P124*INDEX(Listes!$K$15:$P$26,MATCH(L$116,Listes!$K$15:$K$26,0),MATCH(R$117,Listes!$K$15:$P$15,0))*INDEX(Listes!$K$29:$O$31,MATCH(M$116,Listes!$K$29:$K$31,0),MATCH(R$117,Listes!$K$29:$O$29,0)))</f>
        <v>0</v>
      </c>
      <c r="S124" s="45">
        <f>IF(OR(L$116=0,L$116=""),0,P124*INDEX(Listes!$K$15:$P$26,MATCH(L$116,Listes!$K$15:$K$26,0),MATCH(S$117,Listes!$K$15:$P$15,0))*INDEX(Listes!$K$29:$O$31,MATCH(M$116,Listes!$K$29:$K$31,0),MATCH(S$117,Listes!$K$29:$O$29,0)))</f>
        <v>0</v>
      </c>
      <c r="U124" s="472"/>
      <c r="V124" s="3">
        <v>7</v>
      </c>
      <c r="W124" s="45">
        <f t="shared" si="50"/>
        <v>0</v>
      </c>
      <c r="X124" s="11">
        <f t="shared" si="51"/>
        <v>0</v>
      </c>
      <c r="Y124" s="45">
        <f>IF(OR(X124=0,X124="",V$116=0),0,X124*INDEX(Listes!$K$1:$Q$12,MATCH(V$116,Listes!$K$1:$K$12,0),MATCH(Y$117,Listes!$K$1:$Q$1,0)))</f>
        <v>0</v>
      </c>
      <c r="Z124" s="45">
        <f t="shared" si="52"/>
        <v>0</v>
      </c>
      <c r="AA124" s="11">
        <f>IF(OR(V$116=0,V$116=""),0,Z124*INDEX(Listes!$K$15:$P$26,MATCH(V$116,Listes!$K$15:$K$26,0),MATCH(AA$117,Listes!$K$15:$P$15,0))*INDEX(Listes!$K$29:$O$31,MATCH(W$116,Listes!$K$29:$K$31,0),MATCH(AA$117,Listes!$K$29:$O$29,0)))</f>
        <v>0</v>
      </c>
      <c r="AB124" s="45">
        <f>IF(OR(V$116=0,V$116=""),0,Z124*INDEX(Listes!$K$15:$P$26,MATCH(V$116,Listes!$K$15:$K$26,0),MATCH(AB$117,Listes!$K$15:$P$15,0))*INDEX(Listes!$K$29:$O$31,MATCH(W$116,Listes!$K$29:$K$31,0),MATCH(AB$117,Listes!$K$29:$O$29,0)))</f>
        <v>0</v>
      </c>
      <c r="AC124" s="45">
        <f>IF(OR(V$116=0,V$116=""),0,Z124*INDEX(Listes!$K$15:$P$26,MATCH(V$116,Listes!$K$15:$K$26,0),MATCH(AC$117,Listes!$K$15:$P$15,0))*INDEX(Listes!$K$29:$O$31,MATCH(W$116,Listes!$K$29:$K$31,0),MATCH(AC$117,Listes!$K$29:$O$29,0)))</f>
        <v>0</v>
      </c>
      <c r="AE124" s="472"/>
      <c r="AF124" s="3">
        <v>7</v>
      </c>
      <c r="AG124" s="45">
        <f t="shared" si="53"/>
        <v>0</v>
      </c>
      <c r="AH124" s="11">
        <f t="shared" si="54"/>
        <v>0</v>
      </c>
      <c r="AI124" s="45">
        <f>IF(OR(AH124=0,AH124="",AF$116=0),0,AH124*INDEX(Listes!$K$1:$Q$12,MATCH(AF$116,Listes!$K$1:$K$12,0),MATCH(AI$117,Listes!$K$1:$Q$1,0)))</f>
        <v>0</v>
      </c>
      <c r="AJ124" s="45">
        <f t="shared" si="55"/>
        <v>0</v>
      </c>
      <c r="AK124" s="11">
        <f>IF(OR(AF$116=0,AF$116=""),0,AJ124*INDEX(Listes!$K$15:$P$26,MATCH(AF$116,Listes!$K$15:$K$26,0),MATCH(AK$117,Listes!$K$15:$P$15,0))*INDEX(Listes!$K$29:$O$31,MATCH(AG$116,Listes!$K$29:$K$31,0),MATCH(AK$117,Listes!$K$29:$O$29,0)))</f>
        <v>0</v>
      </c>
      <c r="AL124" s="45">
        <f>IF(OR(AF$116=0,AF$116=""),0,AJ124*INDEX(Listes!$K$15:$P$26,MATCH(AF$116,Listes!$K$15:$K$26,0),MATCH(AL$117,Listes!$K$15:$P$15,0))*INDEX(Listes!$K$29:$O$31,MATCH(AG$116,Listes!$K$29:$K$31,0),MATCH(AL$117,Listes!$K$29:$O$29,0)))</f>
        <v>0</v>
      </c>
      <c r="AM124" s="45">
        <f>IF(OR(AF$116=0,AF$116=""),0,AJ124*INDEX(Listes!$K$15:$P$26,MATCH(AF$116,Listes!$K$15:$K$26,0),MATCH(AM$117,Listes!$K$15:$P$15,0))*INDEX(Listes!$K$29:$O$31,MATCH(AG$116,Listes!$K$29:$K$31,0),MATCH(AM$117,Listes!$K$29:$O$29,0)))</f>
        <v>0</v>
      </c>
      <c r="AN124" s="45"/>
      <c r="AO124" s="472"/>
      <c r="AP124" s="3">
        <v>7</v>
      </c>
      <c r="AQ124" s="11">
        <f t="shared" si="56"/>
        <v>0</v>
      </c>
      <c r="AR124" s="11">
        <f t="shared" si="56"/>
        <v>0</v>
      </c>
      <c r="AS124" s="11">
        <f t="shared" si="56"/>
        <v>0</v>
      </c>
      <c r="AT124" s="11">
        <f>AQ124*VLOOKUP(AQ$117,Tableau17[],4,FALSE)+AR124*VLOOKUP(AR$117,Tableau17[],4,FALSE)+AS124*VLOOKUP(AS$117,Tableau17[],4,FALSE)</f>
        <v>0</v>
      </c>
      <c r="AU124" s="11">
        <f>AQ124*VLOOKUP(AQ$117,Tableau17[],3,FALSE)+AR124*VLOOKUP(AR$117,Tableau17[],3,FALSE)+AS124*VLOOKUP(AS$117,Tableau17[],3,FALSE)</f>
        <v>0</v>
      </c>
      <c r="AW124" s="11"/>
      <c r="AX124" s="113"/>
    </row>
    <row r="125" spans="1:52" x14ac:dyDescent="0.2">
      <c r="A125" s="472"/>
      <c r="B125" s="3">
        <v>8</v>
      </c>
      <c r="C125" s="45">
        <f t="shared" si="45"/>
        <v>0</v>
      </c>
      <c r="D125" s="11">
        <f t="shared" si="57"/>
        <v>0</v>
      </c>
      <c r="E125" s="45">
        <f>IF(OR(D125=0,D125="",B$116=0),0,D125*INDEX(Listes!$K$1:$Q$12,MATCH(B$116,Listes!$K$1:$K$12,0),MATCH(E$117,Listes!$K$1:$Q$1,0)))</f>
        <v>0</v>
      </c>
      <c r="F125" s="45">
        <f t="shared" si="46"/>
        <v>0</v>
      </c>
      <c r="G125" s="11">
        <f>IF(OR(B$116=0,B$116=""),0,F125*INDEX(Listes!$K$15:$P$26,MATCH(B$116,Listes!$K$15:$K$26,0),MATCH(G$117,Listes!$K$15:$P$15,0))*INDEX(Listes!$K$29:$O$31,MATCH(C$116,Listes!$K$29:$K$31,0),MATCH(G$117,Listes!$K$29:$O$29,0)))</f>
        <v>0</v>
      </c>
      <c r="H125" s="45">
        <f>IF(OR(B$116=0,B$116=""),0,F125*INDEX(Listes!$K$15:$P$26,MATCH(B$116,Listes!$K$15:$K$26,0),MATCH(H$117,Listes!$K$15:$P$15,0))*INDEX(Listes!$K$29:$O$31,MATCH(C$116,Listes!$K$29:$K$31,0),MATCH(H$117,Listes!$K$29:$O$29,0)))</f>
        <v>0</v>
      </c>
      <c r="I125" s="45">
        <f>IF(OR(B$116=0,B$116=""),0,F125*INDEX(Listes!$K$15:$P$26,MATCH(B$116,Listes!$K$15:$K$26,0),MATCH(I$117,Listes!$K$15:$P$15,0))*INDEX(Listes!$K$29:$O$31,MATCH(C$116,Listes!$K$29:$K$31,0),MATCH(I$117,Listes!$K$29:$O$29,0)))</f>
        <v>0</v>
      </c>
      <c r="K125" s="472"/>
      <c r="L125" s="3">
        <v>8</v>
      </c>
      <c r="M125" s="45">
        <f t="shared" si="47"/>
        <v>0</v>
      </c>
      <c r="N125" s="11">
        <f t="shared" si="48"/>
        <v>0</v>
      </c>
      <c r="O125" s="45">
        <f>IF(OR(N125=0,N125="",L$116=0),0,N125*INDEX(Listes!$K$1:$Q$12,MATCH(L$116,Listes!$K$1:$K$12,0),MATCH(O$117,Listes!$K$1:$Q$1,0)))</f>
        <v>0</v>
      </c>
      <c r="P125" s="45">
        <f t="shared" si="49"/>
        <v>0</v>
      </c>
      <c r="Q125" s="11">
        <f>IF(OR(L$116=0,L$116=""),0,P125*INDEX(Listes!$K$15:$P$26,MATCH(L$116,Listes!$K$15:$K$26,0),MATCH(Q$117,Listes!$K$15:$P$15,0))*INDEX(Listes!$K$29:$O$31,MATCH(M$116,Listes!$K$29:$K$31,0),MATCH(Q$117,Listes!$K$29:$O$29,0)))</f>
        <v>0</v>
      </c>
      <c r="R125" s="45">
        <f>IF(OR(L$116=0,L$116=""),0,P125*INDEX(Listes!$K$15:$P$26,MATCH(L$116,Listes!$K$15:$K$26,0),MATCH(R$117,Listes!$K$15:$P$15,0))*INDEX(Listes!$K$29:$O$31,MATCH(M$116,Listes!$K$29:$K$31,0),MATCH(R$117,Listes!$K$29:$O$29,0)))</f>
        <v>0</v>
      </c>
      <c r="S125" s="45">
        <f>IF(OR(L$116=0,L$116=""),0,P125*INDEX(Listes!$K$15:$P$26,MATCH(L$116,Listes!$K$15:$K$26,0),MATCH(S$117,Listes!$K$15:$P$15,0))*INDEX(Listes!$K$29:$O$31,MATCH(M$116,Listes!$K$29:$K$31,0),MATCH(S$117,Listes!$K$29:$O$29,0)))</f>
        <v>0</v>
      </c>
      <c r="U125" s="472"/>
      <c r="V125" s="3">
        <v>8</v>
      </c>
      <c r="W125" s="45">
        <f t="shared" si="50"/>
        <v>0</v>
      </c>
      <c r="X125" s="11">
        <f t="shared" si="51"/>
        <v>0</v>
      </c>
      <c r="Y125" s="45">
        <f>IF(OR(X125=0,X125="",V$116=0),0,X125*INDEX(Listes!$K$1:$Q$12,MATCH(V$116,Listes!$K$1:$K$12,0),MATCH(Y$117,Listes!$K$1:$Q$1,0)))</f>
        <v>0</v>
      </c>
      <c r="Z125" s="45">
        <f t="shared" si="52"/>
        <v>0</v>
      </c>
      <c r="AA125" s="11">
        <f>IF(OR(V$116=0,V$116=""),0,Z125*INDEX(Listes!$K$15:$P$26,MATCH(V$116,Listes!$K$15:$K$26,0),MATCH(AA$117,Listes!$K$15:$P$15,0))*INDEX(Listes!$K$29:$O$31,MATCH(W$116,Listes!$K$29:$K$31,0),MATCH(AA$117,Listes!$K$29:$O$29,0)))</f>
        <v>0</v>
      </c>
      <c r="AB125" s="45">
        <f>IF(OR(V$116=0,V$116=""),0,Z125*INDEX(Listes!$K$15:$P$26,MATCH(V$116,Listes!$K$15:$K$26,0),MATCH(AB$117,Listes!$K$15:$P$15,0))*INDEX(Listes!$K$29:$O$31,MATCH(W$116,Listes!$K$29:$K$31,0),MATCH(AB$117,Listes!$K$29:$O$29,0)))</f>
        <v>0</v>
      </c>
      <c r="AC125" s="45">
        <f>IF(OR(V$116=0,V$116=""),0,Z125*INDEX(Listes!$K$15:$P$26,MATCH(V$116,Listes!$K$15:$K$26,0),MATCH(AC$117,Listes!$K$15:$P$15,0))*INDEX(Listes!$K$29:$O$31,MATCH(W$116,Listes!$K$29:$K$31,0),MATCH(AC$117,Listes!$K$29:$O$29,0)))</f>
        <v>0</v>
      </c>
      <c r="AE125" s="472"/>
      <c r="AF125" s="3">
        <v>8</v>
      </c>
      <c r="AG125" s="45">
        <f t="shared" si="53"/>
        <v>0</v>
      </c>
      <c r="AH125" s="11">
        <f t="shared" si="54"/>
        <v>0</v>
      </c>
      <c r="AI125" s="45">
        <f>IF(OR(AH125=0,AH125="",AF$116=0),0,AH125*INDEX(Listes!$K$1:$Q$12,MATCH(AF$116,Listes!$K$1:$K$12,0),MATCH(AI$117,Listes!$K$1:$Q$1,0)))</f>
        <v>0</v>
      </c>
      <c r="AJ125" s="45">
        <f t="shared" si="55"/>
        <v>0</v>
      </c>
      <c r="AK125" s="11">
        <f>IF(OR(AF$116=0,AF$116=""),0,AJ125*INDEX(Listes!$K$15:$P$26,MATCH(AF$116,Listes!$K$15:$K$26,0),MATCH(AK$117,Listes!$K$15:$P$15,0))*INDEX(Listes!$K$29:$O$31,MATCH(AG$116,Listes!$K$29:$K$31,0),MATCH(AK$117,Listes!$K$29:$O$29,0)))</f>
        <v>0</v>
      </c>
      <c r="AL125" s="45">
        <f>IF(OR(AF$116=0,AF$116=""),0,AJ125*INDEX(Listes!$K$15:$P$26,MATCH(AF$116,Listes!$K$15:$K$26,0),MATCH(AL$117,Listes!$K$15:$P$15,0))*INDEX(Listes!$K$29:$O$31,MATCH(AG$116,Listes!$K$29:$K$31,0),MATCH(AL$117,Listes!$K$29:$O$29,0)))</f>
        <v>0</v>
      </c>
      <c r="AM125" s="45">
        <f>IF(OR(AF$116=0,AF$116=""),0,AJ125*INDEX(Listes!$K$15:$P$26,MATCH(AF$116,Listes!$K$15:$K$26,0),MATCH(AM$117,Listes!$K$15:$P$15,0))*INDEX(Listes!$K$29:$O$31,MATCH(AG$116,Listes!$K$29:$K$31,0),MATCH(AM$117,Listes!$K$29:$O$29,0)))</f>
        <v>0</v>
      </c>
      <c r="AN125" s="45"/>
      <c r="AO125" s="472"/>
      <c r="AP125" s="3">
        <v>8</v>
      </c>
      <c r="AQ125" s="11">
        <f t="shared" si="56"/>
        <v>0</v>
      </c>
      <c r="AR125" s="11">
        <f t="shared" si="56"/>
        <v>0</v>
      </c>
      <c r="AS125" s="11">
        <f t="shared" si="56"/>
        <v>0</v>
      </c>
      <c r="AT125" s="11">
        <f>AQ125*VLOOKUP(AQ$117,Tableau17[],4,FALSE)+AR125*VLOOKUP(AR$117,Tableau17[],4,FALSE)+AS125*VLOOKUP(AS$117,Tableau17[],4,FALSE)</f>
        <v>0</v>
      </c>
      <c r="AU125" s="11">
        <f>AQ125*VLOOKUP(AQ$117,Tableau17[],3,FALSE)+AR125*VLOOKUP(AR$117,Tableau17[],3,FALSE)+AS125*VLOOKUP(AS$117,Tableau17[],3,FALSE)</f>
        <v>0</v>
      </c>
      <c r="AW125" s="11"/>
      <c r="AX125" s="113"/>
    </row>
    <row r="126" spans="1:52" x14ac:dyDescent="0.2">
      <c r="A126" s="472"/>
      <c r="B126" s="3">
        <v>9</v>
      </c>
      <c r="C126" s="45">
        <f t="shared" si="45"/>
        <v>0</v>
      </c>
      <c r="D126" s="11">
        <f t="shared" si="57"/>
        <v>0</v>
      </c>
      <c r="E126" s="45">
        <f>IF(OR(D126=0,D126="",B$116=0),0,D126*INDEX(Listes!$K$1:$Q$12,MATCH(B$116,Listes!$K$1:$K$12,0),MATCH(E$117,Listes!$K$1:$Q$1,0)))</f>
        <v>0</v>
      </c>
      <c r="F126" s="45">
        <f t="shared" si="46"/>
        <v>0</v>
      </c>
      <c r="G126" s="11">
        <f>IF(OR(B$116=0,B$116=""),0,F126*INDEX(Listes!$K$15:$P$26,MATCH(B$116,Listes!$K$15:$K$26,0),MATCH(G$117,Listes!$K$15:$P$15,0))*INDEX(Listes!$K$29:$O$31,MATCH(C$116,Listes!$K$29:$K$31,0),MATCH(G$117,Listes!$K$29:$O$29,0)))</f>
        <v>0</v>
      </c>
      <c r="H126" s="45">
        <f>IF(OR(B$116=0,B$116=""),0,F126*INDEX(Listes!$K$15:$P$26,MATCH(B$116,Listes!$K$15:$K$26,0),MATCH(H$117,Listes!$K$15:$P$15,0))*INDEX(Listes!$K$29:$O$31,MATCH(C$116,Listes!$K$29:$K$31,0),MATCH(H$117,Listes!$K$29:$O$29,0)))</f>
        <v>0</v>
      </c>
      <c r="I126" s="45">
        <f>IF(OR(B$116=0,B$116=""),0,F126*INDEX(Listes!$K$15:$P$26,MATCH(B$116,Listes!$K$15:$K$26,0),MATCH(I$117,Listes!$K$15:$P$15,0))*INDEX(Listes!$K$29:$O$31,MATCH(C$116,Listes!$K$29:$K$31,0),MATCH(I$117,Listes!$K$29:$O$29,0)))</f>
        <v>0</v>
      </c>
      <c r="K126" s="472"/>
      <c r="L126" s="3">
        <v>9</v>
      </c>
      <c r="M126" s="45">
        <f t="shared" si="47"/>
        <v>0</v>
      </c>
      <c r="N126" s="11">
        <f t="shared" si="48"/>
        <v>0</v>
      </c>
      <c r="O126" s="45">
        <f>IF(OR(N126=0,N126="",L$116=0),0,N126*INDEX(Listes!$K$1:$Q$12,MATCH(L$116,Listes!$K$1:$K$12,0),MATCH(O$117,Listes!$K$1:$Q$1,0)))</f>
        <v>0</v>
      </c>
      <c r="P126" s="45">
        <f t="shared" si="49"/>
        <v>0</v>
      </c>
      <c r="Q126" s="11">
        <f>IF(OR(L$116=0,L$116=""),0,P126*INDEX(Listes!$K$15:$P$26,MATCH(L$116,Listes!$K$15:$K$26,0),MATCH(Q$117,Listes!$K$15:$P$15,0))*INDEX(Listes!$K$29:$O$31,MATCH(M$116,Listes!$K$29:$K$31,0),MATCH(Q$117,Listes!$K$29:$O$29,0)))</f>
        <v>0</v>
      </c>
      <c r="R126" s="45">
        <f>IF(OR(L$116=0,L$116=""),0,P126*INDEX(Listes!$K$15:$P$26,MATCH(L$116,Listes!$K$15:$K$26,0),MATCH(R$117,Listes!$K$15:$P$15,0))*INDEX(Listes!$K$29:$O$31,MATCH(M$116,Listes!$K$29:$K$31,0),MATCH(R$117,Listes!$K$29:$O$29,0)))</f>
        <v>0</v>
      </c>
      <c r="S126" s="45">
        <f>IF(OR(L$116=0,L$116=""),0,P126*INDEX(Listes!$K$15:$P$26,MATCH(L$116,Listes!$K$15:$K$26,0),MATCH(S$117,Listes!$K$15:$P$15,0))*INDEX(Listes!$K$29:$O$31,MATCH(M$116,Listes!$K$29:$K$31,0),MATCH(S$117,Listes!$K$29:$O$29,0)))</f>
        <v>0</v>
      </c>
      <c r="U126" s="472"/>
      <c r="V126" s="3">
        <v>9</v>
      </c>
      <c r="W126" s="45">
        <f t="shared" si="50"/>
        <v>0</v>
      </c>
      <c r="X126" s="11">
        <f t="shared" si="51"/>
        <v>0</v>
      </c>
      <c r="Y126" s="45">
        <f>IF(OR(X126=0,X126="",V$116=0),0,X126*INDEX(Listes!$K$1:$Q$12,MATCH(V$116,Listes!$K$1:$K$12,0),MATCH(Y$117,Listes!$K$1:$Q$1,0)))</f>
        <v>0</v>
      </c>
      <c r="Z126" s="45">
        <f t="shared" si="52"/>
        <v>0</v>
      </c>
      <c r="AA126" s="11">
        <f>IF(OR(V$116=0,V$116=""),0,Z126*INDEX(Listes!$K$15:$P$26,MATCH(V$116,Listes!$K$15:$K$26,0),MATCH(AA$117,Listes!$K$15:$P$15,0))*INDEX(Listes!$K$29:$O$31,MATCH(W$116,Listes!$K$29:$K$31,0),MATCH(AA$117,Listes!$K$29:$O$29,0)))</f>
        <v>0</v>
      </c>
      <c r="AB126" s="45">
        <f>IF(OR(V$116=0,V$116=""),0,Z126*INDEX(Listes!$K$15:$P$26,MATCH(V$116,Listes!$K$15:$K$26,0),MATCH(AB$117,Listes!$K$15:$P$15,0))*INDEX(Listes!$K$29:$O$31,MATCH(W$116,Listes!$K$29:$K$31,0),MATCH(AB$117,Listes!$K$29:$O$29,0)))</f>
        <v>0</v>
      </c>
      <c r="AC126" s="45">
        <f>IF(OR(V$116=0,V$116=""),0,Z126*INDEX(Listes!$K$15:$P$26,MATCH(V$116,Listes!$K$15:$K$26,0),MATCH(AC$117,Listes!$K$15:$P$15,0))*INDEX(Listes!$K$29:$O$31,MATCH(W$116,Listes!$K$29:$K$31,0),MATCH(AC$117,Listes!$K$29:$O$29,0)))</f>
        <v>0</v>
      </c>
      <c r="AE126" s="472"/>
      <c r="AF126" s="3">
        <v>9</v>
      </c>
      <c r="AG126" s="45">
        <f t="shared" si="53"/>
        <v>0</v>
      </c>
      <c r="AH126" s="11">
        <f t="shared" si="54"/>
        <v>0</v>
      </c>
      <c r="AI126" s="45">
        <f>IF(OR(AH126=0,AH126="",AF$116=0),0,AH126*INDEX(Listes!$K$1:$Q$12,MATCH(AF$116,Listes!$K$1:$K$12,0),MATCH(AI$117,Listes!$K$1:$Q$1,0)))</f>
        <v>0</v>
      </c>
      <c r="AJ126" s="45">
        <f t="shared" si="55"/>
        <v>0</v>
      </c>
      <c r="AK126" s="11">
        <f>IF(OR(AF$116=0,AF$116=""),0,AJ126*INDEX(Listes!$K$15:$P$26,MATCH(AF$116,Listes!$K$15:$K$26,0),MATCH(AK$117,Listes!$K$15:$P$15,0))*INDEX(Listes!$K$29:$O$31,MATCH(AG$116,Listes!$K$29:$K$31,0),MATCH(AK$117,Listes!$K$29:$O$29,0)))</f>
        <v>0</v>
      </c>
      <c r="AL126" s="45">
        <f>IF(OR(AF$116=0,AF$116=""),0,AJ126*INDEX(Listes!$K$15:$P$26,MATCH(AF$116,Listes!$K$15:$K$26,0),MATCH(AL$117,Listes!$K$15:$P$15,0))*INDEX(Listes!$K$29:$O$31,MATCH(AG$116,Listes!$K$29:$K$31,0),MATCH(AL$117,Listes!$K$29:$O$29,0)))</f>
        <v>0</v>
      </c>
      <c r="AM126" s="45">
        <f>IF(OR(AF$116=0,AF$116=""),0,AJ126*INDEX(Listes!$K$15:$P$26,MATCH(AF$116,Listes!$K$15:$K$26,0),MATCH(AM$117,Listes!$K$15:$P$15,0))*INDEX(Listes!$K$29:$O$31,MATCH(AG$116,Listes!$K$29:$K$31,0),MATCH(AM$117,Listes!$K$29:$O$29,0)))</f>
        <v>0</v>
      </c>
      <c r="AN126" s="45"/>
      <c r="AO126" s="472"/>
      <c r="AP126" s="3">
        <v>9</v>
      </c>
      <c r="AQ126" s="11">
        <f t="shared" si="56"/>
        <v>0</v>
      </c>
      <c r="AR126" s="11">
        <f t="shared" si="56"/>
        <v>0</v>
      </c>
      <c r="AS126" s="11">
        <f t="shared" si="56"/>
        <v>0</v>
      </c>
      <c r="AT126" s="11">
        <f>AQ126*VLOOKUP(AQ$117,Tableau17[],4,FALSE)+AR126*VLOOKUP(AR$117,Tableau17[],4,FALSE)+AS126*VLOOKUP(AS$117,Tableau17[],4,FALSE)</f>
        <v>0</v>
      </c>
      <c r="AU126" s="11">
        <f>AQ126*VLOOKUP(AQ$117,Tableau17[],3,FALSE)+AR126*VLOOKUP(AR$117,Tableau17[],3,FALSE)+AS126*VLOOKUP(AS$117,Tableau17[],3,FALSE)</f>
        <v>0</v>
      </c>
      <c r="AW126" s="11"/>
      <c r="AX126" s="113"/>
    </row>
    <row r="127" spans="1:52" x14ac:dyDescent="0.2">
      <c r="A127" s="472"/>
      <c r="B127" s="3">
        <v>10</v>
      </c>
      <c r="C127" s="45">
        <f t="shared" si="45"/>
        <v>0</v>
      </c>
      <c r="D127" s="11">
        <f t="shared" si="57"/>
        <v>0</v>
      </c>
      <c r="E127" s="45">
        <f>IF(OR(D127=0,D127="",B$116=0),0,D127*INDEX(Listes!$K$1:$Q$12,MATCH(B$116,Listes!$K$1:$K$12,0),MATCH(E$117,Listes!$K$1:$Q$1,0)))</f>
        <v>0</v>
      </c>
      <c r="F127" s="45">
        <f t="shared" si="46"/>
        <v>0</v>
      </c>
      <c r="G127" s="11">
        <f>IF(OR(B$116=0,B$116=""),0,F127*INDEX(Listes!$K$15:$P$26,MATCH(B$116,Listes!$K$15:$K$26,0),MATCH(G$117,Listes!$K$15:$P$15,0))*INDEX(Listes!$K$29:$O$31,MATCH(C$116,Listes!$K$29:$K$31,0),MATCH(G$117,Listes!$K$29:$O$29,0)))</f>
        <v>0</v>
      </c>
      <c r="H127" s="45">
        <f>IF(OR(B$116=0,B$116=""),0,F127*INDEX(Listes!$K$15:$P$26,MATCH(B$116,Listes!$K$15:$K$26,0),MATCH(H$117,Listes!$K$15:$P$15,0))*INDEX(Listes!$K$29:$O$31,MATCH(C$116,Listes!$K$29:$K$31,0),MATCH(H$117,Listes!$K$29:$O$29,0)))</f>
        <v>0</v>
      </c>
      <c r="I127" s="45">
        <f>IF(OR(B$116=0,B$116=""),0,F127*INDEX(Listes!$K$15:$P$26,MATCH(B$116,Listes!$K$15:$K$26,0),MATCH(I$117,Listes!$K$15:$P$15,0))*INDEX(Listes!$K$29:$O$31,MATCH(C$116,Listes!$K$29:$K$31,0),MATCH(I$117,Listes!$K$29:$O$29,0)))</f>
        <v>0</v>
      </c>
      <c r="K127" s="472"/>
      <c r="L127" s="3">
        <v>10</v>
      </c>
      <c r="M127" s="45">
        <f t="shared" si="47"/>
        <v>0</v>
      </c>
      <c r="N127" s="11">
        <f t="shared" si="48"/>
        <v>0</v>
      </c>
      <c r="O127" s="45">
        <f>IF(OR(N127=0,N127="",L$116=0),0,N127*INDEX(Listes!$K$1:$Q$12,MATCH(L$116,Listes!$K$1:$K$12,0),MATCH(O$117,Listes!$K$1:$Q$1,0)))</f>
        <v>0</v>
      </c>
      <c r="P127" s="45">
        <f t="shared" si="49"/>
        <v>0</v>
      </c>
      <c r="Q127" s="11">
        <f>IF(OR(L$116=0,L$116=""),0,P127*INDEX(Listes!$K$15:$P$26,MATCH(L$116,Listes!$K$15:$K$26,0),MATCH(Q$117,Listes!$K$15:$P$15,0))*INDEX(Listes!$K$29:$O$31,MATCH(M$116,Listes!$K$29:$K$31,0),MATCH(Q$117,Listes!$K$29:$O$29,0)))</f>
        <v>0</v>
      </c>
      <c r="R127" s="45">
        <f>IF(OR(L$116=0,L$116=""),0,P127*INDEX(Listes!$K$15:$P$26,MATCH(L$116,Listes!$K$15:$K$26,0),MATCH(R$117,Listes!$K$15:$P$15,0))*INDEX(Listes!$K$29:$O$31,MATCH(M$116,Listes!$K$29:$K$31,0),MATCH(R$117,Listes!$K$29:$O$29,0)))</f>
        <v>0</v>
      </c>
      <c r="S127" s="45">
        <f>IF(OR(L$116=0,L$116=""),0,P127*INDEX(Listes!$K$15:$P$26,MATCH(L$116,Listes!$K$15:$K$26,0),MATCH(S$117,Listes!$K$15:$P$15,0))*INDEX(Listes!$K$29:$O$31,MATCH(M$116,Listes!$K$29:$K$31,0),MATCH(S$117,Listes!$K$29:$O$29,0)))</f>
        <v>0</v>
      </c>
      <c r="U127" s="472"/>
      <c r="V127" s="3">
        <v>10</v>
      </c>
      <c r="W127" s="45">
        <f t="shared" si="50"/>
        <v>0</v>
      </c>
      <c r="X127" s="11">
        <f t="shared" si="51"/>
        <v>0</v>
      </c>
      <c r="Y127" s="45">
        <f>IF(OR(X127=0,X127="",V$116=0),0,X127*INDEX(Listes!$K$1:$Q$12,MATCH(V$116,Listes!$K$1:$K$12,0),MATCH(Y$117,Listes!$K$1:$Q$1,0)))</f>
        <v>0</v>
      </c>
      <c r="Z127" s="45">
        <f t="shared" si="52"/>
        <v>0</v>
      </c>
      <c r="AA127" s="11">
        <f>IF(OR(V$116=0,V$116=""),0,Z127*INDEX(Listes!$K$15:$P$26,MATCH(V$116,Listes!$K$15:$K$26,0),MATCH(AA$117,Listes!$K$15:$P$15,0))*INDEX(Listes!$K$29:$O$31,MATCH(W$116,Listes!$K$29:$K$31,0),MATCH(AA$117,Listes!$K$29:$O$29,0)))</f>
        <v>0</v>
      </c>
      <c r="AB127" s="45">
        <f>IF(OR(V$116=0,V$116=""),0,Z127*INDEX(Listes!$K$15:$P$26,MATCH(V$116,Listes!$K$15:$K$26,0),MATCH(AB$117,Listes!$K$15:$P$15,0))*INDEX(Listes!$K$29:$O$31,MATCH(W$116,Listes!$K$29:$K$31,0),MATCH(AB$117,Listes!$K$29:$O$29,0)))</f>
        <v>0</v>
      </c>
      <c r="AC127" s="45">
        <f>IF(OR(V$116=0,V$116=""),0,Z127*INDEX(Listes!$K$15:$P$26,MATCH(V$116,Listes!$K$15:$K$26,0),MATCH(AC$117,Listes!$K$15:$P$15,0))*INDEX(Listes!$K$29:$O$31,MATCH(W$116,Listes!$K$29:$K$31,0),MATCH(AC$117,Listes!$K$29:$O$29,0)))</f>
        <v>0</v>
      </c>
      <c r="AE127" s="472"/>
      <c r="AF127" s="3">
        <v>10</v>
      </c>
      <c r="AG127" s="45">
        <f t="shared" si="53"/>
        <v>0</v>
      </c>
      <c r="AH127" s="11">
        <f t="shared" si="54"/>
        <v>0</v>
      </c>
      <c r="AI127" s="45">
        <f>IF(OR(AH127=0,AH127="",AF$116=0),0,AH127*INDEX(Listes!$K$1:$Q$12,MATCH(AF$116,Listes!$K$1:$K$12,0),MATCH(AI$117,Listes!$K$1:$Q$1,0)))</f>
        <v>0</v>
      </c>
      <c r="AJ127" s="45">
        <f t="shared" si="55"/>
        <v>0</v>
      </c>
      <c r="AK127" s="11">
        <f>IF(OR(AF$116=0,AF$116=""),0,AJ127*INDEX(Listes!$K$15:$P$26,MATCH(AF$116,Listes!$K$15:$K$26,0),MATCH(AK$117,Listes!$K$15:$P$15,0))*INDEX(Listes!$K$29:$O$31,MATCH(AG$116,Listes!$K$29:$K$31,0),MATCH(AK$117,Listes!$K$29:$O$29,0)))</f>
        <v>0</v>
      </c>
      <c r="AL127" s="45">
        <f>IF(OR(AF$116=0,AF$116=""),0,AJ127*INDEX(Listes!$K$15:$P$26,MATCH(AF$116,Listes!$K$15:$K$26,0),MATCH(AL$117,Listes!$K$15:$P$15,0))*INDEX(Listes!$K$29:$O$31,MATCH(AG$116,Listes!$K$29:$K$31,0),MATCH(AL$117,Listes!$K$29:$O$29,0)))</f>
        <v>0</v>
      </c>
      <c r="AM127" s="45">
        <f>IF(OR(AF$116=0,AF$116=""),0,AJ127*INDEX(Listes!$K$15:$P$26,MATCH(AF$116,Listes!$K$15:$K$26,0),MATCH(AM$117,Listes!$K$15:$P$15,0))*INDEX(Listes!$K$29:$O$31,MATCH(AG$116,Listes!$K$29:$K$31,0),MATCH(AM$117,Listes!$K$29:$O$29,0)))</f>
        <v>0</v>
      </c>
      <c r="AN127" s="45"/>
      <c r="AO127" s="472"/>
      <c r="AP127" s="3">
        <v>10</v>
      </c>
      <c r="AQ127" s="11">
        <f t="shared" si="56"/>
        <v>0</v>
      </c>
      <c r="AR127" s="11">
        <f t="shared" si="56"/>
        <v>0</v>
      </c>
      <c r="AS127" s="11">
        <f t="shared" si="56"/>
        <v>0</v>
      </c>
      <c r="AT127" s="11">
        <f>AQ127*VLOOKUP(AQ$117,Tableau17[],4,FALSE)+AR127*VLOOKUP(AR$117,Tableau17[],4,FALSE)+AS127*VLOOKUP(AS$117,Tableau17[],4,FALSE)</f>
        <v>0</v>
      </c>
      <c r="AU127" s="11">
        <f>AQ127*VLOOKUP(AQ$117,Tableau17[],3,FALSE)+AR127*VLOOKUP(AR$117,Tableau17[],3,FALSE)+AS127*VLOOKUP(AS$117,Tableau17[],3,FALSE)</f>
        <v>0</v>
      </c>
      <c r="AW127" s="11"/>
      <c r="AX127" s="113"/>
    </row>
    <row r="128" spans="1:52" x14ac:dyDescent="0.2">
      <c r="A128" s="472"/>
      <c r="B128" s="3">
        <v>11</v>
      </c>
      <c r="C128" s="45">
        <f t="shared" si="45"/>
        <v>0</v>
      </c>
      <c r="D128" s="11">
        <f t="shared" si="57"/>
        <v>0</v>
      </c>
      <c r="E128" s="45">
        <f>IF(OR(D128=0,D128="",B$116=0),0,D128*INDEX(Listes!$K$1:$Q$12,MATCH(B$116,Listes!$K$1:$K$12,0),MATCH(E$117,Listes!$K$1:$Q$1,0)))</f>
        <v>0</v>
      </c>
      <c r="F128" s="45">
        <f t="shared" si="46"/>
        <v>0</v>
      </c>
      <c r="G128" s="11">
        <f>IF(OR(B$116=0,B$116=""),0,F128*INDEX(Listes!$K$15:$P$26,MATCH(B$116,Listes!$K$15:$K$26,0),MATCH(G$117,Listes!$K$15:$P$15,0))*INDEX(Listes!$K$29:$O$31,MATCH(C$116,Listes!$K$29:$K$31,0),MATCH(G$117,Listes!$K$29:$O$29,0)))</f>
        <v>0</v>
      </c>
      <c r="H128" s="45">
        <f>IF(OR(B$116=0,B$116=""),0,F128*INDEX(Listes!$K$15:$P$26,MATCH(B$116,Listes!$K$15:$K$26,0),MATCH(H$117,Listes!$K$15:$P$15,0))*INDEX(Listes!$K$29:$O$31,MATCH(C$116,Listes!$K$29:$K$31,0),MATCH(H$117,Listes!$K$29:$O$29,0)))</f>
        <v>0</v>
      </c>
      <c r="I128" s="45">
        <f>IF(OR(B$116=0,B$116=""),0,F128*INDEX(Listes!$K$15:$P$26,MATCH(B$116,Listes!$K$15:$K$26,0),MATCH(I$117,Listes!$K$15:$P$15,0))*INDEX(Listes!$K$29:$O$31,MATCH(C$116,Listes!$K$29:$K$31,0),MATCH(I$117,Listes!$K$29:$O$29,0)))</f>
        <v>0</v>
      </c>
      <c r="K128" s="472"/>
      <c r="L128" s="3">
        <v>11</v>
      </c>
      <c r="M128" s="45">
        <f t="shared" si="47"/>
        <v>0</v>
      </c>
      <c r="N128" s="11">
        <f t="shared" si="48"/>
        <v>0</v>
      </c>
      <c r="O128" s="45">
        <f>IF(OR(N128=0,N128="",L$116=0),0,N128*INDEX(Listes!$K$1:$Q$12,MATCH(L$116,Listes!$K$1:$K$12,0),MATCH(O$117,Listes!$K$1:$Q$1,0)))</f>
        <v>0</v>
      </c>
      <c r="P128" s="45">
        <f t="shared" si="49"/>
        <v>0</v>
      </c>
      <c r="Q128" s="11">
        <f>IF(OR(L$116=0,L$116=""),0,P128*INDEX(Listes!$K$15:$P$26,MATCH(L$116,Listes!$K$15:$K$26,0),MATCH(Q$117,Listes!$K$15:$P$15,0))*INDEX(Listes!$K$29:$O$31,MATCH(M$116,Listes!$K$29:$K$31,0),MATCH(Q$117,Listes!$K$29:$O$29,0)))</f>
        <v>0</v>
      </c>
      <c r="R128" s="45">
        <f>IF(OR(L$116=0,L$116=""),0,P128*INDEX(Listes!$K$15:$P$26,MATCH(L$116,Listes!$K$15:$K$26,0),MATCH(R$117,Listes!$K$15:$P$15,0))*INDEX(Listes!$K$29:$O$31,MATCH(M$116,Listes!$K$29:$K$31,0),MATCH(R$117,Listes!$K$29:$O$29,0)))</f>
        <v>0</v>
      </c>
      <c r="S128" s="45">
        <f>IF(OR(L$116=0,L$116=""),0,P128*INDEX(Listes!$K$15:$P$26,MATCH(L$116,Listes!$K$15:$K$26,0),MATCH(S$117,Listes!$K$15:$P$15,0))*INDEX(Listes!$K$29:$O$31,MATCH(M$116,Listes!$K$29:$K$31,0),MATCH(S$117,Listes!$K$29:$O$29,0)))</f>
        <v>0</v>
      </c>
      <c r="U128" s="472"/>
      <c r="V128" s="3">
        <v>11</v>
      </c>
      <c r="W128" s="45">
        <f t="shared" si="50"/>
        <v>0</v>
      </c>
      <c r="X128" s="11">
        <f t="shared" si="51"/>
        <v>0</v>
      </c>
      <c r="Y128" s="45">
        <f>IF(OR(X128=0,X128="",V$116=0),0,X128*INDEX(Listes!$K$1:$Q$12,MATCH(V$116,Listes!$K$1:$K$12,0),MATCH(Y$117,Listes!$K$1:$Q$1,0)))</f>
        <v>0</v>
      </c>
      <c r="Z128" s="45">
        <f t="shared" si="52"/>
        <v>0</v>
      </c>
      <c r="AA128" s="11">
        <f>IF(OR(V$116=0,V$116=""),0,Z128*INDEX(Listes!$K$15:$P$26,MATCH(V$116,Listes!$K$15:$K$26,0),MATCH(AA$117,Listes!$K$15:$P$15,0))*INDEX(Listes!$K$29:$O$31,MATCH(W$116,Listes!$K$29:$K$31,0),MATCH(AA$117,Listes!$K$29:$O$29,0)))</f>
        <v>0</v>
      </c>
      <c r="AB128" s="45">
        <f>IF(OR(V$116=0,V$116=""),0,Z128*INDEX(Listes!$K$15:$P$26,MATCH(V$116,Listes!$K$15:$K$26,0),MATCH(AB$117,Listes!$K$15:$P$15,0))*INDEX(Listes!$K$29:$O$31,MATCH(W$116,Listes!$K$29:$K$31,0),MATCH(AB$117,Listes!$K$29:$O$29,0)))</f>
        <v>0</v>
      </c>
      <c r="AC128" s="45">
        <f>IF(OR(V$116=0,V$116=""),0,Z128*INDEX(Listes!$K$15:$P$26,MATCH(V$116,Listes!$K$15:$K$26,0),MATCH(AC$117,Listes!$K$15:$P$15,0))*INDEX(Listes!$K$29:$O$31,MATCH(W$116,Listes!$K$29:$K$31,0),MATCH(AC$117,Listes!$K$29:$O$29,0)))</f>
        <v>0</v>
      </c>
      <c r="AE128" s="472"/>
      <c r="AF128" s="3">
        <v>11</v>
      </c>
      <c r="AG128" s="45">
        <f t="shared" si="53"/>
        <v>0</v>
      </c>
      <c r="AH128" s="11">
        <f t="shared" si="54"/>
        <v>0</v>
      </c>
      <c r="AI128" s="45">
        <f>IF(OR(AH128=0,AH128="",AF$116=0),0,AH128*INDEX(Listes!$K$1:$Q$12,MATCH(AF$116,Listes!$K$1:$K$12,0),MATCH(AI$117,Listes!$K$1:$Q$1,0)))</f>
        <v>0</v>
      </c>
      <c r="AJ128" s="45">
        <f t="shared" si="55"/>
        <v>0</v>
      </c>
      <c r="AK128" s="11">
        <f>IF(OR(AF$116=0,AF$116=""),0,AJ128*INDEX(Listes!$K$15:$P$26,MATCH(AF$116,Listes!$K$15:$K$26,0),MATCH(AK$117,Listes!$K$15:$P$15,0))*INDEX(Listes!$K$29:$O$31,MATCH(AG$116,Listes!$K$29:$K$31,0),MATCH(AK$117,Listes!$K$29:$O$29,0)))</f>
        <v>0</v>
      </c>
      <c r="AL128" s="45">
        <f>IF(OR(AF$116=0,AF$116=""),0,AJ128*INDEX(Listes!$K$15:$P$26,MATCH(AF$116,Listes!$K$15:$K$26,0),MATCH(AL$117,Listes!$K$15:$P$15,0))*INDEX(Listes!$K$29:$O$31,MATCH(AG$116,Listes!$K$29:$K$31,0),MATCH(AL$117,Listes!$K$29:$O$29,0)))</f>
        <v>0</v>
      </c>
      <c r="AM128" s="45">
        <f>IF(OR(AF$116=0,AF$116=""),0,AJ128*INDEX(Listes!$K$15:$P$26,MATCH(AF$116,Listes!$K$15:$K$26,0),MATCH(AM$117,Listes!$K$15:$P$15,0))*INDEX(Listes!$K$29:$O$31,MATCH(AG$116,Listes!$K$29:$K$31,0),MATCH(AM$117,Listes!$K$29:$O$29,0)))</f>
        <v>0</v>
      </c>
      <c r="AN128" s="45"/>
      <c r="AO128" s="472"/>
      <c r="AP128" s="3">
        <v>11</v>
      </c>
      <c r="AQ128" s="11">
        <f t="shared" si="56"/>
        <v>0</v>
      </c>
      <c r="AR128" s="11">
        <f t="shared" si="56"/>
        <v>0</v>
      </c>
      <c r="AS128" s="11">
        <f t="shared" si="56"/>
        <v>0</v>
      </c>
      <c r="AT128" s="11">
        <f>AQ128*VLOOKUP(AQ$117,Tableau17[],4,FALSE)+AR128*VLOOKUP(AR$117,Tableau17[],4,FALSE)+AS128*VLOOKUP(AS$117,Tableau17[],4,FALSE)</f>
        <v>0</v>
      </c>
      <c r="AU128" s="11">
        <f>AQ128*VLOOKUP(AQ$117,Tableau17[],3,FALSE)+AR128*VLOOKUP(AR$117,Tableau17[],3,FALSE)+AS128*VLOOKUP(AS$117,Tableau17[],3,FALSE)</f>
        <v>0</v>
      </c>
      <c r="AW128" s="11"/>
      <c r="AX128" s="113"/>
    </row>
    <row r="129" spans="1:52" x14ac:dyDescent="0.2">
      <c r="A129" s="472"/>
      <c r="B129" s="3">
        <v>12</v>
      </c>
      <c r="C129" s="45">
        <f t="shared" si="45"/>
        <v>0</v>
      </c>
      <c r="D129" s="11">
        <f t="shared" si="57"/>
        <v>0</v>
      </c>
      <c r="E129" s="45">
        <f>IF(OR(D129=0,D129="",B$116=0),0,D129*INDEX(Listes!$K$1:$Q$12,MATCH(B$116,Listes!$K$1:$K$12,0),MATCH(E$117,Listes!$K$1:$Q$1,0)))</f>
        <v>0</v>
      </c>
      <c r="F129" s="45">
        <f t="shared" si="46"/>
        <v>0</v>
      </c>
      <c r="G129" s="11">
        <f>IF(OR(B$116=0,B$116=""),0,F129*INDEX(Listes!$K$15:$P$26,MATCH(B$116,Listes!$K$15:$K$26,0),MATCH(G$117,Listes!$K$15:$P$15,0))*INDEX(Listes!$K$29:$O$31,MATCH(C$116,Listes!$K$29:$K$31,0),MATCH(G$117,Listes!$K$29:$O$29,0)))</f>
        <v>0</v>
      </c>
      <c r="H129" s="45">
        <f>IF(OR(B$116=0,B$116=""),0,F129*INDEX(Listes!$K$15:$P$26,MATCH(B$116,Listes!$K$15:$K$26,0),MATCH(H$117,Listes!$K$15:$P$15,0))*INDEX(Listes!$K$29:$O$31,MATCH(C$116,Listes!$K$29:$K$31,0),MATCH(H$117,Listes!$K$29:$O$29,0)))</f>
        <v>0</v>
      </c>
      <c r="I129" s="45">
        <f>IF(OR(B$116=0,B$116=""),0,F129*INDEX(Listes!$K$15:$P$26,MATCH(B$116,Listes!$K$15:$K$26,0),MATCH(I$117,Listes!$K$15:$P$15,0))*INDEX(Listes!$K$29:$O$31,MATCH(C$116,Listes!$K$29:$K$31,0),MATCH(I$117,Listes!$K$29:$O$29,0)))</f>
        <v>0</v>
      </c>
      <c r="K129" s="472"/>
      <c r="L129" s="3">
        <v>12</v>
      </c>
      <c r="M129" s="45">
        <f t="shared" si="47"/>
        <v>0</v>
      </c>
      <c r="N129" s="11">
        <f t="shared" si="48"/>
        <v>0</v>
      </c>
      <c r="O129" s="45">
        <f>IF(OR(N129=0,N129="",L$116=0),0,N129*INDEX(Listes!$K$1:$Q$12,MATCH(L$116,Listes!$K$1:$K$12,0),MATCH(O$117,Listes!$K$1:$Q$1,0)))</f>
        <v>0</v>
      </c>
      <c r="P129" s="45">
        <f t="shared" si="49"/>
        <v>0</v>
      </c>
      <c r="Q129" s="11">
        <f>IF(OR(L$116=0,L$116=""),0,P129*INDEX(Listes!$K$15:$P$26,MATCH(L$116,Listes!$K$15:$K$26,0),MATCH(Q$117,Listes!$K$15:$P$15,0))*INDEX(Listes!$K$29:$O$31,MATCH(M$116,Listes!$K$29:$K$31,0),MATCH(Q$117,Listes!$K$29:$O$29,0)))</f>
        <v>0</v>
      </c>
      <c r="R129" s="45">
        <f>IF(OR(L$116=0,L$116=""),0,P129*INDEX(Listes!$K$15:$P$26,MATCH(L$116,Listes!$K$15:$K$26,0),MATCH(R$117,Listes!$K$15:$P$15,0))*INDEX(Listes!$K$29:$O$31,MATCH(M$116,Listes!$K$29:$K$31,0),MATCH(R$117,Listes!$K$29:$O$29,0)))</f>
        <v>0</v>
      </c>
      <c r="S129" s="45">
        <f>IF(OR(L$116=0,L$116=""),0,P129*INDEX(Listes!$K$15:$P$26,MATCH(L$116,Listes!$K$15:$K$26,0),MATCH(S$117,Listes!$K$15:$P$15,0))*INDEX(Listes!$K$29:$O$31,MATCH(M$116,Listes!$K$29:$K$31,0),MATCH(S$117,Listes!$K$29:$O$29,0)))</f>
        <v>0</v>
      </c>
      <c r="U129" s="472"/>
      <c r="V129" s="3">
        <v>12</v>
      </c>
      <c r="W129" s="45">
        <f t="shared" si="50"/>
        <v>0</v>
      </c>
      <c r="X129" s="11">
        <f t="shared" si="51"/>
        <v>0</v>
      </c>
      <c r="Y129" s="45">
        <f>IF(OR(X129=0,X129="",V$116=0),0,X129*INDEX(Listes!$K$1:$Q$12,MATCH(V$116,Listes!$K$1:$K$12,0),MATCH(Y$117,Listes!$K$1:$Q$1,0)))</f>
        <v>0</v>
      </c>
      <c r="Z129" s="45">
        <f t="shared" si="52"/>
        <v>0</v>
      </c>
      <c r="AA129" s="11">
        <f>IF(OR(V$116=0,V$116=""),0,Z129*INDEX(Listes!$K$15:$P$26,MATCH(V$116,Listes!$K$15:$K$26,0),MATCH(AA$117,Listes!$K$15:$P$15,0))*INDEX(Listes!$K$29:$O$31,MATCH(W$116,Listes!$K$29:$K$31,0),MATCH(AA$117,Listes!$K$29:$O$29,0)))</f>
        <v>0</v>
      </c>
      <c r="AB129" s="45">
        <f>IF(OR(V$116=0,V$116=""),0,Z129*INDEX(Listes!$K$15:$P$26,MATCH(V$116,Listes!$K$15:$K$26,0),MATCH(AB$117,Listes!$K$15:$P$15,0))*INDEX(Listes!$K$29:$O$31,MATCH(W$116,Listes!$K$29:$K$31,0),MATCH(AB$117,Listes!$K$29:$O$29,0)))</f>
        <v>0</v>
      </c>
      <c r="AC129" s="45">
        <f>IF(OR(V$116=0,V$116=""),0,Z129*INDEX(Listes!$K$15:$P$26,MATCH(V$116,Listes!$K$15:$K$26,0),MATCH(AC$117,Listes!$K$15:$P$15,0))*INDEX(Listes!$K$29:$O$31,MATCH(W$116,Listes!$K$29:$K$31,0),MATCH(AC$117,Listes!$K$29:$O$29,0)))</f>
        <v>0</v>
      </c>
      <c r="AE129" s="472"/>
      <c r="AF129" s="3">
        <v>12</v>
      </c>
      <c r="AG129" s="45">
        <f t="shared" si="53"/>
        <v>0</v>
      </c>
      <c r="AH129" s="11">
        <f t="shared" si="54"/>
        <v>0</v>
      </c>
      <c r="AI129" s="45">
        <f>IF(OR(AH129=0,AH129="",AF$116=0),0,AH129*INDEX(Listes!$K$1:$Q$12,MATCH(AF$116,Listes!$K$1:$K$12,0),MATCH(AI$117,Listes!$K$1:$Q$1,0)))</f>
        <v>0</v>
      </c>
      <c r="AJ129" s="45">
        <f t="shared" si="55"/>
        <v>0</v>
      </c>
      <c r="AK129" s="11">
        <f>IF(OR(AF$116=0,AF$116=""),0,AJ129*INDEX(Listes!$K$15:$P$26,MATCH(AF$116,Listes!$K$15:$K$26,0),MATCH(AK$117,Listes!$K$15:$P$15,0))*INDEX(Listes!$K$29:$O$31,MATCH(AG$116,Listes!$K$29:$K$31,0),MATCH(AK$117,Listes!$K$29:$O$29,0)))</f>
        <v>0</v>
      </c>
      <c r="AL129" s="45">
        <f>IF(OR(AF$116=0,AF$116=""),0,AJ129*INDEX(Listes!$K$15:$P$26,MATCH(AF$116,Listes!$K$15:$K$26,0),MATCH(AL$117,Listes!$K$15:$P$15,0))*INDEX(Listes!$K$29:$O$31,MATCH(AG$116,Listes!$K$29:$K$31,0),MATCH(AL$117,Listes!$K$29:$O$29,0)))</f>
        <v>0</v>
      </c>
      <c r="AM129" s="45">
        <f>IF(OR(AF$116=0,AF$116=""),0,AJ129*INDEX(Listes!$K$15:$P$26,MATCH(AF$116,Listes!$K$15:$K$26,0),MATCH(AM$117,Listes!$K$15:$P$15,0))*INDEX(Listes!$K$29:$O$31,MATCH(AG$116,Listes!$K$29:$K$31,0),MATCH(AM$117,Listes!$K$29:$O$29,0)))</f>
        <v>0</v>
      </c>
      <c r="AN129" s="45"/>
      <c r="AO129" s="472"/>
      <c r="AP129" s="3">
        <v>12</v>
      </c>
      <c r="AQ129" s="11">
        <f t="shared" si="56"/>
        <v>0</v>
      </c>
      <c r="AR129" s="11">
        <f t="shared" si="56"/>
        <v>0</v>
      </c>
      <c r="AS129" s="11">
        <f t="shared" si="56"/>
        <v>0</v>
      </c>
      <c r="AT129" s="11">
        <f>AQ129*VLOOKUP(AQ$117,Tableau17[],4,FALSE)+AR129*VLOOKUP(AR$117,Tableau17[],4,FALSE)+AS129*VLOOKUP(AS$117,Tableau17[],4,FALSE)</f>
        <v>0</v>
      </c>
      <c r="AU129" s="11">
        <f>AQ129*VLOOKUP(AQ$117,Tableau17[],3,FALSE)+AR129*VLOOKUP(AR$117,Tableau17[],3,FALSE)+AS129*VLOOKUP(AS$117,Tableau17[],3,FALSE)</f>
        <v>0</v>
      </c>
      <c r="AW129" s="11"/>
      <c r="AX129" s="113"/>
    </row>
    <row r="130" spans="1:52" x14ac:dyDescent="0.2">
      <c r="A130" s="472"/>
      <c r="B130" s="3">
        <v>13</v>
      </c>
      <c r="C130" s="45">
        <f t="shared" si="45"/>
        <v>0</v>
      </c>
      <c r="D130" s="11">
        <f t="shared" si="57"/>
        <v>0</v>
      </c>
      <c r="E130" s="45">
        <f>IF(OR(D130=0,D130="",B$116=0),0,D130*INDEX(Listes!$K$1:$Q$12,MATCH(B$116,Listes!$K$1:$K$12,0),MATCH(E$117,Listes!$K$1:$Q$1,0)))</f>
        <v>0</v>
      </c>
      <c r="F130" s="45">
        <f t="shared" si="46"/>
        <v>0</v>
      </c>
      <c r="G130" s="11">
        <f>IF(OR(B$116=0,B$116=""),0,F130*INDEX(Listes!$K$15:$P$26,MATCH(B$116,Listes!$K$15:$K$26,0),MATCH(G$117,Listes!$K$15:$P$15,0))*INDEX(Listes!$K$29:$O$31,MATCH(C$116,Listes!$K$29:$K$31,0),MATCH(G$117,Listes!$K$29:$O$29,0)))</f>
        <v>0</v>
      </c>
      <c r="H130" s="45">
        <f>IF(OR(B$116=0,B$116=""),0,F130*INDEX(Listes!$K$15:$P$26,MATCH(B$116,Listes!$K$15:$K$26,0),MATCH(H$117,Listes!$K$15:$P$15,0))*INDEX(Listes!$K$29:$O$31,MATCH(C$116,Listes!$K$29:$K$31,0),MATCH(H$117,Listes!$K$29:$O$29,0)))</f>
        <v>0</v>
      </c>
      <c r="I130" s="45">
        <f>IF(OR(B$116=0,B$116=""),0,F130*INDEX(Listes!$K$15:$P$26,MATCH(B$116,Listes!$K$15:$K$26,0),MATCH(I$117,Listes!$K$15:$P$15,0))*INDEX(Listes!$K$29:$O$31,MATCH(C$116,Listes!$K$29:$K$31,0),MATCH(I$117,Listes!$K$29:$O$29,0)))</f>
        <v>0</v>
      </c>
      <c r="K130" s="472"/>
      <c r="L130" s="3">
        <v>13</v>
      </c>
      <c r="M130" s="45">
        <f t="shared" si="47"/>
        <v>0</v>
      </c>
      <c r="N130" s="11">
        <f t="shared" si="48"/>
        <v>0</v>
      </c>
      <c r="O130" s="45">
        <f>IF(OR(N130=0,N130="",L$116=0),0,N130*INDEX(Listes!$K$1:$Q$12,MATCH(L$116,Listes!$K$1:$K$12,0),MATCH(O$117,Listes!$K$1:$Q$1,0)))</f>
        <v>0</v>
      </c>
      <c r="P130" s="45">
        <f t="shared" si="49"/>
        <v>0</v>
      </c>
      <c r="Q130" s="11">
        <f>IF(OR(L$116=0,L$116=""),0,P130*INDEX(Listes!$K$15:$P$26,MATCH(L$116,Listes!$K$15:$K$26,0),MATCH(Q$117,Listes!$K$15:$P$15,0))*INDEX(Listes!$K$29:$O$31,MATCH(M$116,Listes!$K$29:$K$31,0),MATCH(Q$117,Listes!$K$29:$O$29,0)))</f>
        <v>0</v>
      </c>
      <c r="R130" s="45">
        <f>IF(OR(L$116=0,L$116=""),0,P130*INDEX(Listes!$K$15:$P$26,MATCH(L$116,Listes!$K$15:$K$26,0),MATCH(R$117,Listes!$K$15:$P$15,0))*INDEX(Listes!$K$29:$O$31,MATCH(M$116,Listes!$K$29:$K$31,0),MATCH(R$117,Listes!$K$29:$O$29,0)))</f>
        <v>0</v>
      </c>
      <c r="S130" s="45">
        <f>IF(OR(L$116=0,L$116=""),0,P130*INDEX(Listes!$K$15:$P$26,MATCH(L$116,Listes!$K$15:$K$26,0),MATCH(S$117,Listes!$K$15:$P$15,0))*INDEX(Listes!$K$29:$O$31,MATCH(M$116,Listes!$K$29:$K$31,0),MATCH(S$117,Listes!$K$29:$O$29,0)))</f>
        <v>0</v>
      </c>
      <c r="U130" s="472"/>
      <c r="V130" s="3">
        <v>13</v>
      </c>
      <c r="W130" s="45">
        <f t="shared" si="50"/>
        <v>0</v>
      </c>
      <c r="X130" s="11">
        <f t="shared" si="51"/>
        <v>0</v>
      </c>
      <c r="Y130" s="45">
        <f>IF(OR(X130=0,X130="",V$116=0),0,X130*INDEX(Listes!$K$1:$Q$12,MATCH(V$116,Listes!$K$1:$K$12,0),MATCH(Y$117,Listes!$K$1:$Q$1,0)))</f>
        <v>0</v>
      </c>
      <c r="Z130" s="45">
        <f t="shared" si="52"/>
        <v>0</v>
      </c>
      <c r="AA130" s="11">
        <f>IF(OR(V$116=0,V$116=""),0,Z130*INDEX(Listes!$K$15:$P$26,MATCH(V$116,Listes!$K$15:$K$26,0),MATCH(AA$117,Listes!$K$15:$P$15,0))*INDEX(Listes!$K$29:$O$31,MATCH(W$116,Listes!$K$29:$K$31,0),MATCH(AA$117,Listes!$K$29:$O$29,0)))</f>
        <v>0</v>
      </c>
      <c r="AB130" s="45">
        <f>IF(OR(V$116=0,V$116=""),0,Z130*INDEX(Listes!$K$15:$P$26,MATCH(V$116,Listes!$K$15:$K$26,0),MATCH(AB$117,Listes!$K$15:$P$15,0))*INDEX(Listes!$K$29:$O$31,MATCH(W$116,Listes!$K$29:$K$31,0),MATCH(AB$117,Listes!$K$29:$O$29,0)))</f>
        <v>0</v>
      </c>
      <c r="AC130" s="45">
        <f>IF(OR(V$116=0,V$116=""),0,Z130*INDEX(Listes!$K$15:$P$26,MATCH(V$116,Listes!$K$15:$K$26,0),MATCH(AC$117,Listes!$K$15:$P$15,0))*INDEX(Listes!$K$29:$O$31,MATCH(W$116,Listes!$K$29:$K$31,0),MATCH(AC$117,Listes!$K$29:$O$29,0)))</f>
        <v>0</v>
      </c>
      <c r="AE130" s="472"/>
      <c r="AF130" s="3">
        <v>13</v>
      </c>
      <c r="AG130" s="45">
        <f t="shared" si="53"/>
        <v>0</v>
      </c>
      <c r="AH130" s="11">
        <f t="shared" si="54"/>
        <v>0</v>
      </c>
      <c r="AI130" s="45">
        <f>IF(OR(AH130=0,AH130="",AF$116=0),0,AH130*INDEX(Listes!$K$1:$Q$12,MATCH(AF$116,Listes!$K$1:$K$12,0),MATCH(AI$117,Listes!$K$1:$Q$1,0)))</f>
        <v>0</v>
      </c>
      <c r="AJ130" s="45">
        <f t="shared" si="55"/>
        <v>0</v>
      </c>
      <c r="AK130" s="11">
        <f>IF(OR(AF$116=0,AF$116=""),0,AJ130*INDEX(Listes!$K$15:$P$26,MATCH(AF$116,Listes!$K$15:$K$26,0),MATCH(AK$117,Listes!$K$15:$P$15,0))*INDEX(Listes!$K$29:$O$31,MATCH(AG$116,Listes!$K$29:$K$31,0),MATCH(AK$117,Listes!$K$29:$O$29,0)))</f>
        <v>0</v>
      </c>
      <c r="AL130" s="45">
        <f>IF(OR(AF$116=0,AF$116=""),0,AJ130*INDEX(Listes!$K$15:$P$26,MATCH(AF$116,Listes!$K$15:$K$26,0),MATCH(AL$117,Listes!$K$15:$P$15,0))*INDEX(Listes!$K$29:$O$31,MATCH(AG$116,Listes!$K$29:$K$31,0),MATCH(AL$117,Listes!$K$29:$O$29,0)))</f>
        <v>0</v>
      </c>
      <c r="AM130" s="45">
        <f>IF(OR(AF$116=0,AF$116=""),0,AJ130*INDEX(Listes!$K$15:$P$26,MATCH(AF$116,Listes!$K$15:$K$26,0),MATCH(AM$117,Listes!$K$15:$P$15,0))*INDEX(Listes!$K$29:$O$31,MATCH(AG$116,Listes!$K$29:$K$31,0),MATCH(AM$117,Listes!$K$29:$O$29,0)))</f>
        <v>0</v>
      </c>
      <c r="AN130" s="45"/>
      <c r="AO130" s="472"/>
      <c r="AP130" s="3">
        <v>13</v>
      </c>
      <c r="AQ130" s="11">
        <f t="shared" si="56"/>
        <v>0</v>
      </c>
      <c r="AR130" s="11">
        <f t="shared" si="56"/>
        <v>0</v>
      </c>
      <c r="AS130" s="11">
        <f t="shared" si="56"/>
        <v>0</v>
      </c>
      <c r="AT130" s="11">
        <f>AQ130*VLOOKUP(AQ$117,Tableau17[],4,FALSE)+AR130*VLOOKUP(AR$117,Tableau17[],4,FALSE)+AS130*VLOOKUP(AS$117,Tableau17[],4,FALSE)</f>
        <v>0</v>
      </c>
      <c r="AU130" s="11">
        <f>AQ130*VLOOKUP(AQ$117,Tableau17[],3,FALSE)+AR130*VLOOKUP(AR$117,Tableau17[],3,FALSE)+AS130*VLOOKUP(AS$117,Tableau17[],3,FALSE)</f>
        <v>0</v>
      </c>
      <c r="AW130" s="11"/>
      <c r="AX130" s="113"/>
    </row>
    <row r="131" spans="1:52" x14ac:dyDescent="0.2">
      <c r="A131" s="472"/>
      <c r="B131" s="3">
        <v>14</v>
      </c>
      <c r="C131" s="45">
        <f t="shared" si="45"/>
        <v>0</v>
      </c>
      <c r="D131" s="11">
        <f t="shared" si="57"/>
        <v>0</v>
      </c>
      <c r="E131" s="45">
        <f>IF(OR(D131=0,D131="",B$116=0),0,D131*INDEX(Listes!$K$1:$Q$12,MATCH(B$116,Listes!$K$1:$K$12,0),MATCH(E$117,Listes!$K$1:$Q$1,0)))</f>
        <v>0</v>
      </c>
      <c r="F131" s="45">
        <f t="shared" si="46"/>
        <v>0</v>
      </c>
      <c r="G131" s="11">
        <f>IF(OR(B$116=0,B$116=""),0,F131*INDEX(Listes!$K$15:$P$26,MATCH(B$116,Listes!$K$15:$K$26,0),MATCH(G$117,Listes!$K$15:$P$15,0))*INDEX(Listes!$K$29:$O$31,MATCH(C$116,Listes!$K$29:$K$31,0),MATCH(G$117,Listes!$K$29:$O$29,0)))</f>
        <v>0</v>
      </c>
      <c r="H131" s="45">
        <f>IF(OR(B$116=0,B$116=""),0,F131*INDEX(Listes!$K$15:$P$26,MATCH(B$116,Listes!$K$15:$K$26,0),MATCH(H$117,Listes!$K$15:$P$15,0))*INDEX(Listes!$K$29:$O$31,MATCH(C$116,Listes!$K$29:$K$31,0),MATCH(H$117,Listes!$K$29:$O$29,0)))</f>
        <v>0</v>
      </c>
      <c r="I131" s="45">
        <f>IF(OR(B$116=0,B$116=""),0,F131*INDEX(Listes!$K$15:$P$26,MATCH(B$116,Listes!$K$15:$K$26,0),MATCH(I$117,Listes!$K$15:$P$15,0))*INDEX(Listes!$K$29:$O$31,MATCH(C$116,Listes!$K$29:$K$31,0),MATCH(I$117,Listes!$K$29:$O$29,0)))</f>
        <v>0</v>
      </c>
      <c r="K131" s="472"/>
      <c r="L131" s="3">
        <v>14</v>
      </c>
      <c r="M131" s="45">
        <f t="shared" si="47"/>
        <v>0</v>
      </c>
      <c r="N131" s="11">
        <f t="shared" si="48"/>
        <v>0</v>
      </c>
      <c r="O131" s="45">
        <f>IF(OR(N131=0,N131="",L$116=0),0,N131*INDEX(Listes!$K$1:$Q$12,MATCH(L$116,Listes!$K$1:$K$12,0),MATCH(O$117,Listes!$K$1:$Q$1,0)))</f>
        <v>0</v>
      </c>
      <c r="P131" s="45">
        <f t="shared" si="49"/>
        <v>0</v>
      </c>
      <c r="Q131" s="11">
        <f>IF(OR(L$116=0,L$116=""),0,P131*INDEX(Listes!$K$15:$P$26,MATCH(L$116,Listes!$K$15:$K$26,0),MATCH(Q$117,Listes!$K$15:$P$15,0))*INDEX(Listes!$K$29:$O$31,MATCH(M$116,Listes!$K$29:$K$31,0),MATCH(Q$117,Listes!$K$29:$O$29,0)))</f>
        <v>0</v>
      </c>
      <c r="R131" s="45">
        <f>IF(OR(L$116=0,L$116=""),0,P131*INDEX(Listes!$K$15:$P$26,MATCH(L$116,Listes!$K$15:$K$26,0),MATCH(R$117,Listes!$K$15:$P$15,0))*INDEX(Listes!$K$29:$O$31,MATCH(M$116,Listes!$K$29:$K$31,0),MATCH(R$117,Listes!$K$29:$O$29,0)))</f>
        <v>0</v>
      </c>
      <c r="S131" s="45">
        <f>IF(OR(L$116=0,L$116=""),0,P131*INDEX(Listes!$K$15:$P$26,MATCH(L$116,Listes!$K$15:$K$26,0),MATCH(S$117,Listes!$K$15:$P$15,0))*INDEX(Listes!$K$29:$O$31,MATCH(M$116,Listes!$K$29:$K$31,0),MATCH(S$117,Listes!$K$29:$O$29,0)))</f>
        <v>0</v>
      </c>
      <c r="U131" s="472"/>
      <c r="V131" s="3">
        <v>14</v>
      </c>
      <c r="W131" s="45">
        <f t="shared" si="50"/>
        <v>0</v>
      </c>
      <c r="X131" s="11">
        <f t="shared" si="51"/>
        <v>0</v>
      </c>
      <c r="Y131" s="45">
        <f>IF(OR(X131=0,X131="",V$116=0),0,X131*INDEX(Listes!$K$1:$Q$12,MATCH(V$116,Listes!$K$1:$K$12,0),MATCH(Y$117,Listes!$K$1:$Q$1,0)))</f>
        <v>0</v>
      </c>
      <c r="Z131" s="45">
        <f t="shared" si="52"/>
        <v>0</v>
      </c>
      <c r="AA131" s="11">
        <f>IF(OR(V$116=0,V$116=""),0,Z131*INDEX(Listes!$K$15:$P$26,MATCH(V$116,Listes!$K$15:$K$26,0),MATCH(AA$117,Listes!$K$15:$P$15,0))*INDEX(Listes!$K$29:$O$31,MATCH(W$116,Listes!$K$29:$K$31,0),MATCH(AA$117,Listes!$K$29:$O$29,0)))</f>
        <v>0</v>
      </c>
      <c r="AB131" s="45">
        <f>IF(OR(V$116=0,V$116=""),0,Z131*INDEX(Listes!$K$15:$P$26,MATCH(V$116,Listes!$K$15:$K$26,0),MATCH(AB$117,Listes!$K$15:$P$15,0))*INDEX(Listes!$K$29:$O$31,MATCH(W$116,Listes!$K$29:$K$31,0),MATCH(AB$117,Listes!$K$29:$O$29,0)))</f>
        <v>0</v>
      </c>
      <c r="AC131" s="45">
        <f>IF(OR(V$116=0,V$116=""),0,Z131*INDEX(Listes!$K$15:$P$26,MATCH(V$116,Listes!$K$15:$K$26,0),MATCH(AC$117,Listes!$K$15:$P$15,0))*INDEX(Listes!$K$29:$O$31,MATCH(W$116,Listes!$K$29:$K$31,0),MATCH(AC$117,Listes!$K$29:$O$29,0)))</f>
        <v>0</v>
      </c>
      <c r="AE131" s="472"/>
      <c r="AF131" s="3">
        <v>14</v>
      </c>
      <c r="AG131" s="45">
        <f t="shared" si="53"/>
        <v>0</v>
      </c>
      <c r="AH131" s="11">
        <f t="shared" si="54"/>
        <v>0</v>
      </c>
      <c r="AI131" s="45">
        <f>IF(OR(AH131=0,AH131="",AF$116=0),0,AH131*INDEX(Listes!$K$1:$Q$12,MATCH(AF$116,Listes!$K$1:$K$12,0),MATCH(AI$117,Listes!$K$1:$Q$1,0)))</f>
        <v>0</v>
      </c>
      <c r="AJ131" s="45">
        <f t="shared" si="55"/>
        <v>0</v>
      </c>
      <c r="AK131" s="11">
        <f>IF(OR(AF$116=0,AF$116=""),0,AJ131*INDEX(Listes!$K$15:$P$26,MATCH(AF$116,Listes!$K$15:$K$26,0),MATCH(AK$117,Listes!$K$15:$P$15,0))*INDEX(Listes!$K$29:$O$31,MATCH(AG$116,Listes!$K$29:$K$31,0),MATCH(AK$117,Listes!$K$29:$O$29,0)))</f>
        <v>0</v>
      </c>
      <c r="AL131" s="45">
        <f>IF(OR(AF$116=0,AF$116=""),0,AJ131*INDEX(Listes!$K$15:$P$26,MATCH(AF$116,Listes!$K$15:$K$26,0),MATCH(AL$117,Listes!$K$15:$P$15,0))*INDEX(Listes!$K$29:$O$31,MATCH(AG$116,Listes!$K$29:$K$31,0),MATCH(AL$117,Listes!$K$29:$O$29,0)))</f>
        <v>0</v>
      </c>
      <c r="AM131" s="45">
        <f>IF(OR(AF$116=0,AF$116=""),0,AJ131*INDEX(Listes!$K$15:$P$26,MATCH(AF$116,Listes!$K$15:$K$26,0),MATCH(AM$117,Listes!$K$15:$P$15,0))*INDEX(Listes!$K$29:$O$31,MATCH(AG$116,Listes!$K$29:$K$31,0),MATCH(AM$117,Listes!$K$29:$O$29,0)))</f>
        <v>0</v>
      </c>
      <c r="AN131" s="45"/>
      <c r="AO131" s="472"/>
      <c r="AP131" s="3">
        <v>14</v>
      </c>
      <c r="AQ131" s="11">
        <f t="shared" si="56"/>
        <v>0</v>
      </c>
      <c r="AR131" s="11">
        <f t="shared" si="56"/>
        <v>0</v>
      </c>
      <c r="AS131" s="11">
        <f t="shared" si="56"/>
        <v>0</v>
      </c>
      <c r="AT131" s="11">
        <f>AQ131*VLOOKUP(AQ$117,Tableau17[],4,FALSE)+AR131*VLOOKUP(AR$117,Tableau17[],4,FALSE)+AS131*VLOOKUP(AS$117,Tableau17[],4,FALSE)</f>
        <v>0</v>
      </c>
      <c r="AU131" s="11">
        <f>AQ131*VLOOKUP(AQ$117,Tableau17[],3,FALSE)+AR131*VLOOKUP(AR$117,Tableau17[],3,FALSE)+AS131*VLOOKUP(AS$117,Tableau17[],3,FALSE)</f>
        <v>0</v>
      </c>
      <c r="AW131" s="11"/>
      <c r="AX131" s="113"/>
    </row>
    <row r="132" spans="1:52" x14ac:dyDescent="0.2">
      <c r="A132" s="472"/>
      <c r="B132" s="3">
        <v>15</v>
      </c>
      <c r="C132" s="45">
        <f t="shared" si="45"/>
        <v>0</v>
      </c>
      <c r="D132" s="11">
        <f t="shared" si="57"/>
        <v>0</v>
      </c>
      <c r="E132" s="45">
        <f>IF(OR(D132=0,D132="",B$116=0),0,D132*INDEX(Listes!$K$1:$Q$12,MATCH(B$116,Listes!$K$1:$K$12,0),MATCH(E$117,Listes!$K$1:$Q$1,0)))</f>
        <v>0</v>
      </c>
      <c r="F132" s="45">
        <f t="shared" si="46"/>
        <v>0</v>
      </c>
      <c r="G132" s="45">
        <f>IF(OR(B$116=0,B$116=""),0,F132*INDEX(Listes!$K$15:$P$26,MATCH(B$116,Listes!$K$15:$K$26,0),MATCH(G$117,Listes!$K$15:$P$15,0))*INDEX(Listes!$K$29:$O$31,MATCH(C$116,Listes!$K$29:$K$31,0),MATCH(G$117,Listes!$K$29:$O$29,0)))</f>
        <v>0</v>
      </c>
      <c r="H132" s="45">
        <f>IF(OR(B$116=0,B$116=""),0,F132*INDEX(Listes!$K$15:$P$26,MATCH(B$116,Listes!$K$15:$K$26,0),MATCH(H$117,Listes!$K$15:$P$15,0))*INDEX(Listes!$K$29:$O$31,MATCH(C$116,Listes!$K$29:$K$31,0),MATCH(H$117,Listes!$K$29:$O$29,0)))</f>
        <v>0</v>
      </c>
      <c r="I132" s="45">
        <f>IF(OR(B$116=0,B$116=""),0,F132*INDEX(Listes!$K$15:$P$26,MATCH(B$116,Listes!$K$15:$K$26,0),MATCH(I$117,Listes!$K$15:$P$15,0))*INDEX(Listes!$K$29:$O$31,MATCH(C$116,Listes!$K$29:$K$31,0),MATCH(I$117,Listes!$K$29:$O$29,0)))</f>
        <v>0</v>
      </c>
      <c r="K132" s="472"/>
      <c r="L132" s="3">
        <v>15</v>
      </c>
      <c r="M132" s="45">
        <f t="shared" si="47"/>
        <v>0</v>
      </c>
      <c r="N132" s="11">
        <f t="shared" si="48"/>
        <v>0</v>
      </c>
      <c r="O132" s="45">
        <f>IF(OR(N132=0,N132="",L$116=0),0,N132*INDEX(Listes!$K$1:$Q$12,MATCH(L$116,Listes!$K$1:$K$12,0),MATCH(O$117,Listes!$K$1:$Q$1,0)))</f>
        <v>0</v>
      </c>
      <c r="P132" s="45">
        <f t="shared" si="49"/>
        <v>0</v>
      </c>
      <c r="Q132" s="45">
        <f>IF(OR(L$116=0,L$116=""),0,P132*INDEX(Listes!$K$15:$P$26,MATCH(L$116,Listes!$K$15:$K$26,0),MATCH(Q$117,Listes!$K$15:$P$15,0))*INDEX(Listes!$K$29:$O$31,MATCH(M$116,Listes!$K$29:$K$31,0),MATCH(Q$117,Listes!$K$29:$O$29,0)))</f>
        <v>0</v>
      </c>
      <c r="R132" s="45">
        <f>IF(OR(L$116=0,L$116=""),0,P132*INDEX(Listes!$K$15:$P$26,MATCH(L$116,Listes!$K$15:$K$26,0),MATCH(R$117,Listes!$K$15:$P$15,0))*INDEX(Listes!$K$29:$O$31,MATCH(M$116,Listes!$K$29:$K$31,0),MATCH(R$117,Listes!$K$29:$O$29,0)))</f>
        <v>0</v>
      </c>
      <c r="S132" s="45">
        <f>IF(OR(L$116=0,L$116=""),0,P132*INDEX(Listes!$K$15:$P$26,MATCH(L$116,Listes!$K$15:$K$26,0),MATCH(S$117,Listes!$K$15:$P$15,0))*INDEX(Listes!$K$29:$O$31,MATCH(M$116,Listes!$K$29:$K$31,0),MATCH(S$117,Listes!$K$29:$O$29,0)))</f>
        <v>0</v>
      </c>
      <c r="U132" s="472"/>
      <c r="V132" s="3">
        <v>15</v>
      </c>
      <c r="W132" s="45">
        <f t="shared" si="50"/>
        <v>0</v>
      </c>
      <c r="X132" s="11">
        <f t="shared" si="51"/>
        <v>0</v>
      </c>
      <c r="Y132" s="45">
        <f>IF(OR(X132=0,X132="",V$116=0),0,X132*INDEX(Listes!$K$1:$Q$12,MATCH(V$116,Listes!$K$1:$K$12,0),MATCH(Y$117,Listes!$K$1:$Q$1,0)))</f>
        <v>0</v>
      </c>
      <c r="Z132" s="45">
        <f t="shared" si="52"/>
        <v>0</v>
      </c>
      <c r="AA132" s="45">
        <f>IF(OR(V$116=0,V$116=""),0,Z132*INDEX(Listes!$K$15:$P$26,MATCH(V$116,Listes!$K$15:$K$26,0),MATCH(AA$117,Listes!$K$15:$P$15,0))*INDEX(Listes!$K$29:$O$31,MATCH(W$116,Listes!$K$29:$K$31,0),MATCH(AA$117,Listes!$K$29:$O$29,0)))</f>
        <v>0</v>
      </c>
      <c r="AB132" s="45">
        <f>IF(OR(V$116=0,V$116=""),0,Z132*INDEX(Listes!$K$15:$P$26,MATCH(V$116,Listes!$K$15:$K$26,0),MATCH(AB$117,Listes!$K$15:$P$15,0))*INDEX(Listes!$K$29:$O$31,MATCH(W$116,Listes!$K$29:$K$31,0),MATCH(AB$117,Listes!$K$29:$O$29,0)))</f>
        <v>0</v>
      </c>
      <c r="AC132" s="45">
        <f>IF(OR(V$116=0,V$116=""),0,Z132*INDEX(Listes!$K$15:$P$26,MATCH(V$116,Listes!$K$15:$K$26,0),MATCH(AC$117,Listes!$K$15:$P$15,0))*INDEX(Listes!$K$29:$O$31,MATCH(W$116,Listes!$K$29:$K$31,0),MATCH(AC$117,Listes!$K$29:$O$29,0)))</f>
        <v>0</v>
      </c>
      <c r="AE132" s="472"/>
      <c r="AF132" s="3">
        <v>15</v>
      </c>
      <c r="AG132" s="45">
        <f t="shared" si="53"/>
        <v>0</v>
      </c>
      <c r="AH132" s="11">
        <f t="shared" si="54"/>
        <v>0</v>
      </c>
      <c r="AI132" s="45">
        <f>IF(OR(AH132=0,AH132="",AF$116=0),0,AH132*INDEX(Listes!$K$1:$Q$12,MATCH(AF$116,Listes!$K$1:$K$12,0),MATCH(AI$117,Listes!$K$1:$Q$1,0)))</f>
        <v>0</v>
      </c>
      <c r="AJ132" s="45">
        <f t="shared" si="55"/>
        <v>0</v>
      </c>
      <c r="AK132" s="45">
        <f>IF(OR(AF$116=0,AF$116=""),0,AJ132*INDEX(Listes!$K$15:$P$26,MATCH(AF$116,Listes!$K$15:$K$26,0),MATCH(AK$117,Listes!$K$15:$P$15,0))*INDEX(Listes!$K$29:$O$31,MATCH(AG$116,Listes!$K$29:$K$31,0),MATCH(AK$117,Listes!$K$29:$O$29,0)))</f>
        <v>0</v>
      </c>
      <c r="AL132" s="45">
        <f>IF(OR(AF$116=0,AF$116=""),0,AJ132*INDEX(Listes!$K$15:$P$26,MATCH(AF$116,Listes!$K$15:$K$26,0),MATCH(AL$117,Listes!$K$15:$P$15,0))*INDEX(Listes!$K$29:$O$31,MATCH(AG$116,Listes!$K$29:$K$31,0),MATCH(AL$117,Listes!$K$29:$O$29,0)))</f>
        <v>0</v>
      </c>
      <c r="AM132" s="45">
        <f>IF(OR(AF$116=0,AF$116=""),0,AJ132*INDEX(Listes!$K$15:$P$26,MATCH(AF$116,Listes!$K$15:$K$26,0),MATCH(AM$117,Listes!$K$15:$P$15,0))*INDEX(Listes!$K$29:$O$31,MATCH(AG$116,Listes!$K$29:$K$31,0),MATCH(AM$117,Listes!$K$29:$O$29,0)))</f>
        <v>0</v>
      </c>
      <c r="AN132" s="45"/>
      <c r="AO132" s="472"/>
      <c r="AP132" s="3">
        <v>15</v>
      </c>
      <c r="AQ132" s="11">
        <f t="shared" si="56"/>
        <v>0</v>
      </c>
      <c r="AR132" s="11">
        <f t="shared" si="56"/>
        <v>0</v>
      </c>
      <c r="AS132" s="11">
        <f t="shared" si="56"/>
        <v>0</v>
      </c>
      <c r="AT132" s="11">
        <f>AQ132*VLOOKUP(AQ$117,Tableau17[],4,FALSE)+AR132*VLOOKUP(AR$117,Tableau17[],4,FALSE)+AS132*VLOOKUP(AS$117,Tableau17[],4,FALSE)</f>
        <v>0</v>
      </c>
      <c r="AU132" s="11">
        <f>AQ132*VLOOKUP(AQ$117,Tableau17[],3,FALSE)+AR132*VLOOKUP(AR$117,Tableau17[],3,FALSE)+AS132*VLOOKUP(AS$117,Tableau17[],3,FALSE)</f>
        <v>0</v>
      </c>
      <c r="AW132" s="11"/>
      <c r="AX132" s="113"/>
    </row>
    <row r="133" spans="1:52" x14ac:dyDescent="0.2">
      <c r="A133" s="472"/>
      <c r="B133" s="3">
        <v>16</v>
      </c>
      <c r="C133" s="45">
        <f t="shared" si="45"/>
        <v>0</v>
      </c>
      <c r="D133" s="11">
        <f t="shared" si="57"/>
        <v>0</v>
      </c>
      <c r="E133" s="45">
        <f>IF(OR(D133=0,D133="",B$116=0),0,D133*INDEX(Listes!$K$1:$Q$12,MATCH(B$116,Listes!$K$1:$K$12,0),MATCH(E$117,Listes!$K$1:$Q$1,0)))</f>
        <v>0</v>
      </c>
      <c r="F133" s="45">
        <f t="shared" si="46"/>
        <v>0</v>
      </c>
      <c r="G133" s="11">
        <f>IF(OR(B$116=0,B$116=""),0,F133*INDEX(Listes!$K$15:$P$26,MATCH(B$116,Listes!$K$15:$K$26,0),MATCH(G$117,Listes!$K$15:$P$15,0))*INDEX(Listes!$K$29:$O$31,MATCH(C$116,Listes!$K$29:$K$31,0),MATCH(G$117,Listes!$K$29:$O$29,0)))</f>
        <v>0</v>
      </c>
      <c r="H133" s="45">
        <f>IF(OR(B$116=0,B$116=""),0,F133*INDEX(Listes!$K$15:$P$26,MATCH(B$116,Listes!$K$15:$K$26,0),MATCH(H$117,Listes!$K$15:$P$15,0))*INDEX(Listes!$K$29:$O$31,MATCH(C$116,Listes!$K$29:$K$31,0),MATCH(H$117,Listes!$K$29:$O$29,0)))</f>
        <v>0</v>
      </c>
      <c r="I133" s="45">
        <f>IF(OR(B$116=0,B$116=""),0,F133*INDEX(Listes!$K$15:$P$26,MATCH(B$116,Listes!$K$15:$K$26,0),MATCH(I$117,Listes!$K$15:$P$15,0))*INDEX(Listes!$K$29:$O$31,MATCH(C$116,Listes!$K$29:$K$31,0),MATCH(I$117,Listes!$K$29:$O$29,0)))</f>
        <v>0</v>
      </c>
      <c r="K133" s="472"/>
      <c r="L133" s="3">
        <v>16</v>
      </c>
      <c r="M133" s="45">
        <f t="shared" si="47"/>
        <v>0</v>
      </c>
      <c r="N133" s="11">
        <f t="shared" si="48"/>
        <v>0</v>
      </c>
      <c r="O133" s="45">
        <f>IF(OR(N133=0,N133="",L$116=0),0,N133*INDEX(Listes!$K$1:$Q$12,MATCH(L$116,Listes!$K$1:$K$12,0),MATCH(O$117,Listes!$K$1:$Q$1,0)))</f>
        <v>0</v>
      </c>
      <c r="P133" s="45">
        <f t="shared" si="49"/>
        <v>0</v>
      </c>
      <c r="Q133" s="11">
        <f>IF(OR(L$116=0,L$116=""),0,P133*INDEX(Listes!$K$15:$P$26,MATCH(L$116,Listes!$K$15:$K$26,0),MATCH(Q$117,Listes!$K$15:$P$15,0))*INDEX(Listes!$K$29:$O$31,MATCH(M$116,Listes!$K$29:$K$31,0),MATCH(Q$117,Listes!$K$29:$O$29,0)))</f>
        <v>0</v>
      </c>
      <c r="R133" s="45">
        <f>IF(OR(L$116=0,L$116=""),0,P133*INDEX(Listes!$K$15:$P$26,MATCH(L$116,Listes!$K$15:$K$26,0),MATCH(R$117,Listes!$K$15:$P$15,0))*INDEX(Listes!$K$29:$O$31,MATCH(M$116,Listes!$K$29:$K$31,0),MATCH(R$117,Listes!$K$29:$O$29,0)))</f>
        <v>0</v>
      </c>
      <c r="S133" s="45">
        <f>IF(OR(L$116=0,L$116=""),0,P133*INDEX(Listes!$K$15:$P$26,MATCH(L$116,Listes!$K$15:$K$26,0),MATCH(S$117,Listes!$K$15:$P$15,0))*INDEX(Listes!$K$29:$O$31,MATCH(M$116,Listes!$K$29:$K$31,0),MATCH(S$117,Listes!$K$29:$O$29,0)))</f>
        <v>0</v>
      </c>
      <c r="U133" s="472"/>
      <c r="V133" s="3">
        <v>16</v>
      </c>
      <c r="W133" s="45">
        <f t="shared" si="50"/>
        <v>0</v>
      </c>
      <c r="X133" s="11">
        <f t="shared" si="51"/>
        <v>0</v>
      </c>
      <c r="Y133" s="45">
        <f>IF(OR(X133=0,X133="",V$116=0),0,X133*INDEX(Listes!$K$1:$Q$12,MATCH(V$116,Listes!$K$1:$K$12,0),MATCH(Y$117,Listes!$K$1:$Q$1,0)))</f>
        <v>0</v>
      </c>
      <c r="Z133" s="45">
        <f t="shared" si="52"/>
        <v>0</v>
      </c>
      <c r="AA133" s="11">
        <f>IF(OR(V$116=0,V$116=""),0,Z133*INDEX(Listes!$K$15:$P$26,MATCH(V$116,Listes!$K$15:$K$26,0),MATCH(AA$117,Listes!$K$15:$P$15,0))*INDEX(Listes!$K$29:$O$31,MATCH(W$116,Listes!$K$29:$K$31,0),MATCH(AA$117,Listes!$K$29:$O$29,0)))</f>
        <v>0</v>
      </c>
      <c r="AB133" s="45">
        <f>IF(OR(V$116=0,V$116=""),0,Z133*INDEX(Listes!$K$15:$P$26,MATCH(V$116,Listes!$K$15:$K$26,0),MATCH(AB$117,Listes!$K$15:$P$15,0))*INDEX(Listes!$K$29:$O$31,MATCH(W$116,Listes!$K$29:$K$31,0),MATCH(AB$117,Listes!$K$29:$O$29,0)))</f>
        <v>0</v>
      </c>
      <c r="AC133" s="45">
        <f>IF(OR(V$116=0,V$116=""),0,Z133*INDEX(Listes!$K$15:$P$26,MATCH(V$116,Listes!$K$15:$K$26,0),MATCH(AC$117,Listes!$K$15:$P$15,0))*INDEX(Listes!$K$29:$O$31,MATCH(W$116,Listes!$K$29:$K$31,0),MATCH(AC$117,Listes!$K$29:$O$29,0)))</f>
        <v>0</v>
      </c>
      <c r="AE133" s="472"/>
      <c r="AF133" s="3">
        <v>16</v>
      </c>
      <c r="AG133" s="45">
        <f t="shared" si="53"/>
        <v>0</v>
      </c>
      <c r="AH133" s="11">
        <f t="shared" si="54"/>
        <v>0</v>
      </c>
      <c r="AI133" s="45">
        <f>IF(OR(AH133=0,AH133="",AF$116=0),0,AH133*INDEX(Listes!$K$1:$Q$12,MATCH(AF$116,Listes!$K$1:$K$12,0),MATCH(AI$117,Listes!$K$1:$Q$1,0)))</f>
        <v>0</v>
      </c>
      <c r="AJ133" s="45">
        <f t="shared" si="55"/>
        <v>0</v>
      </c>
      <c r="AK133" s="11">
        <f>IF(OR(AF$116=0,AF$116=""),0,AJ133*INDEX(Listes!$K$15:$P$26,MATCH(AF$116,Listes!$K$15:$K$26,0),MATCH(AK$117,Listes!$K$15:$P$15,0))*INDEX(Listes!$K$29:$O$31,MATCH(AG$116,Listes!$K$29:$K$31,0),MATCH(AK$117,Listes!$K$29:$O$29,0)))</f>
        <v>0</v>
      </c>
      <c r="AL133" s="45">
        <f>IF(OR(AF$116=0,AF$116=""),0,AJ133*INDEX(Listes!$K$15:$P$26,MATCH(AF$116,Listes!$K$15:$K$26,0),MATCH(AL$117,Listes!$K$15:$P$15,0))*INDEX(Listes!$K$29:$O$31,MATCH(AG$116,Listes!$K$29:$K$31,0),MATCH(AL$117,Listes!$K$29:$O$29,0)))</f>
        <v>0</v>
      </c>
      <c r="AM133" s="45">
        <f>IF(OR(AF$116=0,AF$116=""),0,AJ133*INDEX(Listes!$K$15:$P$26,MATCH(AF$116,Listes!$K$15:$K$26,0),MATCH(AM$117,Listes!$K$15:$P$15,0))*INDEX(Listes!$K$29:$O$31,MATCH(AG$116,Listes!$K$29:$K$31,0),MATCH(AM$117,Listes!$K$29:$O$29,0)))</f>
        <v>0</v>
      </c>
      <c r="AN133" s="45"/>
      <c r="AO133" s="472"/>
      <c r="AP133" s="3">
        <v>16</v>
      </c>
      <c r="AQ133" s="11">
        <f t="shared" si="56"/>
        <v>0</v>
      </c>
      <c r="AR133" s="11">
        <f t="shared" si="56"/>
        <v>0</v>
      </c>
      <c r="AS133" s="11">
        <f t="shared" si="56"/>
        <v>0</v>
      </c>
      <c r="AT133" s="11">
        <f>AQ133*VLOOKUP(AQ$117,Tableau17[],4,FALSE)+AR133*VLOOKUP(AR$117,Tableau17[],4,FALSE)+AS133*VLOOKUP(AS$117,Tableau17[],4,FALSE)</f>
        <v>0</v>
      </c>
      <c r="AU133" s="11">
        <f>AQ133*VLOOKUP(AQ$117,Tableau17[],3,FALSE)+AR133*VLOOKUP(AR$117,Tableau17[],3,FALSE)+AS133*VLOOKUP(AS$117,Tableau17[],3,FALSE)</f>
        <v>0</v>
      </c>
      <c r="AW133" s="11"/>
      <c r="AX133" s="113"/>
    </row>
    <row r="134" spans="1:52" x14ac:dyDescent="0.2">
      <c r="A134" s="472"/>
      <c r="B134" s="3">
        <v>17</v>
      </c>
      <c r="C134" s="45">
        <f t="shared" si="45"/>
        <v>0</v>
      </c>
      <c r="D134" s="11">
        <f t="shared" si="57"/>
        <v>0</v>
      </c>
      <c r="E134" s="45">
        <f>IF(OR(D134=0,D134="",B$116=0),0,D134*INDEX(Listes!$K$1:$Q$12,MATCH(B$116,Listes!$K$1:$K$12,0),MATCH(E$117,Listes!$K$1:$Q$1,0)))</f>
        <v>0</v>
      </c>
      <c r="F134" s="45">
        <f t="shared" si="46"/>
        <v>0</v>
      </c>
      <c r="G134" s="11">
        <f>IF(OR(B$116=0,B$116=""),0,F134*INDEX(Listes!$K$15:$P$26,MATCH(B$116,Listes!$K$15:$K$26,0),MATCH(G$117,Listes!$K$15:$P$15,0))*INDEX(Listes!$K$29:$O$31,MATCH(C$116,Listes!$K$29:$K$31,0),MATCH(G$117,Listes!$K$29:$O$29,0)))</f>
        <v>0</v>
      </c>
      <c r="H134" s="45">
        <f>IF(OR(B$116=0,B$116=""),0,F134*INDEX(Listes!$K$15:$P$26,MATCH(B$116,Listes!$K$15:$K$26,0),MATCH(H$117,Listes!$K$15:$P$15,0))*INDEX(Listes!$K$29:$O$31,MATCH(C$116,Listes!$K$29:$K$31,0),MATCH(H$117,Listes!$K$29:$O$29,0)))</f>
        <v>0</v>
      </c>
      <c r="I134" s="45">
        <f>IF(OR(B$116=0,B$116=""),0,F134*INDEX(Listes!$K$15:$P$26,MATCH(B$116,Listes!$K$15:$K$26,0),MATCH(I$117,Listes!$K$15:$P$15,0))*INDEX(Listes!$K$29:$O$31,MATCH(C$116,Listes!$K$29:$K$31,0),MATCH(I$117,Listes!$K$29:$O$29,0)))</f>
        <v>0</v>
      </c>
      <c r="K134" s="472"/>
      <c r="L134" s="3">
        <v>17</v>
      </c>
      <c r="M134" s="45">
        <f t="shared" si="47"/>
        <v>0</v>
      </c>
      <c r="N134" s="11">
        <f t="shared" si="48"/>
        <v>0</v>
      </c>
      <c r="O134" s="45">
        <f>IF(OR(N134=0,N134="",L$116=0),0,N134*INDEX(Listes!$K$1:$Q$12,MATCH(L$116,Listes!$K$1:$K$12,0),MATCH(O$117,Listes!$K$1:$Q$1,0)))</f>
        <v>0</v>
      </c>
      <c r="P134" s="45">
        <f t="shared" si="49"/>
        <v>0</v>
      </c>
      <c r="Q134" s="11">
        <f>IF(OR(L$116=0,L$116=""),0,P134*INDEX(Listes!$K$15:$P$26,MATCH(L$116,Listes!$K$15:$K$26,0),MATCH(Q$117,Listes!$K$15:$P$15,0))*INDEX(Listes!$K$29:$O$31,MATCH(M$116,Listes!$K$29:$K$31,0),MATCH(Q$117,Listes!$K$29:$O$29,0)))</f>
        <v>0</v>
      </c>
      <c r="R134" s="45">
        <f>IF(OR(L$116=0,L$116=""),0,P134*INDEX(Listes!$K$15:$P$26,MATCH(L$116,Listes!$K$15:$K$26,0),MATCH(R$117,Listes!$K$15:$P$15,0))*INDEX(Listes!$K$29:$O$31,MATCH(M$116,Listes!$K$29:$K$31,0),MATCH(R$117,Listes!$K$29:$O$29,0)))</f>
        <v>0</v>
      </c>
      <c r="S134" s="45">
        <f>IF(OR(L$116=0,L$116=""),0,P134*INDEX(Listes!$K$15:$P$26,MATCH(L$116,Listes!$K$15:$K$26,0),MATCH(S$117,Listes!$K$15:$P$15,0))*INDEX(Listes!$K$29:$O$31,MATCH(M$116,Listes!$K$29:$K$31,0),MATCH(S$117,Listes!$K$29:$O$29,0)))</f>
        <v>0</v>
      </c>
      <c r="U134" s="472"/>
      <c r="V134" s="3">
        <v>17</v>
      </c>
      <c r="W134" s="45">
        <f t="shared" si="50"/>
        <v>0</v>
      </c>
      <c r="X134" s="11">
        <f t="shared" si="51"/>
        <v>0</v>
      </c>
      <c r="Y134" s="45">
        <f>IF(OR(X134=0,X134="",V$116=0),0,X134*INDEX(Listes!$K$1:$Q$12,MATCH(V$116,Listes!$K$1:$K$12,0),MATCH(Y$117,Listes!$K$1:$Q$1,0)))</f>
        <v>0</v>
      </c>
      <c r="Z134" s="45">
        <f t="shared" si="52"/>
        <v>0</v>
      </c>
      <c r="AA134" s="11">
        <f>IF(OR(V$116=0,V$116=""),0,Z134*INDEX(Listes!$K$15:$P$26,MATCH(V$116,Listes!$K$15:$K$26,0),MATCH(AA$117,Listes!$K$15:$P$15,0))*INDEX(Listes!$K$29:$O$31,MATCH(W$116,Listes!$K$29:$K$31,0),MATCH(AA$117,Listes!$K$29:$O$29,0)))</f>
        <v>0</v>
      </c>
      <c r="AB134" s="45">
        <f>IF(OR(V$116=0,V$116=""),0,Z134*INDEX(Listes!$K$15:$P$26,MATCH(V$116,Listes!$K$15:$K$26,0),MATCH(AB$117,Listes!$K$15:$P$15,0))*INDEX(Listes!$K$29:$O$31,MATCH(W$116,Listes!$K$29:$K$31,0),MATCH(AB$117,Listes!$K$29:$O$29,0)))</f>
        <v>0</v>
      </c>
      <c r="AC134" s="45">
        <f>IF(OR(V$116=0,V$116=""),0,Z134*INDEX(Listes!$K$15:$P$26,MATCH(V$116,Listes!$K$15:$K$26,0),MATCH(AC$117,Listes!$K$15:$P$15,0))*INDEX(Listes!$K$29:$O$31,MATCH(W$116,Listes!$K$29:$K$31,0),MATCH(AC$117,Listes!$K$29:$O$29,0)))</f>
        <v>0</v>
      </c>
      <c r="AE134" s="472"/>
      <c r="AF134" s="3">
        <v>17</v>
      </c>
      <c r="AG134" s="45">
        <f t="shared" si="53"/>
        <v>0</v>
      </c>
      <c r="AH134" s="11">
        <f t="shared" si="54"/>
        <v>0</v>
      </c>
      <c r="AI134" s="45">
        <f>IF(OR(AH134=0,AH134="",AF$116=0),0,AH134*INDEX(Listes!$K$1:$Q$12,MATCH(AF$116,Listes!$K$1:$K$12,0),MATCH(AI$117,Listes!$K$1:$Q$1,0)))</f>
        <v>0</v>
      </c>
      <c r="AJ134" s="45">
        <f t="shared" si="55"/>
        <v>0</v>
      </c>
      <c r="AK134" s="11">
        <f>IF(OR(AF$116=0,AF$116=""),0,AJ134*INDEX(Listes!$K$15:$P$26,MATCH(AF$116,Listes!$K$15:$K$26,0),MATCH(AK$117,Listes!$K$15:$P$15,0))*INDEX(Listes!$K$29:$O$31,MATCH(AG$116,Listes!$K$29:$K$31,0),MATCH(AK$117,Listes!$K$29:$O$29,0)))</f>
        <v>0</v>
      </c>
      <c r="AL134" s="45">
        <f>IF(OR(AF$116=0,AF$116=""),0,AJ134*INDEX(Listes!$K$15:$P$26,MATCH(AF$116,Listes!$K$15:$K$26,0),MATCH(AL$117,Listes!$K$15:$P$15,0))*INDEX(Listes!$K$29:$O$31,MATCH(AG$116,Listes!$K$29:$K$31,0),MATCH(AL$117,Listes!$K$29:$O$29,0)))</f>
        <v>0</v>
      </c>
      <c r="AM134" s="45">
        <f>IF(OR(AF$116=0,AF$116=""),0,AJ134*INDEX(Listes!$K$15:$P$26,MATCH(AF$116,Listes!$K$15:$K$26,0),MATCH(AM$117,Listes!$K$15:$P$15,0))*INDEX(Listes!$K$29:$O$31,MATCH(AG$116,Listes!$K$29:$K$31,0),MATCH(AM$117,Listes!$K$29:$O$29,0)))</f>
        <v>0</v>
      </c>
      <c r="AN134" s="45"/>
      <c r="AO134" s="472"/>
      <c r="AP134" s="3">
        <v>17</v>
      </c>
      <c r="AQ134" s="11">
        <f t="shared" si="56"/>
        <v>0</v>
      </c>
      <c r="AR134" s="11">
        <f t="shared" si="56"/>
        <v>0</v>
      </c>
      <c r="AS134" s="11">
        <f t="shared" si="56"/>
        <v>0</v>
      </c>
      <c r="AT134" s="11">
        <f>AQ134*VLOOKUP(AQ$117,Tableau17[],4,FALSE)+AR134*VLOOKUP(AR$117,Tableau17[],4,FALSE)+AS134*VLOOKUP(AS$117,Tableau17[],4,FALSE)</f>
        <v>0</v>
      </c>
      <c r="AU134" s="11">
        <f>AQ134*VLOOKUP(AQ$117,Tableau17[],3,FALSE)+AR134*VLOOKUP(AR$117,Tableau17[],3,FALSE)+AS134*VLOOKUP(AS$117,Tableau17[],3,FALSE)</f>
        <v>0</v>
      </c>
      <c r="AW134" s="11"/>
      <c r="AX134" s="113"/>
    </row>
    <row r="135" spans="1:52" x14ac:dyDescent="0.2">
      <c r="A135" s="472"/>
      <c r="B135" s="3">
        <v>18</v>
      </c>
      <c r="C135" s="45">
        <f t="shared" si="45"/>
        <v>0</v>
      </c>
      <c r="D135" s="11">
        <f t="shared" si="57"/>
        <v>0</v>
      </c>
      <c r="E135" s="45">
        <f>IF(OR(D135=0,D135="",B$116=0),0,D135*INDEX(Listes!$K$1:$Q$12,MATCH(B$116,Listes!$K$1:$K$12,0),MATCH(E$117,Listes!$K$1:$Q$1,0)))</f>
        <v>0</v>
      </c>
      <c r="F135" s="45">
        <f t="shared" si="46"/>
        <v>0</v>
      </c>
      <c r="G135" s="11">
        <f>IF(OR(B$116=0,B$116=""),0,F135*INDEX(Listes!$K$15:$P$26,MATCH(B$116,Listes!$K$15:$K$26,0),MATCH(G$117,Listes!$K$15:$P$15,0))*INDEX(Listes!$K$29:$O$31,MATCH(C$116,Listes!$K$29:$K$31,0),MATCH(G$117,Listes!$K$29:$O$29,0)))</f>
        <v>0</v>
      </c>
      <c r="H135" s="45">
        <f>IF(OR(B$116=0,B$116=""),0,F135*INDEX(Listes!$K$15:$P$26,MATCH(B$116,Listes!$K$15:$K$26,0),MATCH(H$117,Listes!$K$15:$P$15,0))*INDEX(Listes!$K$29:$O$31,MATCH(C$116,Listes!$K$29:$K$31,0),MATCH(H$117,Listes!$K$29:$O$29,0)))</f>
        <v>0</v>
      </c>
      <c r="I135" s="45">
        <f>IF(OR(B$116=0,B$116=""),0,F135*INDEX(Listes!$K$15:$P$26,MATCH(B$116,Listes!$K$15:$K$26,0),MATCH(I$117,Listes!$K$15:$P$15,0))*INDEX(Listes!$K$29:$O$31,MATCH(C$116,Listes!$K$29:$K$31,0),MATCH(I$117,Listes!$K$29:$O$29,0)))</f>
        <v>0</v>
      </c>
      <c r="K135" s="472"/>
      <c r="L135" s="3">
        <v>18</v>
      </c>
      <c r="M135" s="45">
        <f t="shared" si="47"/>
        <v>0</v>
      </c>
      <c r="N135" s="11">
        <f t="shared" si="48"/>
        <v>0</v>
      </c>
      <c r="O135" s="45">
        <f>IF(OR(N135=0,N135="",L$116=0),0,N135*INDEX(Listes!$K$1:$Q$12,MATCH(L$116,Listes!$K$1:$K$12,0),MATCH(O$117,Listes!$K$1:$Q$1,0)))</f>
        <v>0</v>
      </c>
      <c r="P135" s="45">
        <f t="shared" si="49"/>
        <v>0</v>
      </c>
      <c r="Q135" s="11">
        <f>IF(OR(L$116=0,L$116=""),0,P135*INDEX(Listes!$K$15:$P$26,MATCH(L$116,Listes!$K$15:$K$26,0),MATCH(Q$117,Listes!$K$15:$P$15,0))*INDEX(Listes!$K$29:$O$31,MATCH(M$116,Listes!$K$29:$K$31,0),MATCH(Q$117,Listes!$K$29:$O$29,0)))</f>
        <v>0</v>
      </c>
      <c r="R135" s="45">
        <f>IF(OR(L$116=0,L$116=""),0,P135*INDEX(Listes!$K$15:$P$26,MATCH(L$116,Listes!$K$15:$K$26,0),MATCH(R$117,Listes!$K$15:$P$15,0))*INDEX(Listes!$K$29:$O$31,MATCH(M$116,Listes!$K$29:$K$31,0),MATCH(R$117,Listes!$K$29:$O$29,0)))</f>
        <v>0</v>
      </c>
      <c r="S135" s="45">
        <f>IF(OR(L$116=0,L$116=""),0,P135*INDEX(Listes!$K$15:$P$26,MATCH(L$116,Listes!$K$15:$K$26,0),MATCH(S$117,Listes!$K$15:$P$15,0))*INDEX(Listes!$K$29:$O$31,MATCH(M$116,Listes!$K$29:$K$31,0),MATCH(S$117,Listes!$K$29:$O$29,0)))</f>
        <v>0</v>
      </c>
      <c r="U135" s="472"/>
      <c r="V135" s="3">
        <v>18</v>
      </c>
      <c r="W135" s="45">
        <f t="shared" si="50"/>
        <v>0</v>
      </c>
      <c r="X135" s="11">
        <f t="shared" si="51"/>
        <v>0</v>
      </c>
      <c r="Y135" s="45">
        <f>IF(OR(X135=0,X135="",V$116=0),0,X135*INDEX(Listes!$K$1:$Q$12,MATCH(V$116,Listes!$K$1:$K$12,0),MATCH(Y$117,Listes!$K$1:$Q$1,0)))</f>
        <v>0</v>
      </c>
      <c r="Z135" s="45">
        <f t="shared" si="52"/>
        <v>0</v>
      </c>
      <c r="AA135" s="11">
        <f>IF(OR(V$116=0,V$116=""),0,Z135*INDEX(Listes!$K$15:$P$26,MATCH(V$116,Listes!$K$15:$K$26,0),MATCH(AA$117,Listes!$K$15:$P$15,0))*INDEX(Listes!$K$29:$O$31,MATCH(W$116,Listes!$K$29:$K$31,0),MATCH(AA$117,Listes!$K$29:$O$29,0)))</f>
        <v>0</v>
      </c>
      <c r="AB135" s="45">
        <f>IF(OR(V$116=0,V$116=""),0,Z135*INDEX(Listes!$K$15:$P$26,MATCH(V$116,Listes!$K$15:$K$26,0),MATCH(AB$117,Listes!$K$15:$P$15,0))*INDEX(Listes!$K$29:$O$31,MATCH(W$116,Listes!$K$29:$K$31,0),MATCH(AB$117,Listes!$K$29:$O$29,0)))</f>
        <v>0</v>
      </c>
      <c r="AC135" s="45">
        <f>IF(OR(V$116=0,V$116=""),0,Z135*INDEX(Listes!$K$15:$P$26,MATCH(V$116,Listes!$K$15:$K$26,0),MATCH(AC$117,Listes!$K$15:$P$15,0))*INDEX(Listes!$K$29:$O$31,MATCH(W$116,Listes!$K$29:$K$31,0),MATCH(AC$117,Listes!$K$29:$O$29,0)))</f>
        <v>0</v>
      </c>
      <c r="AE135" s="472"/>
      <c r="AF135" s="3">
        <v>18</v>
      </c>
      <c r="AG135" s="45">
        <f t="shared" si="53"/>
        <v>0</v>
      </c>
      <c r="AH135" s="11">
        <f t="shared" si="54"/>
        <v>0</v>
      </c>
      <c r="AI135" s="45">
        <f>IF(OR(AH135=0,AH135="",AF$116=0),0,AH135*INDEX(Listes!$K$1:$Q$12,MATCH(AF$116,Listes!$K$1:$K$12,0),MATCH(AI$117,Listes!$K$1:$Q$1,0)))</f>
        <v>0</v>
      </c>
      <c r="AJ135" s="45">
        <f t="shared" si="55"/>
        <v>0</v>
      </c>
      <c r="AK135" s="11">
        <f>IF(OR(AF$116=0,AF$116=""),0,AJ135*INDEX(Listes!$K$15:$P$26,MATCH(AF$116,Listes!$K$15:$K$26,0),MATCH(AK$117,Listes!$K$15:$P$15,0))*INDEX(Listes!$K$29:$O$31,MATCH(AG$116,Listes!$K$29:$K$31,0),MATCH(AK$117,Listes!$K$29:$O$29,0)))</f>
        <v>0</v>
      </c>
      <c r="AL135" s="45">
        <f>IF(OR(AF$116=0,AF$116=""),0,AJ135*INDEX(Listes!$K$15:$P$26,MATCH(AF$116,Listes!$K$15:$K$26,0),MATCH(AL$117,Listes!$K$15:$P$15,0))*INDEX(Listes!$K$29:$O$31,MATCH(AG$116,Listes!$K$29:$K$31,0),MATCH(AL$117,Listes!$K$29:$O$29,0)))</f>
        <v>0</v>
      </c>
      <c r="AM135" s="45">
        <f>IF(OR(AF$116=0,AF$116=""),0,AJ135*INDEX(Listes!$K$15:$P$26,MATCH(AF$116,Listes!$K$15:$K$26,0),MATCH(AM$117,Listes!$K$15:$P$15,0))*INDEX(Listes!$K$29:$O$31,MATCH(AG$116,Listes!$K$29:$K$31,0),MATCH(AM$117,Listes!$K$29:$O$29,0)))</f>
        <v>0</v>
      </c>
      <c r="AN135" s="45"/>
      <c r="AO135" s="472"/>
      <c r="AP135" s="3">
        <v>18</v>
      </c>
      <c r="AQ135" s="11">
        <f t="shared" si="56"/>
        <v>0</v>
      </c>
      <c r="AR135" s="11">
        <f t="shared" si="56"/>
        <v>0</v>
      </c>
      <c r="AS135" s="11">
        <f t="shared" si="56"/>
        <v>0</v>
      </c>
      <c r="AT135" s="11">
        <f>AQ135*VLOOKUP(AQ$117,Tableau17[],4,FALSE)+AR135*VLOOKUP(AR$117,Tableau17[],4,FALSE)+AS135*VLOOKUP(AS$117,Tableau17[],4,FALSE)</f>
        <v>0</v>
      </c>
      <c r="AU135" s="11">
        <f>AQ135*VLOOKUP(AQ$117,Tableau17[],3,FALSE)+AR135*VLOOKUP(AR$117,Tableau17[],3,FALSE)+AS135*VLOOKUP(AS$117,Tableau17[],3,FALSE)</f>
        <v>0</v>
      </c>
      <c r="AW135" s="11"/>
      <c r="AX135" s="113"/>
    </row>
    <row r="136" spans="1:52" x14ac:dyDescent="0.2">
      <c r="A136" s="472"/>
      <c r="B136" s="3">
        <v>19</v>
      </c>
      <c r="C136" s="45">
        <f t="shared" si="45"/>
        <v>0</v>
      </c>
      <c r="D136" s="11">
        <f t="shared" si="57"/>
        <v>0</v>
      </c>
      <c r="E136" s="45">
        <f>IF(OR(D136=0,D136="",B$116=0),0,D136*INDEX(Listes!$K$1:$Q$12,MATCH(B$116,Listes!$K$1:$K$12,0),MATCH(E$117,Listes!$K$1:$Q$1,0)))</f>
        <v>0</v>
      </c>
      <c r="F136" s="45">
        <f t="shared" si="46"/>
        <v>0</v>
      </c>
      <c r="G136" s="11">
        <f>IF(OR(B$116=0,B$116=""),0,F136*INDEX(Listes!$K$15:$P$26,MATCH(B$116,Listes!$K$15:$K$26,0),MATCH(G$117,Listes!$K$15:$P$15,0))*INDEX(Listes!$K$29:$O$31,MATCH(C$116,Listes!$K$29:$K$31,0),MATCH(G$117,Listes!$K$29:$O$29,0)))</f>
        <v>0</v>
      </c>
      <c r="H136" s="45">
        <f>IF(OR(B$116=0,B$116=""),0,F136*INDEX(Listes!$K$15:$P$26,MATCH(B$116,Listes!$K$15:$K$26,0),MATCH(H$117,Listes!$K$15:$P$15,0))*INDEX(Listes!$K$29:$O$31,MATCH(C$116,Listes!$K$29:$K$31,0),MATCH(H$117,Listes!$K$29:$O$29,0)))</f>
        <v>0</v>
      </c>
      <c r="I136" s="45">
        <f>IF(OR(B$116=0,B$116=""),0,F136*INDEX(Listes!$K$15:$P$26,MATCH(B$116,Listes!$K$15:$K$26,0),MATCH(I$117,Listes!$K$15:$P$15,0))*INDEX(Listes!$K$29:$O$31,MATCH(C$116,Listes!$K$29:$K$31,0),MATCH(I$117,Listes!$K$29:$O$29,0)))</f>
        <v>0</v>
      </c>
      <c r="K136" s="472"/>
      <c r="L136" s="3">
        <v>19</v>
      </c>
      <c r="M136" s="45">
        <f t="shared" si="47"/>
        <v>0</v>
      </c>
      <c r="N136" s="11">
        <f t="shared" si="48"/>
        <v>0</v>
      </c>
      <c r="O136" s="45">
        <f>IF(OR(N136=0,N136="",L$116=0),0,N136*INDEX(Listes!$K$1:$Q$12,MATCH(L$116,Listes!$K$1:$K$12,0),MATCH(O$117,Listes!$K$1:$Q$1,0)))</f>
        <v>0</v>
      </c>
      <c r="P136" s="45">
        <f t="shared" si="49"/>
        <v>0</v>
      </c>
      <c r="Q136" s="11">
        <f>IF(OR(L$116=0,L$116=""),0,P136*INDEX(Listes!$K$15:$P$26,MATCH(L$116,Listes!$K$15:$K$26,0),MATCH(Q$117,Listes!$K$15:$P$15,0))*INDEX(Listes!$K$29:$O$31,MATCH(M$116,Listes!$K$29:$K$31,0),MATCH(Q$117,Listes!$K$29:$O$29,0)))</f>
        <v>0</v>
      </c>
      <c r="R136" s="45">
        <f>IF(OR(L$116=0,L$116=""),0,P136*INDEX(Listes!$K$15:$P$26,MATCH(L$116,Listes!$K$15:$K$26,0),MATCH(R$117,Listes!$K$15:$P$15,0))*INDEX(Listes!$K$29:$O$31,MATCH(M$116,Listes!$K$29:$K$31,0),MATCH(R$117,Listes!$K$29:$O$29,0)))</f>
        <v>0</v>
      </c>
      <c r="S136" s="45">
        <f>IF(OR(L$116=0,L$116=""),0,P136*INDEX(Listes!$K$15:$P$26,MATCH(L$116,Listes!$K$15:$K$26,0),MATCH(S$117,Listes!$K$15:$P$15,0))*INDEX(Listes!$K$29:$O$31,MATCH(M$116,Listes!$K$29:$K$31,0),MATCH(S$117,Listes!$K$29:$O$29,0)))</f>
        <v>0</v>
      </c>
      <c r="U136" s="472"/>
      <c r="V136" s="3">
        <v>19</v>
      </c>
      <c r="W136" s="45">
        <f t="shared" si="50"/>
        <v>0</v>
      </c>
      <c r="X136" s="11">
        <f t="shared" si="51"/>
        <v>0</v>
      </c>
      <c r="Y136" s="45">
        <f>IF(OR(X136=0,X136="",V$116=0),0,X136*INDEX(Listes!$K$1:$Q$12,MATCH(V$116,Listes!$K$1:$K$12,0),MATCH(Y$117,Listes!$K$1:$Q$1,0)))</f>
        <v>0</v>
      </c>
      <c r="Z136" s="45">
        <f t="shared" si="52"/>
        <v>0</v>
      </c>
      <c r="AA136" s="11">
        <f>IF(OR(V$116=0,V$116=""),0,Z136*INDEX(Listes!$K$15:$P$26,MATCH(V$116,Listes!$K$15:$K$26,0),MATCH(AA$117,Listes!$K$15:$P$15,0))*INDEX(Listes!$K$29:$O$31,MATCH(W$116,Listes!$K$29:$K$31,0),MATCH(AA$117,Listes!$K$29:$O$29,0)))</f>
        <v>0</v>
      </c>
      <c r="AB136" s="45">
        <f>IF(OR(V$116=0,V$116=""),0,Z136*INDEX(Listes!$K$15:$P$26,MATCH(V$116,Listes!$K$15:$K$26,0),MATCH(AB$117,Listes!$K$15:$P$15,0))*INDEX(Listes!$K$29:$O$31,MATCH(W$116,Listes!$K$29:$K$31,0),MATCH(AB$117,Listes!$K$29:$O$29,0)))</f>
        <v>0</v>
      </c>
      <c r="AC136" s="45">
        <f>IF(OR(V$116=0,V$116=""),0,Z136*INDEX(Listes!$K$15:$P$26,MATCH(V$116,Listes!$K$15:$K$26,0),MATCH(AC$117,Listes!$K$15:$P$15,0))*INDEX(Listes!$K$29:$O$31,MATCH(W$116,Listes!$K$29:$K$31,0),MATCH(AC$117,Listes!$K$29:$O$29,0)))</f>
        <v>0</v>
      </c>
      <c r="AE136" s="472"/>
      <c r="AF136" s="3">
        <v>19</v>
      </c>
      <c r="AG136" s="45">
        <f t="shared" si="53"/>
        <v>0</v>
      </c>
      <c r="AH136" s="11">
        <f t="shared" si="54"/>
        <v>0</v>
      </c>
      <c r="AI136" s="45">
        <f>IF(OR(AH136=0,AH136="",AF$116=0),0,AH136*INDEX(Listes!$K$1:$Q$12,MATCH(AF$116,Listes!$K$1:$K$12,0),MATCH(AI$117,Listes!$K$1:$Q$1,0)))</f>
        <v>0</v>
      </c>
      <c r="AJ136" s="45">
        <f t="shared" si="55"/>
        <v>0</v>
      </c>
      <c r="AK136" s="11">
        <f>IF(OR(AF$116=0,AF$116=""),0,AJ136*INDEX(Listes!$K$15:$P$26,MATCH(AF$116,Listes!$K$15:$K$26,0),MATCH(AK$117,Listes!$K$15:$P$15,0))*INDEX(Listes!$K$29:$O$31,MATCH(AG$116,Listes!$K$29:$K$31,0),MATCH(AK$117,Listes!$K$29:$O$29,0)))</f>
        <v>0</v>
      </c>
      <c r="AL136" s="45">
        <f>IF(OR(AF$116=0,AF$116=""),0,AJ136*INDEX(Listes!$K$15:$P$26,MATCH(AF$116,Listes!$K$15:$K$26,0),MATCH(AL$117,Listes!$K$15:$P$15,0))*INDEX(Listes!$K$29:$O$31,MATCH(AG$116,Listes!$K$29:$K$31,0),MATCH(AL$117,Listes!$K$29:$O$29,0)))</f>
        <v>0</v>
      </c>
      <c r="AM136" s="45">
        <f>IF(OR(AF$116=0,AF$116=""),0,AJ136*INDEX(Listes!$K$15:$P$26,MATCH(AF$116,Listes!$K$15:$K$26,0),MATCH(AM$117,Listes!$K$15:$P$15,0))*INDEX(Listes!$K$29:$O$31,MATCH(AG$116,Listes!$K$29:$K$31,0),MATCH(AM$117,Listes!$K$29:$O$29,0)))</f>
        <v>0</v>
      </c>
      <c r="AN136" s="45"/>
      <c r="AO136" s="472"/>
      <c r="AP136" s="3">
        <v>19</v>
      </c>
      <c r="AQ136" s="11">
        <f t="shared" si="56"/>
        <v>0</v>
      </c>
      <c r="AR136" s="11">
        <f t="shared" si="56"/>
        <v>0</v>
      </c>
      <c r="AS136" s="11">
        <f t="shared" si="56"/>
        <v>0</v>
      </c>
      <c r="AT136" s="11">
        <f>AQ136*VLOOKUP(AQ$117,Tableau17[],4,FALSE)+AR136*VLOOKUP(AR$117,Tableau17[],4,FALSE)+AS136*VLOOKUP(AS$117,Tableau17[],4,FALSE)</f>
        <v>0</v>
      </c>
      <c r="AU136" s="11">
        <f>AQ136*VLOOKUP(AQ$117,Tableau17[],3,FALSE)+AR136*VLOOKUP(AR$117,Tableau17[],3,FALSE)+AS136*VLOOKUP(AS$117,Tableau17[],3,FALSE)</f>
        <v>0</v>
      </c>
      <c r="AW136" s="11"/>
      <c r="AX136" s="113"/>
    </row>
    <row r="137" spans="1:52" x14ac:dyDescent="0.2">
      <c r="A137" s="472"/>
      <c r="B137" s="3">
        <v>20</v>
      </c>
      <c r="C137" s="45">
        <f t="shared" si="45"/>
        <v>0</v>
      </c>
      <c r="D137" s="11">
        <f t="shared" si="57"/>
        <v>0</v>
      </c>
      <c r="E137" s="45">
        <f>IF(OR(D137=0,D137="",B$116=0),0,D137*INDEX(Listes!$K$1:$Q$12,MATCH(B$116,Listes!$K$1:$K$12,0),MATCH(E$117,Listes!$K$1:$Q$1,0)))</f>
        <v>0</v>
      </c>
      <c r="F137" s="45">
        <f t="shared" si="46"/>
        <v>0</v>
      </c>
      <c r="G137" s="11">
        <f>IF(OR(B$116=0,B$116=""),0,F137*INDEX(Listes!$K$15:$P$26,MATCH(B$116,Listes!$K$15:$K$26,0),MATCH(G$117,Listes!$K$15:$P$15,0))*INDEX(Listes!$K$29:$O$31,MATCH(C$116,Listes!$K$29:$K$31,0),MATCH(G$117,Listes!$K$29:$O$29,0)))</f>
        <v>0</v>
      </c>
      <c r="H137" s="45">
        <f>IF(OR(B$116=0,B$116=""),0,F137*INDEX(Listes!$K$15:$P$26,MATCH(B$116,Listes!$K$15:$K$26,0),MATCH(H$117,Listes!$K$15:$P$15,0))*INDEX(Listes!$K$29:$O$31,MATCH(C$116,Listes!$K$29:$K$31,0),MATCH(H$117,Listes!$K$29:$O$29,0)))</f>
        <v>0</v>
      </c>
      <c r="I137" s="45">
        <f>IF(OR(B$116=0,B$116=""),0,F137*INDEX(Listes!$K$15:$P$26,MATCH(B$116,Listes!$K$15:$K$26,0),MATCH(I$117,Listes!$K$15:$P$15,0))*INDEX(Listes!$K$29:$O$31,MATCH(C$116,Listes!$K$29:$K$31,0),MATCH(I$117,Listes!$K$29:$O$29,0)))</f>
        <v>0</v>
      </c>
      <c r="K137" s="472"/>
      <c r="L137" s="3">
        <v>20</v>
      </c>
      <c r="M137" s="45">
        <f t="shared" si="47"/>
        <v>0</v>
      </c>
      <c r="N137" s="11">
        <f t="shared" si="48"/>
        <v>0</v>
      </c>
      <c r="O137" s="45">
        <f>IF(OR(N137=0,N137="",L$116=0),0,N137*INDEX(Listes!$K$1:$Q$12,MATCH(L$116,Listes!$K$1:$K$12,0),MATCH(O$117,Listes!$K$1:$Q$1,0)))</f>
        <v>0</v>
      </c>
      <c r="P137" s="45">
        <f t="shared" si="49"/>
        <v>0</v>
      </c>
      <c r="Q137" s="11">
        <f>IF(OR(L$116=0,L$116=""),0,P137*INDEX(Listes!$K$15:$P$26,MATCH(L$116,Listes!$K$15:$K$26,0),MATCH(Q$117,Listes!$K$15:$P$15,0))*INDEX(Listes!$K$29:$O$31,MATCH(M$116,Listes!$K$29:$K$31,0),MATCH(Q$117,Listes!$K$29:$O$29,0)))</f>
        <v>0</v>
      </c>
      <c r="R137" s="45">
        <f>IF(OR(L$116=0,L$116=""),0,P137*INDEX(Listes!$K$15:$P$26,MATCH(L$116,Listes!$K$15:$K$26,0),MATCH(R$117,Listes!$K$15:$P$15,0))*INDEX(Listes!$K$29:$O$31,MATCH(M$116,Listes!$K$29:$K$31,0),MATCH(R$117,Listes!$K$29:$O$29,0)))</f>
        <v>0</v>
      </c>
      <c r="S137" s="45">
        <f>IF(OR(L$116=0,L$116=""),0,P137*INDEX(Listes!$K$15:$P$26,MATCH(L$116,Listes!$K$15:$K$26,0),MATCH(S$117,Listes!$K$15:$P$15,0))*INDEX(Listes!$K$29:$O$31,MATCH(M$116,Listes!$K$29:$K$31,0),MATCH(S$117,Listes!$K$29:$O$29,0)))</f>
        <v>0</v>
      </c>
      <c r="U137" s="472"/>
      <c r="V137" s="3">
        <v>20</v>
      </c>
      <c r="W137" s="45">
        <f t="shared" si="50"/>
        <v>0</v>
      </c>
      <c r="X137" s="11">
        <f t="shared" si="51"/>
        <v>0</v>
      </c>
      <c r="Y137" s="45">
        <f>IF(OR(X137=0,X137="",V$116=0),0,X137*INDEX(Listes!$K$1:$Q$12,MATCH(V$116,Listes!$K$1:$K$12,0),MATCH(Y$117,Listes!$K$1:$Q$1,0)))</f>
        <v>0</v>
      </c>
      <c r="Z137" s="45">
        <f t="shared" si="52"/>
        <v>0</v>
      </c>
      <c r="AA137" s="11">
        <f>IF(OR(V$116=0,V$116=""),0,Z137*INDEX(Listes!$K$15:$P$26,MATCH(V$116,Listes!$K$15:$K$26,0),MATCH(AA$117,Listes!$K$15:$P$15,0))*INDEX(Listes!$K$29:$O$31,MATCH(W$116,Listes!$K$29:$K$31,0),MATCH(AA$117,Listes!$K$29:$O$29,0)))</f>
        <v>0</v>
      </c>
      <c r="AB137" s="45">
        <f>IF(OR(V$116=0,V$116=""),0,Z137*INDEX(Listes!$K$15:$P$26,MATCH(V$116,Listes!$K$15:$K$26,0),MATCH(AB$117,Listes!$K$15:$P$15,0))*INDEX(Listes!$K$29:$O$31,MATCH(W$116,Listes!$K$29:$K$31,0),MATCH(AB$117,Listes!$K$29:$O$29,0)))</f>
        <v>0</v>
      </c>
      <c r="AC137" s="45">
        <f>IF(OR(V$116=0,V$116=""),0,Z137*INDEX(Listes!$K$15:$P$26,MATCH(V$116,Listes!$K$15:$K$26,0),MATCH(AC$117,Listes!$K$15:$P$15,0))*INDEX(Listes!$K$29:$O$31,MATCH(W$116,Listes!$K$29:$K$31,0),MATCH(AC$117,Listes!$K$29:$O$29,0)))</f>
        <v>0</v>
      </c>
      <c r="AE137" s="472"/>
      <c r="AF137" s="3">
        <v>20</v>
      </c>
      <c r="AG137" s="45">
        <f t="shared" si="53"/>
        <v>0</v>
      </c>
      <c r="AH137" s="11">
        <f t="shared" si="54"/>
        <v>0</v>
      </c>
      <c r="AI137" s="45">
        <f>IF(OR(AH137=0,AH137="",AF$116=0),0,AH137*INDEX(Listes!$K$1:$Q$12,MATCH(AF$116,Listes!$K$1:$K$12,0),MATCH(AI$117,Listes!$K$1:$Q$1,0)))</f>
        <v>0</v>
      </c>
      <c r="AJ137" s="45">
        <f t="shared" si="55"/>
        <v>0</v>
      </c>
      <c r="AK137" s="11">
        <f>IF(OR(AF$116=0,AF$116=""),0,AJ137*INDEX(Listes!$K$15:$P$26,MATCH(AF$116,Listes!$K$15:$K$26,0),MATCH(AK$117,Listes!$K$15:$P$15,0))*INDEX(Listes!$K$29:$O$31,MATCH(AG$116,Listes!$K$29:$K$31,0),MATCH(AK$117,Listes!$K$29:$O$29,0)))</f>
        <v>0</v>
      </c>
      <c r="AL137" s="45">
        <f>IF(OR(AF$116=0,AF$116=""),0,AJ137*INDEX(Listes!$K$15:$P$26,MATCH(AF$116,Listes!$K$15:$K$26,0),MATCH(AL$117,Listes!$K$15:$P$15,0))*INDEX(Listes!$K$29:$O$31,MATCH(AG$116,Listes!$K$29:$K$31,0),MATCH(AL$117,Listes!$K$29:$O$29,0)))</f>
        <v>0</v>
      </c>
      <c r="AM137" s="45">
        <f>IF(OR(AF$116=0,AF$116=""),0,AJ137*INDEX(Listes!$K$15:$P$26,MATCH(AF$116,Listes!$K$15:$K$26,0),MATCH(AM$117,Listes!$K$15:$P$15,0))*INDEX(Listes!$K$29:$O$31,MATCH(AG$116,Listes!$K$29:$K$31,0),MATCH(AM$117,Listes!$K$29:$O$29,0)))</f>
        <v>0</v>
      </c>
      <c r="AN137" s="45"/>
      <c r="AO137" s="472"/>
      <c r="AP137" s="3">
        <v>20</v>
      </c>
      <c r="AQ137" s="11">
        <f t="shared" si="56"/>
        <v>0</v>
      </c>
      <c r="AR137" s="11">
        <f t="shared" si="56"/>
        <v>0</v>
      </c>
      <c r="AS137" s="11">
        <f t="shared" si="56"/>
        <v>0</v>
      </c>
      <c r="AT137" s="11">
        <f>AQ137*VLOOKUP(AQ$117,Tableau17[],4,FALSE)+AR137*VLOOKUP(AR$117,Tableau17[],4,FALSE)+AS137*VLOOKUP(AS$117,Tableau17[],4,FALSE)</f>
        <v>0</v>
      </c>
      <c r="AU137" s="11">
        <f>AQ137*VLOOKUP(AQ$117,Tableau17[],3,FALSE)+AR137*VLOOKUP(AR$117,Tableau17[],3,FALSE)+AS137*VLOOKUP(AS$117,Tableau17[],3,FALSE)</f>
        <v>0</v>
      </c>
      <c r="AW137" s="11"/>
      <c r="AX137" s="113"/>
    </row>
    <row r="139" spans="1:52" x14ac:dyDescent="0.2">
      <c r="A139" s="134" t="s">
        <v>633</v>
      </c>
      <c r="B139" s="134"/>
      <c r="C139" s="134"/>
      <c r="D139" s="134"/>
      <c r="E139" s="134"/>
      <c r="F139" s="134"/>
      <c r="G139" s="134"/>
      <c r="H139" s="134"/>
      <c r="I139" s="134"/>
      <c r="J139" s="134"/>
      <c r="K139" s="134"/>
      <c r="L139" s="134"/>
      <c r="M139" s="133"/>
      <c r="N139" s="133"/>
      <c r="O139" s="133"/>
      <c r="P139" s="133"/>
      <c r="Q139" s="133"/>
      <c r="R139" s="133"/>
      <c r="S139" s="133"/>
      <c r="T139" s="133"/>
      <c r="U139" s="133"/>
      <c r="V139" s="133"/>
      <c r="W139" s="133"/>
      <c r="X139" s="133"/>
      <c r="Y139" s="133"/>
      <c r="Z139" s="133"/>
      <c r="AA139" s="133"/>
      <c r="AB139" s="133"/>
      <c r="AC139" s="133"/>
      <c r="AD139" s="133"/>
      <c r="AE139" s="133"/>
      <c r="AF139" s="133"/>
      <c r="AG139" s="133"/>
      <c r="AH139" s="133"/>
      <c r="AI139" s="133"/>
      <c r="AJ139" s="133"/>
      <c r="AK139" s="133"/>
      <c r="AL139" s="133"/>
      <c r="AM139" s="133"/>
      <c r="AN139" s="133"/>
      <c r="AO139" s="133"/>
      <c r="AP139" s="133"/>
      <c r="AQ139" s="133"/>
      <c r="AR139" s="133"/>
      <c r="AS139" s="133"/>
      <c r="AT139" s="133"/>
      <c r="AU139" s="133"/>
      <c r="AV139" s="133"/>
      <c r="AW139" s="133"/>
      <c r="AX139" s="133"/>
      <c r="AY139" s="133"/>
      <c r="AZ139" s="133"/>
    </row>
    <row r="141" spans="1:52" x14ac:dyDescent="0.2">
      <c r="A141" s="472" t="s">
        <v>183</v>
      </c>
      <c r="B141" s="3" t="s">
        <v>28</v>
      </c>
      <c r="C141" s="3">
        <v>1</v>
      </c>
      <c r="D141" s="3">
        <v>2</v>
      </c>
      <c r="E141" s="3">
        <v>3</v>
      </c>
      <c r="F141" s="3">
        <v>4</v>
      </c>
      <c r="G141" s="3">
        <v>5</v>
      </c>
      <c r="H141" s="3">
        <v>6</v>
      </c>
      <c r="I141" s="3">
        <v>7</v>
      </c>
      <c r="J141" s="3">
        <v>8</v>
      </c>
      <c r="K141" s="3">
        <v>9</v>
      </c>
      <c r="L141" s="3">
        <v>10</v>
      </c>
      <c r="M141" s="3">
        <v>11</v>
      </c>
      <c r="N141" s="3">
        <v>12</v>
      </c>
      <c r="O141" s="3">
        <v>13</v>
      </c>
      <c r="P141" s="3">
        <v>14</v>
      </c>
      <c r="Q141" s="3">
        <v>15</v>
      </c>
      <c r="R141" s="3">
        <v>16</v>
      </c>
      <c r="S141" s="3">
        <v>17</v>
      </c>
      <c r="T141" s="3">
        <v>18</v>
      </c>
      <c r="U141" s="3">
        <v>19</v>
      </c>
      <c r="V141" s="3">
        <v>20</v>
      </c>
    </row>
    <row r="142" spans="1:52" x14ac:dyDescent="0.2">
      <c r="A142" s="472"/>
      <c r="B142" s="3" t="s">
        <v>86</v>
      </c>
      <c r="C142" s="11">
        <f>VLOOKUP(C141,$AP$118:$AU$137,6,FALSE)</f>
        <v>0</v>
      </c>
      <c r="D142" s="11">
        <f t="shared" ref="D142:V142" si="58">VLOOKUP(D141,$AP$118:$AU$137,6,FALSE)</f>
        <v>0</v>
      </c>
      <c r="E142" s="11">
        <f t="shared" si="58"/>
        <v>0</v>
      </c>
      <c r="F142" s="11">
        <f t="shared" si="58"/>
        <v>0</v>
      </c>
      <c r="G142" s="11">
        <f t="shared" si="58"/>
        <v>0</v>
      </c>
      <c r="H142" s="11">
        <f t="shared" si="58"/>
        <v>0</v>
      </c>
      <c r="I142" s="11">
        <f t="shared" si="58"/>
        <v>0</v>
      </c>
      <c r="J142" s="11">
        <f t="shared" si="58"/>
        <v>0</v>
      </c>
      <c r="K142" s="11">
        <f t="shared" si="58"/>
        <v>0</v>
      </c>
      <c r="L142" s="11">
        <f t="shared" si="58"/>
        <v>0</v>
      </c>
      <c r="M142" s="11">
        <f t="shared" si="58"/>
        <v>0</v>
      </c>
      <c r="N142" s="11">
        <f t="shared" si="58"/>
        <v>0</v>
      </c>
      <c r="O142" s="11">
        <f t="shared" si="58"/>
        <v>0</v>
      </c>
      <c r="P142" s="11">
        <f t="shared" si="58"/>
        <v>0</v>
      </c>
      <c r="Q142" s="11">
        <f t="shared" si="58"/>
        <v>0</v>
      </c>
      <c r="R142" s="11">
        <f t="shared" si="58"/>
        <v>0</v>
      </c>
      <c r="S142" s="11">
        <f t="shared" si="58"/>
        <v>0</v>
      </c>
      <c r="T142" s="11">
        <f t="shared" si="58"/>
        <v>0</v>
      </c>
      <c r="U142" s="11">
        <f t="shared" si="58"/>
        <v>0</v>
      </c>
      <c r="V142" s="11">
        <f t="shared" si="58"/>
        <v>0</v>
      </c>
      <c r="W142" s="11"/>
      <c r="X142" s="11"/>
      <c r="Y142" s="11"/>
      <c r="Z142" s="11"/>
      <c r="AA142" s="11"/>
      <c r="AB142" s="11"/>
      <c r="AC142" s="11"/>
      <c r="AD142" s="11"/>
      <c r="AE142" s="11"/>
      <c r="AF142" s="11"/>
    </row>
    <row r="144" spans="1:52" ht="16" customHeight="1" x14ac:dyDescent="0.2">
      <c r="A144" s="472" t="str">
        <f>CONCATENATE("ST_REF_",C1)</f>
        <v>ST_REF_B</v>
      </c>
      <c r="B144" s="3" t="s">
        <v>28</v>
      </c>
      <c r="C144" s="3" t="s">
        <v>27</v>
      </c>
      <c r="D144" s="3" t="s">
        <v>29</v>
      </c>
      <c r="E144" s="3" t="s">
        <v>30</v>
      </c>
      <c r="F144" s="3" t="s">
        <v>31</v>
      </c>
      <c r="G144" s="3" t="s">
        <v>32</v>
      </c>
      <c r="H144" s="3" t="s">
        <v>33</v>
      </c>
      <c r="I144" s="3" t="s">
        <v>34</v>
      </c>
      <c r="J144" s="3" t="s">
        <v>35</v>
      </c>
      <c r="K144" s="3" t="s">
        <v>36</v>
      </c>
      <c r="L144" s="3" t="s">
        <v>37</v>
      </c>
      <c r="M144" s="3" t="s">
        <v>38</v>
      </c>
      <c r="N144" s="3" t="s">
        <v>39</v>
      </c>
      <c r="O144" s="3" t="s">
        <v>40</v>
      </c>
      <c r="P144" s="3" t="s">
        <v>41</v>
      </c>
      <c r="Q144" s="3" t="s">
        <v>42</v>
      </c>
      <c r="R144" s="3" t="s">
        <v>43</v>
      </c>
      <c r="S144" s="3" t="s">
        <v>44</v>
      </c>
      <c r="T144" s="3" t="s">
        <v>45</v>
      </c>
      <c r="U144" s="3" t="s">
        <v>46</v>
      </c>
      <c r="V144" s="3" t="s">
        <v>47</v>
      </c>
      <c r="W144" s="3" t="s">
        <v>48</v>
      </c>
      <c r="X144" s="3" t="s">
        <v>49</v>
      </c>
    </row>
    <row r="145" spans="1:24" x14ac:dyDescent="0.2">
      <c r="A145" s="472"/>
      <c r="B145" s="3">
        <v>1</v>
      </c>
      <c r="C145" s="45">
        <f t="shared" ref="C145:C164" si="59">AT118+IF($B145=1,0,C144)</f>
        <v>0</v>
      </c>
      <c r="D145" s="45">
        <f t="shared" ref="D145:W157" si="60">IF($B145&gt;=C$141,IF($B145=C$141,C$142,C$142*((20+C$141)-$B145)/20),0)*IF((20+C$141)-$B145&lt;0,0,1)</f>
        <v>0</v>
      </c>
      <c r="E145" s="45">
        <f t="shared" si="60"/>
        <v>0</v>
      </c>
      <c r="F145" s="45">
        <f t="shared" si="60"/>
        <v>0</v>
      </c>
      <c r="G145" s="45">
        <f t="shared" si="60"/>
        <v>0</v>
      </c>
      <c r="H145" s="45">
        <f t="shared" si="60"/>
        <v>0</v>
      </c>
      <c r="I145" s="45">
        <f t="shared" si="60"/>
        <v>0</v>
      </c>
      <c r="J145" s="45">
        <f t="shared" si="60"/>
        <v>0</v>
      </c>
      <c r="K145" s="45">
        <f t="shared" si="60"/>
        <v>0</v>
      </c>
      <c r="L145" s="45">
        <f t="shared" si="60"/>
        <v>0</v>
      </c>
      <c r="M145" s="45">
        <f t="shared" si="60"/>
        <v>0</v>
      </c>
      <c r="N145" s="45">
        <f t="shared" si="60"/>
        <v>0</v>
      </c>
      <c r="O145" s="45">
        <f t="shared" si="60"/>
        <v>0</v>
      </c>
      <c r="P145" s="45">
        <f t="shared" si="60"/>
        <v>0</v>
      </c>
      <c r="Q145" s="45">
        <f t="shared" si="60"/>
        <v>0</v>
      </c>
      <c r="R145" s="45">
        <f t="shared" si="60"/>
        <v>0</v>
      </c>
      <c r="S145" s="45">
        <f t="shared" si="60"/>
        <v>0</v>
      </c>
      <c r="T145" s="45">
        <f t="shared" si="60"/>
        <v>0</v>
      </c>
      <c r="U145" s="45">
        <f t="shared" si="60"/>
        <v>0</v>
      </c>
      <c r="V145" s="45">
        <f t="shared" si="60"/>
        <v>0</v>
      </c>
      <c r="W145" s="45">
        <f t="shared" si="60"/>
        <v>0</v>
      </c>
      <c r="X145" s="45">
        <f>SUM(C145:W145)*44/12</f>
        <v>0</v>
      </c>
    </row>
    <row r="146" spans="1:24" x14ac:dyDescent="0.2">
      <c r="A146" s="472"/>
      <c r="B146" s="3">
        <v>2</v>
      </c>
      <c r="C146" s="11">
        <f t="shared" si="59"/>
        <v>0</v>
      </c>
      <c r="D146" s="45">
        <f t="shared" si="60"/>
        <v>0</v>
      </c>
      <c r="E146" s="45">
        <f t="shared" si="60"/>
        <v>0</v>
      </c>
      <c r="F146" s="45">
        <f t="shared" si="60"/>
        <v>0</v>
      </c>
      <c r="G146" s="45">
        <f t="shared" si="60"/>
        <v>0</v>
      </c>
      <c r="H146" s="45">
        <f t="shared" si="60"/>
        <v>0</v>
      </c>
      <c r="I146" s="45">
        <f t="shared" si="60"/>
        <v>0</v>
      </c>
      <c r="J146" s="45">
        <f t="shared" si="60"/>
        <v>0</v>
      </c>
      <c r="K146" s="45">
        <f t="shared" si="60"/>
        <v>0</v>
      </c>
      <c r="L146" s="45">
        <f t="shared" si="60"/>
        <v>0</v>
      </c>
      <c r="M146" s="11">
        <f t="shared" si="60"/>
        <v>0</v>
      </c>
      <c r="N146" s="11">
        <f t="shared" si="60"/>
        <v>0</v>
      </c>
      <c r="O146" s="11">
        <f t="shared" si="60"/>
        <v>0</v>
      </c>
      <c r="P146" s="11">
        <f t="shared" si="60"/>
        <v>0</v>
      </c>
      <c r="Q146" s="11">
        <f t="shared" si="60"/>
        <v>0</v>
      </c>
      <c r="R146" s="11">
        <f t="shared" si="60"/>
        <v>0</v>
      </c>
      <c r="S146" s="11">
        <f t="shared" si="60"/>
        <v>0</v>
      </c>
      <c r="T146" s="11">
        <f t="shared" si="60"/>
        <v>0</v>
      </c>
      <c r="U146" s="11">
        <f t="shared" si="60"/>
        <v>0</v>
      </c>
      <c r="V146" s="11">
        <f t="shared" si="60"/>
        <v>0</v>
      </c>
      <c r="W146" s="11">
        <f t="shared" si="60"/>
        <v>0</v>
      </c>
      <c r="X146" s="45">
        <f t="shared" ref="X146:X164" si="61">SUM(C146:W146)*44/12</f>
        <v>0</v>
      </c>
    </row>
    <row r="147" spans="1:24" x14ac:dyDescent="0.2">
      <c r="A147" s="472"/>
      <c r="B147" s="3">
        <v>3</v>
      </c>
      <c r="C147" s="11">
        <f t="shared" si="59"/>
        <v>0</v>
      </c>
      <c r="D147" s="45">
        <f t="shared" si="60"/>
        <v>0</v>
      </c>
      <c r="E147" s="45">
        <f t="shared" si="60"/>
        <v>0</v>
      </c>
      <c r="F147" s="45">
        <f t="shared" si="60"/>
        <v>0</v>
      </c>
      <c r="G147" s="45">
        <f t="shared" si="60"/>
        <v>0</v>
      </c>
      <c r="H147" s="45">
        <f t="shared" si="60"/>
        <v>0</v>
      </c>
      <c r="I147" s="45">
        <f t="shared" si="60"/>
        <v>0</v>
      </c>
      <c r="J147" s="45">
        <f t="shared" si="60"/>
        <v>0</v>
      </c>
      <c r="K147" s="45">
        <f t="shared" si="60"/>
        <v>0</v>
      </c>
      <c r="L147" s="45">
        <f t="shared" si="60"/>
        <v>0</v>
      </c>
      <c r="M147" s="11">
        <f t="shared" si="60"/>
        <v>0</v>
      </c>
      <c r="N147" s="11">
        <f t="shared" si="60"/>
        <v>0</v>
      </c>
      <c r="O147" s="11">
        <f t="shared" si="60"/>
        <v>0</v>
      </c>
      <c r="P147" s="11">
        <f t="shared" si="60"/>
        <v>0</v>
      </c>
      <c r="Q147" s="11">
        <f t="shared" si="60"/>
        <v>0</v>
      </c>
      <c r="R147" s="11">
        <f t="shared" si="60"/>
        <v>0</v>
      </c>
      <c r="S147" s="11">
        <f t="shared" si="60"/>
        <v>0</v>
      </c>
      <c r="T147" s="11">
        <f t="shared" si="60"/>
        <v>0</v>
      </c>
      <c r="U147" s="11">
        <f t="shared" si="60"/>
        <v>0</v>
      </c>
      <c r="V147" s="11">
        <f t="shared" si="60"/>
        <v>0</v>
      </c>
      <c r="W147" s="11">
        <f t="shared" si="60"/>
        <v>0</v>
      </c>
      <c r="X147" s="45">
        <f t="shared" si="61"/>
        <v>0</v>
      </c>
    </row>
    <row r="148" spans="1:24" x14ac:dyDescent="0.2">
      <c r="A148" s="472"/>
      <c r="B148" s="3">
        <v>4</v>
      </c>
      <c r="C148" s="11">
        <f t="shared" si="59"/>
        <v>0</v>
      </c>
      <c r="D148" s="45">
        <f t="shared" si="60"/>
        <v>0</v>
      </c>
      <c r="E148" s="45">
        <f t="shared" si="60"/>
        <v>0</v>
      </c>
      <c r="F148" s="45">
        <f t="shared" si="60"/>
        <v>0</v>
      </c>
      <c r="G148" s="45">
        <f t="shared" si="60"/>
        <v>0</v>
      </c>
      <c r="H148" s="45">
        <f t="shared" si="60"/>
        <v>0</v>
      </c>
      <c r="I148" s="45">
        <f t="shared" si="60"/>
        <v>0</v>
      </c>
      <c r="J148" s="45">
        <f t="shared" si="60"/>
        <v>0</v>
      </c>
      <c r="K148" s="45">
        <f t="shared" si="60"/>
        <v>0</v>
      </c>
      <c r="L148" s="45">
        <f t="shared" si="60"/>
        <v>0</v>
      </c>
      <c r="M148" s="11">
        <f t="shared" si="60"/>
        <v>0</v>
      </c>
      <c r="N148" s="11">
        <f t="shared" si="60"/>
        <v>0</v>
      </c>
      <c r="O148" s="11">
        <f t="shared" si="60"/>
        <v>0</v>
      </c>
      <c r="P148" s="11">
        <f t="shared" si="60"/>
        <v>0</v>
      </c>
      <c r="Q148" s="11">
        <f t="shared" si="60"/>
        <v>0</v>
      </c>
      <c r="R148" s="11">
        <f t="shared" si="60"/>
        <v>0</v>
      </c>
      <c r="S148" s="11">
        <f t="shared" si="60"/>
        <v>0</v>
      </c>
      <c r="T148" s="11">
        <f t="shared" si="60"/>
        <v>0</v>
      </c>
      <c r="U148" s="11">
        <f t="shared" si="60"/>
        <v>0</v>
      </c>
      <c r="V148" s="11">
        <f t="shared" si="60"/>
        <v>0</v>
      </c>
      <c r="W148" s="11">
        <f t="shared" si="60"/>
        <v>0</v>
      </c>
      <c r="X148" s="45">
        <f t="shared" si="61"/>
        <v>0</v>
      </c>
    </row>
    <row r="149" spans="1:24" x14ac:dyDescent="0.2">
      <c r="A149" s="472"/>
      <c r="B149" s="3">
        <v>5</v>
      </c>
      <c r="C149" s="11">
        <f t="shared" si="59"/>
        <v>0</v>
      </c>
      <c r="D149" s="45">
        <f t="shared" si="60"/>
        <v>0</v>
      </c>
      <c r="E149" s="45">
        <f t="shared" si="60"/>
        <v>0</v>
      </c>
      <c r="F149" s="45">
        <f t="shared" si="60"/>
        <v>0</v>
      </c>
      <c r="G149" s="45">
        <f t="shared" si="60"/>
        <v>0</v>
      </c>
      <c r="H149" s="45">
        <f t="shared" si="60"/>
        <v>0</v>
      </c>
      <c r="I149" s="45">
        <f t="shared" si="60"/>
        <v>0</v>
      </c>
      <c r="J149" s="45">
        <f t="shared" si="60"/>
        <v>0</v>
      </c>
      <c r="K149" s="45">
        <f t="shared" si="60"/>
        <v>0</v>
      </c>
      <c r="L149" s="45">
        <f t="shared" si="60"/>
        <v>0</v>
      </c>
      <c r="M149" s="11">
        <f t="shared" si="60"/>
        <v>0</v>
      </c>
      <c r="N149" s="11">
        <f t="shared" si="60"/>
        <v>0</v>
      </c>
      <c r="O149" s="11">
        <f t="shared" si="60"/>
        <v>0</v>
      </c>
      <c r="P149" s="11">
        <f t="shared" si="60"/>
        <v>0</v>
      </c>
      <c r="Q149" s="11">
        <f t="shared" si="60"/>
        <v>0</v>
      </c>
      <c r="R149" s="11">
        <f t="shared" si="60"/>
        <v>0</v>
      </c>
      <c r="S149" s="11">
        <f t="shared" si="60"/>
        <v>0</v>
      </c>
      <c r="T149" s="11">
        <f t="shared" si="60"/>
        <v>0</v>
      </c>
      <c r="U149" s="11">
        <f t="shared" si="60"/>
        <v>0</v>
      </c>
      <c r="V149" s="11">
        <f t="shared" si="60"/>
        <v>0</v>
      </c>
      <c r="W149" s="11">
        <f t="shared" si="60"/>
        <v>0</v>
      </c>
      <c r="X149" s="45">
        <f t="shared" si="61"/>
        <v>0</v>
      </c>
    </row>
    <row r="150" spans="1:24" x14ac:dyDescent="0.2">
      <c r="A150" s="472"/>
      <c r="B150" s="3">
        <v>6</v>
      </c>
      <c r="C150" s="11">
        <f t="shared" si="59"/>
        <v>0</v>
      </c>
      <c r="D150" s="45">
        <f t="shared" si="60"/>
        <v>0</v>
      </c>
      <c r="E150" s="45">
        <f t="shared" si="60"/>
        <v>0</v>
      </c>
      <c r="F150" s="45">
        <f t="shared" si="60"/>
        <v>0</v>
      </c>
      <c r="G150" s="45">
        <f t="shared" si="60"/>
        <v>0</v>
      </c>
      <c r="H150" s="45">
        <f t="shared" si="60"/>
        <v>0</v>
      </c>
      <c r="I150" s="45">
        <f t="shared" si="60"/>
        <v>0</v>
      </c>
      <c r="J150" s="45">
        <f t="shared" si="60"/>
        <v>0</v>
      </c>
      <c r="K150" s="45">
        <f t="shared" si="60"/>
        <v>0</v>
      </c>
      <c r="L150" s="45">
        <f t="shared" si="60"/>
        <v>0</v>
      </c>
      <c r="M150" s="11">
        <f t="shared" si="60"/>
        <v>0</v>
      </c>
      <c r="N150" s="11">
        <f t="shared" si="60"/>
        <v>0</v>
      </c>
      <c r="O150" s="11">
        <f t="shared" si="60"/>
        <v>0</v>
      </c>
      <c r="P150" s="11">
        <f t="shared" si="60"/>
        <v>0</v>
      </c>
      <c r="Q150" s="11">
        <f t="shared" si="60"/>
        <v>0</v>
      </c>
      <c r="R150" s="11">
        <f t="shared" si="60"/>
        <v>0</v>
      </c>
      <c r="S150" s="11">
        <f t="shared" si="60"/>
        <v>0</v>
      </c>
      <c r="T150" s="11">
        <f t="shared" si="60"/>
        <v>0</v>
      </c>
      <c r="U150" s="11">
        <f t="shared" si="60"/>
        <v>0</v>
      </c>
      <c r="V150" s="11">
        <f t="shared" si="60"/>
        <v>0</v>
      </c>
      <c r="W150" s="11">
        <f t="shared" si="60"/>
        <v>0</v>
      </c>
      <c r="X150" s="45">
        <f t="shared" si="61"/>
        <v>0</v>
      </c>
    </row>
    <row r="151" spans="1:24" x14ac:dyDescent="0.2">
      <c r="A151" s="472"/>
      <c r="B151" s="3">
        <v>7</v>
      </c>
      <c r="C151" s="11">
        <f t="shared" si="59"/>
        <v>0</v>
      </c>
      <c r="D151" s="45">
        <f t="shared" si="60"/>
        <v>0</v>
      </c>
      <c r="E151" s="45">
        <f t="shared" si="60"/>
        <v>0</v>
      </c>
      <c r="F151" s="45">
        <f t="shared" si="60"/>
        <v>0</v>
      </c>
      <c r="G151" s="45">
        <f t="shared" si="60"/>
        <v>0</v>
      </c>
      <c r="H151" s="45">
        <f t="shared" si="60"/>
        <v>0</v>
      </c>
      <c r="I151" s="45">
        <f t="shared" si="60"/>
        <v>0</v>
      </c>
      <c r="J151" s="45">
        <f t="shared" si="60"/>
        <v>0</v>
      </c>
      <c r="K151" s="45">
        <f t="shared" si="60"/>
        <v>0</v>
      </c>
      <c r="L151" s="45">
        <f t="shared" si="60"/>
        <v>0</v>
      </c>
      <c r="M151" s="11">
        <f t="shared" si="60"/>
        <v>0</v>
      </c>
      <c r="N151" s="11">
        <f t="shared" si="60"/>
        <v>0</v>
      </c>
      <c r="O151" s="11">
        <f t="shared" si="60"/>
        <v>0</v>
      </c>
      <c r="P151" s="11">
        <f t="shared" si="60"/>
        <v>0</v>
      </c>
      <c r="Q151" s="11">
        <f t="shared" si="60"/>
        <v>0</v>
      </c>
      <c r="R151" s="11">
        <f t="shared" si="60"/>
        <v>0</v>
      </c>
      <c r="S151" s="11">
        <f t="shared" si="60"/>
        <v>0</v>
      </c>
      <c r="T151" s="11">
        <f t="shared" si="60"/>
        <v>0</v>
      </c>
      <c r="U151" s="11">
        <f t="shared" si="60"/>
        <v>0</v>
      </c>
      <c r="V151" s="11">
        <f t="shared" si="60"/>
        <v>0</v>
      </c>
      <c r="W151" s="11">
        <f t="shared" si="60"/>
        <v>0</v>
      </c>
      <c r="X151" s="45">
        <f t="shared" si="61"/>
        <v>0</v>
      </c>
    </row>
    <row r="152" spans="1:24" x14ac:dyDescent="0.2">
      <c r="A152" s="472"/>
      <c r="B152" s="3">
        <v>8</v>
      </c>
      <c r="C152" s="11">
        <f t="shared" si="59"/>
        <v>0</v>
      </c>
      <c r="D152" s="45">
        <f t="shared" si="60"/>
        <v>0</v>
      </c>
      <c r="E152" s="45">
        <f t="shared" si="60"/>
        <v>0</v>
      </c>
      <c r="F152" s="45">
        <f t="shared" si="60"/>
        <v>0</v>
      </c>
      <c r="G152" s="45">
        <f t="shared" si="60"/>
        <v>0</v>
      </c>
      <c r="H152" s="45">
        <f t="shared" si="60"/>
        <v>0</v>
      </c>
      <c r="I152" s="45">
        <f t="shared" si="60"/>
        <v>0</v>
      </c>
      <c r="J152" s="45">
        <f t="shared" si="60"/>
        <v>0</v>
      </c>
      <c r="K152" s="45">
        <f t="shared" si="60"/>
        <v>0</v>
      </c>
      <c r="L152" s="45">
        <f t="shared" si="60"/>
        <v>0</v>
      </c>
      <c r="M152" s="11">
        <f t="shared" si="60"/>
        <v>0</v>
      </c>
      <c r="N152" s="11">
        <f t="shared" si="60"/>
        <v>0</v>
      </c>
      <c r="O152" s="11">
        <f t="shared" si="60"/>
        <v>0</v>
      </c>
      <c r="P152" s="11">
        <f t="shared" si="60"/>
        <v>0</v>
      </c>
      <c r="Q152" s="11">
        <f t="shared" si="60"/>
        <v>0</v>
      </c>
      <c r="R152" s="11">
        <f t="shared" si="60"/>
        <v>0</v>
      </c>
      <c r="S152" s="11">
        <f t="shared" si="60"/>
        <v>0</v>
      </c>
      <c r="T152" s="11">
        <f t="shared" si="60"/>
        <v>0</v>
      </c>
      <c r="U152" s="11">
        <f t="shared" si="60"/>
        <v>0</v>
      </c>
      <c r="V152" s="11">
        <f t="shared" si="60"/>
        <v>0</v>
      </c>
      <c r="W152" s="11">
        <f t="shared" si="60"/>
        <v>0</v>
      </c>
      <c r="X152" s="45">
        <f t="shared" si="61"/>
        <v>0</v>
      </c>
    </row>
    <row r="153" spans="1:24" x14ac:dyDescent="0.2">
      <c r="A153" s="472"/>
      <c r="B153" s="3">
        <v>9</v>
      </c>
      <c r="C153" s="11">
        <f t="shared" si="59"/>
        <v>0</v>
      </c>
      <c r="D153" s="45">
        <f t="shared" si="60"/>
        <v>0</v>
      </c>
      <c r="E153" s="45">
        <f t="shared" si="60"/>
        <v>0</v>
      </c>
      <c r="F153" s="45">
        <f t="shared" si="60"/>
        <v>0</v>
      </c>
      <c r="G153" s="45">
        <f t="shared" si="60"/>
        <v>0</v>
      </c>
      <c r="H153" s="45">
        <f t="shared" si="60"/>
        <v>0</v>
      </c>
      <c r="I153" s="45">
        <f t="shared" si="60"/>
        <v>0</v>
      </c>
      <c r="J153" s="45">
        <f t="shared" si="60"/>
        <v>0</v>
      </c>
      <c r="K153" s="45">
        <f t="shared" si="60"/>
        <v>0</v>
      </c>
      <c r="L153" s="45">
        <f t="shared" si="60"/>
        <v>0</v>
      </c>
      <c r="M153" s="11">
        <f t="shared" si="60"/>
        <v>0</v>
      </c>
      <c r="N153" s="11">
        <f t="shared" si="60"/>
        <v>0</v>
      </c>
      <c r="O153" s="11">
        <f t="shared" si="60"/>
        <v>0</v>
      </c>
      <c r="P153" s="11">
        <f t="shared" si="60"/>
        <v>0</v>
      </c>
      <c r="Q153" s="11">
        <f t="shared" si="60"/>
        <v>0</v>
      </c>
      <c r="R153" s="11">
        <f t="shared" si="60"/>
        <v>0</v>
      </c>
      <c r="S153" s="11">
        <f t="shared" si="60"/>
        <v>0</v>
      </c>
      <c r="T153" s="11">
        <f t="shared" si="60"/>
        <v>0</v>
      </c>
      <c r="U153" s="11">
        <f t="shared" si="60"/>
        <v>0</v>
      </c>
      <c r="V153" s="11">
        <f t="shared" si="60"/>
        <v>0</v>
      </c>
      <c r="W153" s="11">
        <f t="shared" si="60"/>
        <v>0</v>
      </c>
      <c r="X153" s="45">
        <f t="shared" si="61"/>
        <v>0</v>
      </c>
    </row>
    <row r="154" spans="1:24" x14ac:dyDescent="0.2">
      <c r="A154" s="472"/>
      <c r="B154" s="3">
        <v>10</v>
      </c>
      <c r="C154" s="11">
        <f t="shared" si="59"/>
        <v>0</v>
      </c>
      <c r="D154" s="45">
        <f t="shared" si="60"/>
        <v>0</v>
      </c>
      <c r="E154" s="45">
        <f t="shared" si="60"/>
        <v>0</v>
      </c>
      <c r="F154" s="45">
        <f t="shared" si="60"/>
        <v>0</v>
      </c>
      <c r="G154" s="45">
        <f t="shared" si="60"/>
        <v>0</v>
      </c>
      <c r="H154" s="45">
        <f t="shared" si="60"/>
        <v>0</v>
      </c>
      <c r="I154" s="45">
        <f t="shared" si="60"/>
        <v>0</v>
      </c>
      <c r="J154" s="45">
        <f t="shared" si="60"/>
        <v>0</v>
      </c>
      <c r="K154" s="45">
        <f t="shared" si="60"/>
        <v>0</v>
      </c>
      <c r="L154" s="45">
        <f t="shared" si="60"/>
        <v>0</v>
      </c>
      <c r="M154" s="11">
        <f t="shared" si="60"/>
        <v>0</v>
      </c>
      <c r="N154" s="11">
        <f t="shared" si="60"/>
        <v>0</v>
      </c>
      <c r="O154" s="11">
        <f t="shared" si="60"/>
        <v>0</v>
      </c>
      <c r="P154" s="11">
        <f t="shared" si="60"/>
        <v>0</v>
      </c>
      <c r="Q154" s="11">
        <f t="shared" si="60"/>
        <v>0</v>
      </c>
      <c r="R154" s="11">
        <f t="shared" si="60"/>
        <v>0</v>
      </c>
      <c r="S154" s="11">
        <f t="shared" si="60"/>
        <v>0</v>
      </c>
      <c r="T154" s="11">
        <f t="shared" si="60"/>
        <v>0</v>
      </c>
      <c r="U154" s="11">
        <f t="shared" si="60"/>
        <v>0</v>
      </c>
      <c r="V154" s="11">
        <f t="shared" si="60"/>
        <v>0</v>
      </c>
      <c r="W154" s="11">
        <f t="shared" si="60"/>
        <v>0</v>
      </c>
      <c r="X154" s="45">
        <f t="shared" si="61"/>
        <v>0</v>
      </c>
    </row>
    <row r="155" spans="1:24" x14ac:dyDescent="0.2">
      <c r="A155" s="472"/>
      <c r="B155" s="3">
        <v>11</v>
      </c>
      <c r="C155" s="11">
        <f t="shared" si="59"/>
        <v>0</v>
      </c>
      <c r="D155" s="45">
        <f t="shared" si="60"/>
        <v>0</v>
      </c>
      <c r="E155" s="45">
        <f t="shared" si="60"/>
        <v>0</v>
      </c>
      <c r="F155" s="45">
        <f t="shared" si="60"/>
        <v>0</v>
      </c>
      <c r="G155" s="45">
        <f t="shared" si="60"/>
        <v>0</v>
      </c>
      <c r="H155" s="45">
        <f t="shared" si="60"/>
        <v>0</v>
      </c>
      <c r="I155" s="45">
        <f t="shared" si="60"/>
        <v>0</v>
      </c>
      <c r="J155" s="45">
        <f t="shared" si="60"/>
        <v>0</v>
      </c>
      <c r="K155" s="45">
        <f t="shared" si="60"/>
        <v>0</v>
      </c>
      <c r="L155" s="45">
        <f t="shared" si="60"/>
        <v>0</v>
      </c>
      <c r="M155" s="11">
        <f t="shared" si="60"/>
        <v>0</v>
      </c>
      <c r="N155" s="11">
        <f t="shared" si="60"/>
        <v>0</v>
      </c>
      <c r="O155" s="11">
        <f t="shared" si="60"/>
        <v>0</v>
      </c>
      <c r="P155" s="11">
        <f t="shared" si="60"/>
        <v>0</v>
      </c>
      <c r="Q155" s="11">
        <f t="shared" si="60"/>
        <v>0</v>
      </c>
      <c r="R155" s="11">
        <f t="shared" si="60"/>
        <v>0</v>
      </c>
      <c r="S155" s="11">
        <f t="shared" si="60"/>
        <v>0</v>
      </c>
      <c r="T155" s="11">
        <f t="shared" si="60"/>
        <v>0</v>
      </c>
      <c r="U155" s="11">
        <f t="shared" si="60"/>
        <v>0</v>
      </c>
      <c r="V155" s="11">
        <f t="shared" si="60"/>
        <v>0</v>
      </c>
      <c r="W155" s="11">
        <f t="shared" si="60"/>
        <v>0</v>
      </c>
      <c r="X155" s="45">
        <f t="shared" si="61"/>
        <v>0</v>
      </c>
    </row>
    <row r="156" spans="1:24" x14ac:dyDescent="0.2">
      <c r="A156" s="472"/>
      <c r="B156" s="3">
        <v>12</v>
      </c>
      <c r="C156" s="11">
        <f t="shared" si="59"/>
        <v>0</v>
      </c>
      <c r="D156" s="45">
        <f t="shared" si="60"/>
        <v>0</v>
      </c>
      <c r="E156" s="45">
        <f t="shared" si="60"/>
        <v>0</v>
      </c>
      <c r="F156" s="45">
        <f t="shared" si="60"/>
        <v>0</v>
      </c>
      <c r="G156" s="45">
        <f t="shared" si="60"/>
        <v>0</v>
      </c>
      <c r="H156" s="45">
        <f t="shared" si="60"/>
        <v>0</v>
      </c>
      <c r="I156" s="45">
        <f t="shared" si="60"/>
        <v>0</v>
      </c>
      <c r="J156" s="45">
        <f t="shared" si="60"/>
        <v>0</v>
      </c>
      <c r="K156" s="45">
        <f t="shared" si="60"/>
        <v>0</v>
      </c>
      <c r="L156" s="45">
        <f t="shared" si="60"/>
        <v>0</v>
      </c>
      <c r="M156" s="11">
        <f t="shared" si="60"/>
        <v>0</v>
      </c>
      <c r="N156" s="11">
        <f t="shared" si="60"/>
        <v>0</v>
      </c>
      <c r="O156" s="11">
        <f t="shared" si="60"/>
        <v>0</v>
      </c>
      <c r="P156" s="11">
        <f t="shared" si="60"/>
        <v>0</v>
      </c>
      <c r="Q156" s="11">
        <f t="shared" si="60"/>
        <v>0</v>
      </c>
      <c r="R156" s="11">
        <f t="shared" si="60"/>
        <v>0</v>
      </c>
      <c r="S156" s="11">
        <f t="shared" si="60"/>
        <v>0</v>
      </c>
      <c r="T156" s="11">
        <f t="shared" si="60"/>
        <v>0</v>
      </c>
      <c r="U156" s="11">
        <f t="shared" si="60"/>
        <v>0</v>
      </c>
      <c r="V156" s="11">
        <f t="shared" si="60"/>
        <v>0</v>
      </c>
      <c r="W156" s="11">
        <f t="shared" si="60"/>
        <v>0</v>
      </c>
      <c r="X156" s="45">
        <f t="shared" si="61"/>
        <v>0</v>
      </c>
    </row>
    <row r="157" spans="1:24" x14ac:dyDescent="0.2">
      <c r="A157" s="472"/>
      <c r="B157" s="3">
        <v>13</v>
      </c>
      <c r="C157" s="11">
        <f t="shared" si="59"/>
        <v>0</v>
      </c>
      <c r="D157" s="45">
        <f t="shared" si="60"/>
        <v>0</v>
      </c>
      <c r="E157" s="45">
        <f t="shared" si="60"/>
        <v>0</v>
      </c>
      <c r="F157" s="45">
        <f t="shared" si="60"/>
        <v>0</v>
      </c>
      <c r="G157" s="45">
        <f t="shared" si="60"/>
        <v>0</v>
      </c>
      <c r="H157" s="45">
        <f t="shared" si="60"/>
        <v>0</v>
      </c>
      <c r="I157" s="45">
        <f t="shared" si="60"/>
        <v>0</v>
      </c>
      <c r="J157" s="45">
        <f t="shared" si="60"/>
        <v>0</v>
      </c>
      <c r="K157" s="45">
        <f t="shared" si="60"/>
        <v>0</v>
      </c>
      <c r="L157" s="45">
        <f t="shared" si="60"/>
        <v>0</v>
      </c>
      <c r="M157" s="11">
        <f t="shared" si="60"/>
        <v>0</v>
      </c>
      <c r="N157" s="11">
        <f t="shared" si="60"/>
        <v>0</v>
      </c>
      <c r="O157" s="11">
        <f t="shared" si="60"/>
        <v>0</v>
      </c>
      <c r="P157" s="11">
        <f t="shared" si="60"/>
        <v>0</v>
      </c>
      <c r="Q157" s="11">
        <f t="shared" si="60"/>
        <v>0</v>
      </c>
      <c r="R157" s="11">
        <f t="shared" si="60"/>
        <v>0</v>
      </c>
      <c r="S157" s="11">
        <f t="shared" ref="S157:W164" si="62">IF($B157&gt;=R$141,IF($B157=R$141,R$142,R$142*((20+R$141)-$B157)/20),0)*IF((20+R$141)-$B157&lt;0,0,1)</f>
        <v>0</v>
      </c>
      <c r="T157" s="11">
        <f t="shared" si="62"/>
        <v>0</v>
      </c>
      <c r="U157" s="11">
        <f t="shared" si="62"/>
        <v>0</v>
      </c>
      <c r="V157" s="11">
        <f t="shared" si="62"/>
        <v>0</v>
      </c>
      <c r="W157" s="11">
        <f t="shared" si="62"/>
        <v>0</v>
      </c>
      <c r="X157" s="45">
        <f t="shared" si="61"/>
        <v>0</v>
      </c>
    </row>
    <row r="158" spans="1:24" x14ac:dyDescent="0.2">
      <c r="A158" s="472"/>
      <c r="B158" s="3">
        <v>14</v>
      </c>
      <c r="C158" s="11">
        <f t="shared" si="59"/>
        <v>0</v>
      </c>
      <c r="D158" s="45">
        <f t="shared" ref="D158:R164" si="63">IF($B158&gt;=C$141,IF($B158=C$141,C$142,C$142*((20+C$141)-$B158)/20),0)*IF((20+C$141)-$B158&lt;0,0,1)</f>
        <v>0</v>
      </c>
      <c r="E158" s="45">
        <f t="shared" si="63"/>
        <v>0</v>
      </c>
      <c r="F158" s="45">
        <f t="shared" si="63"/>
        <v>0</v>
      </c>
      <c r="G158" s="45">
        <f t="shared" si="63"/>
        <v>0</v>
      </c>
      <c r="H158" s="45">
        <f t="shared" si="63"/>
        <v>0</v>
      </c>
      <c r="I158" s="45">
        <f t="shared" si="63"/>
        <v>0</v>
      </c>
      <c r="J158" s="45">
        <f t="shared" si="63"/>
        <v>0</v>
      </c>
      <c r="K158" s="45">
        <f t="shared" si="63"/>
        <v>0</v>
      </c>
      <c r="L158" s="45">
        <f t="shared" si="63"/>
        <v>0</v>
      </c>
      <c r="M158" s="11">
        <f t="shared" si="63"/>
        <v>0</v>
      </c>
      <c r="N158" s="11">
        <f t="shared" si="63"/>
        <v>0</v>
      </c>
      <c r="O158" s="11">
        <f t="shared" si="63"/>
        <v>0</v>
      </c>
      <c r="P158" s="11">
        <f t="shared" si="63"/>
        <v>0</v>
      </c>
      <c r="Q158" s="11">
        <f t="shared" si="63"/>
        <v>0</v>
      </c>
      <c r="R158" s="11">
        <f t="shared" si="63"/>
        <v>0</v>
      </c>
      <c r="S158" s="11">
        <f t="shared" si="62"/>
        <v>0</v>
      </c>
      <c r="T158" s="11">
        <f t="shared" si="62"/>
        <v>0</v>
      </c>
      <c r="U158" s="11">
        <f t="shared" si="62"/>
        <v>0</v>
      </c>
      <c r="V158" s="11">
        <f t="shared" si="62"/>
        <v>0</v>
      </c>
      <c r="W158" s="11">
        <f t="shared" si="62"/>
        <v>0</v>
      </c>
      <c r="X158" s="45">
        <f t="shared" si="61"/>
        <v>0</v>
      </c>
    </row>
    <row r="159" spans="1:24" x14ac:dyDescent="0.2">
      <c r="A159" s="472"/>
      <c r="B159" s="3">
        <v>15</v>
      </c>
      <c r="C159" s="11">
        <f t="shared" si="59"/>
        <v>0</v>
      </c>
      <c r="D159" s="45">
        <f t="shared" si="63"/>
        <v>0</v>
      </c>
      <c r="E159" s="45">
        <f t="shared" si="63"/>
        <v>0</v>
      </c>
      <c r="F159" s="45">
        <f t="shared" si="63"/>
        <v>0</v>
      </c>
      <c r="G159" s="45">
        <f t="shared" si="63"/>
        <v>0</v>
      </c>
      <c r="H159" s="45">
        <f t="shared" si="63"/>
        <v>0</v>
      </c>
      <c r="I159" s="45">
        <f t="shared" si="63"/>
        <v>0</v>
      </c>
      <c r="J159" s="45">
        <f t="shared" si="63"/>
        <v>0</v>
      </c>
      <c r="K159" s="45">
        <f t="shared" si="63"/>
        <v>0</v>
      </c>
      <c r="L159" s="45">
        <f t="shared" si="63"/>
        <v>0</v>
      </c>
      <c r="M159" s="11">
        <f t="shared" si="63"/>
        <v>0</v>
      </c>
      <c r="N159" s="11">
        <f t="shared" si="63"/>
        <v>0</v>
      </c>
      <c r="O159" s="11">
        <f t="shared" si="63"/>
        <v>0</v>
      </c>
      <c r="P159" s="11">
        <f t="shared" si="63"/>
        <v>0</v>
      </c>
      <c r="Q159" s="11">
        <f t="shared" si="63"/>
        <v>0</v>
      </c>
      <c r="R159" s="11">
        <f t="shared" si="63"/>
        <v>0</v>
      </c>
      <c r="S159" s="11">
        <f t="shared" si="62"/>
        <v>0</v>
      </c>
      <c r="T159" s="11">
        <f t="shared" si="62"/>
        <v>0</v>
      </c>
      <c r="U159" s="11">
        <f t="shared" si="62"/>
        <v>0</v>
      </c>
      <c r="V159" s="11">
        <f t="shared" si="62"/>
        <v>0</v>
      </c>
      <c r="W159" s="11">
        <f t="shared" si="62"/>
        <v>0</v>
      </c>
      <c r="X159" s="45">
        <f t="shared" si="61"/>
        <v>0</v>
      </c>
    </row>
    <row r="160" spans="1:24" x14ac:dyDescent="0.2">
      <c r="A160" s="472"/>
      <c r="B160" s="3">
        <v>16</v>
      </c>
      <c r="C160" s="11">
        <f t="shared" si="59"/>
        <v>0</v>
      </c>
      <c r="D160" s="45">
        <f t="shared" si="63"/>
        <v>0</v>
      </c>
      <c r="E160" s="45">
        <f t="shared" si="63"/>
        <v>0</v>
      </c>
      <c r="F160" s="45">
        <f t="shared" si="63"/>
        <v>0</v>
      </c>
      <c r="G160" s="45">
        <f t="shared" si="63"/>
        <v>0</v>
      </c>
      <c r="H160" s="45">
        <f t="shared" si="63"/>
        <v>0</v>
      </c>
      <c r="I160" s="45">
        <f t="shared" si="63"/>
        <v>0</v>
      </c>
      <c r="J160" s="45">
        <f t="shared" si="63"/>
        <v>0</v>
      </c>
      <c r="K160" s="45">
        <f t="shared" si="63"/>
        <v>0</v>
      </c>
      <c r="L160" s="45">
        <f t="shared" si="63"/>
        <v>0</v>
      </c>
      <c r="M160" s="11">
        <f t="shared" si="63"/>
        <v>0</v>
      </c>
      <c r="N160" s="11">
        <f t="shared" si="63"/>
        <v>0</v>
      </c>
      <c r="O160" s="11">
        <f t="shared" si="63"/>
        <v>0</v>
      </c>
      <c r="P160" s="11">
        <f t="shared" si="63"/>
        <v>0</v>
      </c>
      <c r="Q160" s="11">
        <f t="shared" si="63"/>
        <v>0</v>
      </c>
      <c r="R160" s="11">
        <f t="shared" si="63"/>
        <v>0</v>
      </c>
      <c r="S160" s="11">
        <f t="shared" si="62"/>
        <v>0</v>
      </c>
      <c r="T160" s="11">
        <f t="shared" si="62"/>
        <v>0</v>
      </c>
      <c r="U160" s="11">
        <f t="shared" si="62"/>
        <v>0</v>
      </c>
      <c r="V160" s="11">
        <f t="shared" si="62"/>
        <v>0</v>
      </c>
      <c r="W160" s="11">
        <f t="shared" si="62"/>
        <v>0</v>
      </c>
      <c r="X160" s="45">
        <f t="shared" si="61"/>
        <v>0</v>
      </c>
    </row>
    <row r="161" spans="1:52" x14ac:dyDescent="0.2">
      <c r="A161" s="472"/>
      <c r="B161" s="3">
        <v>17</v>
      </c>
      <c r="C161" s="11">
        <f t="shared" si="59"/>
        <v>0</v>
      </c>
      <c r="D161" s="45">
        <f t="shared" si="63"/>
        <v>0</v>
      </c>
      <c r="E161" s="45">
        <f t="shared" si="63"/>
        <v>0</v>
      </c>
      <c r="F161" s="45">
        <f t="shared" si="63"/>
        <v>0</v>
      </c>
      <c r="G161" s="45">
        <f t="shared" si="63"/>
        <v>0</v>
      </c>
      <c r="H161" s="45">
        <f t="shared" si="63"/>
        <v>0</v>
      </c>
      <c r="I161" s="45">
        <f t="shared" si="63"/>
        <v>0</v>
      </c>
      <c r="J161" s="45">
        <f t="shared" si="63"/>
        <v>0</v>
      </c>
      <c r="K161" s="45">
        <f t="shared" si="63"/>
        <v>0</v>
      </c>
      <c r="L161" s="45">
        <f t="shared" si="63"/>
        <v>0</v>
      </c>
      <c r="M161" s="11">
        <f t="shared" si="63"/>
        <v>0</v>
      </c>
      <c r="N161" s="11">
        <f t="shared" si="63"/>
        <v>0</v>
      </c>
      <c r="O161" s="11">
        <f t="shared" si="63"/>
        <v>0</v>
      </c>
      <c r="P161" s="11">
        <f t="shared" si="63"/>
        <v>0</v>
      </c>
      <c r="Q161" s="11">
        <f t="shared" si="63"/>
        <v>0</v>
      </c>
      <c r="R161" s="11">
        <f t="shared" si="63"/>
        <v>0</v>
      </c>
      <c r="S161" s="11">
        <f t="shared" si="62"/>
        <v>0</v>
      </c>
      <c r="T161" s="11">
        <f t="shared" si="62"/>
        <v>0</v>
      </c>
      <c r="U161" s="11">
        <f t="shared" si="62"/>
        <v>0</v>
      </c>
      <c r="V161" s="11">
        <f t="shared" si="62"/>
        <v>0</v>
      </c>
      <c r="W161" s="11">
        <f t="shared" si="62"/>
        <v>0</v>
      </c>
      <c r="X161" s="45">
        <f t="shared" si="61"/>
        <v>0</v>
      </c>
    </row>
    <row r="162" spans="1:52" x14ac:dyDescent="0.2">
      <c r="A162" s="472"/>
      <c r="B162" s="3">
        <v>18</v>
      </c>
      <c r="C162" s="11">
        <f t="shared" si="59"/>
        <v>0</v>
      </c>
      <c r="D162" s="45">
        <f t="shared" si="63"/>
        <v>0</v>
      </c>
      <c r="E162" s="45">
        <f t="shared" si="63"/>
        <v>0</v>
      </c>
      <c r="F162" s="45">
        <f t="shared" si="63"/>
        <v>0</v>
      </c>
      <c r="G162" s="45">
        <f t="shared" si="63"/>
        <v>0</v>
      </c>
      <c r="H162" s="45">
        <f t="shared" si="63"/>
        <v>0</v>
      </c>
      <c r="I162" s="45">
        <f t="shared" si="63"/>
        <v>0</v>
      </c>
      <c r="J162" s="45">
        <f t="shared" si="63"/>
        <v>0</v>
      </c>
      <c r="K162" s="45">
        <f t="shared" si="63"/>
        <v>0</v>
      </c>
      <c r="L162" s="45">
        <f t="shared" si="63"/>
        <v>0</v>
      </c>
      <c r="M162" s="11">
        <f t="shared" si="63"/>
        <v>0</v>
      </c>
      <c r="N162" s="11">
        <f t="shared" si="63"/>
        <v>0</v>
      </c>
      <c r="O162" s="11">
        <f t="shared" si="63"/>
        <v>0</v>
      </c>
      <c r="P162" s="11">
        <f t="shared" si="63"/>
        <v>0</v>
      </c>
      <c r="Q162" s="11">
        <f t="shared" si="63"/>
        <v>0</v>
      </c>
      <c r="R162" s="11">
        <f t="shared" si="63"/>
        <v>0</v>
      </c>
      <c r="S162" s="11">
        <f t="shared" si="62"/>
        <v>0</v>
      </c>
      <c r="T162" s="11">
        <f t="shared" si="62"/>
        <v>0</v>
      </c>
      <c r="U162" s="11">
        <f t="shared" si="62"/>
        <v>0</v>
      </c>
      <c r="V162" s="11">
        <f t="shared" si="62"/>
        <v>0</v>
      </c>
      <c r="W162" s="11">
        <f t="shared" si="62"/>
        <v>0</v>
      </c>
      <c r="X162" s="45">
        <f t="shared" si="61"/>
        <v>0</v>
      </c>
    </row>
    <row r="163" spans="1:52" x14ac:dyDescent="0.2">
      <c r="A163" s="472"/>
      <c r="B163" s="3">
        <v>19</v>
      </c>
      <c r="C163" s="11">
        <f t="shared" si="59"/>
        <v>0</v>
      </c>
      <c r="D163" s="45">
        <f t="shared" si="63"/>
        <v>0</v>
      </c>
      <c r="E163" s="45">
        <f t="shared" si="63"/>
        <v>0</v>
      </c>
      <c r="F163" s="45">
        <f t="shared" si="63"/>
        <v>0</v>
      </c>
      <c r="G163" s="45">
        <f t="shared" si="63"/>
        <v>0</v>
      </c>
      <c r="H163" s="45">
        <f t="shared" si="63"/>
        <v>0</v>
      </c>
      <c r="I163" s="45">
        <f t="shared" si="63"/>
        <v>0</v>
      </c>
      <c r="J163" s="45">
        <f t="shared" si="63"/>
        <v>0</v>
      </c>
      <c r="K163" s="45">
        <f t="shared" si="63"/>
        <v>0</v>
      </c>
      <c r="L163" s="45">
        <f t="shared" si="63"/>
        <v>0</v>
      </c>
      <c r="M163" s="11">
        <f t="shared" si="63"/>
        <v>0</v>
      </c>
      <c r="N163" s="11">
        <f t="shared" si="63"/>
        <v>0</v>
      </c>
      <c r="O163" s="11">
        <f t="shared" si="63"/>
        <v>0</v>
      </c>
      <c r="P163" s="11">
        <f t="shared" si="63"/>
        <v>0</v>
      </c>
      <c r="Q163" s="11">
        <f t="shared" si="63"/>
        <v>0</v>
      </c>
      <c r="R163" s="11">
        <f t="shared" si="63"/>
        <v>0</v>
      </c>
      <c r="S163" s="11">
        <f t="shared" si="62"/>
        <v>0</v>
      </c>
      <c r="T163" s="11">
        <f t="shared" si="62"/>
        <v>0</v>
      </c>
      <c r="U163" s="11">
        <f t="shared" si="62"/>
        <v>0</v>
      </c>
      <c r="V163" s="11">
        <f t="shared" si="62"/>
        <v>0</v>
      </c>
      <c r="W163" s="11">
        <f t="shared" si="62"/>
        <v>0</v>
      </c>
      <c r="X163" s="45">
        <f t="shared" si="61"/>
        <v>0</v>
      </c>
    </row>
    <row r="164" spans="1:52" x14ac:dyDescent="0.2">
      <c r="A164" s="472"/>
      <c r="B164" s="3">
        <v>20</v>
      </c>
      <c r="C164" s="11">
        <f t="shared" si="59"/>
        <v>0</v>
      </c>
      <c r="D164" s="45">
        <f t="shared" si="63"/>
        <v>0</v>
      </c>
      <c r="E164" s="45">
        <f t="shared" si="63"/>
        <v>0</v>
      </c>
      <c r="F164" s="45">
        <f t="shared" si="63"/>
        <v>0</v>
      </c>
      <c r="G164" s="45">
        <f t="shared" si="63"/>
        <v>0</v>
      </c>
      <c r="H164" s="45">
        <f t="shared" si="63"/>
        <v>0</v>
      </c>
      <c r="I164" s="45">
        <f t="shared" si="63"/>
        <v>0</v>
      </c>
      <c r="J164" s="45">
        <f t="shared" si="63"/>
        <v>0</v>
      </c>
      <c r="K164" s="45">
        <f t="shared" si="63"/>
        <v>0</v>
      </c>
      <c r="L164" s="45">
        <f t="shared" si="63"/>
        <v>0</v>
      </c>
      <c r="M164" s="11">
        <f t="shared" si="63"/>
        <v>0</v>
      </c>
      <c r="N164" s="11">
        <f t="shared" si="63"/>
        <v>0</v>
      </c>
      <c r="O164" s="11">
        <f t="shared" si="63"/>
        <v>0</v>
      </c>
      <c r="P164" s="11">
        <f t="shared" si="63"/>
        <v>0</v>
      </c>
      <c r="Q164" s="11">
        <f t="shared" si="63"/>
        <v>0</v>
      </c>
      <c r="R164" s="11">
        <f t="shared" si="63"/>
        <v>0</v>
      </c>
      <c r="S164" s="11">
        <f t="shared" si="62"/>
        <v>0</v>
      </c>
      <c r="T164" s="11">
        <f t="shared" si="62"/>
        <v>0</v>
      </c>
      <c r="U164" s="11">
        <f t="shared" si="62"/>
        <v>0</v>
      </c>
      <c r="V164" s="11">
        <f t="shared" si="62"/>
        <v>0</v>
      </c>
      <c r="W164" s="11">
        <f t="shared" si="62"/>
        <v>0</v>
      </c>
      <c r="X164" s="45">
        <f t="shared" si="61"/>
        <v>0</v>
      </c>
    </row>
    <row r="167" spans="1:52" s="141" customFormat="1" x14ac:dyDescent="0.2">
      <c r="A167" s="475" t="s">
        <v>50</v>
      </c>
      <c r="B167" s="140" t="s">
        <v>6</v>
      </c>
      <c r="C167" s="140" t="s">
        <v>225</v>
      </c>
      <c r="D167" s="140"/>
    </row>
    <row r="168" spans="1:52" s="141" customFormat="1" x14ac:dyDescent="0.2">
      <c r="A168" s="475"/>
      <c r="B168" s="140" t="s">
        <v>87</v>
      </c>
      <c r="C168" s="142" t="str">
        <f>C5</f>
        <v/>
      </c>
      <c r="D168" s="140"/>
    </row>
    <row r="169" spans="1:52" s="141" customFormat="1" x14ac:dyDescent="0.2">
      <c r="A169" s="475"/>
      <c r="B169" s="140" t="s">
        <v>181</v>
      </c>
      <c r="C169" s="140">
        <f>C6</f>
        <v>0</v>
      </c>
      <c r="D169" s="140"/>
    </row>
    <row r="171" spans="1:52" x14ac:dyDescent="0.2">
      <c r="A171" s="135" t="s">
        <v>626</v>
      </c>
      <c r="B171" s="135"/>
      <c r="C171" s="135"/>
      <c r="D171" s="135"/>
      <c r="E171" s="135"/>
      <c r="F171" s="135"/>
      <c r="G171" s="135"/>
      <c r="H171" s="135"/>
      <c r="I171" s="135"/>
      <c r="J171" s="135"/>
      <c r="K171" s="135"/>
      <c r="L171" s="135"/>
      <c r="M171" s="49"/>
      <c r="N171" s="49"/>
      <c r="O171" s="49"/>
      <c r="P171" s="49"/>
      <c r="Q171" s="49"/>
      <c r="R171" s="49"/>
      <c r="S171" s="49"/>
      <c r="T171" s="49"/>
      <c r="U171" s="49"/>
      <c r="V171" s="49"/>
      <c r="W171" s="49"/>
      <c r="X171" s="49"/>
      <c r="Y171" s="49"/>
      <c r="Z171" s="49"/>
      <c r="AA171" s="49"/>
      <c r="AB171" s="49"/>
      <c r="AC171" s="49"/>
      <c r="AD171" s="49"/>
      <c r="AE171" s="49"/>
      <c r="AF171" s="49"/>
      <c r="AG171" s="49"/>
      <c r="AH171" s="49"/>
      <c r="AI171" s="49"/>
      <c r="AJ171" s="49"/>
      <c r="AK171" s="49"/>
      <c r="AL171" s="49"/>
      <c r="AM171" s="49"/>
      <c r="AN171" s="49"/>
      <c r="AO171" s="49"/>
      <c r="AP171" s="49"/>
      <c r="AQ171" s="49"/>
      <c r="AR171" s="49"/>
      <c r="AS171" s="49"/>
      <c r="AT171" s="49"/>
      <c r="AU171" s="49"/>
      <c r="AV171" s="49"/>
      <c r="AW171" s="49"/>
      <c r="AX171" s="49"/>
      <c r="AY171" s="49"/>
      <c r="AZ171" s="49"/>
    </row>
    <row r="173" spans="1:52" ht="16" customHeight="1" x14ac:dyDescent="0.2">
      <c r="A173" s="463" t="s">
        <v>727</v>
      </c>
      <c r="B173" s="3" t="s">
        <v>8</v>
      </c>
      <c r="C173" s="3" t="s">
        <v>17</v>
      </c>
      <c r="D173" s="3" t="s">
        <v>61</v>
      </c>
      <c r="E173" s="3" t="s">
        <v>88</v>
      </c>
      <c r="F173" s="3" t="s">
        <v>297</v>
      </c>
      <c r="J173" s="463" t="s">
        <v>728</v>
      </c>
      <c r="K173" s="3" t="s">
        <v>8</v>
      </c>
      <c r="L173" s="3" t="s">
        <v>17</v>
      </c>
      <c r="M173" s="3" t="s">
        <v>61</v>
      </c>
      <c r="N173" s="3" t="s">
        <v>88</v>
      </c>
      <c r="O173" s="3" t="s">
        <v>297</v>
      </c>
      <c r="S173" s="463" t="s">
        <v>729</v>
      </c>
      <c r="T173" s="3" t="s">
        <v>8</v>
      </c>
      <c r="U173" s="3" t="s">
        <v>17</v>
      </c>
      <c r="V173" s="3" t="s">
        <v>61</v>
      </c>
      <c r="W173" s="3" t="s">
        <v>88</v>
      </c>
      <c r="X173" s="3" t="s">
        <v>297</v>
      </c>
      <c r="AB173" s="463" t="s">
        <v>730</v>
      </c>
      <c r="AC173" s="3" t="s">
        <v>8</v>
      </c>
      <c r="AD173" s="3" t="s">
        <v>17</v>
      </c>
      <c r="AE173" s="3" t="s">
        <v>61</v>
      </c>
      <c r="AF173" s="3" t="s">
        <v>88</v>
      </c>
      <c r="AG173" s="3" t="s">
        <v>297</v>
      </c>
    </row>
    <row r="174" spans="1:52" x14ac:dyDescent="0.2">
      <c r="A174" s="463"/>
      <c r="B174" s="3" t="str">
        <f>IF(B58="","",B58)</f>
        <v/>
      </c>
      <c r="C174" s="3">
        <f>IF(OR(B174=0,B174=""),0,VLOOKUP(B174,Tableau44[[Code_ess]:[FEB]],4,FALSE))</f>
        <v>0</v>
      </c>
      <c r="D174" s="3">
        <f>IF(OR(B174=0,B174=""),0,VLOOKUP(B174,Tableau44[[Code_ess]:[FEB]],5,FALSE))</f>
        <v>0</v>
      </c>
      <c r="E174" s="43">
        <f>IF(OR(B174=0,B174=""),0,VLOOKUP(B174,$G$4:$H$7,2,FALSE))</f>
        <v>0</v>
      </c>
      <c r="F174" s="3">
        <f>IF(OR(B174=0,B174=""),0,VLOOKUP(B174,Listes!$C$7:$D$36,2,FALSE))</f>
        <v>0</v>
      </c>
      <c r="H174" s="44"/>
      <c r="J174" s="463"/>
      <c r="K174" s="3" t="str">
        <f>IF(K58="","",K58)</f>
        <v/>
      </c>
      <c r="L174" s="3">
        <f>IF(OR(K174=0,K174=""),0,VLOOKUP(K174,Tableau44[[Code_ess]:[FEB]],4,FALSE))</f>
        <v>0</v>
      </c>
      <c r="M174" s="3">
        <f>IF(OR(K174=0,K174=""),0,VLOOKUP(K174,Tableau44[[Code_ess]:[FEB]],5,FALSE))</f>
        <v>0</v>
      </c>
      <c r="N174" s="43">
        <f>IF(OR(K174=0,K174=""),0,VLOOKUP(K174,$G$4:$H$7,2,FALSE))</f>
        <v>0</v>
      </c>
      <c r="O174" s="3">
        <f>IF(OR(K174=0,K174=""),0,VLOOKUP(K174,Listes!$C$7:$D$36,2,FALSE))</f>
        <v>0</v>
      </c>
      <c r="S174" s="463"/>
      <c r="T174" s="3" t="str">
        <f>IF(T58="","",T58)</f>
        <v/>
      </c>
      <c r="U174" s="3">
        <f>IF(OR(T174=0,T174=""),0,VLOOKUP(T174,Tableau44[[Code_ess]:[FEB]],4,FALSE))</f>
        <v>0</v>
      </c>
      <c r="V174" s="3">
        <f>IF(OR(T174=0,T174=""),0,VLOOKUP(T174,Tableau44[[Code_ess]:[FEB]],5,FALSE))</f>
        <v>0</v>
      </c>
      <c r="W174" s="43">
        <f>IF(OR(T174=0,T174=""),0,VLOOKUP(T174,$G$4:$H$7,2,FALSE))</f>
        <v>0</v>
      </c>
      <c r="X174" s="3">
        <f>IF(OR(T174=0,T174=""),0,VLOOKUP(T174,Listes!$C$7:$D$36,2,FALSE))</f>
        <v>0</v>
      </c>
      <c r="AB174" s="463"/>
      <c r="AC174" s="3" t="str">
        <f>IF(AC58="","",AC58)</f>
        <v/>
      </c>
      <c r="AD174" s="3">
        <f>IF(OR(AC174=0,AC174=""),0,VLOOKUP(AC174,Tableau44[[Code_ess]:[FEB]],4,FALSE))</f>
        <v>0</v>
      </c>
      <c r="AE174" s="3">
        <f>IF(OR(AC174=0,AC174=""),0,VLOOKUP(AC174,Tableau44[[Code_ess]:[FEB]],5,FALSE))</f>
        <v>0</v>
      </c>
      <c r="AF174" s="43">
        <f>IF(OR(AC174=0,AC174=""),0,VLOOKUP(AC174,$G$4:$H$7,2,FALSE))</f>
        <v>0</v>
      </c>
      <c r="AG174" s="3">
        <f>IF(OR(AC174=0,AC174=""),0,VLOOKUP(AC174,Listes!$C$7:$D$36,2,FALSE))</f>
        <v>0</v>
      </c>
    </row>
    <row r="176" spans="1:52" ht="16" customHeight="1" x14ac:dyDescent="0.2">
      <c r="A176" s="463" t="str">
        <f>CONCATENATE("SQ_PRJ_",A173)</f>
        <v>SQ_PRJ_A_ESS_1</v>
      </c>
      <c r="B176" s="3" t="s">
        <v>15</v>
      </c>
      <c r="C176" s="3" t="s">
        <v>19</v>
      </c>
      <c r="D176" s="3" t="s">
        <v>18</v>
      </c>
      <c r="E176" s="3" t="s">
        <v>16</v>
      </c>
      <c r="F176" s="3" t="s">
        <v>78</v>
      </c>
      <c r="G176" s="3" t="s">
        <v>79</v>
      </c>
      <c r="H176" s="3" t="s">
        <v>56</v>
      </c>
      <c r="J176" s="463" t="str">
        <f>CONCATENATE("SQ_PRJ_",J173)</f>
        <v>SQ_PRJ_A_ESS_2</v>
      </c>
      <c r="K176" s="3" t="s">
        <v>15</v>
      </c>
      <c r="L176" s="3" t="s">
        <v>19</v>
      </c>
      <c r="M176" s="3" t="s">
        <v>18</v>
      </c>
      <c r="N176" s="3" t="s">
        <v>16</v>
      </c>
      <c r="O176" s="3" t="s">
        <v>78</v>
      </c>
      <c r="P176" s="3" t="s">
        <v>79</v>
      </c>
      <c r="Q176" s="3" t="s">
        <v>56</v>
      </c>
      <c r="S176" s="463" t="str">
        <f>CONCATENATE("SQ_PRJ_",S173)</f>
        <v>SQ_PRJ_A_ESS_3</v>
      </c>
      <c r="T176" s="3" t="s">
        <v>15</v>
      </c>
      <c r="U176" s="3" t="s">
        <v>19</v>
      </c>
      <c r="V176" s="3" t="s">
        <v>18</v>
      </c>
      <c r="W176" s="3" t="s">
        <v>16</v>
      </c>
      <c r="X176" s="3" t="s">
        <v>78</v>
      </c>
      <c r="Y176" s="3" t="s">
        <v>79</v>
      </c>
      <c r="Z176" s="3" t="s">
        <v>56</v>
      </c>
      <c r="AB176" s="463" t="str">
        <f>CONCATENATE("SQ_PRJ_",AB173)</f>
        <v>SQ_PRJ_A_ESS_4</v>
      </c>
      <c r="AC176" s="3" t="s">
        <v>15</v>
      </c>
      <c r="AD176" s="3" t="s">
        <v>19</v>
      </c>
      <c r="AE176" s="3" t="s">
        <v>18</v>
      </c>
      <c r="AF176" s="3" t="s">
        <v>16</v>
      </c>
      <c r="AG176" s="3" t="s">
        <v>78</v>
      </c>
      <c r="AH176" s="3" t="s">
        <v>79</v>
      </c>
      <c r="AI176" s="3" t="s">
        <v>56</v>
      </c>
      <c r="AK176" s="463" t="s">
        <v>731</v>
      </c>
      <c r="AL176" s="3" t="s">
        <v>28</v>
      </c>
      <c r="AM176" s="3" t="s">
        <v>121</v>
      </c>
      <c r="AN176" s="3" t="s">
        <v>122</v>
      </c>
      <c r="AO176" s="3" t="s">
        <v>158</v>
      </c>
      <c r="AQ176" s="216"/>
      <c r="AR176" s="3" t="s">
        <v>94</v>
      </c>
      <c r="AS176" s="3" t="s">
        <v>758</v>
      </c>
    </row>
    <row r="177" spans="1:45" ht="16" customHeight="1" x14ac:dyDescent="0.2">
      <c r="A177" s="463"/>
      <c r="B177" s="3">
        <v>1</v>
      </c>
      <c r="C177" s="45">
        <f>IF(OR(B174="",B174=0),0,VLOOKUP(B174,$G$4:$M$7,6,FALSE))</f>
        <v>0</v>
      </c>
      <c r="D177" s="45">
        <f t="shared" ref="D177:D196" si="64">IF(OR(C177="",C177=0),0,IF(B177=1,((VLOOKUP(B$174,$G$4:$N$7,6,FALSE)-VLOOKUP(B$174,$G$4:$N$7,8,FALSE))/20),((VLOOKUP(B$174,$G$4:$N$7,6,FALSE)-VLOOKUP(B$174,$G$4:$N$7,8,FALSE))/20)+C177-E176))</f>
        <v>0</v>
      </c>
      <c r="E177" s="45">
        <f t="shared" ref="E177:E196" si="65">IF(C177="",0,C177-D177)</f>
        <v>0</v>
      </c>
      <c r="F177" s="45">
        <f>IF(E177=0,0,E177*C$58)</f>
        <v>0</v>
      </c>
      <c r="G177" s="45">
        <f t="shared" ref="G177:G196" si="66">IF(F177&gt;0,EXP(-1.0587+0.8836*LN(F177)+0.284),0)</f>
        <v>0</v>
      </c>
      <c r="H177" s="45">
        <f t="shared" ref="H177:H196" si="67">SUM(F177:G177)*0.475*44/12</f>
        <v>0</v>
      </c>
      <c r="J177" s="463"/>
      <c r="K177" s="3">
        <v>1</v>
      </c>
      <c r="L177" s="45">
        <f>IF(OR(K174="",K174=0),0,VLOOKUP(K174,$G$4:$L$7,6,FALSE))</f>
        <v>0</v>
      </c>
      <c r="M177" s="45">
        <f t="shared" ref="M177:M196" si="68">IF(OR(L177="",L177=0),0,IF(K177=1,((VLOOKUP(K$174,$G$4:$N$7,6,FALSE)-VLOOKUP(K$174,$G$4:$N$7,8,FALSE))/20),((VLOOKUP(K$174,$G$4:$N$7,6,FALSE)-VLOOKUP(K$174,$G$4:$N$7,8,FALSE))/20)+L177-N176))</f>
        <v>0</v>
      </c>
      <c r="N177" s="45">
        <f t="shared" ref="N177:N196" si="69">IF(L177="",0,L177-M177)</f>
        <v>0</v>
      </c>
      <c r="O177" s="45">
        <f>IF(N177=0,0,N177*L$58)</f>
        <v>0</v>
      </c>
      <c r="P177" s="45">
        <f t="shared" ref="P177:P196" si="70">IF(O177&gt;0,EXP(-1.0587+0.8836*LN(O177)+0.284),0)</f>
        <v>0</v>
      </c>
      <c r="Q177" s="45">
        <f t="shared" ref="Q177:Q196" si="71">SUM(O177:P177)*0.475*44/12</f>
        <v>0</v>
      </c>
      <c r="R177" s="45"/>
      <c r="S177" s="463"/>
      <c r="T177" s="3">
        <v>1</v>
      </c>
      <c r="U177" s="45">
        <f>IF(OR(T174="",T174=0),0,VLOOKUP(T174,$G$4:$L$7,6,FALSE))</f>
        <v>0</v>
      </c>
      <c r="V177" s="45">
        <f t="shared" ref="V177:V196" si="72">IF(OR(U177="",U177=0),0,IF(T177=1,((VLOOKUP(T$174,$G$4:$N$7,6,FALSE)-VLOOKUP(T$174,$G$4:$N$7,8,FALSE))/20),((VLOOKUP(T$174,$G$4:$N$7,6,FALSE)-VLOOKUP(T$174,$G$4:$N$7,8,FALSE))/20)+U177-W176))</f>
        <v>0</v>
      </c>
      <c r="W177" s="45">
        <f t="shared" ref="W177:W196" si="73">IF(U177="",0,U177-V177)</f>
        <v>0</v>
      </c>
      <c r="X177" s="45">
        <f>IF(W177=0,0,W177*U$58)</f>
        <v>0</v>
      </c>
      <c r="Y177" s="45">
        <f t="shared" ref="Y177:Y196" si="74">IF(X177&gt;0,EXP(-1.0587+0.8836*LN(X177)+0.284),0)</f>
        <v>0</v>
      </c>
      <c r="Z177" s="45">
        <f t="shared" ref="Z177:Z196" si="75">SUM(X177:Y177)*0.475*44/12</f>
        <v>0</v>
      </c>
      <c r="AA177" s="45"/>
      <c r="AB177" s="463"/>
      <c r="AC177" s="3">
        <v>1</v>
      </c>
      <c r="AD177" s="45">
        <f>IF(OR(AC174="",AC174=0),0,VLOOKUP(AC174,$G$4:$L$7,6,FALSE))</f>
        <v>0</v>
      </c>
      <c r="AE177" s="45">
        <f t="shared" ref="AE177:AE196" si="76">IF(OR(AD177="",AD177=0),0,IF(AC177=1,((VLOOKUP(AC$174,$G$4:$N$7,6,FALSE)-VLOOKUP(AC$174,$G$4:$N$7,8,FALSE))/20),((VLOOKUP(AC$174,$G$4:$N$7,6,FALSE)-VLOOKUP(AC$174,$G$4:$N$7,8,FALSE))/20)+AD177-AF176))</f>
        <v>0</v>
      </c>
      <c r="AF177" s="45">
        <f t="shared" ref="AF177:AF196" si="77">IF(AD177="",0,AD177-AE177)</f>
        <v>0</v>
      </c>
      <c r="AG177" s="45">
        <f>IF(AF177=0,0,AF177*AD$58)</f>
        <v>0</v>
      </c>
      <c r="AH177" s="45">
        <f t="shared" ref="AH177:AH196" si="78">IF(AG177&gt;0,EXP(-1.0587+0.8836*LN(AG177)+0.284),0)</f>
        <v>0</v>
      </c>
      <c r="AI177" s="45">
        <f t="shared" ref="AI177:AI196" si="79">SUM(AG177:AH177)*0.475*44/12</f>
        <v>0</v>
      </c>
      <c r="AJ177" s="45"/>
      <c r="AK177" s="463"/>
      <c r="AL177" s="3">
        <v>1</v>
      </c>
      <c r="AM177" s="11">
        <f t="shared" ref="AM177:AM196" si="80">SUM(D177,M177,V177,AE177)</f>
        <v>0</v>
      </c>
      <c r="AN177" s="46">
        <f>IF(OR($C$6=0,SUM($M$4:$M$7)=0),0,AM177/SUM($M$4:$M$7))</f>
        <v>0</v>
      </c>
      <c r="AO177" s="47">
        <f t="shared" ref="AO177:AO196" si="81">AN177*50%</f>
        <v>0</v>
      </c>
      <c r="AQ177" s="216"/>
      <c r="AR177" s="108">
        <v>1</v>
      </c>
      <c r="AS177" s="110">
        <f>C177+L177+U177+AD177</f>
        <v>0</v>
      </c>
    </row>
    <row r="178" spans="1:45" x14ac:dyDescent="0.2">
      <c r="A178" s="463"/>
      <c r="B178" s="3">
        <v>2</v>
      </c>
      <c r="C178" s="45">
        <f>IF(E177=0,0,E177*(1+E$174))</f>
        <v>0</v>
      </c>
      <c r="D178" s="45">
        <f t="shared" si="64"/>
        <v>0</v>
      </c>
      <c r="E178" s="11">
        <f t="shared" si="65"/>
        <v>0</v>
      </c>
      <c r="F178" s="45">
        <f>IF(E178=0,0,E178*C$58)</f>
        <v>0</v>
      </c>
      <c r="G178" s="45">
        <f t="shared" si="66"/>
        <v>0</v>
      </c>
      <c r="H178" s="11">
        <f t="shared" si="67"/>
        <v>0</v>
      </c>
      <c r="J178" s="463"/>
      <c r="K178" s="3">
        <v>2</v>
      </c>
      <c r="L178" s="45">
        <f>IF(N177=0,0,N177*(1+N$174))</f>
        <v>0</v>
      </c>
      <c r="M178" s="45">
        <f t="shared" si="68"/>
        <v>0</v>
      </c>
      <c r="N178" s="11">
        <f t="shared" si="69"/>
        <v>0</v>
      </c>
      <c r="O178" s="45">
        <f>IF(N178=0,0,N178*L$58)</f>
        <v>0</v>
      </c>
      <c r="P178" s="45">
        <f t="shared" si="70"/>
        <v>0</v>
      </c>
      <c r="Q178" s="11">
        <f t="shared" si="71"/>
        <v>0</v>
      </c>
      <c r="R178" s="11"/>
      <c r="S178" s="463"/>
      <c r="T178" s="3">
        <v>2</v>
      </c>
      <c r="U178" s="45">
        <f>IF(W177=0,0,W177*(1+W$174))</f>
        <v>0</v>
      </c>
      <c r="V178" s="45">
        <f t="shared" si="72"/>
        <v>0</v>
      </c>
      <c r="W178" s="11">
        <f t="shared" si="73"/>
        <v>0</v>
      </c>
      <c r="X178" s="45">
        <f>IF(W178=0,0,W178*U$58)</f>
        <v>0</v>
      </c>
      <c r="Y178" s="45">
        <f t="shared" si="74"/>
        <v>0</v>
      </c>
      <c r="Z178" s="11">
        <f t="shared" si="75"/>
        <v>0</v>
      </c>
      <c r="AA178" s="11"/>
      <c r="AB178" s="463"/>
      <c r="AC178" s="3">
        <v>2</v>
      </c>
      <c r="AD178" s="45">
        <f>IF(AF177=0,0,AF177*(1+AF$174))</f>
        <v>0</v>
      </c>
      <c r="AE178" s="45">
        <f t="shared" si="76"/>
        <v>0</v>
      </c>
      <c r="AF178" s="11">
        <f t="shared" si="77"/>
        <v>0</v>
      </c>
      <c r="AG178" s="45">
        <f>IF(AF178=0,0,AF178*AD$58)</f>
        <v>0</v>
      </c>
      <c r="AH178" s="45">
        <f t="shared" si="78"/>
        <v>0</v>
      </c>
      <c r="AI178" s="11">
        <f t="shared" si="79"/>
        <v>0</v>
      </c>
      <c r="AJ178" s="11"/>
      <c r="AK178" s="463"/>
      <c r="AL178" s="3">
        <v>2</v>
      </c>
      <c r="AM178" s="11">
        <f t="shared" si="80"/>
        <v>0</v>
      </c>
      <c r="AN178" s="46">
        <f t="shared" ref="AN178:AN196" si="82">IF(OR($C$6=0,SUM($M$4:$M$7)=0),0,AM178/SUM($M$4:$M$7))</f>
        <v>0</v>
      </c>
      <c r="AO178" s="47">
        <f t="shared" si="81"/>
        <v>0</v>
      </c>
      <c r="AQ178" s="216"/>
      <c r="AR178" s="109">
        <v>2</v>
      </c>
      <c r="AS178" s="111">
        <f>E178+N178+W178+AF178</f>
        <v>0</v>
      </c>
    </row>
    <row r="179" spans="1:45" x14ac:dyDescent="0.2">
      <c r="A179" s="463"/>
      <c r="B179" s="3">
        <v>3</v>
      </c>
      <c r="C179" s="45">
        <f t="shared" ref="C179:C196" si="83">IF(E178=0,0,E178*(1+E$174))</f>
        <v>0</v>
      </c>
      <c r="D179" s="45">
        <f t="shared" si="64"/>
        <v>0</v>
      </c>
      <c r="E179" s="11">
        <f t="shared" si="65"/>
        <v>0</v>
      </c>
      <c r="F179" s="45">
        <f t="shared" ref="F179:F196" si="84">IF(E179=0,0,E179*C$58)</f>
        <v>0</v>
      </c>
      <c r="G179" s="45">
        <f t="shared" si="66"/>
        <v>0</v>
      </c>
      <c r="H179" s="11">
        <f t="shared" si="67"/>
        <v>0</v>
      </c>
      <c r="J179" s="463"/>
      <c r="K179" s="3">
        <v>3</v>
      </c>
      <c r="L179" s="45">
        <f t="shared" ref="L179:L196" si="85">IF(N178=0,0,N178*(1+N$174))</f>
        <v>0</v>
      </c>
      <c r="M179" s="45">
        <f t="shared" si="68"/>
        <v>0</v>
      </c>
      <c r="N179" s="11">
        <f t="shared" si="69"/>
        <v>0</v>
      </c>
      <c r="O179" s="45">
        <f t="shared" ref="O179:O196" si="86">IF(N179=0,0,N179*L$58)</f>
        <v>0</v>
      </c>
      <c r="P179" s="45">
        <f t="shared" si="70"/>
        <v>0</v>
      </c>
      <c r="Q179" s="11">
        <f t="shared" si="71"/>
        <v>0</v>
      </c>
      <c r="R179" s="11"/>
      <c r="S179" s="463"/>
      <c r="T179" s="3">
        <v>3</v>
      </c>
      <c r="U179" s="45">
        <f t="shared" ref="U179:U196" si="87">IF(W178=0,0,W178*(1+W$174))</f>
        <v>0</v>
      </c>
      <c r="V179" s="45">
        <f t="shared" si="72"/>
        <v>0</v>
      </c>
      <c r="W179" s="11">
        <f t="shared" si="73"/>
        <v>0</v>
      </c>
      <c r="X179" s="45">
        <f t="shared" ref="X179:X196" si="88">IF(W179=0,0,W179*U$58)</f>
        <v>0</v>
      </c>
      <c r="Y179" s="45">
        <f t="shared" si="74"/>
        <v>0</v>
      </c>
      <c r="Z179" s="11">
        <f t="shared" si="75"/>
        <v>0</v>
      </c>
      <c r="AA179" s="11"/>
      <c r="AB179" s="463"/>
      <c r="AC179" s="3">
        <v>3</v>
      </c>
      <c r="AD179" s="45">
        <f t="shared" ref="AD179:AD196" si="89">IF(AF178=0,0,AF178*(1+AF$174))</f>
        <v>0</v>
      </c>
      <c r="AE179" s="45">
        <f t="shared" si="76"/>
        <v>0</v>
      </c>
      <c r="AF179" s="11">
        <f t="shared" si="77"/>
        <v>0</v>
      </c>
      <c r="AG179" s="45">
        <f t="shared" ref="AG179:AG196" si="90">IF(AF179=0,0,AF179*AD$58)</f>
        <v>0</v>
      </c>
      <c r="AH179" s="45">
        <f t="shared" si="78"/>
        <v>0</v>
      </c>
      <c r="AI179" s="11">
        <f t="shared" si="79"/>
        <v>0</v>
      </c>
      <c r="AJ179" s="11"/>
      <c r="AK179" s="463"/>
      <c r="AL179" s="3">
        <v>3</v>
      </c>
      <c r="AM179" s="11">
        <f t="shared" si="80"/>
        <v>0</v>
      </c>
      <c r="AN179" s="46">
        <f t="shared" si="82"/>
        <v>0</v>
      </c>
      <c r="AO179" s="47">
        <f t="shared" si="81"/>
        <v>0</v>
      </c>
      <c r="AQ179" s="216"/>
      <c r="AR179" s="108">
        <v>3</v>
      </c>
      <c r="AS179" s="111">
        <f t="shared" ref="AS179:AS196" si="91">E179+N179+W179+AF179</f>
        <v>0</v>
      </c>
    </row>
    <row r="180" spans="1:45" x14ac:dyDescent="0.2">
      <c r="A180" s="463"/>
      <c r="B180" s="3">
        <v>4</v>
      </c>
      <c r="C180" s="45">
        <f t="shared" si="83"/>
        <v>0</v>
      </c>
      <c r="D180" s="45">
        <f t="shared" si="64"/>
        <v>0</v>
      </c>
      <c r="E180" s="11">
        <f t="shared" si="65"/>
        <v>0</v>
      </c>
      <c r="F180" s="45">
        <f t="shared" si="84"/>
        <v>0</v>
      </c>
      <c r="G180" s="45">
        <f t="shared" si="66"/>
        <v>0</v>
      </c>
      <c r="H180" s="11">
        <f t="shared" si="67"/>
        <v>0</v>
      </c>
      <c r="J180" s="463"/>
      <c r="K180" s="3">
        <v>4</v>
      </c>
      <c r="L180" s="45">
        <f t="shared" si="85"/>
        <v>0</v>
      </c>
      <c r="M180" s="45">
        <f t="shared" si="68"/>
        <v>0</v>
      </c>
      <c r="N180" s="11">
        <f t="shared" si="69"/>
        <v>0</v>
      </c>
      <c r="O180" s="45">
        <f t="shared" si="86"/>
        <v>0</v>
      </c>
      <c r="P180" s="45">
        <f t="shared" si="70"/>
        <v>0</v>
      </c>
      <c r="Q180" s="11">
        <f t="shared" si="71"/>
        <v>0</v>
      </c>
      <c r="R180" s="11"/>
      <c r="S180" s="463"/>
      <c r="T180" s="3">
        <v>4</v>
      </c>
      <c r="U180" s="45">
        <f t="shared" si="87"/>
        <v>0</v>
      </c>
      <c r="V180" s="45">
        <f t="shared" si="72"/>
        <v>0</v>
      </c>
      <c r="W180" s="11">
        <f t="shared" si="73"/>
        <v>0</v>
      </c>
      <c r="X180" s="45">
        <f t="shared" si="88"/>
        <v>0</v>
      </c>
      <c r="Y180" s="45">
        <f t="shared" si="74"/>
        <v>0</v>
      </c>
      <c r="Z180" s="11">
        <f t="shared" si="75"/>
        <v>0</v>
      </c>
      <c r="AA180" s="11"/>
      <c r="AB180" s="463"/>
      <c r="AC180" s="3">
        <v>4</v>
      </c>
      <c r="AD180" s="45">
        <f t="shared" si="89"/>
        <v>0</v>
      </c>
      <c r="AE180" s="45">
        <f t="shared" si="76"/>
        <v>0</v>
      </c>
      <c r="AF180" s="11">
        <f t="shared" si="77"/>
        <v>0</v>
      </c>
      <c r="AG180" s="45">
        <f t="shared" si="90"/>
        <v>0</v>
      </c>
      <c r="AH180" s="45">
        <f t="shared" si="78"/>
        <v>0</v>
      </c>
      <c r="AI180" s="11">
        <f t="shared" si="79"/>
        <v>0</v>
      </c>
      <c r="AJ180" s="11"/>
      <c r="AK180" s="463"/>
      <c r="AL180" s="3">
        <v>4</v>
      </c>
      <c r="AM180" s="11">
        <f t="shared" si="80"/>
        <v>0</v>
      </c>
      <c r="AN180" s="46">
        <f t="shared" si="82"/>
        <v>0</v>
      </c>
      <c r="AO180" s="47">
        <f t="shared" si="81"/>
        <v>0</v>
      </c>
      <c r="AQ180" s="216"/>
      <c r="AR180" s="109">
        <v>4</v>
      </c>
      <c r="AS180" s="111">
        <f t="shared" si="91"/>
        <v>0</v>
      </c>
    </row>
    <row r="181" spans="1:45" x14ac:dyDescent="0.2">
      <c r="A181" s="463"/>
      <c r="B181" s="3">
        <v>5</v>
      </c>
      <c r="C181" s="45">
        <f t="shared" si="83"/>
        <v>0</v>
      </c>
      <c r="D181" s="45">
        <f t="shared" si="64"/>
        <v>0</v>
      </c>
      <c r="E181" s="11">
        <f t="shared" si="65"/>
        <v>0</v>
      </c>
      <c r="F181" s="45">
        <f t="shared" si="84"/>
        <v>0</v>
      </c>
      <c r="G181" s="45">
        <f t="shared" si="66"/>
        <v>0</v>
      </c>
      <c r="H181" s="11">
        <f t="shared" si="67"/>
        <v>0</v>
      </c>
      <c r="J181" s="463"/>
      <c r="K181" s="3">
        <v>5</v>
      </c>
      <c r="L181" s="45">
        <f t="shared" si="85"/>
        <v>0</v>
      </c>
      <c r="M181" s="45">
        <f t="shared" si="68"/>
        <v>0</v>
      </c>
      <c r="N181" s="11">
        <f t="shared" si="69"/>
        <v>0</v>
      </c>
      <c r="O181" s="45">
        <f t="shared" si="86"/>
        <v>0</v>
      </c>
      <c r="P181" s="45">
        <f t="shared" si="70"/>
        <v>0</v>
      </c>
      <c r="Q181" s="11">
        <f t="shared" si="71"/>
        <v>0</v>
      </c>
      <c r="R181" s="11"/>
      <c r="S181" s="463"/>
      <c r="T181" s="3">
        <v>5</v>
      </c>
      <c r="U181" s="45">
        <f t="shared" si="87"/>
        <v>0</v>
      </c>
      <c r="V181" s="45">
        <f t="shared" si="72"/>
        <v>0</v>
      </c>
      <c r="W181" s="11">
        <f t="shared" si="73"/>
        <v>0</v>
      </c>
      <c r="X181" s="45">
        <f t="shared" si="88"/>
        <v>0</v>
      </c>
      <c r="Y181" s="45">
        <f t="shared" si="74"/>
        <v>0</v>
      </c>
      <c r="Z181" s="11">
        <f t="shared" si="75"/>
        <v>0</v>
      </c>
      <c r="AA181" s="11"/>
      <c r="AB181" s="463"/>
      <c r="AC181" s="3">
        <v>5</v>
      </c>
      <c r="AD181" s="45">
        <f t="shared" si="89"/>
        <v>0</v>
      </c>
      <c r="AE181" s="45">
        <f t="shared" si="76"/>
        <v>0</v>
      </c>
      <c r="AF181" s="11">
        <f t="shared" si="77"/>
        <v>0</v>
      </c>
      <c r="AG181" s="45">
        <f t="shared" si="90"/>
        <v>0</v>
      </c>
      <c r="AH181" s="45">
        <f t="shared" si="78"/>
        <v>0</v>
      </c>
      <c r="AI181" s="11">
        <f t="shared" si="79"/>
        <v>0</v>
      </c>
      <c r="AJ181" s="11"/>
      <c r="AK181" s="463"/>
      <c r="AL181" s="3">
        <v>5</v>
      </c>
      <c r="AM181" s="11">
        <f t="shared" si="80"/>
        <v>0</v>
      </c>
      <c r="AN181" s="46">
        <f t="shared" si="82"/>
        <v>0</v>
      </c>
      <c r="AO181" s="47">
        <f t="shared" si="81"/>
        <v>0</v>
      </c>
      <c r="AQ181" s="216"/>
      <c r="AR181" s="108">
        <v>5</v>
      </c>
      <c r="AS181" s="111">
        <f t="shared" si="91"/>
        <v>0</v>
      </c>
    </row>
    <row r="182" spans="1:45" x14ac:dyDescent="0.2">
      <c r="A182" s="463"/>
      <c r="B182" s="3">
        <v>6</v>
      </c>
      <c r="C182" s="45">
        <f t="shared" si="83"/>
        <v>0</v>
      </c>
      <c r="D182" s="45">
        <f t="shared" si="64"/>
        <v>0</v>
      </c>
      <c r="E182" s="11">
        <f t="shared" si="65"/>
        <v>0</v>
      </c>
      <c r="F182" s="45">
        <f t="shared" si="84"/>
        <v>0</v>
      </c>
      <c r="G182" s="45">
        <f t="shared" si="66"/>
        <v>0</v>
      </c>
      <c r="H182" s="11">
        <f t="shared" si="67"/>
        <v>0</v>
      </c>
      <c r="J182" s="463"/>
      <c r="K182" s="3">
        <v>6</v>
      </c>
      <c r="L182" s="45">
        <f t="shared" si="85"/>
        <v>0</v>
      </c>
      <c r="M182" s="45">
        <f t="shared" si="68"/>
        <v>0</v>
      </c>
      <c r="N182" s="11">
        <f t="shared" si="69"/>
        <v>0</v>
      </c>
      <c r="O182" s="45">
        <f t="shared" si="86"/>
        <v>0</v>
      </c>
      <c r="P182" s="45">
        <f t="shared" si="70"/>
        <v>0</v>
      </c>
      <c r="Q182" s="11">
        <f t="shared" si="71"/>
        <v>0</v>
      </c>
      <c r="R182" s="11"/>
      <c r="S182" s="463"/>
      <c r="T182" s="3">
        <v>6</v>
      </c>
      <c r="U182" s="45">
        <f t="shared" si="87"/>
        <v>0</v>
      </c>
      <c r="V182" s="45">
        <f t="shared" si="72"/>
        <v>0</v>
      </c>
      <c r="W182" s="11">
        <f t="shared" si="73"/>
        <v>0</v>
      </c>
      <c r="X182" s="45">
        <f t="shared" si="88"/>
        <v>0</v>
      </c>
      <c r="Y182" s="45">
        <f t="shared" si="74"/>
        <v>0</v>
      </c>
      <c r="Z182" s="11">
        <f t="shared" si="75"/>
        <v>0</v>
      </c>
      <c r="AA182" s="11"/>
      <c r="AB182" s="463"/>
      <c r="AC182" s="3">
        <v>6</v>
      </c>
      <c r="AD182" s="45">
        <f t="shared" si="89"/>
        <v>0</v>
      </c>
      <c r="AE182" s="45">
        <f t="shared" si="76"/>
        <v>0</v>
      </c>
      <c r="AF182" s="11">
        <f t="shared" si="77"/>
        <v>0</v>
      </c>
      <c r="AG182" s="45">
        <f t="shared" si="90"/>
        <v>0</v>
      </c>
      <c r="AH182" s="45">
        <f t="shared" si="78"/>
        <v>0</v>
      </c>
      <c r="AI182" s="11">
        <f t="shared" si="79"/>
        <v>0</v>
      </c>
      <c r="AJ182" s="11"/>
      <c r="AK182" s="463"/>
      <c r="AL182" s="3">
        <v>6</v>
      </c>
      <c r="AM182" s="11">
        <f t="shared" si="80"/>
        <v>0</v>
      </c>
      <c r="AN182" s="46">
        <f t="shared" si="82"/>
        <v>0</v>
      </c>
      <c r="AO182" s="47">
        <f t="shared" si="81"/>
        <v>0</v>
      </c>
      <c r="AQ182" s="216"/>
      <c r="AR182" s="109">
        <v>6</v>
      </c>
      <c r="AS182" s="111">
        <f t="shared" si="91"/>
        <v>0</v>
      </c>
    </row>
    <row r="183" spans="1:45" x14ac:dyDescent="0.2">
      <c r="A183" s="463"/>
      <c r="B183" s="3">
        <v>7</v>
      </c>
      <c r="C183" s="45">
        <f t="shared" si="83"/>
        <v>0</v>
      </c>
      <c r="D183" s="45">
        <f t="shared" si="64"/>
        <v>0</v>
      </c>
      <c r="E183" s="11">
        <f t="shared" si="65"/>
        <v>0</v>
      </c>
      <c r="F183" s="45">
        <f t="shared" si="84"/>
        <v>0</v>
      </c>
      <c r="G183" s="45">
        <f t="shared" si="66"/>
        <v>0</v>
      </c>
      <c r="H183" s="11">
        <f t="shared" si="67"/>
        <v>0</v>
      </c>
      <c r="J183" s="463"/>
      <c r="K183" s="3">
        <v>7</v>
      </c>
      <c r="L183" s="45">
        <f t="shared" si="85"/>
        <v>0</v>
      </c>
      <c r="M183" s="45">
        <f t="shared" si="68"/>
        <v>0</v>
      </c>
      <c r="N183" s="11">
        <f t="shared" si="69"/>
        <v>0</v>
      </c>
      <c r="O183" s="45">
        <f t="shared" si="86"/>
        <v>0</v>
      </c>
      <c r="P183" s="45">
        <f t="shared" si="70"/>
        <v>0</v>
      </c>
      <c r="Q183" s="11">
        <f t="shared" si="71"/>
        <v>0</v>
      </c>
      <c r="R183" s="11"/>
      <c r="S183" s="463"/>
      <c r="T183" s="3">
        <v>7</v>
      </c>
      <c r="U183" s="45">
        <f t="shared" si="87"/>
        <v>0</v>
      </c>
      <c r="V183" s="45">
        <f t="shared" si="72"/>
        <v>0</v>
      </c>
      <c r="W183" s="11">
        <f t="shared" si="73"/>
        <v>0</v>
      </c>
      <c r="X183" s="45">
        <f t="shared" si="88"/>
        <v>0</v>
      </c>
      <c r="Y183" s="45">
        <f t="shared" si="74"/>
        <v>0</v>
      </c>
      <c r="Z183" s="11">
        <f t="shared" si="75"/>
        <v>0</v>
      </c>
      <c r="AA183" s="11"/>
      <c r="AB183" s="463"/>
      <c r="AC183" s="3">
        <v>7</v>
      </c>
      <c r="AD183" s="45">
        <f t="shared" si="89"/>
        <v>0</v>
      </c>
      <c r="AE183" s="45">
        <f t="shared" si="76"/>
        <v>0</v>
      </c>
      <c r="AF183" s="11">
        <f t="shared" si="77"/>
        <v>0</v>
      </c>
      <c r="AG183" s="45">
        <f t="shared" si="90"/>
        <v>0</v>
      </c>
      <c r="AH183" s="45">
        <f t="shared" si="78"/>
        <v>0</v>
      </c>
      <c r="AI183" s="11">
        <f t="shared" si="79"/>
        <v>0</v>
      </c>
      <c r="AJ183" s="11"/>
      <c r="AK183" s="463"/>
      <c r="AL183" s="3">
        <v>7</v>
      </c>
      <c r="AM183" s="11">
        <f t="shared" si="80"/>
        <v>0</v>
      </c>
      <c r="AN183" s="46">
        <f t="shared" si="82"/>
        <v>0</v>
      </c>
      <c r="AO183" s="47">
        <f t="shared" si="81"/>
        <v>0</v>
      </c>
      <c r="AQ183" s="216"/>
      <c r="AR183" s="108">
        <v>7</v>
      </c>
      <c r="AS183" s="111">
        <f t="shared" si="91"/>
        <v>0</v>
      </c>
    </row>
    <row r="184" spans="1:45" x14ac:dyDescent="0.2">
      <c r="A184" s="463"/>
      <c r="B184" s="3">
        <v>8</v>
      </c>
      <c r="C184" s="45">
        <f t="shared" si="83"/>
        <v>0</v>
      </c>
      <c r="D184" s="45">
        <f t="shared" si="64"/>
        <v>0</v>
      </c>
      <c r="E184" s="11">
        <f t="shared" si="65"/>
        <v>0</v>
      </c>
      <c r="F184" s="45">
        <f t="shared" si="84"/>
        <v>0</v>
      </c>
      <c r="G184" s="45">
        <f t="shared" si="66"/>
        <v>0</v>
      </c>
      <c r="H184" s="11">
        <f t="shared" si="67"/>
        <v>0</v>
      </c>
      <c r="J184" s="463"/>
      <c r="K184" s="3">
        <v>8</v>
      </c>
      <c r="L184" s="45">
        <f t="shared" si="85"/>
        <v>0</v>
      </c>
      <c r="M184" s="45">
        <f t="shared" si="68"/>
        <v>0</v>
      </c>
      <c r="N184" s="11">
        <f t="shared" si="69"/>
        <v>0</v>
      </c>
      <c r="O184" s="45">
        <f t="shared" si="86"/>
        <v>0</v>
      </c>
      <c r="P184" s="45">
        <f t="shared" si="70"/>
        <v>0</v>
      </c>
      <c r="Q184" s="11">
        <f t="shared" si="71"/>
        <v>0</v>
      </c>
      <c r="R184" s="11"/>
      <c r="S184" s="463"/>
      <c r="T184" s="3">
        <v>8</v>
      </c>
      <c r="U184" s="45">
        <f t="shared" si="87"/>
        <v>0</v>
      </c>
      <c r="V184" s="45">
        <f t="shared" si="72"/>
        <v>0</v>
      </c>
      <c r="W184" s="11">
        <f t="shared" si="73"/>
        <v>0</v>
      </c>
      <c r="X184" s="45">
        <f t="shared" si="88"/>
        <v>0</v>
      </c>
      <c r="Y184" s="45">
        <f t="shared" si="74"/>
        <v>0</v>
      </c>
      <c r="Z184" s="11">
        <f t="shared" si="75"/>
        <v>0</v>
      </c>
      <c r="AA184" s="11"/>
      <c r="AB184" s="463"/>
      <c r="AC184" s="3">
        <v>8</v>
      </c>
      <c r="AD184" s="45">
        <f t="shared" si="89"/>
        <v>0</v>
      </c>
      <c r="AE184" s="45">
        <f t="shared" si="76"/>
        <v>0</v>
      </c>
      <c r="AF184" s="11">
        <f t="shared" si="77"/>
        <v>0</v>
      </c>
      <c r="AG184" s="45">
        <f t="shared" si="90"/>
        <v>0</v>
      </c>
      <c r="AH184" s="45">
        <f t="shared" si="78"/>
        <v>0</v>
      </c>
      <c r="AI184" s="11">
        <f t="shared" si="79"/>
        <v>0</v>
      </c>
      <c r="AJ184" s="11"/>
      <c r="AK184" s="463"/>
      <c r="AL184" s="3">
        <v>8</v>
      </c>
      <c r="AM184" s="11">
        <f t="shared" si="80"/>
        <v>0</v>
      </c>
      <c r="AN184" s="46">
        <f t="shared" si="82"/>
        <v>0</v>
      </c>
      <c r="AO184" s="47">
        <f t="shared" si="81"/>
        <v>0</v>
      </c>
      <c r="AQ184" s="216"/>
      <c r="AR184" s="109">
        <v>8</v>
      </c>
      <c r="AS184" s="111">
        <f t="shared" si="91"/>
        <v>0</v>
      </c>
    </row>
    <row r="185" spans="1:45" x14ac:dyDescent="0.2">
      <c r="A185" s="463"/>
      <c r="B185" s="3">
        <v>9</v>
      </c>
      <c r="C185" s="45">
        <f t="shared" si="83"/>
        <v>0</v>
      </c>
      <c r="D185" s="45">
        <f t="shared" si="64"/>
        <v>0</v>
      </c>
      <c r="E185" s="11">
        <f t="shared" si="65"/>
        <v>0</v>
      </c>
      <c r="F185" s="45">
        <f t="shared" si="84"/>
        <v>0</v>
      </c>
      <c r="G185" s="45">
        <f t="shared" si="66"/>
        <v>0</v>
      </c>
      <c r="H185" s="11">
        <f t="shared" si="67"/>
        <v>0</v>
      </c>
      <c r="J185" s="463"/>
      <c r="K185" s="3">
        <v>9</v>
      </c>
      <c r="L185" s="45">
        <f t="shared" si="85"/>
        <v>0</v>
      </c>
      <c r="M185" s="45">
        <f t="shared" si="68"/>
        <v>0</v>
      </c>
      <c r="N185" s="11">
        <f t="shared" si="69"/>
        <v>0</v>
      </c>
      <c r="O185" s="45">
        <f t="shared" si="86"/>
        <v>0</v>
      </c>
      <c r="P185" s="45">
        <f t="shared" si="70"/>
        <v>0</v>
      </c>
      <c r="Q185" s="11">
        <f t="shared" si="71"/>
        <v>0</v>
      </c>
      <c r="R185" s="11"/>
      <c r="S185" s="463"/>
      <c r="T185" s="3">
        <v>9</v>
      </c>
      <c r="U185" s="45">
        <f t="shared" si="87"/>
        <v>0</v>
      </c>
      <c r="V185" s="45">
        <f t="shared" si="72"/>
        <v>0</v>
      </c>
      <c r="W185" s="11">
        <f t="shared" si="73"/>
        <v>0</v>
      </c>
      <c r="X185" s="45">
        <f t="shared" si="88"/>
        <v>0</v>
      </c>
      <c r="Y185" s="45">
        <f t="shared" si="74"/>
        <v>0</v>
      </c>
      <c r="Z185" s="11">
        <f t="shared" si="75"/>
        <v>0</v>
      </c>
      <c r="AA185" s="11"/>
      <c r="AB185" s="463"/>
      <c r="AC185" s="3">
        <v>9</v>
      </c>
      <c r="AD185" s="45">
        <f t="shared" si="89"/>
        <v>0</v>
      </c>
      <c r="AE185" s="45">
        <f t="shared" si="76"/>
        <v>0</v>
      </c>
      <c r="AF185" s="11">
        <f t="shared" si="77"/>
        <v>0</v>
      </c>
      <c r="AG185" s="45">
        <f t="shared" si="90"/>
        <v>0</v>
      </c>
      <c r="AH185" s="45">
        <f t="shared" si="78"/>
        <v>0</v>
      </c>
      <c r="AI185" s="11">
        <f t="shared" si="79"/>
        <v>0</v>
      </c>
      <c r="AJ185" s="11"/>
      <c r="AK185" s="463"/>
      <c r="AL185" s="3">
        <v>9</v>
      </c>
      <c r="AM185" s="11">
        <f t="shared" si="80"/>
        <v>0</v>
      </c>
      <c r="AN185" s="46">
        <f t="shared" si="82"/>
        <v>0</v>
      </c>
      <c r="AO185" s="47">
        <f t="shared" si="81"/>
        <v>0</v>
      </c>
      <c r="AQ185" s="216"/>
      <c r="AR185" s="108">
        <v>9</v>
      </c>
      <c r="AS185" s="111">
        <f t="shared" si="91"/>
        <v>0</v>
      </c>
    </row>
    <row r="186" spans="1:45" x14ac:dyDescent="0.2">
      <c r="A186" s="463"/>
      <c r="B186" s="3">
        <v>10</v>
      </c>
      <c r="C186" s="45">
        <f t="shared" si="83"/>
        <v>0</v>
      </c>
      <c r="D186" s="45">
        <f t="shared" si="64"/>
        <v>0</v>
      </c>
      <c r="E186" s="11">
        <f t="shared" si="65"/>
        <v>0</v>
      </c>
      <c r="F186" s="45">
        <f t="shared" si="84"/>
        <v>0</v>
      </c>
      <c r="G186" s="45">
        <f t="shared" si="66"/>
        <v>0</v>
      </c>
      <c r="H186" s="11">
        <f t="shared" si="67"/>
        <v>0</v>
      </c>
      <c r="J186" s="463"/>
      <c r="K186" s="3">
        <v>10</v>
      </c>
      <c r="L186" s="45">
        <f t="shared" si="85"/>
        <v>0</v>
      </c>
      <c r="M186" s="45">
        <f t="shared" si="68"/>
        <v>0</v>
      </c>
      <c r="N186" s="11">
        <f t="shared" si="69"/>
        <v>0</v>
      </c>
      <c r="O186" s="45">
        <f t="shared" si="86"/>
        <v>0</v>
      </c>
      <c r="P186" s="45">
        <f t="shared" si="70"/>
        <v>0</v>
      </c>
      <c r="Q186" s="11">
        <f t="shared" si="71"/>
        <v>0</v>
      </c>
      <c r="R186" s="11"/>
      <c r="S186" s="463"/>
      <c r="T186" s="3">
        <v>10</v>
      </c>
      <c r="U186" s="45">
        <f t="shared" si="87"/>
        <v>0</v>
      </c>
      <c r="V186" s="45">
        <f t="shared" si="72"/>
        <v>0</v>
      </c>
      <c r="W186" s="11">
        <f t="shared" si="73"/>
        <v>0</v>
      </c>
      <c r="X186" s="45">
        <f t="shared" si="88"/>
        <v>0</v>
      </c>
      <c r="Y186" s="45">
        <f t="shared" si="74"/>
        <v>0</v>
      </c>
      <c r="Z186" s="11">
        <f t="shared" si="75"/>
        <v>0</v>
      </c>
      <c r="AA186" s="11"/>
      <c r="AB186" s="463"/>
      <c r="AC186" s="3">
        <v>10</v>
      </c>
      <c r="AD186" s="45">
        <f t="shared" si="89"/>
        <v>0</v>
      </c>
      <c r="AE186" s="45">
        <f t="shared" si="76"/>
        <v>0</v>
      </c>
      <c r="AF186" s="11">
        <f t="shared" si="77"/>
        <v>0</v>
      </c>
      <c r="AG186" s="45">
        <f t="shared" si="90"/>
        <v>0</v>
      </c>
      <c r="AH186" s="45">
        <f t="shared" si="78"/>
        <v>0</v>
      </c>
      <c r="AI186" s="11">
        <f t="shared" si="79"/>
        <v>0</v>
      </c>
      <c r="AJ186" s="11"/>
      <c r="AK186" s="463"/>
      <c r="AL186" s="3">
        <v>10</v>
      </c>
      <c r="AM186" s="11">
        <f t="shared" si="80"/>
        <v>0</v>
      </c>
      <c r="AN186" s="46">
        <f t="shared" si="82"/>
        <v>0</v>
      </c>
      <c r="AO186" s="47">
        <f t="shared" si="81"/>
        <v>0</v>
      </c>
      <c r="AQ186" s="216"/>
      <c r="AR186" s="109">
        <v>10</v>
      </c>
      <c r="AS186" s="111">
        <f t="shared" si="91"/>
        <v>0</v>
      </c>
    </row>
    <row r="187" spans="1:45" ht="16" customHeight="1" x14ac:dyDescent="0.2">
      <c r="A187" s="463"/>
      <c r="B187" s="3">
        <v>11</v>
      </c>
      <c r="C187" s="45">
        <f t="shared" si="83"/>
        <v>0</v>
      </c>
      <c r="D187" s="45">
        <f t="shared" si="64"/>
        <v>0</v>
      </c>
      <c r="E187" s="11">
        <f t="shared" si="65"/>
        <v>0</v>
      </c>
      <c r="F187" s="45">
        <f t="shared" si="84"/>
        <v>0</v>
      </c>
      <c r="G187" s="45">
        <f t="shared" si="66"/>
        <v>0</v>
      </c>
      <c r="H187" s="11">
        <f t="shared" si="67"/>
        <v>0</v>
      </c>
      <c r="J187" s="463"/>
      <c r="K187" s="3">
        <v>11</v>
      </c>
      <c r="L187" s="45">
        <f t="shared" si="85"/>
        <v>0</v>
      </c>
      <c r="M187" s="45">
        <f t="shared" si="68"/>
        <v>0</v>
      </c>
      <c r="N187" s="11">
        <f t="shared" si="69"/>
        <v>0</v>
      </c>
      <c r="O187" s="45">
        <f t="shared" si="86"/>
        <v>0</v>
      </c>
      <c r="P187" s="45">
        <f t="shared" si="70"/>
        <v>0</v>
      </c>
      <c r="Q187" s="11">
        <f t="shared" si="71"/>
        <v>0</v>
      </c>
      <c r="R187" s="11"/>
      <c r="S187" s="463"/>
      <c r="T187" s="3">
        <v>11</v>
      </c>
      <c r="U187" s="45">
        <f t="shared" si="87"/>
        <v>0</v>
      </c>
      <c r="V187" s="45">
        <f t="shared" si="72"/>
        <v>0</v>
      </c>
      <c r="W187" s="11">
        <f t="shared" si="73"/>
        <v>0</v>
      </c>
      <c r="X187" s="45">
        <f t="shared" si="88"/>
        <v>0</v>
      </c>
      <c r="Y187" s="45">
        <f t="shared" si="74"/>
        <v>0</v>
      </c>
      <c r="Z187" s="11">
        <f t="shared" si="75"/>
        <v>0</v>
      </c>
      <c r="AA187" s="11"/>
      <c r="AB187" s="463"/>
      <c r="AC187" s="3">
        <v>11</v>
      </c>
      <c r="AD187" s="45">
        <f t="shared" si="89"/>
        <v>0</v>
      </c>
      <c r="AE187" s="45">
        <f t="shared" si="76"/>
        <v>0</v>
      </c>
      <c r="AF187" s="11">
        <f t="shared" si="77"/>
        <v>0</v>
      </c>
      <c r="AG187" s="45">
        <f t="shared" si="90"/>
        <v>0</v>
      </c>
      <c r="AH187" s="45">
        <f t="shared" si="78"/>
        <v>0</v>
      </c>
      <c r="AI187" s="11">
        <f t="shared" si="79"/>
        <v>0</v>
      </c>
      <c r="AJ187" s="11"/>
      <c r="AK187" s="463"/>
      <c r="AL187" s="3">
        <v>11</v>
      </c>
      <c r="AM187" s="11">
        <f t="shared" si="80"/>
        <v>0</v>
      </c>
      <c r="AN187" s="46">
        <f t="shared" si="82"/>
        <v>0</v>
      </c>
      <c r="AO187" s="47">
        <f t="shared" si="81"/>
        <v>0</v>
      </c>
      <c r="AQ187" s="216"/>
      <c r="AR187" s="108">
        <v>11</v>
      </c>
      <c r="AS187" s="111">
        <f t="shared" si="91"/>
        <v>0</v>
      </c>
    </row>
    <row r="188" spans="1:45" x14ac:dyDescent="0.2">
      <c r="A188" s="463"/>
      <c r="B188" s="3">
        <v>12</v>
      </c>
      <c r="C188" s="45">
        <f t="shared" si="83"/>
        <v>0</v>
      </c>
      <c r="D188" s="45">
        <f t="shared" si="64"/>
        <v>0</v>
      </c>
      <c r="E188" s="11">
        <f t="shared" si="65"/>
        <v>0</v>
      </c>
      <c r="F188" s="45">
        <f t="shared" si="84"/>
        <v>0</v>
      </c>
      <c r="G188" s="45">
        <f t="shared" si="66"/>
        <v>0</v>
      </c>
      <c r="H188" s="11">
        <f t="shared" si="67"/>
        <v>0</v>
      </c>
      <c r="J188" s="463"/>
      <c r="K188" s="3">
        <v>12</v>
      </c>
      <c r="L188" s="45">
        <f t="shared" si="85"/>
        <v>0</v>
      </c>
      <c r="M188" s="45">
        <f t="shared" si="68"/>
        <v>0</v>
      </c>
      <c r="N188" s="11">
        <f t="shared" si="69"/>
        <v>0</v>
      </c>
      <c r="O188" s="45">
        <f t="shared" si="86"/>
        <v>0</v>
      </c>
      <c r="P188" s="45">
        <f t="shared" si="70"/>
        <v>0</v>
      </c>
      <c r="Q188" s="11">
        <f t="shared" si="71"/>
        <v>0</v>
      </c>
      <c r="R188" s="11"/>
      <c r="S188" s="463"/>
      <c r="T188" s="3">
        <v>12</v>
      </c>
      <c r="U188" s="45">
        <f t="shared" si="87"/>
        <v>0</v>
      </c>
      <c r="V188" s="45">
        <f t="shared" si="72"/>
        <v>0</v>
      </c>
      <c r="W188" s="11">
        <f t="shared" si="73"/>
        <v>0</v>
      </c>
      <c r="X188" s="45">
        <f t="shared" si="88"/>
        <v>0</v>
      </c>
      <c r="Y188" s="45">
        <f t="shared" si="74"/>
        <v>0</v>
      </c>
      <c r="Z188" s="11">
        <f t="shared" si="75"/>
        <v>0</v>
      </c>
      <c r="AA188" s="11"/>
      <c r="AB188" s="463"/>
      <c r="AC188" s="3">
        <v>12</v>
      </c>
      <c r="AD188" s="45">
        <f t="shared" si="89"/>
        <v>0</v>
      </c>
      <c r="AE188" s="45">
        <f t="shared" si="76"/>
        <v>0</v>
      </c>
      <c r="AF188" s="11">
        <f t="shared" si="77"/>
        <v>0</v>
      </c>
      <c r="AG188" s="45">
        <f t="shared" si="90"/>
        <v>0</v>
      </c>
      <c r="AH188" s="45">
        <f t="shared" si="78"/>
        <v>0</v>
      </c>
      <c r="AI188" s="11">
        <f t="shared" si="79"/>
        <v>0</v>
      </c>
      <c r="AJ188" s="11"/>
      <c r="AK188" s="463"/>
      <c r="AL188" s="3">
        <v>12</v>
      </c>
      <c r="AM188" s="11">
        <f t="shared" si="80"/>
        <v>0</v>
      </c>
      <c r="AN188" s="46">
        <f t="shared" si="82"/>
        <v>0</v>
      </c>
      <c r="AO188" s="47">
        <f t="shared" si="81"/>
        <v>0</v>
      </c>
      <c r="AQ188" s="216"/>
      <c r="AR188" s="109">
        <v>12</v>
      </c>
      <c r="AS188" s="111">
        <f t="shared" si="91"/>
        <v>0</v>
      </c>
    </row>
    <row r="189" spans="1:45" x14ac:dyDescent="0.2">
      <c r="A189" s="463"/>
      <c r="B189" s="3">
        <v>13</v>
      </c>
      <c r="C189" s="45">
        <f t="shared" si="83"/>
        <v>0</v>
      </c>
      <c r="D189" s="45">
        <f t="shared" si="64"/>
        <v>0</v>
      </c>
      <c r="E189" s="11">
        <f t="shared" si="65"/>
        <v>0</v>
      </c>
      <c r="F189" s="45">
        <f t="shared" si="84"/>
        <v>0</v>
      </c>
      <c r="G189" s="45">
        <f t="shared" si="66"/>
        <v>0</v>
      </c>
      <c r="H189" s="11">
        <f t="shared" si="67"/>
        <v>0</v>
      </c>
      <c r="J189" s="463"/>
      <c r="K189" s="3">
        <v>13</v>
      </c>
      <c r="L189" s="45">
        <f t="shared" si="85"/>
        <v>0</v>
      </c>
      <c r="M189" s="45">
        <f t="shared" si="68"/>
        <v>0</v>
      </c>
      <c r="N189" s="11">
        <f t="shared" si="69"/>
        <v>0</v>
      </c>
      <c r="O189" s="45">
        <f t="shared" si="86"/>
        <v>0</v>
      </c>
      <c r="P189" s="45">
        <f t="shared" si="70"/>
        <v>0</v>
      </c>
      <c r="Q189" s="11">
        <f t="shared" si="71"/>
        <v>0</v>
      </c>
      <c r="R189" s="11"/>
      <c r="S189" s="463"/>
      <c r="T189" s="3">
        <v>13</v>
      </c>
      <c r="U189" s="45">
        <f t="shared" si="87"/>
        <v>0</v>
      </c>
      <c r="V189" s="45">
        <f t="shared" si="72"/>
        <v>0</v>
      </c>
      <c r="W189" s="11">
        <f t="shared" si="73"/>
        <v>0</v>
      </c>
      <c r="X189" s="45">
        <f t="shared" si="88"/>
        <v>0</v>
      </c>
      <c r="Y189" s="45">
        <f t="shared" si="74"/>
        <v>0</v>
      </c>
      <c r="Z189" s="11">
        <f t="shared" si="75"/>
        <v>0</v>
      </c>
      <c r="AA189" s="11"/>
      <c r="AB189" s="463"/>
      <c r="AC189" s="3">
        <v>13</v>
      </c>
      <c r="AD189" s="45">
        <f t="shared" si="89"/>
        <v>0</v>
      </c>
      <c r="AE189" s="45">
        <f t="shared" si="76"/>
        <v>0</v>
      </c>
      <c r="AF189" s="11">
        <f t="shared" si="77"/>
        <v>0</v>
      </c>
      <c r="AG189" s="45">
        <f t="shared" si="90"/>
        <v>0</v>
      </c>
      <c r="AH189" s="45">
        <f t="shared" si="78"/>
        <v>0</v>
      </c>
      <c r="AI189" s="11">
        <f t="shared" si="79"/>
        <v>0</v>
      </c>
      <c r="AJ189" s="11"/>
      <c r="AK189" s="463"/>
      <c r="AL189" s="3">
        <v>13</v>
      </c>
      <c r="AM189" s="11">
        <f t="shared" si="80"/>
        <v>0</v>
      </c>
      <c r="AN189" s="46">
        <f t="shared" si="82"/>
        <v>0</v>
      </c>
      <c r="AO189" s="47">
        <f t="shared" si="81"/>
        <v>0</v>
      </c>
      <c r="AQ189" s="216"/>
      <c r="AR189" s="108">
        <v>13</v>
      </c>
      <c r="AS189" s="111">
        <f t="shared" si="91"/>
        <v>0</v>
      </c>
    </row>
    <row r="190" spans="1:45" x14ac:dyDescent="0.2">
      <c r="A190" s="463"/>
      <c r="B190" s="3">
        <v>14</v>
      </c>
      <c r="C190" s="45">
        <f t="shared" si="83"/>
        <v>0</v>
      </c>
      <c r="D190" s="45">
        <f t="shared" si="64"/>
        <v>0</v>
      </c>
      <c r="E190" s="11">
        <f t="shared" si="65"/>
        <v>0</v>
      </c>
      <c r="F190" s="45">
        <f t="shared" si="84"/>
        <v>0</v>
      </c>
      <c r="G190" s="45">
        <f t="shared" si="66"/>
        <v>0</v>
      </c>
      <c r="H190" s="11">
        <f t="shared" si="67"/>
        <v>0</v>
      </c>
      <c r="I190" s="48"/>
      <c r="J190" s="463"/>
      <c r="K190" s="3">
        <v>14</v>
      </c>
      <c r="L190" s="45">
        <f t="shared" si="85"/>
        <v>0</v>
      </c>
      <c r="M190" s="45">
        <f t="shared" si="68"/>
        <v>0</v>
      </c>
      <c r="N190" s="11">
        <f t="shared" si="69"/>
        <v>0</v>
      </c>
      <c r="O190" s="45">
        <f t="shared" si="86"/>
        <v>0</v>
      </c>
      <c r="P190" s="45">
        <f t="shared" si="70"/>
        <v>0</v>
      </c>
      <c r="Q190" s="11">
        <f t="shared" si="71"/>
        <v>0</v>
      </c>
      <c r="R190" s="11"/>
      <c r="S190" s="463"/>
      <c r="T190" s="3">
        <v>14</v>
      </c>
      <c r="U190" s="45">
        <f t="shared" si="87"/>
        <v>0</v>
      </c>
      <c r="V190" s="45">
        <f t="shared" si="72"/>
        <v>0</v>
      </c>
      <c r="W190" s="11">
        <f t="shared" si="73"/>
        <v>0</v>
      </c>
      <c r="X190" s="45">
        <f t="shared" si="88"/>
        <v>0</v>
      </c>
      <c r="Y190" s="45">
        <f t="shared" si="74"/>
        <v>0</v>
      </c>
      <c r="Z190" s="11">
        <f t="shared" si="75"/>
        <v>0</v>
      </c>
      <c r="AA190" s="11"/>
      <c r="AB190" s="463"/>
      <c r="AC190" s="3">
        <v>14</v>
      </c>
      <c r="AD190" s="45">
        <f t="shared" si="89"/>
        <v>0</v>
      </c>
      <c r="AE190" s="45">
        <f t="shared" si="76"/>
        <v>0</v>
      </c>
      <c r="AF190" s="11">
        <f t="shared" si="77"/>
        <v>0</v>
      </c>
      <c r="AG190" s="45">
        <f t="shared" si="90"/>
        <v>0</v>
      </c>
      <c r="AH190" s="45">
        <f t="shared" si="78"/>
        <v>0</v>
      </c>
      <c r="AI190" s="11">
        <f t="shared" si="79"/>
        <v>0</v>
      </c>
      <c r="AJ190" s="11"/>
      <c r="AK190" s="463"/>
      <c r="AL190" s="3">
        <v>14</v>
      </c>
      <c r="AM190" s="11">
        <f t="shared" si="80"/>
        <v>0</v>
      </c>
      <c r="AN190" s="46">
        <f t="shared" si="82"/>
        <v>0</v>
      </c>
      <c r="AO190" s="47">
        <f t="shared" si="81"/>
        <v>0</v>
      </c>
      <c r="AQ190" s="216"/>
      <c r="AR190" s="109">
        <v>14</v>
      </c>
      <c r="AS190" s="111">
        <f t="shared" si="91"/>
        <v>0</v>
      </c>
    </row>
    <row r="191" spans="1:45" x14ac:dyDescent="0.2">
      <c r="A191" s="463"/>
      <c r="B191" s="3">
        <v>15</v>
      </c>
      <c r="C191" s="45">
        <f t="shared" si="83"/>
        <v>0</v>
      </c>
      <c r="D191" s="45">
        <f t="shared" si="64"/>
        <v>0</v>
      </c>
      <c r="E191" s="45">
        <f t="shared" si="65"/>
        <v>0</v>
      </c>
      <c r="F191" s="45">
        <f t="shared" si="84"/>
        <v>0</v>
      </c>
      <c r="G191" s="45">
        <f t="shared" si="66"/>
        <v>0</v>
      </c>
      <c r="H191" s="45">
        <f t="shared" si="67"/>
        <v>0</v>
      </c>
      <c r="J191" s="463"/>
      <c r="K191" s="3">
        <v>15</v>
      </c>
      <c r="L191" s="45">
        <f t="shared" si="85"/>
        <v>0</v>
      </c>
      <c r="M191" s="45">
        <f t="shared" si="68"/>
        <v>0</v>
      </c>
      <c r="N191" s="45">
        <f t="shared" si="69"/>
        <v>0</v>
      </c>
      <c r="O191" s="45">
        <f t="shared" si="86"/>
        <v>0</v>
      </c>
      <c r="P191" s="45">
        <f t="shared" si="70"/>
        <v>0</v>
      </c>
      <c r="Q191" s="45">
        <f t="shared" si="71"/>
        <v>0</v>
      </c>
      <c r="R191" s="45"/>
      <c r="S191" s="463"/>
      <c r="T191" s="3">
        <v>15</v>
      </c>
      <c r="U191" s="45">
        <f t="shared" si="87"/>
        <v>0</v>
      </c>
      <c r="V191" s="45">
        <f t="shared" si="72"/>
        <v>0</v>
      </c>
      <c r="W191" s="45">
        <f t="shared" si="73"/>
        <v>0</v>
      </c>
      <c r="X191" s="45">
        <f t="shared" si="88"/>
        <v>0</v>
      </c>
      <c r="Y191" s="45">
        <f t="shared" si="74"/>
        <v>0</v>
      </c>
      <c r="Z191" s="45">
        <f t="shared" si="75"/>
        <v>0</v>
      </c>
      <c r="AA191" s="45"/>
      <c r="AB191" s="463"/>
      <c r="AC191" s="3">
        <v>15</v>
      </c>
      <c r="AD191" s="45">
        <f t="shared" si="89"/>
        <v>0</v>
      </c>
      <c r="AE191" s="45">
        <f t="shared" si="76"/>
        <v>0</v>
      </c>
      <c r="AF191" s="45">
        <f t="shared" si="77"/>
        <v>0</v>
      </c>
      <c r="AG191" s="45">
        <f t="shared" si="90"/>
        <v>0</v>
      </c>
      <c r="AH191" s="45">
        <f t="shared" si="78"/>
        <v>0</v>
      </c>
      <c r="AI191" s="45">
        <f t="shared" si="79"/>
        <v>0</v>
      </c>
      <c r="AJ191" s="45"/>
      <c r="AK191" s="463"/>
      <c r="AL191" s="3">
        <v>15</v>
      </c>
      <c r="AM191" s="11">
        <f t="shared" si="80"/>
        <v>0</v>
      </c>
      <c r="AN191" s="46">
        <f t="shared" si="82"/>
        <v>0</v>
      </c>
      <c r="AO191" s="47">
        <f t="shared" si="81"/>
        <v>0</v>
      </c>
      <c r="AQ191" s="216"/>
      <c r="AR191" s="108">
        <v>15</v>
      </c>
      <c r="AS191" s="111">
        <f t="shared" si="91"/>
        <v>0</v>
      </c>
    </row>
    <row r="192" spans="1:45" x14ac:dyDescent="0.2">
      <c r="A192" s="463"/>
      <c r="B192" s="3">
        <v>16</v>
      </c>
      <c r="C192" s="45">
        <f t="shared" si="83"/>
        <v>0</v>
      </c>
      <c r="D192" s="45">
        <f t="shared" si="64"/>
        <v>0</v>
      </c>
      <c r="E192" s="45">
        <f t="shared" si="65"/>
        <v>0</v>
      </c>
      <c r="F192" s="45">
        <f t="shared" si="84"/>
        <v>0</v>
      </c>
      <c r="G192" s="45">
        <f t="shared" si="66"/>
        <v>0</v>
      </c>
      <c r="H192" s="11">
        <f t="shared" si="67"/>
        <v>0</v>
      </c>
      <c r="J192" s="463"/>
      <c r="K192" s="3">
        <v>16</v>
      </c>
      <c r="L192" s="45">
        <f t="shared" si="85"/>
        <v>0</v>
      </c>
      <c r="M192" s="45">
        <f t="shared" si="68"/>
        <v>0</v>
      </c>
      <c r="N192" s="45">
        <f t="shared" si="69"/>
        <v>0</v>
      </c>
      <c r="O192" s="45">
        <f t="shared" si="86"/>
        <v>0</v>
      </c>
      <c r="P192" s="45">
        <f t="shared" si="70"/>
        <v>0</v>
      </c>
      <c r="Q192" s="11">
        <f t="shared" si="71"/>
        <v>0</v>
      </c>
      <c r="R192" s="11"/>
      <c r="S192" s="463"/>
      <c r="T192" s="3">
        <v>16</v>
      </c>
      <c r="U192" s="45">
        <f t="shared" si="87"/>
        <v>0</v>
      </c>
      <c r="V192" s="45">
        <f t="shared" si="72"/>
        <v>0</v>
      </c>
      <c r="W192" s="45">
        <f t="shared" si="73"/>
        <v>0</v>
      </c>
      <c r="X192" s="45">
        <f t="shared" si="88"/>
        <v>0</v>
      </c>
      <c r="Y192" s="45">
        <f t="shared" si="74"/>
        <v>0</v>
      </c>
      <c r="Z192" s="11">
        <f t="shared" si="75"/>
        <v>0</v>
      </c>
      <c r="AA192" s="11"/>
      <c r="AB192" s="463"/>
      <c r="AC192" s="3">
        <v>16</v>
      </c>
      <c r="AD192" s="45">
        <f t="shared" si="89"/>
        <v>0</v>
      </c>
      <c r="AE192" s="45">
        <f t="shared" si="76"/>
        <v>0</v>
      </c>
      <c r="AF192" s="45">
        <f t="shared" si="77"/>
        <v>0</v>
      </c>
      <c r="AG192" s="45">
        <f t="shared" si="90"/>
        <v>0</v>
      </c>
      <c r="AH192" s="45">
        <f t="shared" si="78"/>
        <v>0</v>
      </c>
      <c r="AI192" s="11">
        <f t="shared" si="79"/>
        <v>0</v>
      </c>
      <c r="AJ192" s="11"/>
      <c r="AK192" s="463"/>
      <c r="AL192" s="3">
        <v>16</v>
      </c>
      <c r="AM192" s="11">
        <f t="shared" si="80"/>
        <v>0</v>
      </c>
      <c r="AN192" s="46">
        <f t="shared" si="82"/>
        <v>0</v>
      </c>
      <c r="AO192" s="47">
        <f t="shared" si="81"/>
        <v>0</v>
      </c>
      <c r="AQ192" s="216"/>
      <c r="AR192" s="109">
        <v>16</v>
      </c>
      <c r="AS192" s="111">
        <f t="shared" si="91"/>
        <v>0</v>
      </c>
    </row>
    <row r="193" spans="1:52" x14ac:dyDescent="0.2">
      <c r="A193" s="463"/>
      <c r="B193" s="3">
        <v>17</v>
      </c>
      <c r="C193" s="45">
        <f t="shared" si="83"/>
        <v>0</v>
      </c>
      <c r="D193" s="45">
        <f t="shared" si="64"/>
        <v>0</v>
      </c>
      <c r="E193" s="11">
        <f t="shared" si="65"/>
        <v>0</v>
      </c>
      <c r="F193" s="45">
        <f t="shared" si="84"/>
        <v>0</v>
      </c>
      <c r="G193" s="11">
        <f t="shared" si="66"/>
        <v>0</v>
      </c>
      <c r="H193" s="11">
        <f t="shared" si="67"/>
        <v>0</v>
      </c>
      <c r="J193" s="463"/>
      <c r="K193" s="3">
        <v>17</v>
      </c>
      <c r="L193" s="45">
        <f t="shared" si="85"/>
        <v>0</v>
      </c>
      <c r="M193" s="45">
        <f t="shared" si="68"/>
        <v>0</v>
      </c>
      <c r="N193" s="11">
        <f t="shared" si="69"/>
        <v>0</v>
      </c>
      <c r="O193" s="45">
        <f t="shared" si="86"/>
        <v>0</v>
      </c>
      <c r="P193" s="11">
        <f t="shared" si="70"/>
        <v>0</v>
      </c>
      <c r="Q193" s="11">
        <f t="shared" si="71"/>
        <v>0</v>
      </c>
      <c r="R193" s="11"/>
      <c r="S193" s="463"/>
      <c r="T193" s="3">
        <v>17</v>
      </c>
      <c r="U193" s="45">
        <f t="shared" si="87"/>
        <v>0</v>
      </c>
      <c r="V193" s="45">
        <f t="shared" si="72"/>
        <v>0</v>
      </c>
      <c r="W193" s="11">
        <f t="shared" si="73"/>
        <v>0</v>
      </c>
      <c r="X193" s="45">
        <f t="shared" si="88"/>
        <v>0</v>
      </c>
      <c r="Y193" s="11">
        <f t="shared" si="74"/>
        <v>0</v>
      </c>
      <c r="Z193" s="11">
        <f t="shared" si="75"/>
        <v>0</v>
      </c>
      <c r="AA193" s="11"/>
      <c r="AB193" s="463"/>
      <c r="AC193" s="3">
        <v>17</v>
      </c>
      <c r="AD193" s="45">
        <f t="shared" si="89"/>
        <v>0</v>
      </c>
      <c r="AE193" s="45">
        <f t="shared" si="76"/>
        <v>0</v>
      </c>
      <c r="AF193" s="11">
        <f t="shared" si="77"/>
        <v>0</v>
      </c>
      <c r="AG193" s="45">
        <f t="shared" si="90"/>
        <v>0</v>
      </c>
      <c r="AH193" s="11">
        <f t="shared" si="78"/>
        <v>0</v>
      </c>
      <c r="AI193" s="11">
        <f t="shared" si="79"/>
        <v>0</v>
      </c>
      <c r="AJ193" s="11"/>
      <c r="AK193" s="463"/>
      <c r="AL193" s="3">
        <v>17</v>
      </c>
      <c r="AM193" s="11">
        <f t="shared" si="80"/>
        <v>0</v>
      </c>
      <c r="AN193" s="46">
        <f t="shared" si="82"/>
        <v>0</v>
      </c>
      <c r="AO193" s="47">
        <f t="shared" si="81"/>
        <v>0</v>
      </c>
      <c r="AQ193" s="216"/>
      <c r="AR193" s="108">
        <v>17</v>
      </c>
      <c r="AS193" s="111">
        <f t="shared" si="91"/>
        <v>0</v>
      </c>
    </row>
    <row r="194" spans="1:52" x14ac:dyDescent="0.2">
      <c r="A194" s="463"/>
      <c r="B194" s="3">
        <v>18</v>
      </c>
      <c r="C194" s="45">
        <f t="shared" si="83"/>
        <v>0</v>
      </c>
      <c r="D194" s="45">
        <f t="shared" si="64"/>
        <v>0</v>
      </c>
      <c r="E194" s="11">
        <f t="shared" si="65"/>
        <v>0</v>
      </c>
      <c r="F194" s="45">
        <f t="shared" si="84"/>
        <v>0</v>
      </c>
      <c r="G194" s="11">
        <f t="shared" si="66"/>
        <v>0</v>
      </c>
      <c r="H194" s="11">
        <f t="shared" si="67"/>
        <v>0</v>
      </c>
      <c r="J194" s="463"/>
      <c r="K194" s="3">
        <v>18</v>
      </c>
      <c r="L194" s="45">
        <f t="shared" si="85"/>
        <v>0</v>
      </c>
      <c r="M194" s="45">
        <f t="shared" si="68"/>
        <v>0</v>
      </c>
      <c r="N194" s="11">
        <f t="shared" si="69"/>
        <v>0</v>
      </c>
      <c r="O194" s="45">
        <f t="shared" si="86"/>
        <v>0</v>
      </c>
      <c r="P194" s="11">
        <f t="shared" si="70"/>
        <v>0</v>
      </c>
      <c r="Q194" s="11">
        <f t="shared" si="71"/>
        <v>0</v>
      </c>
      <c r="R194" s="11"/>
      <c r="S194" s="463"/>
      <c r="T194" s="3">
        <v>18</v>
      </c>
      <c r="U194" s="45">
        <f t="shared" si="87"/>
        <v>0</v>
      </c>
      <c r="V194" s="45">
        <f t="shared" si="72"/>
        <v>0</v>
      </c>
      <c r="W194" s="11">
        <f t="shared" si="73"/>
        <v>0</v>
      </c>
      <c r="X194" s="45">
        <f t="shared" si="88"/>
        <v>0</v>
      </c>
      <c r="Y194" s="11">
        <f t="shared" si="74"/>
        <v>0</v>
      </c>
      <c r="Z194" s="11">
        <f t="shared" si="75"/>
        <v>0</v>
      </c>
      <c r="AA194" s="11"/>
      <c r="AB194" s="463"/>
      <c r="AC194" s="3">
        <v>18</v>
      </c>
      <c r="AD194" s="45">
        <f t="shared" si="89"/>
        <v>0</v>
      </c>
      <c r="AE194" s="45">
        <f t="shared" si="76"/>
        <v>0</v>
      </c>
      <c r="AF194" s="11">
        <f t="shared" si="77"/>
        <v>0</v>
      </c>
      <c r="AG194" s="45">
        <f t="shared" si="90"/>
        <v>0</v>
      </c>
      <c r="AH194" s="11">
        <f t="shared" si="78"/>
        <v>0</v>
      </c>
      <c r="AI194" s="11">
        <f t="shared" si="79"/>
        <v>0</v>
      </c>
      <c r="AJ194" s="11"/>
      <c r="AK194" s="463"/>
      <c r="AL194" s="3">
        <v>18</v>
      </c>
      <c r="AM194" s="11">
        <f t="shared" si="80"/>
        <v>0</v>
      </c>
      <c r="AN194" s="46">
        <f t="shared" si="82"/>
        <v>0</v>
      </c>
      <c r="AO194" s="47">
        <f t="shared" si="81"/>
        <v>0</v>
      </c>
      <c r="AQ194" s="216"/>
      <c r="AR194" s="109">
        <v>18</v>
      </c>
      <c r="AS194" s="111">
        <f t="shared" si="91"/>
        <v>0</v>
      </c>
    </row>
    <row r="195" spans="1:52" x14ac:dyDescent="0.2">
      <c r="A195" s="463"/>
      <c r="B195" s="3">
        <v>19</v>
      </c>
      <c r="C195" s="45">
        <f t="shared" si="83"/>
        <v>0</v>
      </c>
      <c r="D195" s="45">
        <f t="shared" si="64"/>
        <v>0</v>
      </c>
      <c r="E195" s="11">
        <f t="shared" si="65"/>
        <v>0</v>
      </c>
      <c r="F195" s="45">
        <f t="shared" si="84"/>
        <v>0</v>
      </c>
      <c r="G195" s="11">
        <f t="shared" si="66"/>
        <v>0</v>
      </c>
      <c r="H195" s="11">
        <f t="shared" si="67"/>
        <v>0</v>
      </c>
      <c r="J195" s="463"/>
      <c r="K195" s="3">
        <v>19</v>
      </c>
      <c r="L195" s="45">
        <f t="shared" si="85"/>
        <v>0</v>
      </c>
      <c r="M195" s="45">
        <f t="shared" si="68"/>
        <v>0</v>
      </c>
      <c r="N195" s="11">
        <f t="shared" si="69"/>
        <v>0</v>
      </c>
      <c r="O195" s="45">
        <f t="shared" si="86"/>
        <v>0</v>
      </c>
      <c r="P195" s="11">
        <f t="shared" si="70"/>
        <v>0</v>
      </c>
      <c r="Q195" s="11">
        <f t="shared" si="71"/>
        <v>0</v>
      </c>
      <c r="R195" s="11"/>
      <c r="S195" s="463"/>
      <c r="T195" s="3">
        <v>19</v>
      </c>
      <c r="U195" s="45">
        <f t="shared" si="87"/>
        <v>0</v>
      </c>
      <c r="V195" s="45">
        <f t="shared" si="72"/>
        <v>0</v>
      </c>
      <c r="W195" s="11">
        <f t="shared" si="73"/>
        <v>0</v>
      </c>
      <c r="X195" s="45">
        <f t="shared" si="88"/>
        <v>0</v>
      </c>
      <c r="Y195" s="11">
        <f t="shared" si="74"/>
        <v>0</v>
      </c>
      <c r="Z195" s="11">
        <f t="shared" si="75"/>
        <v>0</v>
      </c>
      <c r="AA195" s="11"/>
      <c r="AB195" s="463"/>
      <c r="AC195" s="3">
        <v>19</v>
      </c>
      <c r="AD195" s="45">
        <f t="shared" si="89"/>
        <v>0</v>
      </c>
      <c r="AE195" s="45">
        <f t="shared" si="76"/>
        <v>0</v>
      </c>
      <c r="AF195" s="11">
        <f t="shared" si="77"/>
        <v>0</v>
      </c>
      <c r="AG195" s="45">
        <f t="shared" si="90"/>
        <v>0</v>
      </c>
      <c r="AH195" s="11">
        <f t="shared" si="78"/>
        <v>0</v>
      </c>
      <c r="AI195" s="11">
        <f t="shared" si="79"/>
        <v>0</v>
      </c>
      <c r="AJ195" s="11"/>
      <c r="AK195" s="463"/>
      <c r="AL195" s="3">
        <v>19</v>
      </c>
      <c r="AM195" s="11">
        <f t="shared" si="80"/>
        <v>0</v>
      </c>
      <c r="AN195" s="46">
        <f t="shared" si="82"/>
        <v>0</v>
      </c>
      <c r="AO195" s="47">
        <f t="shared" si="81"/>
        <v>0</v>
      </c>
      <c r="AQ195" s="216"/>
      <c r="AR195" s="108">
        <v>19</v>
      </c>
      <c r="AS195" s="111">
        <f t="shared" si="91"/>
        <v>0</v>
      </c>
    </row>
    <row r="196" spans="1:52" x14ac:dyDescent="0.2">
      <c r="A196" s="463"/>
      <c r="B196" s="3">
        <v>20</v>
      </c>
      <c r="C196" s="45">
        <f t="shared" si="83"/>
        <v>0</v>
      </c>
      <c r="D196" s="45">
        <f t="shared" si="64"/>
        <v>0</v>
      </c>
      <c r="E196" s="11">
        <f t="shared" si="65"/>
        <v>0</v>
      </c>
      <c r="F196" s="45">
        <f t="shared" si="84"/>
        <v>0</v>
      </c>
      <c r="G196" s="11">
        <f t="shared" si="66"/>
        <v>0</v>
      </c>
      <c r="H196" s="11">
        <f t="shared" si="67"/>
        <v>0</v>
      </c>
      <c r="J196" s="463"/>
      <c r="K196" s="3">
        <v>20</v>
      </c>
      <c r="L196" s="45">
        <f t="shared" si="85"/>
        <v>0</v>
      </c>
      <c r="M196" s="45">
        <f t="shared" si="68"/>
        <v>0</v>
      </c>
      <c r="N196" s="11">
        <f t="shared" si="69"/>
        <v>0</v>
      </c>
      <c r="O196" s="45">
        <f t="shared" si="86"/>
        <v>0</v>
      </c>
      <c r="P196" s="11">
        <f t="shared" si="70"/>
        <v>0</v>
      </c>
      <c r="Q196" s="11">
        <f t="shared" si="71"/>
        <v>0</v>
      </c>
      <c r="R196" s="11"/>
      <c r="S196" s="463"/>
      <c r="T196" s="3">
        <v>20</v>
      </c>
      <c r="U196" s="45">
        <f t="shared" si="87"/>
        <v>0</v>
      </c>
      <c r="V196" s="45">
        <f t="shared" si="72"/>
        <v>0</v>
      </c>
      <c r="W196" s="11">
        <f t="shared" si="73"/>
        <v>0</v>
      </c>
      <c r="X196" s="45">
        <f t="shared" si="88"/>
        <v>0</v>
      </c>
      <c r="Y196" s="11">
        <f t="shared" si="74"/>
        <v>0</v>
      </c>
      <c r="Z196" s="11">
        <f t="shared" si="75"/>
        <v>0</v>
      </c>
      <c r="AA196" s="11"/>
      <c r="AB196" s="463"/>
      <c r="AC196" s="3">
        <v>20</v>
      </c>
      <c r="AD196" s="45">
        <f t="shared" si="89"/>
        <v>0</v>
      </c>
      <c r="AE196" s="45">
        <f t="shared" si="76"/>
        <v>0</v>
      </c>
      <c r="AF196" s="11">
        <f t="shared" si="77"/>
        <v>0</v>
      </c>
      <c r="AG196" s="45">
        <f t="shared" si="90"/>
        <v>0</v>
      </c>
      <c r="AH196" s="11">
        <f t="shared" si="78"/>
        <v>0</v>
      </c>
      <c r="AI196" s="11">
        <f t="shared" si="79"/>
        <v>0</v>
      </c>
      <c r="AJ196" s="11"/>
      <c r="AK196" s="463"/>
      <c r="AL196" s="3">
        <v>20</v>
      </c>
      <c r="AM196" s="11">
        <f t="shared" si="80"/>
        <v>0</v>
      </c>
      <c r="AN196" s="46">
        <f t="shared" si="82"/>
        <v>0</v>
      </c>
      <c r="AO196" s="47">
        <f t="shared" si="81"/>
        <v>0</v>
      </c>
      <c r="AQ196" s="216"/>
      <c r="AR196" s="109">
        <v>20</v>
      </c>
      <c r="AS196" s="111">
        <f t="shared" si="91"/>
        <v>0</v>
      </c>
    </row>
    <row r="198" spans="1:52" x14ac:dyDescent="0.2">
      <c r="A198" s="135" t="s">
        <v>627</v>
      </c>
      <c r="B198" s="135"/>
      <c r="C198" s="135"/>
      <c r="D198" s="135"/>
      <c r="E198" s="135"/>
      <c r="F198" s="135"/>
      <c r="G198" s="135"/>
      <c r="H198" s="135"/>
      <c r="I198" s="135"/>
      <c r="J198" s="135"/>
      <c r="K198" s="135"/>
      <c r="L198" s="135"/>
      <c r="M198" s="49"/>
      <c r="N198" s="49"/>
      <c r="O198" s="49"/>
      <c r="P198" s="49"/>
      <c r="Q198" s="49"/>
      <c r="R198" s="49"/>
      <c r="S198" s="49"/>
      <c r="T198" s="49"/>
      <c r="U198" s="49"/>
      <c r="V198" s="49"/>
      <c r="W198" s="49"/>
      <c r="X198" s="49"/>
      <c r="Y198" s="49"/>
      <c r="Z198" s="49"/>
      <c r="AA198" s="49"/>
      <c r="AB198" s="49"/>
      <c r="AC198" s="49"/>
      <c r="AD198" s="49"/>
      <c r="AE198" s="49"/>
      <c r="AF198" s="49"/>
      <c r="AG198" s="49"/>
      <c r="AH198" s="49"/>
      <c r="AI198" s="49"/>
      <c r="AJ198" s="49"/>
      <c r="AK198" s="49"/>
      <c r="AL198" s="49"/>
      <c r="AM198" s="49"/>
      <c r="AN198" s="49"/>
      <c r="AO198" s="49"/>
      <c r="AP198" s="49"/>
      <c r="AQ198" s="49"/>
      <c r="AR198" s="49"/>
      <c r="AS198" s="49"/>
      <c r="AT198" s="49"/>
      <c r="AU198" s="49"/>
      <c r="AV198" s="49"/>
      <c r="AW198" s="49"/>
      <c r="AX198" s="49"/>
      <c r="AY198" s="49"/>
      <c r="AZ198" s="49"/>
    </row>
    <row r="200" spans="1:52" x14ac:dyDescent="0.2">
      <c r="A200" s="463" t="s">
        <v>732</v>
      </c>
      <c r="B200" s="4" t="s">
        <v>94</v>
      </c>
      <c r="C200" s="4">
        <v>1</v>
      </c>
      <c r="D200" s="4">
        <v>2</v>
      </c>
      <c r="E200" s="4">
        <v>3</v>
      </c>
      <c r="F200" s="4">
        <v>4</v>
      </c>
      <c r="G200" s="4">
        <v>5</v>
      </c>
      <c r="H200" s="4">
        <v>6</v>
      </c>
      <c r="I200" s="4">
        <v>7</v>
      </c>
      <c r="J200" s="4">
        <v>8</v>
      </c>
      <c r="K200" s="4">
        <v>9</v>
      </c>
      <c r="L200" s="4">
        <v>10</v>
      </c>
      <c r="M200" s="4">
        <v>11</v>
      </c>
      <c r="N200" s="4">
        <v>12</v>
      </c>
      <c r="O200" s="4">
        <v>13</v>
      </c>
      <c r="P200" s="4">
        <v>14</v>
      </c>
      <c r="Q200" s="4">
        <v>15</v>
      </c>
      <c r="R200" s="4">
        <v>16</v>
      </c>
      <c r="S200" s="4">
        <v>17</v>
      </c>
      <c r="T200" s="4">
        <v>18</v>
      </c>
      <c r="U200" s="4">
        <v>19</v>
      </c>
      <c r="V200" s="4">
        <v>20</v>
      </c>
      <c r="W200" s="4"/>
      <c r="X200" s="4"/>
      <c r="Y200" s="4"/>
      <c r="Z200" s="4"/>
      <c r="AA200" s="4"/>
      <c r="AB200" s="4"/>
      <c r="AC200" s="4"/>
      <c r="AD200" s="4"/>
      <c r="AE200" s="4"/>
      <c r="AF200" s="4"/>
    </row>
    <row r="201" spans="1:52" x14ac:dyDescent="0.2">
      <c r="A201" s="463"/>
      <c r="B201" s="3" t="s">
        <v>629</v>
      </c>
      <c r="C201" s="50">
        <f>IF(C200=1,$C$6,B204)</f>
        <v>0</v>
      </c>
      <c r="D201" s="50">
        <f t="shared" ref="D201:V201" si="92">IF(D200=1,$C$6,C204)</f>
        <v>0</v>
      </c>
      <c r="E201" s="50">
        <f t="shared" si="92"/>
        <v>0</v>
      </c>
      <c r="F201" s="50">
        <f t="shared" si="92"/>
        <v>0</v>
      </c>
      <c r="G201" s="50">
        <f t="shared" si="92"/>
        <v>0</v>
      </c>
      <c r="H201" s="50">
        <f t="shared" si="92"/>
        <v>0</v>
      </c>
      <c r="I201" s="50">
        <f t="shared" si="92"/>
        <v>0</v>
      </c>
      <c r="J201" s="50">
        <f t="shared" si="92"/>
        <v>0</v>
      </c>
      <c r="K201" s="50">
        <f t="shared" si="92"/>
        <v>0</v>
      </c>
      <c r="L201" s="50">
        <f t="shared" si="92"/>
        <v>0</v>
      </c>
      <c r="M201" s="50">
        <f t="shared" si="92"/>
        <v>0</v>
      </c>
      <c r="N201" s="50">
        <f t="shared" si="92"/>
        <v>0</v>
      </c>
      <c r="O201" s="50">
        <f t="shared" si="92"/>
        <v>0</v>
      </c>
      <c r="P201" s="50">
        <f t="shared" si="92"/>
        <v>0</v>
      </c>
      <c r="Q201" s="50">
        <f t="shared" si="92"/>
        <v>0</v>
      </c>
      <c r="R201" s="50">
        <f t="shared" si="92"/>
        <v>0</v>
      </c>
      <c r="S201" s="50">
        <f t="shared" si="92"/>
        <v>0</v>
      </c>
      <c r="T201" s="50">
        <f t="shared" si="92"/>
        <v>0</v>
      </c>
      <c r="U201" s="50">
        <f t="shared" si="92"/>
        <v>0</v>
      </c>
      <c r="V201" s="50">
        <f t="shared" si="92"/>
        <v>0</v>
      </c>
      <c r="W201" s="50"/>
      <c r="X201" s="50"/>
      <c r="Y201" s="50"/>
      <c r="Z201" s="50"/>
      <c r="AA201" s="50"/>
      <c r="AB201" s="50"/>
      <c r="AC201" s="50"/>
      <c r="AD201" s="50"/>
      <c r="AE201" s="50"/>
      <c r="AF201" s="50"/>
    </row>
    <row r="202" spans="1:52" x14ac:dyDescent="0.2">
      <c r="A202" s="463"/>
      <c r="B202" s="3" t="s">
        <v>630</v>
      </c>
      <c r="C202" s="50">
        <f>IF(OR($C$6="",$C$6=0),0,IF(OR(ROUND(C201,2)&lt;=0,$C$168=100%),0,VLOOKUP(C200,$AL$177:$AO$196,4,FALSE)*C201))</f>
        <v>0</v>
      </c>
      <c r="D202" s="50">
        <f t="shared" ref="D202:V202" si="93">IF(OR($C$6="",$C$6=0),0,IF(OR(ROUND(D201,2)&lt;=0,$C$168=100%),0,VLOOKUP(D200,$AL$177:$AO$196,4,FALSE)*D201))</f>
        <v>0</v>
      </c>
      <c r="E202" s="50">
        <f t="shared" si="93"/>
        <v>0</v>
      </c>
      <c r="F202" s="50">
        <f t="shared" si="93"/>
        <v>0</v>
      </c>
      <c r="G202" s="50">
        <f t="shared" si="93"/>
        <v>0</v>
      </c>
      <c r="H202" s="50">
        <f t="shared" si="93"/>
        <v>0</v>
      </c>
      <c r="I202" s="50">
        <f t="shared" si="93"/>
        <v>0</v>
      </c>
      <c r="J202" s="50">
        <f t="shared" si="93"/>
        <v>0</v>
      </c>
      <c r="K202" s="50">
        <f t="shared" si="93"/>
        <v>0</v>
      </c>
      <c r="L202" s="50">
        <f t="shared" si="93"/>
        <v>0</v>
      </c>
      <c r="M202" s="50">
        <f t="shared" si="93"/>
        <v>0</v>
      </c>
      <c r="N202" s="50">
        <f t="shared" si="93"/>
        <v>0</v>
      </c>
      <c r="O202" s="50">
        <f t="shared" si="93"/>
        <v>0</v>
      </c>
      <c r="P202" s="50">
        <f t="shared" si="93"/>
        <v>0</v>
      </c>
      <c r="Q202" s="50">
        <f t="shared" si="93"/>
        <v>0</v>
      </c>
      <c r="R202" s="50">
        <f t="shared" si="93"/>
        <v>0</v>
      </c>
      <c r="S202" s="50">
        <f t="shared" si="93"/>
        <v>0</v>
      </c>
      <c r="T202" s="50">
        <f t="shared" si="93"/>
        <v>0</v>
      </c>
      <c r="U202" s="50">
        <f t="shared" si="93"/>
        <v>0</v>
      </c>
      <c r="V202" s="50">
        <f t="shared" si="93"/>
        <v>0</v>
      </c>
      <c r="W202" s="50"/>
      <c r="X202" s="50"/>
      <c r="Y202" s="50"/>
      <c r="Z202" s="50"/>
      <c r="AA202" s="50"/>
      <c r="AB202" s="50"/>
      <c r="AC202" s="50"/>
      <c r="AD202" s="50"/>
      <c r="AE202" s="50"/>
      <c r="AF202" s="50"/>
    </row>
    <row r="203" spans="1:52" x14ac:dyDescent="0.2">
      <c r="A203" s="463"/>
      <c r="B203" s="3" t="s">
        <v>631</v>
      </c>
      <c r="C203" s="50">
        <f>IF(C200=1,C202,C202+B203)</f>
        <v>0</v>
      </c>
      <c r="D203" s="50">
        <f t="shared" ref="D203:V203" si="94">IF(D200=1,D202,D202+C203)</f>
        <v>0</v>
      </c>
      <c r="E203" s="50">
        <f t="shared" si="94"/>
        <v>0</v>
      </c>
      <c r="F203" s="50">
        <f t="shared" si="94"/>
        <v>0</v>
      </c>
      <c r="G203" s="50">
        <f t="shared" si="94"/>
        <v>0</v>
      </c>
      <c r="H203" s="50">
        <f t="shared" si="94"/>
        <v>0</v>
      </c>
      <c r="I203" s="50">
        <f t="shared" si="94"/>
        <v>0</v>
      </c>
      <c r="J203" s="50">
        <f t="shared" si="94"/>
        <v>0</v>
      </c>
      <c r="K203" s="50">
        <f t="shared" si="94"/>
        <v>0</v>
      </c>
      <c r="L203" s="50">
        <f t="shared" si="94"/>
        <v>0</v>
      </c>
      <c r="M203" s="50">
        <f t="shared" si="94"/>
        <v>0</v>
      </c>
      <c r="N203" s="50">
        <f t="shared" si="94"/>
        <v>0</v>
      </c>
      <c r="O203" s="50">
        <f t="shared" si="94"/>
        <v>0</v>
      </c>
      <c r="P203" s="50">
        <f t="shared" si="94"/>
        <v>0</v>
      </c>
      <c r="Q203" s="50">
        <f t="shared" si="94"/>
        <v>0</v>
      </c>
      <c r="R203" s="50">
        <f t="shared" si="94"/>
        <v>0</v>
      </c>
      <c r="S203" s="50">
        <f t="shared" si="94"/>
        <v>0</v>
      </c>
      <c r="T203" s="50">
        <f t="shared" si="94"/>
        <v>0</v>
      </c>
      <c r="U203" s="50">
        <f t="shared" si="94"/>
        <v>0</v>
      </c>
      <c r="V203" s="50">
        <f t="shared" si="94"/>
        <v>0</v>
      </c>
      <c r="W203" s="50"/>
      <c r="X203" s="50"/>
      <c r="Y203" s="50"/>
      <c r="Z203" s="50"/>
      <c r="AA203" s="50"/>
      <c r="AB203" s="50"/>
      <c r="AC203" s="50"/>
      <c r="AD203" s="50"/>
      <c r="AE203" s="50"/>
      <c r="AF203" s="50"/>
      <c r="AH203" s="72"/>
    </row>
    <row r="204" spans="1:52" ht="17" x14ac:dyDescent="0.2">
      <c r="A204" s="463"/>
      <c r="B204" s="38" t="s">
        <v>632</v>
      </c>
      <c r="C204" s="50">
        <f>C201-C202</f>
        <v>0</v>
      </c>
      <c r="D204" s="50">
        <f t="shared" ref="D204:V204" si="95">D201-D202</f>
        <v>0</v>
      </c>
      <c r="E204" s="50">
        <f t="shared" si="95"/>
        <v>0</v>
      </c>
      <c r="F204" s="50">
        <f t="shared" si="95"/>
        <v>0</v>
      </c>
      <c r="G204" s="50">
        <f t="shared" si="95"/>
        <v>0</v>
      </c>
      <c r="H204" s="50">
        <f t="shared" si="95"/>
        <v>0</v>
      </c>
      <c r="I204" s="50">
        <f t="shared" si="95"/>
        <v>0</v>
      </c>
      <c r="J204" s="50">
        <f t="shared" si="95"/>
        <v>0</v>
      </c>
      <c r="K204" s="50">
        <f t="shared" si="95"/>
        <v>0</v>
      </c>
      <c r="L204" s="50">
        <f t="shared" si="95"/>
        <v>0</v>
      </c>
      <c r="M204" s="50">
        <f t="shared" si="95"/>
        <v>0</v>
      </c>
      <c r="N204" s="50">
        <f t="shared" si="95"/>
        <v>0</v>
      </c>
      <c r="O204" s="50">
        <f t="shared" si="95"/>
        <v>0</v>
      </c>
      <c r="P204" s="50">
        <f t="shared" si="95"/>
        <v>0</v>
      </c>
      <c r="Q204" s="50">
        <f t="shared" si="95"/>
        <v>0</v>
      </c>
      <c r="R204" s="50">
        <f t="shared" si="95"/>
        <v>0</v>
      </c>
      <c r="S204" s="50">
        <f t="shared" si="95"/>
        <v>0</v>
      </c>
      <c r="T204" s="50">
        <f t="shared" si="95"/>
        <v>0</v>
      </c>
      <c r="U204" s="50">
        <f t="shared" si="95"/>
        <v>0</v>
      </c>
      <c r="V204" s="50">
        <f t="shared" si="95"/>
        <v>0</v>
      </c>
      <c r="W204" s="50"/>
      <c r="X204" s="50"/>
      <c r="Y204" s="50"/>
      <c r="Z204" s="50"/>
      <c r="AA204" s="50"/>
      <c r="AB204" s="50"/>
      <c r="AC204" s="50"/>
      <c r="AD204" s="50"/>
      <c r="AE204" s="50"/>
      <c r="AF204" s="50"/>
    </row>
    <row r="205" spans="1:52" x14ac:dyDescent="0.2">
      <c r="A205" s="463"/>
      <c r="B205" s="53" t="s">
        <v>189</v>
      </c>
      <c r="C205" s="54">
        <f>SUM(C204,C203)</f>
        <v>0</v>
      </c>
      <c r="D205" s="54">
        <f t="shared" ref="D205:V205" si="96">SUM(D204,D203)</f>
        <v>0</v>
      </c>
      <c r="E205" s="54">
        <f t="shared" si="96"/>
        <v>0</v>
      </c>
      <c r="F205" s="54">
        <f t="shared" si="96"/>
        <v>0</v>
      </c>
      <c r="G205" s="54">
        <f t="shared" si="96"/>
        <v>0</v>
      </c>
      <c r="H205" s="54">
        <f t="shared" si="96"/>
        <v>0</v>
      </c>
      <c r="I205" s="54">
        <f t="shared" si="96"/>
        <v>0</v>
      </c>
      <c r="J205" s="54">
        <f t="shared" si="96"/>
        <v>0</v>
      </c>
      <c r="K205" s="54">
        <f t="shared" si="96"/>
        <v>0</v>
      </c>
      <c r="L205" s="54">
        <f t="shared" si="96"/>
        <v>0</v>
      </c>
      <c r="M205" s="54">
        <f t="shared" si="96"/>
        <v>0</v>
      </c>
      <c r="N205" s="54">
        <f t="shared" si="96"/>
        <v>0</v>
      </c>
      <c r="O205" s="54">
        <f t="shared" si="96"/>
        <v>0</v>
      </c>
      <c r="P205" s="54">
        <f t="shared" si="96"/>
        <v>0</v>
      </c>
      <c r="Q205" s="54">
        <f t="shared" si="96"/>
        <v>0</v>
      </c>
      <c r="R205" s="54">
        <f t="shared" si="96"/>
        <v>0</v>
      </c>
      <c r="S205" s="54">
        <f t="shared" si="96"/>
        <v>0</v>
      </c>
      <c r="T205" s="54">
        <f t="shared" si="96"/>
        <v>0</v>
      </c>
      <c r="U205" s="54">
        <f t="shared" si="96"/>
        <v>0</v>
      </c>
      <c r="V205" s="54">
        <f t="shared" si="96"/>
        <v>0</v>
      </c>
      <c r="W205" s="54"/>
      <c r="X205" s="54"/>
      <c r="Y205" s="54"/>
      <c r="Z205" s="54"/>
      <c r="AA205" s="54"/>
      <c r="AB205" s="54"/>
      <c r="AC205" s="54"/>
      <c r="AD205" s="54"/>
      <c r="AE205" s="54"/>
      <c r="AF205" s="54"/>
    </row>
    <row r="207" spans="1:52" ht="16" customHeight="1" x14ac:dyDescent="0.2">
      <c r="A207" s="463" t="s">
        <v>733</v>
      </c>
      <c r="B207" s="3" t="s">
        <v>94</v>
      </c>
      <c r="C207" s="3" t="s">
        <v>95</v>
      </c>
      <c r="D207" s="3" t="s">
        <v>96</v>
      </c>
      <c r="E207" s="3" t="s">
        <v>97</v>
      </c>
      <c r="F207" s="3" t="s">
        <v>98</v>
      </c>
      <c r="G207" s="3" t="s">
        <v>99</v>
      </c>
      <c r="H207" s="3" t="s">
        <v>100</v>
      </c>
      <c r="I207" s="3" t="s">
        <v>101</v>
      </c>
      <c r="J207" s="3" t="s">
        <v>102</v>
      </c>
      <c r="K207" s="3" t="s">
        <v>103</v>
      </c>
      <c r="L207" s="3" t="s">
        <v>104</v>
      </c>
      <c r="M207" s="3" t="s">
        <v>105</v>
      </c>
      <c r="N207" s="3" t="s">
        <v>106</v>
      </c>
      <c r="O207" s="3" t="s">
        <v>107</v>
      </c>
      <c r="P207" s="3" t="s">
        <v>108</v>
      </c>
      <c r="Q207" s="3" t="s">
        <v>109</v>
      </c>
      <c r="R207" s="3" t="s">
        <v>110</v>
      </c>
      <c r="S207" s="3" t="s">
        <v>111</v>
      </c>
      <c r="T207" s="3" t="s">
        <v>112</v>
      </c>
      <c r="U207" s="3" t="s">
        <v>113</v>
      </c>
      <c r="V207" s="3" t="s">
        <v>114</v>
      </c>
      <c r="W207" s="3" t="s">
        <v>117</v>
      </c>
      <c r="X207" s="3" t="s">
        <v>116</v>
      </c>
      <c r="Y207" s="3" t="s">
        <v>115</v>
      </c>
      <c r="Z207" s="3" t="s">
        <v>229</v>
      </c>
    </row>
    <row r="208" spans="1:52" ht="16" customHeight="1" x14ac:dyDescent="0.2">
      <c r="A208" s="463"/>
      <c r="B208" s="3">
        <v>1</v>
      </c>
      <c r="C208" s="11">
        <f>(C$202)*IF($B208&gt;=C$200,IF($B208=C$200,$E$19,VLOOKUP($B208-C$200,$B$19:$E$49,4,FALSE)),0)</f>
        <v>0</v>
      </c>
      <c r="D208" s="11">
        <f t="shared" ref="C208:R223" si="97">(D$202)*IF($B208&gt;=D$200,IF($B208=D$200,$E$19,VLOOKUP($B208-D$200,$B$19:$E$49,4,FALSE)),0)</f>
        <v>0</v>
      </c>
      <c r="E208" s="11">
        <f t="shared" si="97"/>
        <v>0</v>
      </c>
      <c r="F208" s="11">
        <f t="shared" si="97"/>
        <v>0</v>
      </c>
      <c r="G208" s="11">
        <f t="shared" si="97"/>
        <v>0</v>
      </c>
      <c r="H208" s="11">
        <f t="shared" si="97"/>
        <v>0</v>
      </c>
      <c r="I208" s="11">
        <f t="shared" si="97"/>
        <v>0</v>
      </c>
      <c r="J208" s="11">
        <f t="shared" si="97"/>
        <v>0</v>
      </c>
      <c r="K208" s="11">
        <f t="shared" si="97"/>
        <v>0</v>
      </c>
      <c r="L208" s="11">
        <f t="shared" si="97"/>
        <v>0</v>
      </c>
      <c r="M208" s="11">
        <f t="shared" si="97"/>
        <v>0</v>
      </c>
      <c r="N208" s="11">
        <f t="shared" si="97"/>
        <v>0</v>
      </c>
      <c r="O208" s="11">
        <f t="shared" si="97"/>
        <v>0</v>
      </c>
      <c r="P208" s="11">
        <f t="shared" si="97"/>
        <v>0</v>
      </c>
      <c r="Q208" s="11">
        <f t="shared" si="97"/>
        <v>0</v>
      </c>
      <c r="R208" s="11">
        <f t="shared" si="97"/>
        <v>0</v>
      </c>
      <c r="S208" s="11">
        <f t="shared" ref="S208:V227" si="98">(S$202)*IF($B208&gt;=S$200,IF($B208=S$200,$E$19,VLOOKUP($B208-S$200,$B$19:$E$49,4,FALSE)),0)</f>
        <v>0</v>
      </c>
      <c r="T208" s="11">
        <f t="shared" si="98"/>
        <v>0</v>
      </c>
      <c r="U208" s="11">
        <f t="shared" si="98"/>
        <v>0</v>
      </c>
      <c r="V208" s="11">
        <f t="shared" si="98"/>
        <v>0</v>
      </c>
      <c r="W208" s="11">
        <f>SUM(C208:V208)*D$11*C$11</f>
        <v>0</v>
      </c>
      <c r="X208" s="11">
        <f t="shared" ref="X208:X227" si="99">IF(W208&gt;0,EXP(-1.0587+0.8836*LN(W208)+0.284),0)</f>
        <v>0</v>
      </c>
      <c r="Y208" s="11">
        <f t="shared" ref="Y208:Y227" si="100">SUM(W208:X208)*0.475*44/12</f>
        <v>0</v>
      </c>
      <c r="Z208" s="11">
        <f>SUM(C208:V208)</f>
        <v>0</v>
      </c>
      <c r="AH208" s="11"/>
    </row>
    <row r="209" spans="1:34" x14ac:dyDescent="0.2">
      <c r="A209" s="463"/>
      <c r="B209" s="3">
        <v>2</v>
      </c>
      <c r="C209" s="11">
        <f t="shared" si="97"/>
        <v>0</v>
      </c>
      <c r="D209" s="11">
        <f t="shared" si="97"/>
        <v>0</v>
      </c>
      <c r="E209" s="11">
        <f t="shared" si="97"/>
        <v>0</v>
      </c>
      <c r="F209" s="11">
        <f t="shared" si="97"/>
        <v>0</v>
      </c>
      <c r="G209" s="11">
        <f t="shared" si="97"/>
        <v>0</v>
      </c>
      <c r="H209" s="11">
        <f t="shared" si="97"/>
        <v>0</v>
      </c>
      <c r="I209" s="11">
        <f t="shared" si="97"/>
        <v>0</v>
      </c>
      <c r="J209" s="11">
        <f t="shared" si="97"/>
        <v>0</v>
      </c>
      <c r="K209" s="11">
        <f t="shared" si="97"/>
        <v>0</v>
      </c>
      <c r="L209" s="11">
        <f t="shared" si="97"/>
        <v>0</v>
      </c>
      <c r="M209" s="11">
        <f t="shared" si="97"/>
        <v>0</v>
      </c>
      <c r="N209" s="11">
        <f t="shared" si="97"/>
        <v>0</v>
      </c>
      <c r="O209" s="11">
        <f t="shared" si="97"/>
        <v>0</v>
      </c>
      <c r="P209" s="11">
        <f t="shared" si="97"/>
        <v>0</v>
      </c>
      <c r="Q209" s="11">
        <f t="shared" si="97"/>
        <v>0</v>
      </c>
      <c r="R209" s="11">
        <f t="shared" si="97"/>
        <v>0</v>
      </c>
      <c r="S209" s="11">
        <f t="shared" si="98"/>
        <v>0</v>
      </c>
      <c r="T209" s="11">
        <f t="shared" si="98"/>
        <v>0</v>
      </c>
      <c r="U209" s="11">
        <f t="shared" si="98"/>
        <v>0</v>
      </c>
      <c r="V209" s="11">
        <f t="shared" si="98"/>
        <v>0</v>
      </c>
      <c r="W209" s="11">
        <f t="shared" ref="W209:W227" si="101">SUM(C209:V209)*D$11*C$11</f>
        <v>0</v>
      </c>
      <c r="X209" s="11">
        <f t="shared" si="99"/>
        <v>0</v>
      </c>
      <c r="Y209" s="11">
        <f t="shared" si="100"/>
        <v>0</v>
      </c>
      <c r="Z209" s="11">
        <f t="shared" ref="Z209:Z227" si="102">SUM(C209:V209)</f>
        <v>0</v>
      </c>
      <c r="AB209" s="474" t="s">
        <v>118</v>
      </c>
      <c r="AC209" s="474"/>
      <c r="AD209" s="474"/>
      <c r="AE209" s="474"/>
      <c r="AH209" s="11"/>
    </row>
    <row r="210" spans="1:34" x14ac:dyDescent="0.2">
      <c r="A210" s="463"/>
      <c r="B210" s="3">
        <v>3</v>
      </c>
      <c r="C210" s="11">
        <f t="shared" si="97"/>
        <v>0</v>
      </c>
      <c r="D210" s="11">
        <f t="shared" si="97"/>
        <v>0</v>
      </c>
      <c r="E210" s="11">
        <f t="shared" si="97"/>
        <v>0</v>
      </c>
      <c r="F210" s="11">
        <f t="shared" si="97"/>
        <v>0</v>
      </c>
      <c r="G210" s="11">
        <f t="shared" si="97"/>
        <v>0</v>
      </c>
      <c r="H210" s="11">
        <f t="shared" si="97"/>
        <v>0</v>
      </c>
      <c r="I210" s="11">
        <f t="shared" si="97"/>
        <v>0</v>
      </c>
      <c r="J210" s="11">
        <f t="shared" si="97"/>
        <v>0</v>
      </c>
      <c r="K210" s="11">
        <f t="shared" si="97"/>
        <v>0</v>
      </c>
      <c r="L210" s="11">
        <f t="shared" si="97"/>
        <v>0</v>
      </c>
      <c r="M210" s="11">
        <f t="shared" si="97"/>
        <v>0</v>
      </c>
      <c r="N210" s="11">
        <f t="shared" si="97"/>
        <v>0</v>
      </c>
      <c r="O210" s="11">
        <f t="shared" si="97"/>
        <v>0</v>
      </c>
      <c r="P210" s="11">
        <f t="shared" si="97"/>
        <v>0</v>
      </c>
      <c r="Q210" s="11">
        <f t="shared" si="97"/>
        <v>0</v>
      </c>
      <c r="R210" s="11">
        <f t="shared" si="97"/>
        <v>0</v>
      </c>
      <c r="S210" s="11">
        <f t="shared" si="98"/>
        <v>0</v>
      </c>
      <c r="T210" s="11">
        <f t="shared" si="98"/>
        <v>0</v>
      </c>
      <c r="U210" s="11">
        <f t="shared" si="98"/>
        <v>0</v>
      </c>
      <c r="V210" s="11">
        <f t="shared" si="98"/>
        <v>0</v>
      </c>
      <c r="W210" s="11">
        <f t="shared" si="101"/>
        <v>0</v>
      </c>
      <c r="X210" s="11">
        <f t="shared" si="99"/>
        <v>0</v>
      </c>
      <c r="Y210" s="11">
        <f t="shared" si="100"/>
        <v>0</v>
      </c>
      <c r="Z210" s="11">
        <f t="shared" si="102"/>
        <v>0</v>
      </c>
      <c r="AB210" s="474"/>
      <c r="AC210" s="474"/>
      <c r="AD210" s="474"/>
      <c r="AE210" s="474"/>
      <c r="AH210" s="11"/>
    </row>
    <row r="211" spans="1:34" x14ac:dyDescent="0.2">
      <c r="A211" s="463"/>
      <c r="B211" s="3">
        <v>4</v>
      </c>
      <c r="C211" s="11">
        <f t="shared" si="97"/>
        <v>0</v>
      </c>
      <c r="D211" s="11">
        <f t="shared" si="97"/>
        <v>0</v>
      </c>
      <c r="E211" s="11">
        <f t="shared" si="97"/>
        <v>0</v>
      </c>
      <c r="F211" s="11">
        <f t="shared" si="97"/>
        <v>0</v>
      </c>
      <c r="G211" s="11">
        <f t="shared" si="97"/>
        <v>0</v>
      </c>
      <c r="H211" s="11">
        <f t="shared" si="97"/>
        <v>0</v>
      </c>
      <c r="I211" s="11">
        <f t="shared" si="97"/>
        <v>0</v>
      </c>
      <c r="J211" s="11">
        <f t="shared" si="97"/>
        <v>0</v>
      </c>
      <c r="K211" s="11">
        <f t="shared" si="97"/>
        <v>0</v>
      </c>
      <c r="L211" s="11">
        <f t="shared" si="97"/>
        <v>0</v>
      </c>
      <c r="M211" s="11">
        <f t="shared" si="97"/>
        <v>0</v>
      </c>
      <c r="N211" s="11">
        <f t="shared" si="97"/>
        <v>0</v>
      </c>
      <c r="O211" s="11">
        <f t="shared" si="97"/>
        <v>0</v>
      </c>
      <c r="P211" s="11">
        <f t="shared" si="97"/>
        <v>0</v>
      </c>
      <c r="Q211" s="11">
        <f t="shared" si="97"/>
        <v>0</v>
      </c>
      <c r="R211" s="11">
        <f t="shared" si="97"/>
        <v>0</v>
      </c>
      <c r="S211" s="11">
        <f t="shared" si="98"/>
        <v>0</v>
      </c>
      <c r="T211" s="11">
        <f t="shared" si="98"/>
        <v>0</v>
      </c>
      <c r="U211" s="11">
        <f t="shared" si="98"/>
        <v>0</v>
      </c>
      <c r="V211" s="11">
        <f t="shared" si="98"/>
        <v>0</v>
      </c>
      <c r="W211" s="11">
        <f t="shared" si="101"/>
        <v>0</v>
      </c>
      <c r="X211" s="11">
        <f t="shared" si="99"/>
        <v>0</v>
      </c>
      <c r="Y211" s="11">
        <f t="shared" si="100"/>
        <v>0</v>
      </c>
      <c r="Z211" s="11">
        <f t="shared" si="102"/>
        <v>0</v>
      </c>
      <c r="AB211" s="474"/>
      <c r="AC211" s="474"/>
      <c r="AD211" s="474"/>
      <c r="AE211" s="474"/>
      <c r="AH211" s="11"/>
    </row>
    <row r="212" spans="1:34" x14ac:dyDescent="0.2">
      <c r="A212" s="463"/>
      <c r="B212" s="3">
        <v>5</v>
      </c>
      <c r="C212" s="11">
        <f t="shared" si="97"/>
        <v>0</v>
      </c>
      <c r="D212" s="11">
        <f t="shared" si="97"/>
        <v>0</v>
      </c>
      <c r="E212" s="11">
        <f t="shared" si="97"/>
        <v>0</v>
      </c>
      <c r="F212" s="11">
        <f t="shared" si="97"/>
        <v>0</v>
      </c>
      <c r="G212" s="11">
        <f t="shared" si="97"/>
        <v>0</v>
      </c>
      <c r="H212" s="11">
        <f t="shared" si="97"/>
        <v>0</v>
      </c>
      <c r="I212" s="11">
        <f t="shared" si="97"/>
        <v>0</v>
      </c>
      <c r="J212" s="11">
        <f t="shared" si="97"/>
        <v>0</v>
      </c>
      <c r="K212" s="11">
        <f t="shared" si="97"/>
        <v>0</v>
      </c>
      <c r="L212" s="11">
        <f t="shared" si="97"/>
        <v>0</v>
      </c>
      <c r="M212" s="11">
        <f t="shared" si="97"/>
        <v>0</v>
      </c>
      <c r="N212" s="11">
        <f t="shared" si="97"/>
        <v>0</v>
      </c>
      <c r="O212" s="11">
        <f t="shared" si="97"/>
        <v>0</v>
      </c>
      <c r="P212" s="11">
        <f t="shared" si="97"/>
        <v>0</v>
      </c>
      <c r="Q212" s="11">
        <f t="shared" si="97"/>
        <v>0</v>
      </c>
      <c r="R212" s="11">
        <f t="shared" si="97"/>
        <v>0</v>
      </c>
      <c r="S212" s="11">
        <f t="shared" si="98"/>
        <v>0</v>
      </c>
      <c r="T212" s="11">
        <f t="shared" si="98"/>
        <v>0</v>
      </c>
      <c r="U212" s="11">
        <f t="shared" si="98"/>
        <v>0</v>
      </c>
      <c r="V212" s="11">
        <f t="shared" si="98"/>
        <v>0</v>
      </c>
      <c r="W212" s="11">
        <f t="shared" si="101"/>
        <v>0</v>
      </c>
      <c r="X212" s="11">
        <f t="shared" si="99"/>
        <v>0</v>
      </c>
      <c r="Y212" s="11">
        <f t="shared" si="100"/>
        <v>0</v>
      </c>
      <c r="Z212" s="11">
        <f t="shared" si="102"/>
        <v>0</v>
      </c>
      <c r="AB212" s="474"/>
      <c r="AC212" s="474"/>
      <c r="AD212" s="474"/>
      <c r="AE212" s="474"/>
      <c r="AH212" s="11"/>
    </row>
    <row r="213" spans="1:34" x14ac:dyDescent="0.2">
      <c r="A213" s="463"/>
      <c r="B213" s="3">
        <v>6</v>
      </c>
      <c r="C213" s="11">
        <f t="shared" si="97"/>
        <v>0</v>
      </c>
      <c r="D213" s="11">
        <f t="shared" si="97"/>
        <v>0</v>
      </c>
      <c r="E213" s="11">
        <f t="shared" si="97"/>
        <v>0</v>
      </c>
      <c r="F213" s="11">
        <f t="shared" si="97"/>
        <v>0</v>
      </c>
      <c r="G213" s="11">
        <f t="shared" si="97"/>
        <v>0</v>
      </c>
      <c r="H213" s="11">
        <f t="shared" si="97"/>
        <v>0</v>
      </c>
      <c r="I213" s="11">
        <f t="shared" si="97"/>
        <v>0</v>
      </c>
      <c r="J213" s="11">
        <f t="shared" si="97"/>
        <v>0</v>
      </c>
      <c r="K213" s="11">
        <f t="shared" si="97"/>
        <v>0</v>
      </c>
      <c r="L213" s="11">
        <f t="shared" si="97"/>
        <v>0</v>
      </c>
      <c r="M213" s="11">
        <f t="shared" si="97"/>
        <v>0</v>
      </c>
      <c r="N213" s="11">
        <f t="shared" si="97"/>
        <v>0</v>
      </c>
      <c r="O213" s="11">
        <f t="shared" si="97"/>
        <v>0</v>
      </c>
      <c r="P213" s="11">
        <f t="shared" si="97"/>
        <v>0</v>
      </c>
      <c r="Q213" s="11">
        <f t="shared" si="97"/>
        <v>0</v>
      </c>
      <c r="R213" s="11">
        <f t="shared" si="97"/>
        <v>0</v>
      </c>
      <c r="S213" s="11">
        <f t="shared" si="98"/>
        <v>0</v>
      </c>
      <c r="T213" s="11">
        <f t="shared" si="98"/>
        <v>0</v>
      </c>
      <c r="U213" s="11">
        <f t="shared" si="98"/>
        <v>0</v>
      </c>
      <c r="V213" s="11">
        <f t="shared" si="98"/>
        <v>0</v>
      </c>
      <c r="W213" s="11">
        <f t="shared" si="101"/>
        <v>0</v>
      </c>
      <c r="X213" s="11">
        <f t="shared" si="99"/>
        <v>0</v>
      </c>
      <c r="Y213" s="11">
        <f t="shared" si="100"/>
        <v>0</v>
      </c>
      <c r="Z213" s="11">
        <f t="shared" si="102"/>
        <v>0</v>
      </c>
      <c r="AB213" s="474"/>
      <c r="AC213" s="474"/>
      <c r="AD213" s="474"/>
      <c r="AE213" s="474"/>
      <c r="AH213" s="11"/>
    </row>
    <row r="214" spans="1:34" x14ac:dyDescent="0.2">
      <c r="A214" s="463"/>
      <c r="B214" s="3">
        <v>7</v>
      </c>
      <c r="C214" s="11">
        <f t="shared" si="97"/>
        <v>0</v>
      </c>
      <c r="D214" s="11">
        <f t="shared" si="97"/>
        <v>0</v>
      </c>
      <c r="E214" s="11">
        <f t="shared" si="97"/>
        <v>0</v>
      </c>
      <c r="F214" s="11">
        <f t="shared" si="97"/>
        <v>0</v>
      </c>
      <c r="G214" s="11">
        <f t="shared" si="97"/>
        <v>0</v>
      </c>
      <c r="H214" s="11">
        <f t="shared" si="97"/>
        <v>0</v>
      </c>
      <c r="I214" s="11">
        <f t="shared" si="97"/>
        <v>0</v>
      </c>
      <c r="J214" s="11">
        <f t="shared" si="97"/>
        <v>0</v>
      </c>
      <c r="K214" s="11">
        <f t="shared" si="97"/>
        <v>0</v>
      </c>
      <c r="L214" s="11">
        <f t="shared" si="97"/>
        <v>0</v>
      </c>
      <c r="M214" s="11">
        <f t="shared" si="97"/>
        <v>0</v>
      </c>
      <c r="N214" s="11">
        <f t="shared" si="97"/>
        <v>0</v>
      </c>
      <c r="O214" s="11">
        <f t="shared" si="97"/>
        <v>0</v>
      </c>
      <c r="P214" s="11">
        <f t="shared" si="97"/>
        <v>0</v>
      </c>
      <c r="Q214" s="11">
        <f t="shared" si="97"/>
        <v>0</v>
      </c>
      <c r="R214" s="11">
        <f t="shared" si="97"/>
        <v>0</v>
      </c>
      <c r="S214" s="11">
        <f t="shared" si="98"/>
        <v>0</v>
      </c>
      <c r="T214" s="11">
        <f t="shared" si="98"/>
        <v>0</v>
      </c>
      <c r="U214" s="11">
        <f t="shared" si="98"/>
        <v>0</v>
      </c>
      <c r="V214" s="11">
        <f t="shared" si="98"/>
        <v>0</v>
      </c>
      <c r="W214" s="11">
        <f t="shared" si="101"/>
        <v>0</v>
      </c>
      <c r="X214" s="11">
        <f t="shared" si="99"/>
        <v>0</v>
      </c>
      <c r="Y214" s="11">
        <f t="shared" si="100"/>
        <v>0</v>
      </c>
      <c r="Z214" s="11">
        <f t="shared" si="102"/>
        <v>0</v>
      </c>
      <c r="AB214" s="474"/>
      <c r="AC214" s="474"/>
      <c r="AD214" s="474"/>
      <c r="AE214" s="474"/>
      <c r="AH214" s="11"/>
    </row>
    <row r="215" spans="1:34" ht="16" customHeight="1" x14ac:dyDescent="0.2">
      <c r="A215" s="463"/>
      <c r="B215" s="3">
        <v>8</v>
      </c>
      <c r="C215" s="11">
        <f t="shared" si="97"/>
        <v>0</v>
      </c>
      <c r="D215" s="11">
        <f t="shared" si="97"/>
        <v>0</v>
      </c>
      <c r="E215" s="11">
        <f t="shared" si="97"/>
        <v>0</v>
      </c>
      <c r="F215" s="11">
        <f t="shared" si="97"/>
        <v>0</v>
      </c>
      <c r="G215" s="11">
        <f t="shared" si="97"/>
        <v>0</v>
      </c>
      <c r="H215" s="11">
        <f t="shared" si="97"/>
        <v>0</v>
      </c>
      <c r="I215" s="11">
        <f t="shared" si="97"/>
        <v>0</v>
      </c>
      <c r="J215" s="11">
        <f t="shared" si="97"/>
        <v>0</v>
      </c>
      <c r="K215" s="11">
        <f t="shared" si="97"/>
        <v>0</v>
      </c>
      <c r="L215" s="11">
        <f t="shared" si="97"/>
        <v>0</v>
      </c>
      <c r="M215" s="11">
        <f t="shared" si="97"/>
        <v>0</v>
      </c>
      <c r="N215" s="11">
        <f t="shared" si="97"/>
        <v>0</v>
      </c>
      <c r="O215" s="11">
        <f t="shared" si="97"/>
        <v>0</v>
      </c>
      <c r="P215" s="11">
        <f t="shared" si="97"/>
        <v>0</v>
      </c>
      <c r="Q215" s="11">
        <f t="shared" si="97"/>
        <v>0</v>
      </c>
      <c r="R215" s="11">
        <f t="shared" si="97"/>
        <v>0</v>
      </c>
      <c r="S215" s="11">
        <f t="shared" si="98"/>
        <v>0</v>
      </c>
      <c r="T215" s="11">
        <f t="shared" si="98"/>
        <v>0</v>
      </c>
      <c r="U215" s="11">
        <f t="shared" si="98"/>
        <v>0</v>
      </c>
      <c r="V215" s="11">
        <f t="shared" si="98"/>
        <v>0</v>
      </c>
      <c r="W215" s="11">
        <f t="shared" si="101"/>
        <v>0</v>
      </c>
      <c r="X215" s="11">
        <f t="shared" si="99"/>
        <v>0</v>
      </c>
      <c r="Y215" s="11">
        <f t="shared" si="100"/>
        <v>0</v>
      </c>
      <c r="Z215" s="11">
        <f t="shared" si="102"/>
        <v>0</v>
      </c>
      <c r="AC215" s="31"/>
      <c r="AD215" s="31"/>
      <c r="AE215" s="31"/>
      <c r="AH215" s="11"/>
    </row>
    <row r="216" spans="1:34" x14ac:dyDescent="0.2">
      <c r="A216" s="463"/>
      <c r="B216" s="3">
        <v>9</v>
      </c>
      <c r="C216" s="11">
        <f t="shared" si="97"/>
        <v>0</v>
      </c>
      <c r="D216" s="11">
        <f t="shared" si="97"/>
        <v>0</v>
      </c>
      <c r="E216" s="11">
        <f t="shared" si="97"/>
        <v>0</v>
      </c>
      <c r="F216" s="11">
        <f t="shared" si="97"/>
        <v>0</v>
      </c>
      <c r="G216" s="11">
        <f t="shared" si="97"/>
        <v>0</v>
      </c>
      <c r="H216" s="11">
        <f t="shared" si="97"/>
        <v>0</v>
      </c>
      <c r="I216" s="11">
        <f t="shared" si="97"/>
        <v>0</v>
      </c>
      <c r="J216" s="11">
        <f t="shared" si="97"/>
        <v>0</v>
      </c>
      <c r="K216" s="11">
        <f t="shared" si="97"/>
        <v>0</v>
      </c>
      <c r="L216" s="11">
        <f t="shared" si="97"/>
        <v>0</v>
      </c>
      <c r="M216" s="11">
        <f t="shared" si="97"/>
        <v>0</v>
      </c>
      <c r="N216" s="11">
        <f t="shared" si="97"/>
        <v>0</v>
      </c>
      <c r="O216" s="11">
        <f t="shared" si="97"/>
        <v>0</v>
      </c>
      <c r="P216" s="11">
        <f t="shared" si="97"/>
        <v>0</v>
      </c>
      <c r="Q216" s="11">
        <f t="shared" si="97"/>
        <v>0</v>
      </c>
      <c r="R216" s="11">
        <f t="shared" si="97"/>
        <v>0</v>
      </c>
      <c r="S216" s="11">
        <f t="shared" si="98"/>
        <v>0</v>
      </c>
      <c r="T216" s="11">
        <f t="shared" si="98"/>
        <v>0</v>
      </c>
      <c r="U216" s="11">
        <f t="shared" si="98"/>
        <v>0</v>
      </c>
      <c r="V216" s="11">
        <f t="shared" si="98"/>
        <v>0</v>
      </c>
      <c r="W216" s="11">
        <f t="shared" si="101"/>
        <v>0</v>
      </c>
      <c r="X216" s="11">
        <f t="shared" si="99"/>
        <v>0</v>
      </c>
      <c r="Y216" s="11">
        <f t="shared" si="100"/>
        <v>0</v>
      </c>
      <c r="Z216" s="11">
        <f t="shared" si="102"/>
        <v>0</v>
      </c>
      <c r="AB216" s="31"/>
      <c r="AC216" s="31"/>
      <c r="AD216" s="31"/>
      <c r="AE216" s="31"/>
      <c r="AH216" s="11"/>
    </row>
    <row r="217" spans="1:34" x14ac:dyDescent="0.2">
      <c r="A217" s="463"/>
      <c r="B217" s="3">
        <v>10</v>
      </c>
      <c r="C217" s="11">
        <f t="shared" si="97"/>
        <v>0</v>
      </c>
      <c r="D217" s="11">
        <f t="shared" si="97"/>
        <v>0</v>
      </c>
      <c r="E217" s="11">
        <f t="shared" si="97"/>
        <v>0</v>
      </c>
      <c r="F217" s="11">
        <f t="shared" si="97"/>
        <v>0</v>
      </c>
      <c r="G217" s="11">
        <f t="shared" si="97"/>
        <v>0</v>
      </c>
      <c r="H217" s="11">
        <f t="shared" si="97"/>
        <v>0</v>
      </c>
      <c r="I217" s="11">
        <f t="shared" si="97"/>
        <v>0</v>
      </c>
      <c r="J217" s="11">
        <f t="shared" si="97"/>
        <v>0</v>
      </c>
      <c r="K217" s="11">
        <f t="shared" si="97"/>
        <v>0</v>
      </c>
      <c r="L217" s="11">
        <f t="shared" si="97"/>
        <v>0</v>
      </c>
      <c r="M217" s="11">
        <f t="shared" si="97"/>
        <v>0</v>
      </c>
      <c r="N217" s="11">
        <f t="shared" si="97"/>
        <v>0</v>
      </c>
      <c r="O217" s="11">
        <f t="shared" si="97"/>
        <v>0</v>
      </c>
      <c r="P217" s="11">
        <f t="shared" si="97"/>
        <v>0</v>
      </c>
      <c r="Q217" s="11">
        <f t="shared" si="97"/>
        <v>0</v>
      </c>
      <c r="R217" s="11">
        <f t="shared" si="97"/>
        <v>0</v>
      </c>
      <c r="S217" s="11">
        <f t="shared" si="98"/>
        <v>0</v>
      </c>
      <c r="T217" s="11">
        <f t="shared" si="98"/>
        <v>0</v>
      </c>
      <c r="U217" s="11">
        <f t="shared" si="98"/>
        <v>0</v>
      </c>
      <c r="V217" s="11">
        <f t="shared" si="98"/>
        <v>0</v>
      </c>
      <c r="W217" s="11">
        <f t="shared" si="101"/>
        <v>0</v>
      </c>
      <c r="X217" s="11">
        <f t="shared" si="99"/>
        <v>0</v>
      </c>
      <c r="Y217" s="11">
        <f t="shared" si="100"/>
        <v>0</v>
      </c>
      <c r="Z217" s="11">
        <f t="shared" si="102"/>
        <v>0</v>
      </c>
      <c r="AB217" s="86"/>
      <c r="AC217" s="86"/>
      <c r="AD217" s="86"/>
      <c r="AE217" s="86"/>
      <c r="AH217" s="11"/>
    </row>
    <row r="218" spans="1:34" x14ac:dyDescent="0.2">
      <c r="A218" s="463"/>
      <c r="B218" s="3">
        <v>11</v>
      </c>
      <c r="C218" s="11">
        <f t="shared" si="97"/>
        <v>0</v>
      </c>
      <c r="D218" s="11">
        <f t="shared" si="97"/>
        <v>0</v>
      </c>
      <c r="E218" s="11">
        <f t="shared" si="97"/>
        <v>0</v>
      </c>
      <c r="F218" s="11">
        <f t="shared" si="97"/>
        <v>0</v>
      </c>
      <c r="G218" s="11">
        <f t="shared" si="97"/>
        <v>0</v>
      </c>
      <c r="H218" s="11">
        <f t="shared" si="97"/>
        <v>0</v>
      </c>
      <c r="I218" s="11">
        <f t="shared" si="97"/>
        <v>0</v>
      </c>
      <c r="J218" s="11">
        <f t="shared" si="97"/>
        <v>0</v>
      </c>
      <c r="K218" s="11">
        <f t="shared" si="97"/>
        <v>0</v>
      </c>
      <c r="L218" s="11">
        <f t="shared" si="97"/>
        <v>0</v>
      </c>
      <c r="M218" s="11">
        <f t="shared" si="97"/>
        <v>0</v>
      </c>
      <c r="N218" s="11">
        <f t="shared" si="97"/>
        <v>0</v>
      </c>
      <c r="O218" s="11">
        <f t="shared" si="97"/>
        <v>0</v>
      </c>
      <c r="P218" s="11">
        <f t="shared" si="97"/>
        <v>0</v>
      </c>
      <c r="Q218" s="11">
        <f t="shared" si="97"/>
        <v>0</v>
      </c>
      <c r="R218" s="11">
        <f t="shared" si="97"/>
        <v>0</v>
      </c>
      <c r="S218" s="11">
        <f t="shared" si="98"/>
        <v>0</v>
      </c>
      <c r="T218" s="11">
        <f t="shared" si="98"/>
        <v>0</v>
      </c>
      <c r="U218" s="11">
        <f t="shared" si="98"/>
        <v>0</v>
      </c>
      <c r="V218" s="11">
        <f t="shared" si="98"/>
        <v>0</v>
      </c>
      <c r="W218" s="11">
        <f t="shared" si="101"/>
        <v>0</v>
      </c>
      <c r="X218" s="11">
        <f t="shared" si="99"/>
        <v>0</v>
      </c>
      <c r="Y218" s="11">
        <f t="shared" si="100"/>
        <v>0</v>
      </c>
      <c r="Z218" s="11">
        <f t="shared" si="102"/>
        <v>0</v>
      </c>
      <c r="AB218" s="86"/>
      <c r="AC218" s="86"/>
      <c r="AD218" s="86"/>
      <c r="AE218" s="86"/>
      <c r="AH218" s="11"/>
    </row>
    <row r="219" spans="1:34" x14ac:dyDescent="0.2">
      <c r="A219" s="463"/>
      <c r="B219" s="3">
        <v>12</v>
      </c>
      <c r="C219" s="11">
        <f t="shared" si="97"/>
        <v>0</v>
      </c>
      <c r="D219" s="11">
        <f t="shared" si="97"/>
        <v>0</v>
      </c>
      <c r="E219" s="11">
        <f t="shared" si="97"/>
        <v>0</v>
      </c>
      <c r="F219" s="11">
        <f t="shared" si="97"/>
        <v>0</v>
      </c>
      <c r="G219" s="11">
        <f t="shared" si="97"/>
        <v>0</v>
      </c>
      <c r="H219" s="11">
        <f t="shared" si="97"/>
        <v>0</v>
      </c>
      <c r="I219" s="11">
        <f t="shared" si="97"/>
        <v>0</v>
      </c>
      <c r="J219" s="11">
        <f t="shared" si="97"/>
        <v>0</v>
      </c>
      <c r="K219" s="11">
        <f t="shared" si="97"/>
        <v>0</v>
      </c>
      <c r="L219" s="11">
        <f t="shared" si="97"/>
        <v>0</v>
      </c>
      <c r="M219" s="11">
        <f t="shared" si="97"/>
        <v>0</v>
      </c>
      <c r="N219" s="11">
        <f t="shared" si="97"/>
        <v>0</v>
      </c>
      <c r="O219" s="11">
        <f t="shared" si="97"/>
        <v>0</v>
      </c>
      <c r="P219" s="11">
        <f t="shared" si="97"/>
        <v>0</v>
      </c>
      <c r="Q219" s="11">
        <f t="shared" si="97"/>
        <v>0</v>
      </c>
      <c r="R219" s="11">
        <f t="shared" si="97"/>
        <v>0</v>
      </c>
      <c r="S219" s="11">
        <f t="shared" si="98"/>
        <v>0</v>
      </c>
      <c r="T219" s="11">
        <f t="shared" si="98"/>
        <v>0</v>
      </c>
      <c r="U219" s="11">
        <f t="shared" si="98"/>
        <v>0</v>
      </c>
      <c r="V219" s="11">
        <f t="shared" si="98"/>
        <v>0</v>
      </c>
      <c r="W219" s="11">
        <f t="shared" si="101"/>
        <v>0</v>
      </c>
      <c r="X219" s="11">
        <f t="shared" si="99"/>
        <v>0</v>
      </c>
      <c r="Y219" s="11">
        <f t="shared" si="100"/>
        <v>0</v>
      </c>
      <c r="Z219" s="11">
        <f t="shared" si="102"/>
        <v>0</v>
      </c>
      <c r="AB219" s="86"/>
      <c r="AC219" s="86"/>
      <c r="AD219" s="86"/>
      <c r="AE219" s="86"/>
      <c r="AH219" s="11"/>
    </row>
    <row r="220" spans="1:34" x14ac:dyDescent="0.2">
      <c r="A220" s="463"/>
      <c r="B220" s="3">
        <v>13</v>
      </c>
      <c r="C220" s="11">
        <f t="shared" si="97"/>
        <v>0</v>
      </c>
      <c r="D220" s="11">
        <f t="shared" si="97"/>
        <v>0</v>
      </c>
      <c r="E220" s="11">
        <f t="shared" si="97"/>
        <v>0</v>
      </c>
      <c r="F220" s="11">
        <f t="shared" si="97"/>
        <v>0</v>
      </c>
      <c r="G220" s="11">
        <f t="shared" si="97"/>
        <v>0</v>
      </c>
      <c r="H220" s="11">
        <f t="shared" si="97"/>
        <v>0</v>
      </c>
      <c r="I220" s="11">
        <f t="shared" si="97"/>
        <v>0</v>
      </c>
      <c r="J220" s="11">
        <f t="shared" si="97"/>
        <v>0</v>
      </c>
      <c r="K220" s="11">
        <f t="shared" si="97"/>
        <v>0</v>
      </c>
      <c r="L220" s="11">
        <f t="shared" si="97"/>
        <v>0</v>
      </c>
      <c r="M220" s="11">
        <f t="shared" si="97"/>
        <v>0</v>
      </c>
      <c r="N220" s="11">
        <f t="shared" si="97"/>
        <v>0</v>
      </c>
      <c r="O220" s="11">
        <f t="shared" si="97"/>
        <v>0</v>
      </c>
      <c r="P220" s="11">
        <f t="shared" si="97"/>
        <v>0</v>
      </c>
      <c r="Q220" s="11">
        <f t="shared" si="97"/>
        <v>0</v>
      </c>
      <c r="R220" s="11">
        <f t="shared" si="97"/>
        <v>0</v>
      </c>
      <c r="S220" s="11">
        <f t="shared" si="98"/>
        <v>0</v>
      </c>
      <c r="T220" s="11">
        <f t="shared" si="98"/>
        <v>0</v>
      </c>
      <c r="U220" s="11">
        <f t="shared" si="98"/>
        <v>0</v>
      </c>
      <c r="V220" s="11">
        <f t="shared" si="98"/>
        <v>0</v>
      </c>
      <c r="W220" s="11">
        <f t="shared" si="101"/>
        <v>0</v>
      </c>
      <c r="X220" s="11">
        <f t="shared" si="99"/>
        <v>0</v>
      </c>
      <c r="Y220" s="11">
        <f t="shared" si="100"/>
        <v>0</v>
      </c>
      <c r="Z220" s="11">
        <f t="shared" si="102"/>
        <v>0</v>
      </c>
      <c r="AB220" s="86"/>
      <c r="AC220" s="86"/>
      <c r="AD220" s="86"/>
      <c r="AE220" s="86"/>
      <c r="AH220" s="11"/>
    </row>
    <row r="221" spans="1:34" x14ac:dyDescent="0.2">
      <c r="A221" s="463"/>
      <c r="B221" s="3">
        <v>14</v>
      </c>
      <c r="C221" s="11">
        <f t="shared" si="97"/>
        <v>0</v>
      </c>
      <c r="D221" s="11">
        <f t="shared" si="97"/>
        <v>0</v>
      </c>
      <c r="E221" s="11">
        <f t="shared" si="97"/>
        <v>0</v>
      </c>
      <c r="F221" s="11">
        <f t="shared" si="97"/>
        <v>0</v>
      </c>
      <c r="G221" s="11">
        <f t="shared" si="97"/>
        <v>0</v>
      </c>
      <c r="H221" s="11">
        <f t="shared" si="97"/>
        <v>0</v>
      </c>
      <c r="I221" s="11">
        <f t="shared" si="97"/>
        <v>0</v>
      </c>
      <c r="J221" s="11">
        <f t="shared" si="97"/>
        <v>0</v>
      </c>
      <c r="K221" s="11">
        <f t="shared" si="97"/>
        <v>0</v>
      </c>
      <c r="L221" s="11">
        <f t="shared" si="97"/>
        <v>0</v>
      </c>
      <c r="M221" s="11">
        <f t="shared" si="97"/>
        <v>0</v>
      </c>
      <c r="N221" s="11">
        <f t="shared" si="97"/>
        <v>0</v>
      </c>
      <c r="O221" s="11">
        <f t="shared" si="97"/>
        <v>0</v>
      </c>
      <c r="P221" s="11">
        <f t="shared" si="97"/>
        <v>0</v>
      </c>
      <c r="Q221" s="11">
        <f t="shared" si="97"/>
        <v>0</v>
      </c>
      <c r="R221" s="11">
        <f t="shared" si="97"/>
        <v>0</v>
      </c>
      <c r="S221" s="11">
        <f t="shared" si="98"/>
        <v>0</v>
      </c>
      <c r="T221" s="11">
        <f t="shared" si="98"/>
        <v>0</v>
      </c>
      <c r="U221" s="11">
        <f t="shared" si="98"/>
        <v>0</v>
      </c>
      <c r="V221" s="11">
        <f t="shared" si="98"/>
        <v>0</v>
      </c>
      <c r="W221" s="11">
        <f t="shared" si="101"/>
        <v>0</v>
      </c>
      <c r="X221" s="11">
        <f t="shared" si="99"/>
        <v>0</v>
      </c>
      <c r="Y221" s="11">
        <f t="shared" si="100"/>
        <v>0</v>
      </c>
      <c r="Z221" s="11">
        <f t="shared" si="102"/>
        <v>0</v>
      </c>
      <c r="AB221" s="86"/>
      <c r="AC221" s="86"/>
      <c r="AD221" s="86"/>
      <c r="AE221" s="86"/>
      <c r="AH221" s="11"/>
    </row>
    <row r="222" spans="1:34" x14ac:dyDescent="0.2">
      <c r="A222" s="463"/>
      <c r="B222" s="3">
        <v>15</v>
      </c>
      <c r="C222" s="11">
        <f t="shared" si="97"/>
        <v>0</v>
      </c>
      <c r="D222" s="11">
        <f t="shared" si="97"/>
        <v>0</v>
      </c>
      <c r="E222" s="11">
        <f t="shared" si="97"/>
        <v>0</v>
      </c>
      <c r="F222" s="11">
        <f t="shared" si="97"/>
        <v>0</v>
      </c>
      <c r="G222" s="11">
        <f t="shared" si="97"/>
        <v>0</v>
      </c>
      <c r="H222" s="11">
        <f t="shared" si="97"/>
        <v>0</v>
      </c>
      <c r="I222" s="11">
        <f t="shared" si="97"/>
        <v>0</v>
      </c>
      <c r="J222" s="11">
        <f t="shared" si="97"/>
        <v>0</v>
      </c>
      <c r="K222" s="11">
        <f t="shared" si="97"/>
        <v>0</v>
      </c>
      <c r="L222" s="11">
        <f t="shared" si="97"/>
        <v>0</v>
      </c>
      <c r="M222" s="11">
        <f t="shared" si="97"/>
        <v>0</v>
      </c>
      <c r="N222" s="11">
        <f t="shared" si="97"/>
        <v>0</v>
      </c>
      <c r="O222" s="11">
        <f t="shared" si="97"/>
        <v>0</v>
      </c>
      <c r="P222" s="11">
        <f t="shared" si="97"/>
        <v>0</v>
      </c>
      <c r="Q222" s="11">
        <f t="shared" si="97"/>
        <v>0</v>
      </c>
      <c r="R222" s="11">
        <f t="shared" si="97"/>
        <v>0</v>
      </c>
      <c r="S222" s="11">
        <f t="shared" si="98"/>
        <v>0</v>
      </c>
      <c r="T222" s="11">
        <f t="shared" si="98"/>
        <v>0</v>
      </c>
      <c r="U222" s="11">
        <f t="shared" si="98"/>
        <v>0</v>
      </c>
      <c r="V222" s="11">
        <f t="shared" si="98"/>
        <v>0</v>
      </c>
      <c r="W222" s="11">
        <f t="shared" si="101"/>
        <v>0</v>
      </c>
      <c r="X222" s="11">
        <f t="shared" si="99"/>
        <v>0</v>
      </c>
      <c r="Y222" s="11">
        <f t="shared" si="100"/>
        <v>0</v>
      </c>
      <c r="Z222" s="11">
        <f t="shared" si="102"/>
        <v>0</v>
      </c>
      <c r="AH222" s="11"/>
    </row>
    <row r="223" spans="1:34" x14ac:dyDescent="0.2">
      <c r="A223" s="463"/>
      <c r="B223" s="3">
        <v>16</v>
      </c>
      <c r="C223" s="11">
        <f t="shared" si="97"/>
        <v>0</v>
      </c>
      <c r="D223" s="11">
        <f t="shared" si="97"/>
        <v>0</v>
      </c>
      <c r="E223" s="11">
        <f t="shared" si="97"/>
        <v>0</v>
      </c>
      <c r="F223" s="11">
        <f t="shared" si="97"/>
        <v>0</v>
      </c>
      <c r="G223" s="11">
        <f t="shared" si="97"/>
        <v>0</v>
      </c>
      <c r="H223" s="11">
        <f t="shared" si="97"/>
        <v>0</v>
      </c>
      <c r="I223" s="11">
        <f t="shared" si="97"/>
        <v>0</v>
      </c>
      <c r="J223" s="11">
        <f t="shared" si="97"/>
        <v>0</v>
      </c>
      <c r="K223" s="11">
        <f t="shared" si="97"/>
        <v>0</v>
      </c>
      <c r="L223" s="11">
        <f t="shared" si="97"/>
        <v>0</v>
      </c>
      <c r="M223" s="11">
        <f t="shared" si="97"/>
        <v>0</v>
      </c>
      <c r="N223" s="11">
        <f t="shared" si="97"/>
        <v>0</v>
      </c>
      <c r="O223" s="11">
        <f t="shared" si="97"/>
        <v>0</v>
      </c>
      <c r="P223" s="11">
        <f t="shared" si="97"/>
        <v>0</v>
      </c>
      <c r="Q223" s="11">
        <f t="shared" si="97"/>
        <v>0</v>
      </c>
      <c r="R223" s="11">
        <f t="shared" ref="R223:R227" si="103">(R$202)*IF($B223&gt;=R$200,IF($B223=R$200,$E$19,VLOOKUP($B223-R$200,$B$19:$E$49,4,FALSE)),0)</f>
        <v>0</v>
      </c>
      <c r="S223" s="11">
        <f t="shared" si="98"/>
        <v>0</v>
      </c>
      <c r="T223" s="11">
        <f t="shared" si="98"/>
        <v>0</v>
      </c>
      <c r="U223" s="11">
        <f t="shared" si="98"/>
        <v>0</v>
      </c>
      <c r="V223" s="11">
        <f t="shared" si="98"/>
        <v>0</v>
      </c>
      <c r="W223" s="11">
        <f t="shared" si="101"/>
        <v>0</v>
      </c>
      <c r="X223" s="11">
        <f t="shared" si="99"/>
        <v>0</v>
      </c>
      <c r="Y223" s="11">
        <f t="shared" si="100"/>
        <v>0</v>
      </c>
      <c r="Z223" s="11">
        <f t="shared" si="102"/>
        <v>0</v>
      </c>
      <c r="AH223" s="11"/>
    </row>
    <row r="224" spans="1:34" x14ac:dyDescent="0.2">
      <c r="A224" s="463"/>
      <c r="B224" s="3">
        <v>17</v>
      </c>
      <c r="C224" s="11">
        <f t="shared" ref="C224:Q227" si="104">(C$202)*IF($B224&gt;=C$200,IF($B224=C$200,$E$19,VLOOKUP($B224-C$200,$B$19:$E$49,4,FALSE)),0)</f>
        <v>0</v>
      </c>
      <c r="D224" s="11">
        <f t="shared" si="104"/>
        <v>0</v>
      </c>
      <c r="E224" s="11">
        <f t="shared" si="104"/>
        <v>0</v>
      </c>
      <c r="F224" s="11">
        <f t="shared" si="104"/>
        <v>0</v>
      </c>
      <c r="G224" s="11">
        <f t="shared" si="104"/>
        <v>0</v>
      </c>
      <c r="H224" s="11">
        <f t="shared" si="104"/>
        <v>0</v>
      </c>
      <c r="I224" s="11">
        <f t="shared" si="104"/>
        <v>0</v>
      </c>
      <c r="J224" s="11">
        <f t="shared" si="104"/>
        <v>0</v>
      </c>
      <c r="K224" s="11">
        <f t="shared" si="104"/>
        <v>0</v>
      </c>
      <c r="L224" s="11">
        <f t="shared" si="104"/>
        <v>0</v>
      </c>
      <c r="M224" s="11">
        <f t="shared" si="104"/>
        <v>0</v>
      </c>
      <c r="N224" s="11">
        <f t="shared" si="104"/>
        <v>0</v>
      </c>
      <c r="O224" s="11">
        <f t="shared" si="104"/>
        <v>0</v>
      </c>
      <c r="P224" s="11">
        <f t="shared" si="104"/>
        <v>0</v>
      </c>
      <c r="Q224" s="11">
        <f t="shared" si="104"/>
        <v>0</v>
      </c>
      <c r="R224" s="11">
        <f t="shared" si="103"/>
        <v>0</v>
      </c>
      <c r="S224" s="11">
        <f t="shared" si="98"/>
        <v>0</v>
      </c>
      <c r="T224" s="11">
        <f t="shared" si="98"/>
        <v>0</v>
      </c>
      <c r="U224" s="11">
        <f t="shared" si="98"/>
        <v>0</v>
      </c>
      <c r="V224" s="11">
        <f t="shared" si="98"/>
        <v>0</v>
      </c>
      <c r="W224" s="11">
        <f t="shared" si="101"/>
        <v>0</v>
      </c>
      <c r="X224" s="11">
        <f t="shared" si="99"/>
        <v>0</v>
      </c>
      <c r="Y224" s="11">
        <f t="shared" si="100"/>
        <v>0</v>
      </c>
      <c r="Z224" s="11">
        <f t="shared" si="102"/>
        <v>0</v>
      </c>
      <c r="AH224" s="11"/>
    </row>
    <row r="225" spans="1:52" x14ac:dyDescent="0.2">
      <c r="A225" s="463"/>
      <c r="B225" s="3">
        <v>18</v>
      </c>
      <c r="C225" s="11">
        <f t="shared" si="104"/>
        <v>0</v>
      </c>
      <c r="D225" s="11">
        <f t="shared" si="104"/>
        <v>0</v>
      </c>
      <c r="E225" s="11">
        <f t="shared" si="104"/>
        <v>0</v>
      </c>
      <c r="F225" s="11">
        <f t="shared" si="104"/>
        <v>0</v>
      </c>
      <c r="G225" s="11">
        <f t="shared" si="104"/>
        <v>0</v>
      </c>
      <c r="H225" s="11">
        <f t="shared" si="104"/>
        <v>0</v>
      </c>
      <c r="I225" s="11">
        <f t="shared" si="104"/>
        <v>0</v>
      </c>
      <c r="J225" s="11">
        <f t="shared" si="104"/>
        <v>0</v>
      </c>
      <c r="K225" s="11">
        <f t="shared" si="104"/>
        <v>0</v>
      </c>
      <c r="L225" s="11">
        <f t="shared" si="104"/>
        <v>0</v>
      </c>
      <c r="M225" s="11">
        <f t="shared" si="104"/>
        <v>0</v>
      </c>
      <c r="N225" s="11">
        <f t="shared" si="104"/>
        <v>0</v>
      </c>
      <c r="O225" s="11">
        <f t="shared" si="104"/>
        <v>0</v>
      </c>
      <c r="P225" s="11">
        <f t="shared" si="104"/>
        <v>0</v>
      </c>
      <c r="Q225" s="11">
        <f t="shared" si="104"/>
        <v>0</v>
      </c>
      <c r="R225" s="11">
        <f t="shared" si="103"/>
        <v>0</v>
      </c>
      <c r="S225" s="11">
        <f t="shared" si="98"/>
        <v>0</v>
      </c>
      <c r="T225" s="11">
        <f t="shared" si="98"/>
        <v>0</v>
      </c>
      <c r="U225" s="11">
        <f t="shared" si="98"/>
        <v>0</v>
      </c>
      <c r="V225" s="11">
        <f t="shared" si="98"/>
        <v>0</v>
      </c>
      <c r="W225" s="11">
        <f t="shared" si="101"/>
        <v>0</v>
      </c>
      <c r="X225" s="11">
        <f t="shared" si="99"/>
        <v>0</v>
      </c>
      <c r="Y225" s="11">
        <f t="shared" si="100"/>
        <v>0</v>
      </c>
      <c r="Z225" s="11">
        <f t="shared" si="102"/>
        <v>0</v>
      </c>
      <c r="AH225" s="11"/>
    </row>
    <row r="226" spans="1:52" x14ac:dyDescent="0.2">
      <c r="A226" s="463"/>
      <c r="B226" s="3">
        <v>19</v>
      </c>
      <c r="C226" s="11">
        <f t="shared" si="104"/>
        <v>0</v>
      </c>
      <c r="D226" s="11">
        <f t="shared" si="104"/>
        <v>0</v>
      </c>
      <c r="E226" s="11">
        <f t="shared" si="104"/>
        <v>0</v>
      </c>
      <c r="F226" s="11">
        <f t="shared" si="104"/>
        <v>0</v>
      </c>
      <c r="G226" s="11">
        <f t="shared" si="104"/>
        <v>0</v>
      </c>
      <c r="H226" s="11">
        <f t="shared" si="104"/>
        <v>0</v>
      </c>
      <c r="I226" s="11">
        <f t="shared" si="104"/>
        <v>0</v>
      </c>
      <c r="J226" s="11">
        <f t="shared" si="104"/>
        <v>0</v>
      </c>
      <c r="K226" s="11">
        <f t="shared" si="104"/>
        <v>0</v>
      </c>
      <c r="L226" s="11">
        <f t="shared" si="104"/>
        <v>0</v>
      </c>
      <c r="M226" s="11">
        <f t="shared" si="104"/>
        <v>0</v>
      </c>
      <c r="N226" s="11">
        <f t="shared" si="104"/>
        <v>0</v>
      </c>
      <c r="O226" s="11">
        <f t="shared" si="104"/>
        <v>0</v>
      </c>
      <c r="P226" s="11">
        <f t="shared" si="104"/>
        <v>0</v>
      </c>
      <c r="Q226" s="11">
        <f t="shared" si="104"/>
        <v>0</v>
      </c>
      <c r="R226" s="11">
        <f t="shared" si="103"/>
        <v>0</v>
      </c>
      <c r="S226" s="11">
        <f t="shared" si="98"/>
        <v>0</v>
      </c>
      <c r="T226" s="11">
        <f t="shared" si="98"/>
        <v>0</v>
      </c>
      <c r="U226" s="11">
        <f t="shared" si="98"/>
        <v>0</v>
      </c>
      <c r="V226" s="11">
        <f t="shared" si="98"/>
        <v>0</v>
      </c>
      <c r="W226" s="11">
        <f t="shared" si="101"/>
        <v>0</v>
      </c>
      <c r="X226" s="11">
        <f t="shared" si="99"/>
        <v>0</v>
      </c>
      <c r="Y226" s="11">
        <f t="shared" si="100"/>
        <v>0</v>
      </c>
      <c r="Z226" s="11">
        <f t="shared" si="102"/>
        <v>0</v>
      </c>
      <c r="AH226" s="11"/>
    </row>
    <row r="227" spans="1:52" x14ac:dyDescent="0.2">
      <c r="A227" s="463"/>
      <c r="B227" s="3">
        <v>20</v>
      </c>
      <c r="C227" s="11">
        <f t="shared" si="104"/>
        <v>0</v>
      </c>
      <c r="D227" s="11">
        <f t="shared" si="104"/>
        <v>0</v>
      </c>
      <c r="E227" s="11">
        <f t="shared" si="104"/>
        <v>0</v>
      </c>
      <c r="F227" s="11">
        <f t="shared" si="104"/>
        <v>0</v>
      </c>
      <c r="G227" s="11">
        <f t="shared" si="104"/>
        <v>0</v>
      </c>
      <c r="H227" s="11">
        <f t="shared" si="104"/>
        <v>0</v>
      </c>
      <c r="I227" s="11">
        <f t="shared" si="104"/>
        <v>0</v>
      </c>
      <c r="J227" s="11">
        <f t="shared" si="104"/>
        <v>0</v>
      </c>
      <c r="K227" s="11">
        <f t="shared" si="104"/>
        <v>0</v>
      </c>
      <c r="L227" s="11">
        <f t="shared" si="104"/>
        <v>0</v>
      </c>
      <c r="M227" s="11">
        <f t="shared" si="104"/>
        <v>0</v>
      </c>
      <c r="N227" s="11">
        <f t="shared" si="104"/>
        <v>0</v>
      </c>
      <c r="O227" s="11">
        <f t="shared" si="104"/>
        <v>0</v>
      </c>
      <c r="P227" s="11">
        <f t="shared" si="104"/>
        <v>0</v>
      </c>
      <c r="Q227" s="11">
        <f t="shared" si="104"/>
        <v>0</v>
      </c>
      <c r="R227" s="11">
        <f t="shared" si="103"/>
        <v>0</v>
      </c>
      <c r="S227" s="11">
        <f t="shared" si="98"/>
        <v>0</v>
      </c>
      <c r="T227" s="11">
        <f t="shared" si="98"/>
        <v>0</v>
      </c>
      <c r="U227" s="11">
        <f t="shared" si="98"/>
        <v>0</v>
      </c>
      <c r="V227" s="11">
        <f t="shared" si="98"/>
        <v>0</v>
      </c>
      <c r="W227" s="11">
        <f t="shared" si="101"/>
        <v>0</v>
      </c>
      <c r="X227" s="11">
        <f t="shared" si="99"/>
        <v>0</v>
      </c>
      <c r="Y227" s="11">
        <f t="shared" si="100"/>
        <v>0</v>
      </c>
      <c r="Z227" s="11">
        <f t="shared" si="102"/>
        <v>0</v>
      </c>
      <c r="AH227" s="11"/>
    </row>
    <row r="229" spans="1:52" x14ac:dyDescent="0.2">
      <c r="A229" s="135" t="s">
        <v>628</v>
      </c>
      <c r="B229" s="135"/>
      <c r="C229" s="135"/>
      <c r="D229" s="135"/>
      <c r="E229" s="135"/>
      <c r="F229" s="135"/>
      <c r="G229" s="135"/>
      <c r="H229" s="135"/>
      <c r="I229" s="135"/>
      <c r="J229" s="135"/>
      <c r="K229" s="135"/>
      <c r="L229" s="135"/>
      <c r="M229" s="49"/>
      <c r="N229" s="49"/>
      <c r="O229" s="49"/>
      <c r="P229" s="49"/>
      <c r="Q229" s="49"/>
      <c r="R229" s="49"/>
      <c r="S229" s="49"/>
      <c r="T229" s="49"/>
      <c r="U229" s="49"/>
      <c r="V229" s="49"/>
      <c r="W229" s="49"/>
      <c r="X229" s="49"/>
      <c r="Y229" s="49"/>
      <c r="Z229" s="49"/>
      <c r="AA229" s="49"/>
      <c r="AB229" s="49"/>
      <c r="AC229" s="49"/>
      <c r="AD229" s="49"/>
      <c r="AE229" s="49"/>
      <c r="AF229" s="49"/>
      <c r="AG229" s="49"/>
      <c r="AH229" s="49"/>
      <c r="AI229" s="49"/>
      <c r="AJ229" s="49"/>
      <c r="AK229" s="49"/>
      <c r="AL229" s="49"/>
      <c r="AM229" s="49"/>
      <c r="AN229" s="49"/>
      <c r="AO229" s="49"/>
      <c r="AP229" s="49"/>
      <c r="AQ229" s="49"/>
      <c r="AR229" s="49"/>
      <c r="AS229" s="49"/>
      <c r="AT229" s="49"/>
      <c r="AU229" s="49"/>
      <c r="AV229" s="49"/>
      <c r="AW229" s="49"/>
      <c r="AX229" s="49"/>
      <c r="AY229" s="49"/>
      <c r="AZ229" s="49"/>
    </row>
    <row r="230" spans="1:52" x14ac:dyDescent="0.2">
      <c r="A230" s="38"/>
      <c r="C230" s="11"/>
      <c r="D230" s="11"/>
      <c r="E230" s="11"/>
      <c r="F230" s="11"/>
      <c r="G230" s="11"/>
      <c r="H230" s="11"/>
      <c r="I230" s="11"/>
      <c r="J230" s="11"/>
      <c r="K230" s="11"/>
      <c r="L230" s="11"/>
      <c r="M230" s="11"/>
      <c r="N230" s="11"/>
      <c r="O230" s="11"/>
      <c r="P230" s="11"/>
      <c r="Q230" s="11"/>
      <c r="R230" s="11"/>
      <c r="S230" s="11"/>
      <c r="T230" s="11"/>
      <c r="U230" s="11"/>
      <c r="V230" s="11"/>
      <c r="W230" s="11"/>
      <c r="X230" s="11"/>
      <c r="Y230" s="11"/>
      <c r="Z230" s="11"/>
      <c r="AA230" s="11"/>
      <c r="AB230" s="11"/>
      <c r="AC230" s="11"/>
      <c r="AD230" s="11"/>
      <c r="AE230" s="11"/>
      <c r="AF230" s="11"/>
      <c r="AG230" s="11"/>
      <c r="AH230" s="11"/>
      <c r="AI230" s="11"/>
    </row>
    <row r="231" spans="1:52" x14ac:dyDescent="0.2">
      <c r="A231" s="23"/>
      <c r="B231" s="3" t="str">
        <f>B174</f>
        <v/>
      </c>
      <c r="C231" s="3" t="e">
        <f>IF(B231=0,0,VLOOKUP(B231,Listes!$C$7:$E$36,3,FALSE))</f>
        <v>#N/A</v>
      </c>
      <c r="L231" s="3" t="str">
        <f>K174</f>
        <v/>
      </c>
      <c r="M231" s="3" t="e">
        <f>IF(L231=0,0,VLOOKUP(L231,Listes!$C$7:$E$36,3,FALSE))</f>
        <v>#N/A</v>
      </c>
      <c r="V231" s="3" t="str">
        <f>T174</f>
        <v/>
      </c>
      <c r="W231" s="3" t="e">
        <f>IF(V231=0,0,VLOOKUP(V231,Listes!$C$7:$E$36,3,FALSE))</f>
        <v>#N/A</v>
      </c>
      <c r="AF231" s="3" t="str">
        <f>AC174</f>
        <v/>
      </c>
      <c r="AG231" s="3" t="e">
        <f>IF(AF231=0,0,VLOOKUP(AF231,Listes!$C$7:$E$36,3,FALSE))</f>
        <v>#N/A</v>
      </c>
    </row>
    <row r="232" spans="1:52" ht="16" customHeight="1" x14ac:dyDescent="0.2">
      <c r="A232" s="463" t="s">
        <v>735</v>
      </c>
      <c r="B232" s="3" t="s">
        <v>15</v>
      </c>
      <c r="C232" s="3" t="s">
        <v>127</v>
      </c>
      <c r="D232" s="3" t="s">
        <v>161</v>
      </c>
      <c r="E232" s="3" t="s">
        <v>162</v>
      </c>
      <c r="F232" s="3" t="s">
        <v>163</v>
      </c>
      <c r="G232" s="3" t="s">
        <v>81</v>
      </c>
      <c r="H232" s="3" t="s">
        <v>84</v>
      </c>
      <c r="I232" s="3" t="s">
        <v>83</v>
      </c>
      <c r="K232" s="463" t="s">
        <v>734</v>
      </c>
      <c r="L232" s="3" t="s">
        <v>15</v>
      </c>
      <c r="M232" s="3" t="s">
        <v>127</v>
      </c>
      <c r="N232" s="3" t="s">
        <v>161</v>
      </c>
      <c r="O232" s="3" t="s">
        <v>162</v>
      </c>
      <c r="P232" s="3" t="s">
        <v>163</v>
      </c>
      <c r="Q232" s="3" t="s">
        <v>81</v>
      </c>
      <c r="R232" s="3" t="s">
        <v>84</v>
      </c>
      <c r="S232" s="3" t="s">
        <v>83</v>
      </c>
      <c r="U232" s="463" t="s">
        <v>736</v>
      </c>
      <c r="V232" s="3" t="s">
        <v>15</v>
      </c>
      <c r="W232" s="3" t="s">
        <v>127</v>
      </c>
      <c r="X232" s="3" t="s">
        <v>161</v>
      </c>
      <c r="Y232" s="3" t="s">
        <v>162</v>
      </c>
      <c r="Z232" s="3" t="s">
        <v>163</v>
      </c>
      <c r="AA232" s="3" t="s">
        <v>81</v>
      </c>
      <c r="AB232" s="3" t="s">
        <v>84</v>
      </c>
      <c r="AC232" s="3" t="s">
        <v>83</v>
      </c>
      <c r="AE232" s="463" t="s">
        <v>737</v>
      </c>
      <c r="AF232" s="3" t="s">
        <v>15</v>
      </c>
      <c r="AG232" s="3" t="s">
        <v>127</v>
      </c>
      <c r="AH232" s="3" t="s">
        <v>161</v>
      </c>
      <c r="AI232" s="3" t="s">
        <v>162</v>
      </c>
      <c r="AJ232" s="3" t="s">
        <v>163</v>
      </c>
      <c r="AK232" s="3" t="s">
        <v>81</v>
      </c>
      <c r="AL232" s="3" t="s">
        <v>84</v>
      </c>
      <c r="AM232" s="3" t="s">
        <v>83</v>
      </c>
      <c r="AO232" s="463" t="s">
        <v>184</v>
      </c>
      <c r="AP232" s="3" t="s">
        <v>15</v>
      </c>
      <c r="AQ232" s="3" t="s">
        <v>81</v>
      </c>
      <c r="AR232" s="3" t="s">
        <v>84</v>
      </c>
      <c r="AS232" s="3" t="s">
        <v>83</v>
      </c>
      <c r="AT232" s="3" t="s">
        <v>27</v>
      </c>
      <c r="AU232" s="3" t="s">
        <v>85</v>
      </c>
    </row>
    <row r="233" spans="1:52" x14ac:dyDescent="0.2">
      <c r="A233" s="463"/>
      <c r="B233" s="3">
        <v>1</v>
      </c>
      <c r="C233" s="45">
        <f>D177</f>
        <v>0</v>
      </c>
      <c r="D233" s="45">
        <f t="shared" ref="D233:D252" si="105">IF(OR(C233="",C233=0),0,C233*C$174*0.475)</f>
        <v>0</v>
      </c>
      <c r="E233" s="45">
        <f>IF(OR(D233=0,D233="",B$116=0),0,D233*INDEX(Listes!$K$1:$Q$12,MATCH(B$116,Listes!$K$1:$K$12,0),MATCH(E$117,Listes!$K$1:$Q$1,0)))</f>
        <v>0</v>
      </c>
      <c r="F233" s="45">
        <f t="shared" ref="F233:F252" si="106">D233-E233</f>
        <v>0</v>
      </c>
      <c r="G233" s="45">
        <f>IF(OR(B$231=0,B$231=""),0,F233*INDEX(Listes!$K$15:$P$26,MATCH(B$231,Listes!$K$15:$K$26,0),MATCH(G$232,Listes!$K$15:$P$15,0))*INDEX(Listes!$K$29:$O$31,MATCH(C$231,Listes!$K$29:$K$31,0),MATCH(G$232,Listes!$K$29:$O$29,0)))</f>
        <v>0</v>
      </c>
      <c r="H233" s="45">
        <f>IF(OR(B$231=0,B$231=""),0,F233*INDEX(Listes!$K$15:$P$26,MATCH(B$231,Listes!$K$15:$K$26,0),MATCH(H$232,Listes!$K$15:$P$15,0))*INDEX(Listes!$K$29:$O$31,MATCH(C$231,Listes!$K$29:$K$31,0),MATCH(H$232,Listes!$K$29:$O$29,0)))</f>
        <v>0</v>
      </c>
      <c r="I233" s="45">
        <f>IF(OR(B$231=0,B$231=""),0,F233*INDEX(Listes!$K$15:$P$26,MATCH(B$231,Listes!$K$15:$K$26,0),MATCH(I$232,Listes!$K$15:$P$15,0))*INDEX(Listes!$K$29:$O$31,MATCH(C$231,Listes!$K$29:$K$31,0),MATCH(I$232,Listes!$K$29:$O$29,0)))</f>
        <v>0</v>
      </c>
      <c r="K233" s="463"/>
      <c r="L233" s="3">
        <v>1</v>
      </c>
      <c r="M233" s="45">
        <f t="shared" ref="M233:M252" si="107">M177</f>
        <v>0</v>
      </c>
      <c r="N233" s="45">
        <f t="shared" ref="N233:N252" si="108">IF(OR(M233="",M233=0),0,M233*L$174*0.475)</f>
        <v>0</v>
      </c>
      <c r="O233" s="45">
        <f>IF(OR(N233=0,N233="",L$116=0),0,N233*INDEX(Listes!$K$1:$Q$12,MATCH(L$116,Listes!$K$1:$K$12,0),MATCH(O$117,Listes!$K$1:$Q$1,0)))</f>
        <v>0</v>
      </c>
      <c r="P233" s="45">
        <f t="shared" ref="P233:P252" si="109">N233-O233</f>
        <v>0</v>
      </c>
      <c r="Q233" s="45">
        <f>IF(OR(L$231=0,L$231=""),0,P233*INDEX(Listes!$K$15:$P$26,MATCH(L$231,Listes!$K$15:$K$26,0),MATCH(Q$232,Listes!$K$15:$P$15,0))*INDEX(Listes!$K$29:$O$31,MATCH(M$231,Listes!$K$29:$K$31,0),MATCH(Q$232,Listes!$K$29:$O$29,0)))</f>
        <v>0</v>
      </c>
      <c r="R233" s="45">
        <f>IF(OR(L$231=0,L$231=""),0,P233*INDEX(Listes!$K$15:$P$26,MATCH(L$231,Listes!$K$15:$K$26,0),MATCH(R$232,Listes!$K$15:$P$15,0))*INDEX(Listes!$K$29:$O$31,MATCH(M$231,Listes!$K$29:$K$31,0),MATCH(R$232,Listes!$K$29:$O$29,0)))</f>
        <v>0</v>
      </c>
      <c r="S233" s="45">
        <f>IF(OR(L$231=0,L$231=""),0,P233*INDEX(Listes!$K$15:$P$26,MATCH(L$231,Listes!$K$15:$K$26,0),MATCH(S$232,Listes!$K$15:$P$15,0))*INDEX(Listes!$K$29:$O$31,MATCH(M$231,Listes!$K$29:$K$31,0),MATCH(S$232,Listes!$K$29:$O$29,0)))</f>
        <v>0</v>
      </c>
      <c r="U233" s="463"/>
      <c r="V233" s="3">
        <v>1</v>
      </c>
      <c r="W233" s="45">
        <f t="shared" ref="W233:W252" si="110">V177</f>
        <v>0</v>
      </c>
      <c r="X233" s="45">
        <f t="shared" ref="X233:X252" si="111">IF(OR(W233="",W233=0),0,W233*U$174*0.475)</f>
        <v>0</v>
      </c>
      <c r="Y233" s="45">
        <f>IF(OR(X233=0,X233="",V$116=0),0,X233*INDEX(Listes!$K$1:$Q$12,MATCH(V$116,Listes!$K$1:$K$12,0),MATCH(Y$117,Listes!$K$1:$Q$1,0)))</f>
        <v>0</v>
      </c>
      <c r="Z233" s="45">
        <f t="shared" ref="Z233:Z252" si="112">X233-Y233</f>
        <v>0</v>
      </c>
      <c r="AA233" s="45">
        <f>IF(OR(V$231=0,V$231=""),0,Z233*INDEX(Listes!$K$15:$P$26,MATCH(V$231,Listes!$K$15:$K$26,0),MATCH(AA$232,Listes!$K$15:$P$15,0))*INDEX(Listes!$K$29:$O$31,MATCH(W$231,Listes!$K$29:$K$31,0),MATCH(AA$232,Listes!$K$29:$O$29,0)))</f>
        <v>0</v>
      </c>
      <c r="AB233" s="45">
        <f>IF(OR(V$231=0,V$231=""),0,Z233*INDEX(Listes!$K$15:$P$26,MATCH(V$231,Listes!$K$15:$K$26,0),MATCH(AB$232,Listes!$K$15:$P$15,0))*INDEX(Listes!$K$29:$O$31,MATCH(W$231,Listes!$K$29:$K$31,0),MATCH(AB$232,Listes!$K$29:$O$29,0)))</f>
        <v>0</v>
      </c>
      <c r="AC233" s="45">
        <f>IF(OR(V$231=0,V$231=""),0,Z233*INDEX(Listes!$K$15:$P$26,MATCH(V$231,Listes!$K$15:$K$26,0),MATCH(AC$232,Listes!$K$15:$P$15,0))*INDEX(Listes!$K$29:$O$31,MATCH(W$231,Listes!$K$29:$K$31,0),MATCH(AC$232,Listes!$K$29:$O$29,0)))</f>
        <v>0</v>
      </c>
      <c r="AE233" s="463"/>
      <c r="AF233" s="3">
        <v>1</v>
      </c>
      <c r="AG233" s="45">
        <f t="shared" ref="AG233:AG252" si="113">AE177</f>
        <v>0</v>
      </c>
      <c r="AH233" s="45">
        <f t="shared" ref="AH233:AH252" si="114">IF(OR(AG233="",AG233=0),0,AG233*AD$174*0.475)</f>
        <v>0</v>
      </c>
      <c r="AI233" s="45">
        <f>IF(OR(AH233=0,AH233="",AF$116=0),0,AH233*INDEX(Listes!$K$1:$Q$12,MATCH(AF$116,Listes!$K$1:$K$12,0),MATCH(AI$117,Listes!$K$1:$Q$1,0)))</f>
        <v>0</v>
      </c>
      <c r="AJ233" s="45">
        <f t="shared" ref="AJ233:AJ252" si="115">AH233-AI233</f>
        <v>0</v>
      </c>
      <c r="AK233" s="45">
        <f>IF(OR(AF$231=0,AF$231=""),0,AJ233*INDEX(Listes!$K$15:$P$26,MATCH(AF$231,Listes!$K$15:$K$26,0),MATCH(AK$232,Listes!$K$15:$P$15,0))*INDEX(Listes!$K$29:$O$31,MATCH(AG$231,Listes!$K$29:$K$31,0),MATCH(AK$232,Listes!$K$29:$O$29,0)))</f>
        <v>0</v>
      </c>
      <c r="AL233" s="45">
        <f>IF(OR(AF$231=0,AF$231=""),0,AJ233*INDEX(Listes!$K$15:$P$26,MATCH(AF$231,Listes!$K$15:$K$26,0),MATCH(AL$232,Listes!$K$15:$P$15,0))*INDEX(Listes!$K$29:$O$31,MATCH(AG$231,Listes!$K$29:$K$31,0),MATCH(AL$232,Listes!$K$29:$O$29,0)))</f>
        <v>0</v>
      </c>
      <c r="AM233" s="45">
        <f>IF(OR(AF$231=0,AF$231=""),0,AJ233*INDEX(Listes!$K$15:$P$26,MATCH(AF$231,Listes!$K$15:$K$26,0),MATCH(AM$232,Listes!$K$15:$P$15,0))*INDEX(Listes!$K$29:$O$31,MATCH(AG$231,Listes!$K$29:$K$31,0),MATCH(AM$232,Listes!$K$29:$O$29,0)))</f>
        <v>0</v>
      </c>
      <c r="AO233" s="463"/>
      <c r="AP233" s="3">
        <v>1</v>
      </c>
      <c r="AQ233" s="11">
        <f t="shared" ref="AQ233:AS252" si="116">SUM(G233,Q233,AA233,AK233)</f>
        <v>0</v>
      </c>
      <c r="AR233" s="11">
        <f t="shared" si="116"/>
        <v>0</v>
      </c>
      <c r="AS233" s="11">
        <f t="shared" si="116"/>
        <v>0</v>
      </c>
      <c r="AT233" s="11">
        <f>AQ233*VLOOKUP(AQ$232,Tableau17[],4,FALSE)+AR233*VLOOKUP(AR$232,Tableau17[],4,FALSE)+AS233*VLOOKUP(AS$232,Tableau17[],4,FALSE)</f>
        <v>0</v>
      </c>
      <c r="AU233" s="11">
        <f>AQ233*VLOOKUP(AQ$232,Tableau17[],3,FALSE)+AR233*VLOOKUP(AR$232,Tableau17[],3,FALSE)+AS233*VLOOKUP(AS$232,Tableau17[],3,FALSE)</f>
        <v>0</v>
      </c>
    </row>
    <row r="234" spans="1:52" x14ac:dyDescent="0.2">
      <c r="A234" s="463"/>
      <c r="B234" s="3">
        <v>2</v>
      </c>
      <c r="C234" s="45">
        <f t="shared" ref="C234:C252" si="117">D178</f>
        <v>0</v>
      </c>
      <c r="D234" s="45">
        <f t="shared" si="105"/>
        <v>0</v>
      </c>
      <c r="E234" s="45">
        <f>IF(OR(D234=0,D234="",B$116=0),0,D234*INDEX(Listes!$K$1:$Q$12,MATCH(B$116,Listes!$K$1:$K$12,0),MATCH(E$117,Listes!$K$1:$Q$1,0)))</f>
        <v>0</v>
      </c>
      <c r="F234" s="45">
        <f t="shared" si="106"/>
        <v>0</v>
      </c>
      <c r="G234" s="45">
        <f>IF(OR(B$231=0,B$231=""),0,F234*INDEX(Listes!$K$15:$P$26,MATCH(B$231,Listes!$K$15:$K$26,0),MATCH(G$232,Listes!$K$15:$P$15,0))*INDEX(Listes!$K$29:$O$31,MATCH(C$231,Listes!$K$29:$K$31,0),MATCH(G$232,Listes!$K$29:$O$29,0)))</f>
        <v>0</v>
      </c>
      <c r="H234" s="45">
        <f>IF(OR(B$231=0,B$231=""),0,F234*INDEX(Listes!$K$15:$P$26,MATCH(B$231,Listes!$K$15:$K$26,0),MATCH(H$232,Listes!$K$15:$P$15,0))*INDEX(Listes!$K$29:$O$31,MATCH(C$231,Listes!$K$29:$K$31,0),MATCH(H$232,Listes!$K$29:$O$29,0)))</f>
        <v>0</v>
      </c>
      <c r="I234" s="45">
        <f>IF(OR(B$231=0,B$231=""),0,F234*INDEX(Listes!$K$15:$P$26,MATCH(B$231,Listes!$K$15:$K$26,0),MATCH(I$232,Listes!$K$15:$P$15,0))*INDEX(Listes!$K$29:$O$31,MATCH(C$231,Listes!$K$29:$K$31,0),MATCH(I$232,Listes!$K$29:$O$29,0)))</f>
        <v>0</v>
      </c>
      <c r="K234" s="463"/>
      <c r="L234" s="3">
        <v>2</v>
      </c>
      <c r="M234" s="45">
        <f t="shared" si="107"/>
        <v>0</v>
      </c>
      <c r="N234" s="45">
        <f t="shared" si="108"/>
        <v>0</v>
      </c>
      <c r="O234" s="45">
        <f>IF(OR(N234=0,N234="",L$116=0),0,N234*INDEX(Listes!$K$1:$Q$12,MATCH(L$116,Listes!$K$1:$K$12,0),MATCH(O$117,Listes!$K$1:$Q$1,0)))</f>
        <v>0</v>
      </c>
      <c r="P234" s="45">
        <f t="shared" si="109"/>
        <v>0</v>
      </c>
      <c r="Q234" s="45">
        <f>IF(OR(L$231=0,L$231=""),0,P234*INDEX(Listes!$K$15:$P$26,MATCH(L$231,Listes!$K$15:$K$26,0),MATCH(Q$232,Listes!$K$15:$P$15,0))*INDEX(Listes!$K$29:$O$31,MATCH(M$231,Listes!$K$29:$K$31,0),MATCH(Q$232,Listes!$K$29:$O$29,0)))</f>
        <v>0</v>
      </c>
      <c r="R234" s="45">
        <f>IF(OR(L$231=0,L$231=""),0,P234*INDEX(Listes!$K$15:$P$26,MATCH(L$231,Listes!$K$15:$K$26,0),MATCH(R$232,Listes!$K$15:$P$15,0))*INDEX(Listes!$K$29:$O$31,MATCH(M$231,Listes!$K$29:$K$31,0),MATCH(R$232,Listes!$K$29:$O$29,0)))</f>
        <v>0</v>
      </c>
      <c r="S234" s="45">
        <f>IF(OR(L$231=0,L$231=""),0,P234*INDEX(Listes!$K$15:$P$26,MATCH(L$231,Listes!$K$15:$K$26,0),MATCH(S$232,Listes!$K$15:$P$15,0))*INDEX(Listes!$K$29:$O$31,MATCH(M$231,Listes!$K$29:$K$31,0),MATCH(S$232,Listes!$K$29:$O$29,0)))</f>
        <v>0</v>
      </c>
      <c r="U234" s="463"/>
      <c r="V234" s="3">
        <v>2</v>
      </c>
      <c r="W234" s="45">
        <f t="shared" si="110"/>
        <v>0</v>
      </c>
      <c r="X234" s="45">
        <f t="shared" si="111"/>
        <v>0</v>
      </c>
      <c r="Y234" s="45">
        <f>IF(OR(X234=0,X234="",V$116=0),0,X234*INDEX(Listes!$K$1:$Q$12,MATCH(V$116,Listes!$K$1:$K$12,0),MATCH(Y$117,Listes!$K$1:$Q$1,0)))</f>
        <v>0</v>
      </c>
      <c r="Z234" s="45">
        <f t="shared" si="112"/>
        <v>0</v>
      </c>
      <c r="AA234" s="45">
        <f>IF(OR(V$231=0,V$231=""),0,Z234*INDEX(Listes!$K$15:$P$26,MATCH(V$231,Listes!$K$15:$K$26,0),MATCH(AA$232,Listes!$K$15:$P$15,0))*INDEX(Listes!$K$29:$O$31,MATCH(W$231,Listes!$K$29:$K$31,0),MATCH(AA$232,Listes!$K$29:$O$29,0)))</f>
        <v>0</v>
      </c>
      <c r="AB234" s="45">
        <f>IF(OR(V$231=0,V$231=""),0,Z234*INDEX(Listes!$K$15:$P$26,MATCH(V$231,Listes!$K$15:$K$26,0),MATCH(AB$232,Listes!$K$15:$P$15,0))*INDEX(Listes!$K$29:$O$31,MATCH(W$231,Listes!$K$29:$K$31,0),MATCH(AB$232,Listes!$K$29:$O$29,0)))</f>
        <v>0</v>
      </c>
      <c r="AC234" s="45">
        <f>IF(OR(V$231=0,V$231=""),0,Z234*INDEX(Listes!$K$15:$P$26,MATCH(V$231,Listes!$K$15:$K$26,0),MATCH(AC$232,Listes!$K$15:$P$15,0))*INDEX(Listes!$K$29:$O$31,MATCH(W$231,Listes!$K$29:$K$31,0),MATCH(AC$232,Listes!$K$29:$O$29,0)))</f>
        <v>0</v>
      </c>
      <c r="AE234" s="463"/>
      <c r="AF234" s="3">
        <v>2</v>
      </c>
      <c r="AG234" s="45">
        <f t="shared" si="113"/>
        <v>0</v>
      </c>
      <c r="AH234" s="45">
        <f t="shared" si="114"/>
        <v>0</v>
      </c>
      <c r="AI234" s="45">
        <f>IF(OR(AH234=0,AH234="",AF$116=0),0,AH234*INDEX(Listes!$K$1:$Q$12,MATCH(AF$116,Listes!$K$1:$K$12,0),MATCH(AI$117,Listes!$K$1:$Q$1,0)))</f>
        <v>0</v>
      </c>
      <c r="AJ234" s="45">
        <f t="shared" si="115"/>
        <v>0</v>
      </c>
      <c r="AK234" s="45">
        <f>IF(OR(AF$231=0,AF$231=""),0,AJ234*INDEX(Listes!$K$15:$P$26,MATCH(AF$231,Listes!$K$15:$K$26,0),MATCH(AK$232,Listes!$K$15:$P$15,0))*INDEX(Listes!$K$29:$O$31,MATCH(AG$231,Listes!$K$29:$K$31,0),MATCH(AK$232,Listes!$K$29:$O$29,0)))</f>
        <v>0</v>
      </c>
      <c r="AL234" s="45">
        <f>IF(OR(AF$231=0,AF$231=""),0,AJ234*INDEX(Listes!$K$15:$P$26,MATCH(AF$231,Listes!$K$15:$K$26,0),MATCH(AL$232,Listes!$K$15:$P$15,0))*INDEX(Listes!$K$29:$O$31,MATCH(AG$231,Listes!$K$29:$K$31,0),MATCH(AL$232,Listes!$K$29:$O$29,0)))</f>
        <v>0</v>
      </c>
      <c r="AM234" s="45">
        <f>IF(OR(AF$231=0,AF$231=""),0,AJ234*INDEX(Listes!$K$15:$P$26,MATCH(AF$231,Listes!$K$15:$K$26,0),MATCH(AM$232,Listes!$K$15:$P$15,0))*INDEX(Listes!$K$29:$O$31,MATCH(AG$231,Listes!$K$29:$K$31,0),MATCH(AM$232,Listes!$K$29:$O$29,0)))</f>
        <v>0</v>
      </c>
      <c r="AO234" s="463"/>
      <c r="AP234" s="3">
        <v>2</v>
      </c>
      <c r="AQ234" s="11">
        <f t="shared" si="116"/>
        <v>0</v>
      </c>
      <c r="AR234" s="11">
        <f t="shared" si="116"/>
        <v>0</v>
      </c>
      <c r="AS234" s="11">
        <f t="shared" si="116"/>
        <v>0</v>
      </c>
      <c r="AT234" s="11">
        <f>AQ234*VLOOKUP(AQ$232,Tableau17[],4,FALSE)+AR234*VLOOKUP(AR$232,Tableau17[],4,FALSE)+AS234*VLOOKUP(AS$232,Tableau17[],4,FALSE)</f>
        <v>0</v>
      </c>
      <c r="AU234" s="11">
        <f>AQ234*VLOOKUP(AQ$232,Tableau17[],3,FALSE)+AR234*VLOOKUP(AR$232,Tableau17[],3,FALSE)+AS234*VLOOKUP(AS$232,Tableau17[],3,FALSE)</f>
        <v>0</v>
      </c>
    </row>
    <row r="235" spans="1:52" x14ac:dyDescent="0.2">
      <c r="A235" s="463"/>
      <c r="B235" s="3">
        <v>3</v>
      </c>
      <c r="C235" s="45">
        <f t="shared" si="117"/>
        <v>0</v>
      </c>
      <c r="D235" s="45">
        <f t="shared" si="105"/>
        <v>0</v>
      </c>
      <c r="E235" s="45">
        <f>IF(OR(D235=0,D235="",B$116=0),0,D235*INDEX(Listes!$K$1:$Q$12,MATCH(B$116,Listes!$K$1:$K$12,0),MATCH(E$117,Listes!$K$1:$Q$1,0)))</f>
        <v>0</v>
      </c>
      <c r="F235" s="45">
        <f t="shared" si="106"/>
        <v>0</v>
      </c>
      <c r="G235" s="45">
        <f>IF(OR(B$231=0,B$231=""),0,F235*INDEX(Listes!$K$15:$P$26,MATCH(B$231,Listes!$K$15:$K$26,0),MATCH(G$232,Listes!$K$15:$P$15,0))*INDEX(Listes!$K$29:$O$31,MATCH(C$231,Listes!$K$29:$K$31,0),MATCH(G$232,Listes!$K$29:$O$29,0)))</f>
        <v>0</v>
      </c>
      <c r="H235" s="45">
        <f>IF(OR(B$231=0,B$231=""),0,F235*INDEX(Listes!$K$15:$P$26,MATCH(B$231,Listes!$K$15:$K$26,0),MATCH(H$232,Listes!$K$15:$P$15,0))*INDEX(Listes!$K$29:$O$31,MATCH(C$231,Listes!$K$29:$K$31,0),MATCH(H$232,Listes!$K$29:$O$29,0)))</f>
        <v>0</v>
      </c>
      <c r="I235" s="45">
        <f>IF(OR(B$231=0,B$231=""),0,F235*INDEX(Listes!$K$15:$P$26,MATCH(B$231,Listes!$K$15:$K$26,0),MATCH(I$232,Listes!$K$15:$P$15,0))*INDEX(Listes!$K$29:$O$31,MATCH(C$231,Listes!$K$29:$K$31,0),MATCH(I$232,Listes!$K$29:$O$29,0)))</f>
        <v>0</v>
      </c>
      <c r="K235" s="463"/>
      <c r="L235" s="3">
        <v>3</v>
      </c>
      <c r="M235" s="45">
        <f t="shared" si="107"/>
        <v>0</v>
      </c>
      <c r="N235" s="45">
        <f t="shared" si="108"/>
        <v>0</v>
      </c>
      <c r="O235" s="45">
        <f>IF(OR(N235=0,N235="",L$116=0),0,N235*INDEX(Listes!$K$1:$Q$12,MATCH(L$116,Listes!$K$1:$K$12,0),MATCH(O$117,Listes!$K$1:$Q$1,0)))</f>
        <v>0</v>
      </c>
      <c r="P235" s="45">
        <f t="shared" si="109"/>
        <v>0</v>
      </c>
      <c r="Q235" s="45">
        <f>IF(OR(L$231=0,L$231=""),0,P235*INDEX(Listes!$K$15:$P$26,MATCH(L$231,Listes!$K$15:$K$26,0),MATCH(Q$232,Listes!$K$15:$P$15,0))*INDEX(Listes!$K$29:$O$31,MATCH(M$231,Listes!$K$29:$K$31,0),MATCH(Q$232,Listes!$K$29:$O$29,0)))</f>
        <v>0</v>
      </c>
      <c r="R235" s="45">
        <f>IF(OR(L$231=0,L$231=""),0,P235*INDEX(Listes!$K$15:$P$26,MATCH(L$231,Listes!$K$15:$K$26,0),MATCH(R$232,Listes!$K$15:$P$15,0))*INDEX(Listes!$K$29:$O$31,MATCH(M$231,Listes!$K$29:$K$31,0),MATCH(R$232,Listes!$K$29:$O$29,0)))</f>
        <v>0</v>
      </c>
      <c r="S235" s="45">
        <f>IF(OR(L$231=0,L$231=""),0,P235*INDEX(Listes!$K$15:$P$26,MATCH(L$231,Listes!$K$15:$K$26,0),MATCH(S$232,Listes!$K$15:$P$15,0))*INDEX(Listes!$K$29:$O$31,MATCH(M$231,Listes!$K$29:$K$31,0),MATCH(S$232,Listes!$K$29:$O$29,0)))</f>
        <v>0</v>
      </c>
      <c r="U235" s="463"/>
      <c r="V235" s="3">
        <v>3</v>
      </c>
      <c r="W235" s="45">
        <f t="shared" si="110"/>
        <v>0</v>
      </c>
      <c r="X235" s="45">
        <f t="shared" si="111"/>
        <v>0</v>
      </c>
      <c r="Y235" s="45">
        <f>IF(OR(X235=0,X235="",V$116=0),0,X235*INDEX(Listes!$K$1:$Q$12,MATCH(V$116,Listes!$K$1:$K$12,0),MATCH(Y$117,Listes!$K$1:$Q$1,0)))</f>
        <v>0</v>
      </c>
      <c r="Z235" s="45">
        <f t="shared" si="112"/>
        <v>0</v>
      </c>
      <c r="AA235" s="45">
        <f>IF(OR(V$231=0,V$231=""),0,Z235*INDEX(Listes!$K$15:$P$26,MATCH(V$231,Listes!$K$15:$K$26,0),MATCH(AA$232,Listes!$K$15:$P$15,0))*INDEX(Listes!$K$29:$O$31,MATCH(W$231,Listes!$K$29:$K$31,0),MATCH(AA$232,Listes!$K$29:$O$29,0)))</f>
        <v>0</v>
      </c>
      <c r="AB235" s="45">
        <f>IF(OR(V$231=0,V$231=""),0,Z235*INDEX(Listes!$K$15:$P$26,MATCH(V$231,Listes!$K$15:$K$26,0),MATCH(AB$232,Listes!$K$15:$P$15,0))*INDEX(Listes!$K$29:$O$31,MATCH(W$231,Listes!$K$29:$K$31,0),MATCH(AB$232,Listes!$K$29:$O$29,0)))</f>
        <v>0</v>
      </c>
      <c r="AC235" s="45">
        <f>IF(OR(V$231=0,V$231=""),0,Z235*INDEX(Listes!$K$15:$P$26,MATCH(V$231,Listes!$K$15:$K$26,0),MATCH(AC$232,Listes!$K$15:$P$15,0))*INDEX(Listes!$K$29:$O$31,MATCH(W$231,Listes!$K$29:$K$31,0),MATCH(AC$232,Listes!$K$29:$O$29,0)))</f>
        <v>0</v>
      </c>
      <c r="AE235" s="463"/>
      <c r="AF235" s="3">
        <v>3</v>
      </c>
      <c r="AG235" s="45">
        <f t="shared" si="113"/>
        <v>0</v>
      </c>
      <c r="AH235" s="45">
        <f t="shared" si="114"/>
        <v>0</v>
      </c>
      <c r="AI235" s="45">
        <f>IF(OR(AH235=0,AH235="",AF$116=0),0,AH235*INDEX(Listes!$K$1:$Q$12,MATCH(AF$116,Listes!$K$1:$K$12,0),MATCH(AI$117,Listes!$K$1:$Q$1,0)))</f>
        <v>0</v>
      </c>
      <c r="AJ235" s="45">
        <f t="shared" si="115"/>
        <v>0</v>
      </c>
      <c r="AK235" s="45">
        <f>IF(OR(AF$231=0,AF$231=""),0,AJ235*INDEX(Listes!$K$15:$P$26,MATCH(AF$231,Listes!$K$15:$K$26,0),MATCH(AK$232,Listes!$K$15:$P$15,0))*INDEX(Listes!$K$29:$O$31,MATCH(AG$231,Listes!$K$29:$K$31,0),MATCH(AK$232,Listes!$K$29:$O$29,0)))</f>
        <v>0</v>
      </c>
      <c r="AL235" s="45">
        <f>IF(OR(AF$231=0,AF$231=""),0,AJ235*INDEX(Listes!$K$15:$P$26,MATCH(AF$231,Listes!$K$15:$K$26,0),MATCH(AL$232,Listes!$K$15:$P$15,0))*INDEX(Listes!$K$29:$O$31,MATCH(AG$231,Listes!$K$29:$K$31,0),MATCH(AL$232,Listes!$K$29:$O$29,0)))</f>
        <v>0</v>
      </c>
      <c r="AM235" s="45">
        <f>IF(OR(AF$231=0,AF$231=""),0,AJ235*INDEX(Listes!$K$15:$P$26,MATCH(AF$231,Listes!$K$15:$K$26,0),MATCH(AM$232,Listes!$K$15:$P$15,0))*INDEX(Listes!$K$29:$O$31,MATCH(AG$231,Listes!$K$29:$K$31,0),MATCH(AM$232,Listes!$K$29:$O$29,0)))</f>
        <v>0</v>
      </c>
      <c r="AO235" s="463"/>
      <c r="AP235" s="3">
        <v>3</v>
      </c>
      <c r="AQ235" s="11">
        <f t="shared" si="116"/>
        <v>0</v>
      </c>
      <c r="AR235" s="11">
        <f t="shared" si="116"/>
        <v>0</v>
      </c>
      <c r="AS235" s="11">
        <f t="shared" si="116"/>
        <v>0</v>
      </c>
      <c r="AT235" s="11">
        <f>AQ235*VLOOKUP(AQ$232,Tableau17[],4,FALSE)+AR235*VLOOKUP(AR$232,Tableau17[],4,FALSE)+AS235*VLOOKUP(AS$232,Tableau17[],4,FALSE)</f>
        <v>0</v>
      </c>
      <c r="AU235" s="11">
        <f>AQ235*VLOOKUP(AQ$232,Tableau17[],3,FALSE)+AR235*VLOOKUP(AR$232,Tableau17[],3,FALSE)+AS235*VLOOKUP(AS$232,Tableau17[],3,FALSE)</f>
        <v>0</v>
      </c>
    </row>
    <row r="236" spans="1:52" x14ac:dyDescent="0.2">
      <c r="A236" s="463"/>
      <c r="B236" s="3">
        <v>4</v>
      </c>
      <c r="C236" s="45">
        <f t="shared" si="117"/>
        <v>0</v>
      </c>
      <c r="D236" s="45">
        <f t="shared" si="105"/>
        <v>0</v>
      </c>
      <c r="E236" s="45">
        <f>IF(OR(D236=0,D236="",B$116=0),0,D236*INDEX(Listes!$K$1:$Q$12,MATCH(B$116,Listes!$K$1:$K$12,0),MATCH(E$117,Listes!$K$1:$Q$1,0)))</f>
        <v>0</v>
      </c>
      <c r="F236" s="45">
        <f t="shared" si="106"/>
        <v>0</v>
      </c>
      <c r="G236" s="45">
        <f>IF(OR(B$231=0,B$231=""),0,F236*INDEX(Listes!$K$15:$P$26,MATCH(B$231,Listes!$K$15:$K$26,0),MATCH(G$232,Listes!$K$15:$P$15,0))*INDEX(Listes!$K$29:$O$31,MATCH(C$231,Listes!$K$29:$K$31,0),MATCH(G$232,Listes!$K$29:$O$29,0)))</f>
        <v>0</v>
      </c>
      <c r="H236" s="45">
        <f>IF(OR(B$231=0,B$231=""),0,F236*INDEX(Listes!$K$15:$P$26,MATCH(B$231,Listes!$K$15:$K$26,0),MATCH(H$232,Listes!$K$15:$P$15,0))*INDEX(Listes!$K$29:$O$31,MATCH(C$231,Listes!$K$29:$K$31,0),MATCH(H$232,Listes!$K$29:$O$29,0)))</f>
        <v>0</v>
      </c>
      <c r="I236" s="45">
        <f>IF(OR(B$231=0,B$231=""),0,F236*INDEX(Listes!$K$15:$P$26,MATCH(B$231,Listes!$K$15:$K$26,0),MATCH(I$232,Listes!$K$15:$P$15,0))*INDEX(Listes!$K$29:$O$31,MATCH(C$231,Listes!$K$29:$K$31,0),MATCH(I$232,Listes!$K$29:$O$29,0)))</f>
        <v>0</v>
      </c>
      <c r="K236" s="463"/>
      <c r="L236" s="3">
        <v>4</v>
      </c>
      <c r="M236" s="45">
        <f t="shared" si="107"/>
        <v>0</v>
      </c>
      <c r="N236" s="45">
        <f t="shared" si="108"/>
        <v>0</v>
      </c>
      <c r="O236" s="45">
        <f>IF(OR(N236=0,N236="",L$116=0),0,N236*INDEX(Listes!$K$1:$Q$12,MATCH(L$116,Listes!$K$1:$K$12,0),MATCH(O$117,Listes!$K$1:$Q$1,0)))</f>
        <v>0</v>
      </c>
      <c r="P236" s="45">
        <f t="shared" si="109"/>
        <v>0</v>
      </c>
      <c r="Q236" s="45">
        <f>IF(OR(L$231=0,L$231=""),0,P236*INDEX(Listes!$K$15:$P$26,MATCH(L$231,Listes!$K$15:$K$26,0),MATCH(Q$232,Listes!$K$15:$P$15,0))*INDEX(Listes!$K$29:$O$31,MATCH(M$231,Listes!$K$29:$K$31,0),MATCH(Q$232,Listes!$K$29:$O$29,0)))</f>
        <v>0</v>
      </c>
      <c r="R236" s="45">
        <f>IF(OR(L$231=0,L$231=""),0,P236*INDEX(Listes!$K$15:$P$26,MATCH(L$231,Listes!$K$15:$K$26,0),MATCH(R$232,Listes!$K$15:$P$15,0))*INDEX(Listes!$K$29:$O$31,MATCH(M$231,Listes!$K$29:$K$31,0),MATCH(R$232,Listes!$K$29:$O$29,0)))</f>
        <v>0</v>
      </c>
      <c r="S236" s="45">
        <f>IF(OR(L$231=0,L$231=""),0,P236*INDEX(Listes!$K$15:$P$26,MATCH(L$231,Listes!$K$15:$K$26,0),MATCH(S$232,Listes!$K$15:$P$15,0))*INDEX(Listes!$K$29:$O$31,MATCH(M$231,Listes!$K$29:$K$31,0),MATCH(S$232,Listes!$K$29:$O$29,0)))</f>
        <v>0</v>
      </c>
      <c r="U236" s="463"/>
      <c r="V236" s="3">
        <v>4</v>
      </c>
      <c r="W236" s="45">
        <f t="shared" si="110"/>
        <v>0</v>
      </c>
      <c r="X236" s="45">
        <f t="shared" si="111"/>
        <v>0</v>
      </c>
      <c r="Y236" s="45">
        <f>IF(OR(X236=0,X236="",V$116=0),0,X236*INDEX(Listes!$K$1:$Q$12,MATCH(V$116,Listes!$K$1:$K$12,0),MATCH(Y$117,Listes!$K$1:$Q$1,0)))</f>
        <v>0</v>
      </c>
      <c r="Z236" s="45">
        <f t="shared" si="112"/>
        <v>0</v>
      </c>
      <c r="AA236" s="45">
        <f>IF(OR(V$231=0,V$231=""),0,Z236*INDEX(Listes!$K$15:$P$26,MATCH(V$231,Listes!$K$15:$K$26,0),MATCH(AA$232,Listes!$K$15:$P$15,0))*INDEX(Listes!$K$29:$O$31,MATCH(W$231,Listes!$K$29:$K$31,0),MATCH(AA$232,Listes!$K$29:$O$29,0)))</f>
        <v>0</v>
      </c>
      <c r="AB236" s="45">
        <f>IF(OR(V$231=0,V$231=""),0,Z236*INDEX(Listes!$K$15:$P$26,MATCH(V$231,Listes!$K$15:$K$26,0),MATCH(AB$232,Listes!$K$15:$P$15,0))*INDEX(Listes!$K$29:$O$31,MATCH(W$231,Listes!$K$29:$K$31,0),MATCH(AB$232,Listes!$K$29:$O$29,0)))</f>
        <v>0</v>
      </c>
      <c r="AC236" s="45">
        <f>IF(OR(V$231=0,V$231=""),0,Z236*INDEX(Listes!$K$15:$P$26,MATCH(V$231,Listes!$K$15:$K$26,0),MATCH(AC$232,Listes!$K$15:$P$15,0))*INDEX(Listes!$K$29:$O$31,MATCH(W$231,Listes!$K$29:$K$31,0),MATCH(AC$232,Listes!$K$29:$O$29,0)))</f>
        <v>0</v>
      </c>
      <c r="AE236" s="463"/>
      <c r="AF236" s="3">
        <v>4</v>
      </c>
      <c r="AG236" s="45">
        <f t="shared" si="113"/>
        <v>0</v>
      </c>
      <c r="AH236" s="45">
        <f t="shared" si="114"/>
        <v>0</v>
      </c>
      <c r="AI236" s="45">
        <f>IF(OR(AH236=0,AH236="",AF$116=0),0,AH236*INDEX(Listes!$K$1:$Q$12,MATCH(AF$116,Listes!$K$1:$K$12,0),MATCH(AI$117,Listes!$K$1:$Q$1,0)))</f>
        <v>0</v>
      </c>
      <c r="AJ236" s="45">
        <f t="shared" si="115"/>
        <v>0</v>
      </c>
      <c r="AK236" s="45">
        <f>IF(OR(AF$231=0,AF$231=""),0,AJ236*INDEX(Listes!$K$15:$P$26,MATCH(AF$231,Listes!$K$15:$K$26,0),MATCH(AK$232,Listes!$K$15:$P$15,0))*INDEX(Listes!$K$29:$O$31,MATCH(AG$231,Listes!$K$29:$K$31,0),MATCH(AK$232,Listes!$K$29:$O$29,0)))</f>
        <v>0</v>
      </c>
      <c r="AL236" s="45">
        <f>IF(OR(AF$231=0,AF$231=""),0,AJ236*INDEX(Listes!$K$15:$P$26,MATCH(AF$231,Listes!$K$15:$K$26,0),MATCH(AL$232,Listes!$K$15:$P$15,0))*INDEX(Listes!$K$29:$O$31,MATCH(AG$231,Listes!$K$29:$K$31,0),MATCH(AL$232,Listes!$K$29:$O$29,0)))</f>
        <v>0</v>
      </c>
      <c r="AM236" s="45">
        <f>IF(OR(AF$231=0,AF$231=""),0,AJ236*INDEX(Listes!$K$15:$P$26,MATCH(AF$231,Listes!$K$15:$K$26,0),MATCH(AM$232,Listes!$K$15:$P$15,0))*INDEX(Listes!$K$29:$O$31,MATCH(AG$231,Listes!$K$29:$K$31,0),MATCH(AM$232,Listes!$K$29:$O$29,0)))</f>
        <v>0</v>
      </c>
      <c r="AO236" s="463"/>
      <c r="AP236" s="3">
        <v>4</v>
      </c>
      <c r="AQ236" s="11">
        <f t="shared" si="116"/>
        <v>0</v>
      </c>
      <c r="AR236" s="11">
        <f t="shared" si="116"/>
        <v>0</v>
      </c>
      <c r="AS236" s="11">
        <f t="shared" si="116"/>
        <v>0</v>
      </c>
      <c r="AT236" s="11">
        <f>AQ236*VLOOKUP(AQ$232,Tableau17[],4,FALSE)+AR236*VLOOKUP(AR$232,Tableau17[],4,FALSE)+AS236*VLOOKUP(AS$232,Tableau17[],4,FALSE)</f>
        <v>0</v>
      </c>
      <c r="AU236" s="11">
        <f>AQ236*VLOOKUP(AQ$232,Tableau17[],3,FALSE)+AR236*VLOOKUP(AR$232,Tableau17[],3,FALSE)+AS236*VLOOKUP(AS$232,Tableau17[],3,FALSE)</f>
        <v>0</v>
      </c>
    </row>
    <row r="237" spans="1:52" x14ac:dyDescent="0.2">
      <c r="A237" s="463"/>
      <c r="B237" s="3">
        <v>5</v>
      </c>
      <c r="C237" s="45">
        <f t="shared" si="117"/>
        <v>0</v>
      </c>
      <c r="D237" s="45">
        <f t="shared" si="105"/>
        <v>0</v>
      </c>
      <c r="E237" s="45">
        <f>IF(OR(D237=0,D237="",B$116=0),0,D237*INDEX(Listes!$K$1:$Q$12,MATCH(B$116,Listes!$K$1:$K$12,0),MATCH(E$117,Listes!$K$1:$Q$1,0)))</f>
        <v>0</v>
      </c>
      <c r="F237" s="45">
        <f t="shared" si="106"/>
        <v>0</v>
      </c>
      <c r="G237" s="45">
        <f>IF(OR(B$231=0,B$231=""),0,F237*INDEX(Listes!$K$15:$P$26,MATCH(B$231,Listes!$K$15:$K$26,0),MATCH(G$232,Listes!$K$15:$P$15,0))*INDEX(Listes!$K$29:$O$31,MATCH(C$231,Listes!$K$29:$K$31,0),MATCH(G$232,Listes!$K$29:$O$29,0)))</f>
        <v>0</v>
      </c>
      <c r="H237" s="45">
        <f>IF(OR(B$231=0,B$231=""),0,F237*INDEX(Listes!$K$15:$P$26,MATCH(B$231,Listes!$K$15:$K$26,0),MATCH(H$232,Listes!$K$15:$P$15,0))*INDEX(Listes!$K$29:$O$31,MATCH(C$231,Listes!$K$29:$K$31,0),MATCH(H$232,Listes!$K$29:$O$29,0)))</f>
        <v>0</v>
      </c>
      <c r="I237" s="45">
        <f>IF(OR(B$231=0,B$231=""),0,F237*INDEX(Listes!$K$15:$P$26,MATCH(B$231,Listes!$K$15:$K$26,0),MATCH(I$232,Listes!$K$15:$P$15,0))*INDEX(Listes!$K$29:$O$31,MATCH(C$231,Listes!$K$29:$K$31,0),MATCH(I$232,Listes!$K$29:$O$29,0)))</f>
        <v>0</v>
      </c>
      <c r="K237" s="463"/>
      <c r="L237" s="3">
        <v>5</v>
      </c>
      <c r="M237" s="45">
        <f t="shared" si="107"/>
        <v>0</v>
      </c>
      <c r="N237" s="45">
        <f t="shared" si="108"/>
        <v>0</v>
      </c>
      <c r="O237" s="45">
        <f>IF(OR(N237=0,N237="",L$116=0),0,N237*INDEX(Listes!$K$1:$Q$12,MATCH(L$116,Listes!$K$1:$K$12,0),MATCH(O$117,Listes!$K$1:$Q$1,0)))</f>
        <v>0</v>
      </c>
      <c r="P237" s="45">
        <f t="shared" si="109"/>
        <v>0</v>
      </c>
      <c r="Q237" s="45">
        <f>IF(OR(L$231=0,L$231=""),0,P237*INDEX(Listes!$K$15:$P$26,MATCH(L$231,Listes!$K$15:$K$26,0),MATCH(Q$232,Listes!$K$15:$P$15,0))*INDEX(Listes!$K$29:$O$31,MATCH(M$231,Listes!$K$29:$K$31,0),MATCH(Q$232,Listes!$K$29:$O$29,0)))</f>
        <v>0</v>
      </c>
      <c r="R237" s="45">
        <f>IF(OR(L$231=0,L$231=""),0,P237*INDEX(Listes!$K$15:$P$26,MATCH(L$231,Listes!$K$15:$K$26,0),MATCH(R$232,Listes!$K$15:$P$15,0))*INDEX(Listes!$K$29:$O$31,MATCH(M$231,Listes!$K$29:$K$31,0),MATCH(R$232,Listes!$K$29:$O$29,0)))</f>
        <v>0</v>
      </c>
      <c r="S237" s="45">
        <f>IF(OR(L$231=0,L$231=""),0,P237*INDEX(Listes!$K$15:$P$26,MATCH(L$231,Listes!$K$15:$K$26,0),MATCH(S$232,Listes!$K$15:$P$15,0))*INDEX(Listes!$K$29:$O$31,MATCH(M$231,Listes!$K$29:$K$31,0),MATCH(S$232,Listes!$K$29:$O$29,0)))</f>
        <v>0</v>
      </c>
      <c r="U237" s="463"/>
      <c r="V237" s="3">
        <v>5</v>
      </c>
      <c r="W237" s="45">
        <f t="shared" si="110"/>
        <v>0</v>
      </c>
      <c r="X237" s="45">
        <f t="shared" si="111"/>
        <v>0</v>
      </c>
      <c r="Y237" s="45">
        <f>IF(OR(X237=0,X237="",V$116=0),0,X237*INDEX(Listes!$K$1:$Q$12,MATCH(V$116,Listes!$K$1:$K$12,0),MATCH(Y$117,Listes!$K$1:$Q$1,0)))</f>
        <v>0</v>
      </c>
      <c r="Z237" s="45">
        <f t="shared" si="112"/>
        <v>0</v>
      </c>
      <c r="AA237" s="45">
        <f>IF(OR(V$231=0,V$231=""),0,Z237*INDEX(Listes!$K$15:$P$26,MATCH(V$231,Listes!$K$15:$K$26,0),MATCH(AA$232,Listes!$K$15:$P$15,0))*INDEX(Listes!$K$29:$O$31,MATCH(W$231,Listes!$K$29:$K$31,0),MATCH(AA$232,Listes!$K$29:$O$29,0)))</f>
        <v>0</v>
      </c>
      <c r="AB237" s="45">
        <f>IF(OR(V$231=0,V$231=""),0,Z237*INDEX(Listes!$K$15:$P$26,MATCH(V$231,Listes!$K$15:$K$26,0),MATCH(AB$232,Listes!$K$15:$P$15,0))*INDEX(Listes!$K$29:$O$31,MATCH(W$231,Listes!$K$29:$K$31,0),MATCH(AB$232,Listes!$K$29:$O$29,0)))</f>
        <v>0</v>
      </c>
      <c r="AC237" s="45">
        <f>IF(OR(V$231=0,V$231=""),0,Z237*INDEX(Listes!$K$15:$P$26,MATCH(V$231,Listes!$K$15:$K$26,0),MATCH(AC$232,Listes!$K$15:$P$15,0))*INDEX(Listes!$K$29:$O$31,MATCH(W$231,Listes!$K$29:$K$31,0),MATCH(AC$232,Listes!$K$29:$O$29,0)))</f>
        <v>0</v>
      </c>
      <c r="AE237" s="463"/>
      <c r="AF237" s="3">
        <v>5</v>
      </c>
      <c r="AG237" s="45">
        <f t="shared" si="113"/>
        <v>0</v>
      </c>
      <c r="AH237" s="45">
        <f t="shared" si="114"/>
        <v>0</v>
      </c>
      <c r="AI237" s="45">
        <f>IF(OR(AH237=0,AH237="",AF$116=0),0,AH237*INDEX(Listes!$K$1:$Q$12,MATCH(AF$116,Listes!$K$1:$K$12,0),MATCH(AI$117,Listes!$K$1:$Q$1,0)))</f>
        <v>0</v>
      </c>
      <c r="AJ237" s="45">
        <f t="shared" si="115"/>
        <v>0</v>
      </c>
      <c r="AK237" s="45">
        <f>IF(OR(AF$231=0,AF$231=""),0,AJ237*INDEX(Listes!$K$15:$P$26,MATCH(AF$231,Listes!$K$15:$K$26,0),MATCH(AK$232,Listes!$K$15:$P$15,0))*INDEX(Listes!$K$29:$O$31,MATCH(AG$231,Listes!$K$29:$K$31,0),MATCH(AK$232,Listes!$K$29:$O$29,0)))</f>
        <v>0</v>
      </c>
      <c r="AL237" s="45">
        <f>IF(OR(AF$231=0,AF$231=""),0,AJ237*INDEX(Listes!$K$15:$P$26,MATCH(AF$231,Listes!$K$15:$K$26,0),MATCH(AL$232,Listes!$K$15:$P$15,0))*INDEX(Listes!$K$29:$O$31,MATCH(AG$231,Listes!$K$29:$K$31,0),MATCH(AL$232,Listes!$K$29:$O$29,0)))</f>
        <v>0</v>
      </c>
      <c r="AM237" s="45">
        <f>IF(OR(AF$231=0,AF$231=""),0,AJ237*INDEX(Listes!$K$15:$P$26,MATCH(AF$231,Listes!$K$15:$K$26,0),MATCH(AM$232,Listes!$K$15:$P$15,0))*INDEX(Listes!$K$29:$O$31,MATCH(AG$231,Listes!$K$29:$K$31,0),MATCH(AM$232,Listes!$K$29:$O$29,0)))</f>
        <v>0</v>
      </c>
      <c r="AO237" s="463"/>
      <c r="AP237" s="3">
        <v>5</v>
      </c>
      <c r="AQ237" s="11">
        <f t="shared" si="116"/>
        <v>0</v>
      </c>
      <c r="AR237" s="11">
        <f t="shared" si="116"/>
        <v>0</v>
      </c>
      <c r="AS237" s="11">
        <f t="shared" si="116"/>
        <v>0</v>
      </c>
      <c r="AT237" s="11">
        <f>AQ237*VLOOKUP(AQ$232,Tableau17[],4,FALSE)+AR237*VLOOKUP(AR$232,Tableau17[],4,FALSE)+AS237*VLOOKUP(AS$232,Tableau17[],4,FALSE)</f>
        <v>0</v>
      </c>
      <c r="AU237" s="11">
        <f>AQ237*VLOOKUP(AQ$232,Tableau17[],3,FALSE)+AR237*VLOOKUP(AR$232,Tableau17[],3,FALSE)+AS237*VLOOKUP(AS$232,Tableau17[],3,FALSE)</f>
        <v>0</v>
      </c>
    </row>
    <row r="238" spans="1:52" x14ac:dyDescent="0.2">
      <c r="A238" s="463"/>
      <c r="B238" s="3">
        <v>6</v>
      </c>
      <c r="C238" s="45">
        <f t="shared" si="117"/>
        <v>0</v>
      </c>
      <c r="D238" s="45">
        <f t="shared" si="105"/>
        <v>0</v>
      </c>
      <c r="E238" s="45">
        <f>IF(OR(D238=0,D238="",B$116=0),0,D238*INDEX(Listes!$K$1:$Q$12,MATCH(B$116,Listes!$K$1:$K$12,0),MATCH(E$117,Listes!$K$1:$Q$1,0)))</f>
        <v>0</v>
      </c>
      <c r="F238" s="45">
        <f t="shared" si="106"/>
        <v>0</v>
      </c>
      <c r="G238" s="45">
        <f>IF(OR(B$231=0,B$231=""),0,F238*INDEX(Listes!$K$15:$P$26,MATCH(B$231,Listes!$K$15:$K$26,0),MATCH(G$232,Listes!$K$15:$P$15,0))*INDEX(Listes!$K$29:$O$31,MATCH(C$231,Listes!$K$29:$K$31,0),MATCH(G$232,Listes!$K$29:$O$29,0)))</f>
        <v>0</v>
      </c>
      <c r="H238" s="45">
        <f>IF(OR(B$231=0,B$231=""),0,F238*INDEX(Listes!$K$15:$P$26,MATCH(B$231,Listes!$K$15:$K$26,0),MATCH(H$232,Listes!$K$15:$P$15,0))*INDEX(Listes!$K$29:$O$31,MATCH(C$231,Listes!$K$29:$K$31,0),MATCH(H$232,Listes!$K$29:$O$29,0)))</f>
        <v>0</v>
      </c>
      <c r="I238" s="45">
        <f>IF(OR(B$231=0,B$231=""),0,F238*INDEX(Listes!$K$15:$P$26,MATCH(B$231,Listes!$K$15:$K$26,0),MATCH(I$232,Listes!$K$15:$P$15,0))*INDEX(Listes!$K$29:$O$31,MATCH(C$231,Listes!$K$29:$K$31,0),MATCH(I$232,Listes!$K$29:$O$29,0)))</f>
        <v>0</v>
      </c>
      <c r="K238" s="463"/>
      <c r="L238" s="3">
        <v>6</v>
      </c>
      <c r="M238" s="45">
        <f t="shared" si="107"/>
        <v>0</v>
      </c>
      <c r="N238" s="45">
        <f t="shared" si="108"/>
        <v>0</v>
      </c>
      <c r="O238" s="45">
        <f>IF(OR(N238=0,N238="",L$116=0),0,N238*INDEX(Listes!$K$1:$Q$12,MATCH(L$116,Listes!$K$1:$K$12,0),MATCH(O$117,Listes!$K$1:$Q$1,0)))</f>
        <v>0</v>
      </c>
      <c r="P238" s="45">
        <f t="shared" si="109"/>
        <v>0</v>
      </c>
      <c r="Q238" s="45">
        <f>IF(OR(L$231=0,L$231=""),0,P238*INDEX(Listes!$K$15:$P$26,MATCH(L$231,Listes!$K$15:$K$26,0),MATCH(Q$232,Listes!$K$15:$P$15,0))*INDEX(Listes!$K$29:$O$31,MATCH(M$231,Listes!$K$29:$K$31,0),MATCH(Q$232,Listes!$K$29:$O$29,0)))</f>
        <v>0</v>
      </c>
      <c r="R238" s="45">
        <f>IF(OR(L$231=0,L$231=""),0,P238*INDEX(Listes!$K$15:$P$26,MATCH(L$231,Listes!$K$15:$K$26,0),MATCH(R$232,Listes!$K$15:$P$15,0))*INDEX(Listes!$K$29:$O$31,MATCH(M$231,Listes!$K$29:$K$31,0),MATCH(R$232,Listes!$K$29:$O$29,0)))</f>
        <v>0</v>
      </c>
      <c r="S238" s="45">
        <f>IF(OR(L$231=0,L$231=""),0,P238*INDEX(Listes!$K$15:$P$26,MATCH(L$231,Listes!$K$15:$K$26,0),MATCH(S$232,Listes!$K$15:$P$15,0))*INDEX(Listes!$K$29:$O$31,MATCH(M$231,Listes!$K$29:$K$31,0),MATCH(S$232,Listes!$K$29:$O$29,0)))</f>
        <v>0</v>
      </c>
      <c r="U238" s="463"/>
      <c r="V238" s="3">
        <v>6</v>
      </c>
      <c r="W238" s="45">
        <f t="shared" si="110"/>
        <v>0</v>
      </c>
      <c r="X238" s="45">
        <f t="shared" si="111"/>
        <v>0</v>
      </c>
      <c r="Y238" s="45">
        <f>IF(OR(X238=0,X238="",V$116=0),0,X238*INDEX(Listes!$K$1:$Q$12,MATCH(V$116,Listes!$K$1:$K$12,0),MATCH(Y$117,Listes!$K$1:$Q$1,0)))</f>
        <v>0</v>
      </c>
      <c r="Z238" s="45">
        <f t="shared" si="112"/>
        <v>0</v>
      </c>
      <c r="AA238" s="45">
        <f>IF(OR(V$231=0,V$231=""),0,Z238*INDEX(Listes!$K$15:$P$26,MATCH(V$231,Listes!$K$15:$K$26,0),MATCH(AA$232,Listes!$K$15:$P$15,0))*INDEX(Listes!$K$29:$O$31,MATCH(W$231,Listes!$K$29:$K$31,0),MATCH(AA$232,Listes!$K$29:$O$29,0)))</f>
        <v>0</v>
      </c>
      <c r="AB238" s="45">
        <f>IF(OR(V$231=0,V$231=""),0,Z238*INDEX(Listes!$K$15:$P$26,MATCH(V$231,Listes!$K$15:$K$26,0),MATCH(AB$232,Listes!$K$15:$P$15,0))*INDEX(Listes!$K$29:$O$31,MATCH(W$231,Listes!$K$29:$K$31,0),MATCH(AB$232,Listes!$K$29:$O$29,0)))</f>
        <v>0</v>
      </c>
      <c r="AC238" s="45">
        <f>IF(OR(V$231=0,V$231=""),0,Z238*INDEX(Listes!$K$15:$P$26,MATCH(V$231,Listes!$K$15:$K$26,0),MATCH(AC$232,Listes!$K$15:$P$15,0))*INDEX(Listes!$K$29:$O$31,MATCH(W$231,Listes!$K$29:$K$31,0),MATCH(AC$232,Listes!$K$29:$O$29,0)))</f>
        <v>0</v>
      </c>
      <c r="AE238" s="463"/>
      <c r="AF238" s="3">
        <v>6</v>
      </c>
      <c r="AG238" s="45">
        <f t="shared" si="113"/>
        <v>0</v>
      </c>
      <c r="AH238" s="45">
        <f t="shared" si="114"/>
        <v>0</v>
      </c>
      <c r="AI238" s="45">
        <f>IF(OR(AH238=0,AH238="",AF$116=0),0,AH238*INDEX(Listes!$K$1:$Q$12,MATCH(AF$116,Listes!$K$1:$K$12,0),MATCH(AI$117,Listes!$K$1:$Q$1,0)))</f>
        <v>0</v>
      </c>
      <c r="AJ238" s="45">
        <f t="shared" si="115"/>
        <v>0</v>
      </c>
      <c r="AK238" s="45">
        <f>IF(OR(AF$231=0,AF$231=""),0,AJ238*INDEX(Listes!$K$15:$P$26,MATCH(AF$231,Listes!$K$15:$K$26,0),MATCH(AK$232,Listes!$K$15:$P$15,0))*INDEX(Listes!$K$29:$O$31,MATCH(AG$231,Listes!$K$29:$K$31,0),MATCH(AK$232,Listes!$K$29:$O$29,0)))</f>
        <v>0</v>
      </c>
      <c r="AL238" s="45">
        <f>IF(OR(AF$231=0,AF$231=""),0,AJ238*INDEX(Listes!$K$15:$P$26,MATCH(AF$231,Listes!$K$15:$K$26,0),MATCH(AL$232,Listes!$K$15:$P$15,0))*INDEX(Listes!$K$29:$O$31,MATCH(AG$231,Listes!$K$29:$K$31,0),MATCH(AL$232,Listes!$K$29:$O$29,0)))</f>
        <v>0</v>
      </c>
      <c r="AM238" s="45">
        <f>IF(OR(AF$231=0,AF$231=""),0,AJ238*INDEX(Listes!$K$15:$P$26,MATCH(AF$231,Listes!$K$15:$K$26,0),MATCH(AM$232,Listes!$K$15:$P$15,0))*INDEX(Listes!$K$29:$O$31,MATCH(AG$231,Listes!$K$29:$K$31,0),MATCH(AM$232,Listes!$K$29:$O$29,0)))</f>
        <v>0</v>
      </c>
      <c r="AO238" s="463"/>
      <c r="AP238" s="3">
        <v>6</v>
      </c>
      <c r="AQ238" s="11">
        <f t="shared" si="116"/>
        <v>0</v>
      </c>
      <c r="AR238" s="11">
        <f t="shared" si="116"/>
        <v>0</v>
      </c>
      <c r="AS238" s="11">
        <f t="shared" si="116"/>
        <v>0</v>
      </c>
      <c r="AT238" s="11">
        <f>AQ238*VLOOKUP(AQ$232,Tableau17[],4,FALSE)+AR238*VLOOKUP(AR$232,Tableau17[],4,FALSE)+AS238*VLOOKUP(AS$232,Tableau17[],4,FALSE)</f>
        <v>0</v>
      </c>
      <c r="AU238" s="11">
        <f>AQ238*VLOOKUP(AQ$232,Tableau17[],3,FALSE)+AR238*VLOOKUP(AR$232,Tableau17[],3,FALSE)+AS238*VLOOKUP(AS$232,Tableau17[],3,FALSE)</f>
        <v>0</v>
      </c>
    </row>
    <row r="239" spans="1:52" x14ac:dyDescent="0.2">
      <c r="A239" s="463"/>
      <c r="B239" s="3">
        <v>7</v>
      </c>
      <c r="C239" s="45">
        <f t="shared" si="117"/>
        <v>0</v>
      </c>
      <c r="D239" s="45">
        <f t="shared" si="105"/>
        <v>0</v>
      </c>
      <c r="E239" s="45">
        <f>IF(OR(D239=0,D239="",B$116=0),0,D239*INDEX(Listes!$K$1:$Q$12,MATCH(B$116,Listes!$K$1:$K$12,0),MATCH(E$117,Listes!$K$1:$Q$1,0)))</f>
        <v>0</v>
      </c>
      <c r="F239" s="45">
        <f t="shared" si="106"/>
        <v>0</v>
      </c>
      <c r="G239" s="45">
        <f>IF(OR(B$231=0,B$231=""),0,F239*INDEX(Listes!$K$15:$P$26,MATCH(B$231,Listes!$K$15:$K$26,0),MATCH(G$232,Listes!$K$15:$P$15,0))*INDEX(Listes!$K$29:$O$31,MATCH(C$231,Listes!$K$29:$K$31,0),MATCH(G$232,Listes!$K$29:$O$29,0)))</f>
        <v>0</v>
      </c>
      <c r="H239" s="45">
        <f>IF(OR(B$231=0,B$231=""),0,F239*INDEX(Listes!$K$15:$P$26,MATCH(B$231,Listes!$K$15:$K$26,0),MATCH(H$232,Listes!$K$15:$P$15,0))*INDEX(Listes!$K$29:$O$31,MATCH(C$231,Listes!$K$29:$K$31,0),MATCH(H$232,Listes!$K$29:$O$29,0)))</f>
        <v>0</v>
      </c>
      <c r="I239" s="45">
        <f>IF(OR(B$231=0,B$231=""),0,F239*INDEX(Listes!$K$15:$P$26,MATCH(B$231,Listes!$K$15:$K$26,0),MATCH(I$232,Listes!$K$15:$P$15,0))*INDEX(Listes!$K$29:$O$31,MATCH(C$231,Listes!$K$29:$K$31,0),MATCH(I$232,Listes!$K$29:$O$29,0)))</f>
        <v>0</v>
      </c>
      <c r="K239" s="463"/>
      <c r="L239" s="3">
        <v>7</v>
      </c>
      <c r="M239" s="45">
        <f t="shared" si="107"/>
        <v>0</v>
      </c>
      <c r="N239" s="45">
        <f t="shared" si="108"/>
        <v>0</v>
      </c>
      <c r="O239" s="45">
        <f>IF(OR(N239=0,N239="",L$116=0),0,N239*INDEX(Listes!$K$1:$Q$12,MATCH(L$116,Listes!$K$1:$K$12,0),MATCH(O$117,Listes!$K$1:$Q$1,0)))</f>
        <v>0</v>
      </c>
      <c r="P239" s="45">
        <f t="shared" si="109"/>
        <v>0</v>
      </c>
      <c r="Q239" s="45">
        <f>IF(OR(L$231=0,L$231=""),0,P239*INDEX(Listes!$K$15:$P$26,MATCH(L$231,Listes!$K$15:$K$26,0),MATCH(Q$232,Listes!$K$15:$P$15,0))*INDEX(Listes!$K$29:$O$31,MATCH(M$231,Listes!$K$29:$K$31,0),MATCH(Q$232,Listes!$K$29:$O$29,0)))</f>
        <v>0</v>
      </c>
      <c r="R239" s="45">
        <f>IF(OR(L$231=0,L$231=""),0,P239*INDEX(Listes!$K$15:$P$26,MATCH(L$231,Listes!$K$15:$K$26,0),MATCH(R$232,Listes!$K$15:$P$15,0))*INDEX(Listes!$K$29:$O$31,MATCH(M$231,Listes!$K$29:$K$31,0),MATCH(R$232,Listes!$K$29:$O$29,0)))</f>
        <v>0</v>
      </c>
      <c r="S239" s="45">
        <f>IF(OR(L$231=0,L$231=""),0,P239*INDEX(Listes!$K$15:$P$26,MATCH(L$231,Listes!$K$15:$K$26,0),MATCH(S$232,Listes!$K$15:$P$15,0))*INDEX(Listes!$K$29:$O$31,MATCH(M$231,Listes!$K$29:$K$31,0),MATCH(S$232,Listes!$K$29:$O$29,0)))</f>
        <v>0</v>
      </c>
      <c r="U239" s="463"/>
      <c r="V239" s="3">
        <v>7</v>
      </c>
      <c r="W239" s="45">
        <f t="shared" si="110"/>
        <v>0</v>
      </c>
      <c r="X239" s="45">
        <f t="shared" si="111"/>
        <v>0</v>
      </c>
      <c r="Y239" s="45">
        <f>IF(OR(X239=0,X239="",V$116=0),0,X239*INDEX(Listes!$K$1:$Q$12,MATCH(V$116,Listes!$K$1:$K$12,0),MATCH(Y$117,Listes!$K$1:$Q$1,0)))</f>
        <v>0</v>
      </c>
      <c r="Z239" s="45">
        <f t="shared" si="112"/>
        <v>0</v>
      </c>
      <c r="AA239" s="45">
        <f>IF(OR(V$231=0,V$231=""),0,Z239*INDEX(Listes!$K$15:$P$26,MATCH(V$231,Listes!$K$15:$K$26,0),MATCH(AA$232,Listes!$K$15:$P$15,0))*INDEX(Listes!$K$29:$O$31,MATCH(W$231,Listes!$K$29:$K$31,0),MATCH(AA$232,Listes!$K$29:$O$29,0)))</f>
        <v>0</v>
      </c>
      <c r="AB239" s="45">
        <f>IF(OR(V$231=0,V$231=""),0,Z239*INDEX(Listes!$K$15:$P$26,MATCH(V$231,Listes!$K$15:$K$26,0),MATCH(AB$232,Listes!$K$15:$P$15,0))*INDEX(Listes!$K$29:$O$31,MATCH(W$231,Listes!$K$29:$K$31,0),MATCH(AB$232,Listes!$K$29:$O$29,0)))</f>
        <v>0</v>
      </c>
      <c r="AC239" s="45">
        <f>IF(OR(V$231=0,V$231=""),0,Z239*INDEX(Listes!$K$15:$P$26,MATCH(V$231,Listes!$K$15:$K$26,0),MATCH(AC$232,Listes!$K$15:$P$15,0))*INDEX(Listes!$K$29:$O$31,MATCH(W$231,Listes!$K$29:$K$31,0),MATCH(AC$232,Listes!$K$29:$O$29,0)))</f>
        <v>0</v>
      </c>
      <c r="AE239" s="463"/>
      <c r="AF239" s="3">
        <v>7</v>
      </c>
      <c r="AG239" s="45">
        <f t="shared" si="113"/>
        <v>0</v>
      </c>
      <c r="AH239" s="45">
        <f t="shared" si="114"/>
        <v>0</v>
      </c>
      <c r="AI239" s="45">
        <f>IF(OR(AH239=0,AH239="",AF$116=0),0,AH239*INDEX(Listes!$K$1:$Q$12,MATCH(AF$116,Listes!$K$1:$K$12,0),MATCH(AI$117,Listes!$K$1:$Q$1,0)))</f>
        <v>0</v>
      </c>
      <c r="AJ239" s="45">
        <f t="shared" si="115"/>
        <v>0</v>
      </c>
      <c r="AK239" s="45">
        <f>IF(OR(AF$231=0,AF$231=""),0,AJ239*INDEX(Listes!$K$15:$P$26,MATCH(AF$231,Listes!$K$15:$K$26,0),MATCH(AK$232,Listes!$K$15:$P$15,0))*INDEX(Listes!$K$29:$O$31,MATCH(AG$231,Listes!$K$29:$K$31,0),MATCH(AK$232,Listes!$K$29:$O$29,0)))</f>
        <v>0</v>
      </c>
      <c r="AL239" s="45">
        <f>IF(OR(AF$231=0,AF$231=""),0,AJ239*INDEX(Listes!$K$15:$P$26,MATCH(AF$231,Listes!$K$15:$K$26,0),MATCH(AL$232,Listes!$K$15:$P$15,0))*INDEX(Listes!$K$29:$O$31,MATCH(AG$231,Listes!$K$29:$K$31,0),MATCH(AL$232,Listes!$K$29:$O$29,0)))</f>
        <v>0</v>
      </c>
      <c r="AM239" s="45">
        <f>IF(OR(AF$231=0,AF$231=""),0,AJ239*INDEX(Listes!$K$15:$P$26,MATCH(AF$231,Listes!$K$15:$K$26,0),MATCH(AM$232,Listes!$K$15:$P$15,0))*INDEX(Listes!$K$29:$O$31,MATCH(AG$231,Listes!$K$29:$K$31,0),MATCH(AM$232,Listes!$K$29:$O$29,0)))</f>
        <v>0</v>
      </c>
      <c r="AO239" s="463"/>
      <c r="AP239" s="3">
        <v>7</v>
      </c>
      <c r="AQ239" s="11">
        <f t="shared" si="116"/>
        <v>0</v>
      </c>
      <c r="AR239" s="11">
        <f t="shared" si="116"/>
        <v>0</v>
      </c>
      <c r="AS239" s="11">
        <f t="shared" si="116"/>
        <v>0</v>
      </c>
      <c r="AT239" s="11">
        <f>AQ239*VLOOKUP(AQ$232,Tableau17[],4,FALSE)+AR239*VLOOKUP(AR$232,Tableau17[],4,FALSE)+AS239*VLOOKUP(AS$232,Tableau17[],4,FALSE)</f>
        <v>0</v>
      </c>
      <c r="AU239" s="11">
        <f>AQ239*VLOOKUP(AQ$232,Tableau17[],3,FALSE)+AR239*VLOOKUP(AR$232,Tableau17[],3,FALSE)+AS239*VLOOKUP(AS$232,Tableau17[],3,FALSE)</f>
        <v>0</v>
      </c>
    </row>
    <row r="240" spans="1:52" x14ac:dyDescent="0.2">
      <c r="A240" s="463"/>
      <c r="B240" s="3">
        <v>8</v>
      </c>
      <c r="C240" s="45">
        <f t="shared" si="117"/>
        <v>0</v>
      </c>
      <c r="D240" s="45">
        <f t="shared" si="105"/>
        <v>0</v>
      </c>
      <c r="E240" s="45">
        <f>IF(OR(D240=0,D240="",B$116=0),0,D240*INDEX(Listes!$K$1:$Q$12,MATCH(B$116,Listes!$K$1:$K$12,0),MATCH(E$117,Listes!$K$1:$Q$1,0)))</f>
        <v>0</v>
      </c>
      <c r="F240" s="45">
        <f t="shared" si="106"/>
        <v>0</v>
      </c>
      <c r="G240" s="45">
        <f>IF(OR(B$231=0,B$231=""),0,F240*INDEX(Listes!$K$15:$P$26,MATCH(B$231,Listes!$K$15:$K$26,0),MATCH(G$232,Listes!$K$15:$P$15,0))*INDEX(Listes!$K$29:$O$31,MATCH(C$231,Listes!$K$29:$K$31,0),MATCH(G$232,Listes!$K$29:$O$29,0)))</f>
        <v>0</v>
      </c>
      <c r="H240" s="45">
        <f>IF(OR(B$231=0,B$231=""),0,F240*INDEX(Listes!$K$15:$P$26,MATCH(B$231,Listes!$K$15:$K$26,0),MATCH(H$232,Listes!$K$15:$P$15,0))*INDEX(Listes!$K$29:$O$31,MATCH(C$231,Listes!$K$29:$K$31,0),MATCH(H$232,Listes!$K$29:$O$29,0)))</f>
        <v>0</v>
      </c>
      <c r="I240" s="45">
        <f>IF(OR(B$231=0,B$231=""),0,F240*INDEX(Listes!$K$15:$P$26,MATCH(B$231,Listes!$K$15:$K$26,0),MATCH(I$232,Listes!$K$15:$P$15,0))*INDEX(Listes!$K$29:$O$31,MATCH(C$231,Listes!$K$29:$K$31,0),MATCH(I$232,Listes!$K$29:$O$29,0)))</f>
        <v>0</v>
      </c>
      <c r="K240" s="463"/>
      <c r="L240" s="3">
        <v>8</v>
      </c>
      <c r="M240" s="45">
        <f t="shared" si="107"/>
        <v>0</v>
      </c>
      <c r="N240" s="45">
        <f t="shared" si="108"/>
        <v>0</v>
      </c>
      <c r="O240" s="45">
        <f>IF(OR(N240=0,N240="",L$116=0),0,N240*INDEX(Listes!$K$1:$Q$12,MATCH(L$116,Listes!$K$1:$K$12,0),MATCH(O$117,Listes!$K$1:$Q$1,0)))</f>
        <v>0</v>
      </c>
      <c r="P240" s="45">
        <f t="shared" si="109"/>
        <v>0</v>
      </c>
      <c r="Q240" s="45">
        <f>IF(OR(L$231=0,L$231=""),0,P240*INDEX(Listes!$K$15:$P$26,MATCH(L$231,Listes!$K$15:$K$26,0),MATCH(Q$232,Listes!$K$15:$P$15,0))*INDEX(Listes!$K$29:$O$31,MATCH(M$231,Listes!$K$29:$K$31,0),MATCH(Q$232,Listes!$K$29:$O$29,0)))</f>
        <v>0</v>
      </c>
      <c r="R240" s="45">
        <f>IF(OR(L$231=0,L$231=""),0,P240*INDEX(Listes!$K$15:$P$26,MATCH(L$231,Listes!$K$15:$K$26,0),MATCH(R$232,Listes!$K$15:$P$15,0))*INDEX(Listes!$K$29:$O$31,MATCH(M$231,Listes!$K$29:$K$31,0),MATCH(R$232,Listes!$K$29:$O$29,0)))</f>
        <v>0</v>
      </c>
      <c r="S240" s="45">
        <f>IF(OR(L$231=0,L$231=""),0,P240*INDEX(Listes!$K$15:$P$26,MATCH(L$231,Listes!$K$15:$K$26,0),MATCH(S$232,Listes!$K$15:$P$15,0))*INDEX(Listes!$K$29:$O$31,MATCH(M$231,Listes!$K$29:$K$31,0),MATCH(S$232,Listes!$K$29:$O$29,0)))</f>
        <v>0</v>
      </c>
      <c r="U240" s="463"/>
      <c r="V240" s="3">
        <v>8</v>
      </c>
      <c r="W240" s="45">
        <f t="shared" si="110"/>
        <v>0</v>
      </c>
      <c r="X240" s="45">
        <f t="shared" si="111"/>
        <v>0</v>
      </c>
      <c r="Y240" s="45">
        <f>IF(OR(X240=0,X240="",V$116=0),0,X240*INDEX(Listes!$K$1:$Q$12,MATCH(V$116,Listes!$K$1:$K$12,0),MATCH(Y$117,Listes!$K$1:$Q$1,0)))</f>
        <v>0</v>
      </c>
      <c r="Z240" s="45">
        <f t="shared" si="112"/>
        <v>0</v>
      </c>
      <c r="AA240" s="45">
        <f>IF(OR(V$231=0,V$231=""),0,Z240*INDEX(Listes!$K$15:$P$26,MATCH(V$231,Listes!$K$15:$K$26,0),MATCH(AA$232,Listes!$K$15:$P$15,0))*INDEX(Listes!$K$29:$O$31,MATCH(W$231,Listes!$K$29:$K$31,0),MATCH(AA$232,Listes!$K$29:$O$29,0)))</f>
        <v>0</v>
      </c>
      <c r="AB240" s="45">
        <f>IF(OR(V$231=0,V$231=""),0,Z240*INDEX(Listes!$K$15:$P$26,MATCH(V$231,Listes!$K$15:$K$26,0),MATCH(AB$232,Listes!$K$15:$P$15,0))*INDEX(Listes!$K$29:$O$31,MATCH(W$231,Listes!$K$29:$K$31,0),MATCH(AB$232,Listes!$K$29:$O$29,0)))</f>
        <v>0</v>
      </c>
      <c r="AC240" s="45">
        <f>IF(OR(V$231=0,V$231=""),0,Z240*INDEX(Listes!$K$15:$P$26,MATCH(V$231,Listes!$K$15:$K$26,0),MATCH(AC$232,Listes!$K$15:$P$15,0))*INDEX(Listes!$K$29:$O$31,MATCH(W$231,Listes!$K$29:$K$31,0),MATCH(AC$232,Listes!$K$29:$O$29,0)))</f>
        <v>0</v>
      </c>
      <c r="AE240" s="463"/>
      <c r="AF240" s="3">
        <v>8</v>
      </c>
      <c r="AG240" s="45">
        <f t="shared" si="113"/>
        <v>0</v>
      </c>
      <c r="AH240" s="45">
        <f t="shared" si="114"/>
        <v>0</v>
      </c>
      <c r="AI240" s="45">
        <f>IF(OR(AH240=0,AH240="",AF$116=0),0,AH240*INDEX(Listes!$K$1:$Q$12,MATCH(AF$116,Listes!$K$1:$K$12,0),MATCH(AI$117,Listes!$K$1:$Q$1,0)))</f>
        <v>0</v>
      </c>
      <c r="AJ240" s="45">
        <f t="shared" si="115"/>
        <v>0</v>
      </c>
      <c r="AK240" s="45">
        <f>IF(OR(AF$231=0,AF$231=""),0,AJ240*INDEX(Listes!$K$15:$P$26,MATCH(AF$231,Listes!$K$15:$K$26,0),MATCH(AK$232,Listes!$K$15:$P$15,0))*INDEX(Listes!$K$29:$O$31,MATCH(AG$231,Listes!$K$29:$K$31,0),MATCH(AK$232,Listes!$K$29:$O$29,0)))</f>
        <v>0</v>
      </c>
      <c r="AL240" s="45">
        <f>IF(OR(AF$231=0,AF$231=""),0,AJ240*INDEX(Listes!$K$15:$P$26,MATCH(AF$231,Listes!$K$15:$K$26,0),MATCH(AL$232,Listes!$K$15:$P$15,0))*INDEX(Listes!$K$29:$O$31,MATCH(AG$231,Listes!$K$29:$K$31,0),MATCH(AL$232,Listes!$K$29:$O$29,0)))</f>
        <v>0</v>
      </c>
      <c r="AM240" s="45">
        <f>IF(OR(AF$231=0,AF$231=""),0,AJ240*INDEX(Listes!$K$15:$P$26,MATCH(AF$231,Listes!$K$15:$K$26,0),MATCH(AM$232,Listes!$K$15:$P$15,0))*INDEX(Listes!$K$29:$O$31,MATCH(AG$231,Listes!$K$29:$K$31,0),MATCH(AM$232,Listes!$K$29:$O$29,0)))</f>
        <v>0</v>
      </c>
      <c r="AO240" s="463"/>
      <c r="AP240" s="3">
        <v>8</v>
      </c>
      <c r="AQ240" s="11">
        <f t="shared" si="116"/>
        <v>0</v>
      </c>
      <c r="AR240" s="11">
        <f t="shared" si="116"/>
        <v>0</v>
      </c>
      <c r="AS240" s="11">
        <f t="shared" si="116"/>
        <v>0</v>
      </c>
      <c r="AT240" s="11">
        <f>AQ240*VLOOKUP(AQ$232,Tableau17[],4,FALSE)+AR240*VLOOKUP(AR$232,Tableau17[],4,FALSE)+AS240*VLOOKUP(AS$232,Tableau17[],4,FALSE)</f>
        <v>0</v>
      </c>
      <c r="AU240" s="11">
        <f>AQ240*VLOOKUP(AQ$232,Tableau17[],3,FALSE)+AR240*VLOOKUP(AR$232,Tableau17[],3,FALSE)+AS240*VLOOKUP(AS$232,Tableau17[],3,FALSE)</f>
        <v>0</v>
      </c>
    </row>
    <row r="241" spans="1:52" x14ac:dyDescent="0.2">
      <c r="A241" s="463"/>
      <c r="B241" s="3">
        <v>9</v>
      </c>
      <c r="C241" s="45">
        <f t="shared" si="117"/>
        <v>0</v>
      </c>
      <c r="D241" s="45">
        <f t="shared" si="105"/>
        <v>0</v>
      </c>
      <c r="E241" s="45">
        <f>IF(OR(D241=0,D241="",B$116=0),0,D241*INDEX(Listes!$K$1:$Q$12,MATCH(B$116,Listes!$K$1:$K$12,0),MATCH(E$117,Listes!$K$1:$Q$1,0)))</f>
        <v>0</v>
      </c>
      <c r="F241" s="45">
        <f t="shared" si="106"/>
        <v>0</v>
      </c>
      <c r="G241" s="45">
        <f>IF(OR(B$231=0,B$231=""),0,F241*INDEX(Listes!$K$15:$P$26,MATCH(B$231,Listes!$K$15:$K$26,0),MATCH(G$232,Listes!$K$15:$P$15,0))*INDEX(Listes!$K$29:$O$31,MATCH(C$231,Listes!$K$29:$K$31,0),MATCH(G$232,Listes!$K$29:$O$29,0)))</f>
        <v>0</v>
      </c>
      <c r="H241" s="45">
        <f>IF(OR(B$231=0,B$231=""),0,F241*INDEX(Listes!$K$15:$P$26,MATCH(B$231,Listes!$K$15:$K$26,0),MATCH(H$232,Listes!$K$15:$P$15,0))*INDEX(Listes!$K$29:$O$31,MATCH(C$231,Listes!$K$29:$K$31,0),MATCH(H$232,Listes!$K$29:$O$29,0)))</f>
        <v>0</v>
      </c>
      <c r="I241" s="45">
        <f>IF(OR(B$231=0,B$231=""),0,F241*INDEX(Listes!$K$15:$P$26,MATCH(B$231,Listes!$K$15:$K$26,0),MATCH(I$232,Listes!$K$15:$P$15,0))*INDEX(Listes!$K$29:$O$31,MATCH(C$231,Listes!$K$29:$K$31,0),MATCH(I$232,Listes!$K$29:$O$29,0)))</f>
        <v>0</v>
      </c>
      <c r="K241" s="463"/>
      <c r="L241" s="3">
        <v>9</v>
      </c>
      <c r="M241" s="45">
        <f t="shared" si="107"/>
        <v>0</v>
      </c>
      <c r="N241" s="45">
        <f t="shared" si="108"/>
        <v>0</v>
      </c>
      <c r="O241" s="45">
        <f>IF(OR(N241=0,N241="",L$116=0),0,N241*INDEX(Listes!$K$1:$Q$12,MATCH(L$116,Listes!$K$1:$K$12,0),MATCH(O$117,Listes!$K$1:$Q$1,0)))</f>
        <v>0</v>
      </c>
      <c r="P241" s="45">
        <f t="shared" si="109"/>
        <v>0</v>
      </c>
      <c r="Q241" s="45">
        <f>IF(OR(L$231=0,L$231=""),0,P241*INDEX(Listes!$K$15:$P$26,MATCH(L$231,Listes!$K$15:$K$26,0),MATCH(Q$232,Listes!$K$15:$P$15,0))*INDEX(Listes!$K$29:$O$31,MATCH(M$231,Listes!$K$29:$K$31,0),MATCH(Q$232,Listes!$K$29:$O$29,0)))</f>
        <v>0</v>
      </c>
      <c r="R241" s="45">
        <f>IF(OR(L$231=0,L$231=""),0,P241*INDEX(Listes!$K$15:$P$26,MATCH(L$231,Listes!$K$15:$K$26,0),MATCH(R$232,Listes!$K$15:$P$15,0))*INDEX(Listes!$K$29:$O$31,MATCH(M$231,Listes!$K$29:$K$31,0),MATCH(R$232,Listes!$K$29:$O$29,0)))</f>
        <v>0</v>
      </c>
      <c r="S241" s="45">
        <f>IF(OR(L$231=0,L$231=""),0,P241*INDEX(Listes!$K$15:$P$26,MATCH(L$231,Listes!$K$15:$K$26,0),MATCH(S$232,Listes!$K$15:$P$15,0))*INDEX(Listes!$K$29:$O$31,MATCH(M$231,Listes!$K$29:$K$31,0),MATCH(S$232,Listes!$K$29:$O$29,0)))</f>
        <v>0</v>
      </c>
      <c r="U241" s="463"/>
      <c r="V241" s="3">
        <v>9</v>
      </c>
      <c r="W241" s="45">
        <f t="shared" si="110"/>
        <v>0</v>
      </c>
      <c r="X241" s="45">
        <f t="shared" si="111"/>
        <v>0</v>
      </c>
      <c r="Y241" s="45">
        <f>IF(OR(X241=0,X241="",V$116=0),0,X241*INDEX(Listes!$K$1:$Q$12,MATCH(V$116,Listes!$K$1:$K$12,0),MATCH(Y$117,Listes!$K$1:$Q$1,0)))</f>
        <v>0</v>
      </c>
      <c r="Z241" s="45">
        <f t="shared" si="112"/>
        <v>0</v>
      </c>
      <c r="AA241" s="45">
        <f>IF(OR(V$231=0,V$231=""),0,Z241*INDEX(Listes!$K$15:$P$26,MATCH(V$231,Listes!$K$15:$K$26,0),MATCH(AA$232,Listes!$K$15:$P$15,0))*INDEX(Listes!$K$29:$O$31,MATCH(W$231,Listes!$K$29:$K$31,0),MATCH(AA$232,Listes!$K$29:$O$29,0)))</f>
        <v>0</v>
      </c>
      <c r="AB241" s="45">
        <f>IF(OR(V$231=0,V$231=""),0,Z241*INDEX(Listes!$K$15:$P$26,MATCH(V$231,Listes!$K$15:$K$26,0),MATCH(AB$232,Listes!$K$15:$P$15,0))*INDEX(Listes!$K$29:$O$31,MATCH(W$231,Listes!$K$29:$K$31,0),MATCH(AB$232,Listes!$K$29:$O$29,0)))</f>
        <v>0</v>
      </c>
      <c r="AC241" s="45">
        <f>IF(OR(V$231=0,V$231=""),0,Z241*INDEX(Listes!$K$15:$P$26,MATCH(V$231,Listes!$K$15:$K$26,0),MATCH(AC$232,Listes!$K$15:$P$15,0))*INDEX(Listes!$K$29:$O$31,MATCH(W$231,Listes!$K$29:$K$31,0),MATCH(AC$232,Listes!$K$29:$O$29,0)))</f>
        <v>0</v>
      </c>
      <c r="AE241" s="463"/>
      <c r="AF241" s="3">
        <v>9</v>
      </c>
      <c r="AG241" s="45">
        <f t="shared" si="113"/>
        <v>0</v>
      </c>
      <c r="AH241" s="45">
        <f t="shared" si="114"/>
        <v>0</v>
      </c>
      <c r="AI241" s="45">
        <f>IF(OR(AH241=0,AH241="",AF$116=0),0,AH241*INDEX(Listes!$K$1:$Q$12,MATCH(AF$116,Listes!$K$1:$K$12,0),MATCH(AI$117,Listes!$K$1:$Q$1,0)))</f>
        <v>0</v>
      </c>
      <c r="AJ241" s="45">
        <f t="shared" si="115"/>
        <v>0</v>
      </c>
      <c r="AK241" s="45">
        <f>IF(OR(AF$231=0,AF$231=""),0,AJ241*INDEX(Listes!$K$15:$P$26,MATCH(AF$231,Listes!$K$15:$K$26,0),MATCH(AK$232,Listes!$K$15:$P$15,0))*INDEX(Listes!$K$29:$O$31,MATCH(AG$231,Listes!$K$29:$K$31,0),MATCH(AK$232,Listes!$K$29:$O$29,0)))</f>
        <v>0</v>
      </c>
      <c r="AL241" s="45">
        <f>IF(OR(AF$231=0,AF$231=""),0,AJ241*INDEX(Listes!$K$15:$P$26,MATCH(AF$231,Listes!$K$15:$K$26,0),MATCH(AL$232,Listes!$K$15:$P$15,0))*INDEX(Listes!$K$29:$O$31,MATCH(AG$231,Listes!$K$29:$K$31,0),MATCH(AL$232,Listes!$K$29:$O$29,0)))</f>
        <v>0</v>
      </c>
      <c r="AM241" s="45">
        <f>IF(OR(AF$231=0,AF$231=""),0,AJ241*INDEX(Listes!$K$15:$P$26,MATCH(AF$231,Listes!$K$15:$K$26,0),MATCH(AM$232,Listes!$K$15:$P$15,0))*INDEX(Listes!$K$29:$O$31,MATCH(AG$231,Listes!$K$29:$K$31,0),MATCH(AM$232,Listes!$K$29:$O$29,0)))</f>
        <v>0</v>
      </c>
      <c r="AO241" s="463"/>
      <c r="AP241" s="3">
        <v>9</v>
      </c>
      <c r="AQ241" s="11">
        <f t="shared" si="116"/>
        <v>0</v>
      </c>
      <c r="AR241" s="11">
        <f t="shared" si="116"/>
        <v>0</v>
      </c>
      <c r="AS241" s="11">
        <f t="shared" si="116"/>
        <v>0</v>
      </c>
      <c r="AT241" s="11">
        <f>AQ241*VLOOKUP(AQ$232,Tableau17[],4,FALSE)+AR241*VLOOKUP(AR$232,Tableau17[],4,FALSE)+AS241*VLOOKUP(AS$232,Tableau17[],4,FALSE)</f>
        <v>0</v>
      </c>
      <c r="AU241" s="11">
        <f>AQ241*VLOOKUP(AQ$232,Tableau17[],3,FALSE)+AR241*VLOOKUP(AR$232,Tableau17[],3,FALSE)+AS241*VLOOKUP(AS$232,Tableau17[],3,FALSE)</f>
        <v>0</v>
      </c>
    </row>
    <row r="242" spans="1:52" x14ac:dyDescent="0.2">
      <c r="A242" s="463"/>
      <c r="B242" s="3">
        <v>10</v>
      </c>
      <c r="C242" s="45">
        <f t="shared" si="117"/>
        <v>0</v>
      </c>
      <c r="D242" s="45">
        <f t="shared" si="105"/>
        <v>0</v>
      </c>
      <c r="E242" s="45">
        <f>IF(OR(D242=0,D242="",B$116=0),0,D242*INDEX(Listes!$K$1:$Q$12,MATCH(B$116,Listes!$K$1:$K$12,0),MATCH(E$117,Listes!$K$1:$Q$1,0)))</f>
        <v>0</v>
      </c>
      <c r="F242" s="45">
        <f t="shared" si="106"/>
        <v>0</v>
      </c>
      <c r="G242" s="45">
        <f>IF(OR(B$231=0,B$231=""),0,F242*INDEX(Listes!$K$15:$P$26,MATCH(B$231,Listes!$K$15:$K$26,0),MATCH(G$232,Listes!$K$15:$P$15,0))*INDEX(Listes!$K$29:$O$31,MATCH(C$231,Listes!$K$29:$K$31,0),MATCH(G$232,Listes!$K$29:$O$29,0)))</f>
        <v>0</v>
      </c>
      <c r="H242" s="45">
        <f>IF(OR(B$231=0,B$231=""),0,F242*INDEX(Listes!$K$15:$P$26,MATCH(B$231,Listes!$K$15:$K$26,0),MATCH(H$232,Listes!$K$15:$P$15,0))*INDEX(Listes!$K$29:$O$31,MATCH(C$231,Listes!$K$29:$K$31,0),MATCH(H$232,Listes!$K$29:$O$29,0)))</f>
        <v>0</v>
      </c>
      <c r="I242" s="45">
        <f>IF(OR(B$231=0,B$231=""),0,F242*INDEX(Listes!$K$15:$P$26,MATCH(B$231,Listes!$K$15:$K$26,0),MATCH(I$232,Listes!$K$15:$P$15,0))*INDEX(Listes!$K$29:$O$31,MATCH(C$231,Listes!$K$29:$K$31,0),MATCH(I$232,Listes!$K$29:$O$29,0)))</f>
        <v>0</v>
      </c>
      <c r="K242" s="463"/>
      <c r="L242" s="3">
        <v>10</v>
      </c>
      <c r="M242" s="45">
        <f t="shared" si="107"/>
        <v>0</v>
      </c>
      <c r="N242" s="45">
        <f t="shared" si="108"/>
        <v>0</v>
      </c>
      <c r="O242" s="45">
        <f>IF(OR(N242=0,N242="",L$116=0),0,N242*INDEX(Listes!$K$1:$Q$12,MATCH(L$116,Listes!$K$1:$K$12,0),MATCH(O$117,Listes!$K$1:$Q$1,0)))</f>
        <v>0</v>
      </c>
      <c r="P242" s="45">
        <f t="shared" si="109"/>
        <v>0</v>
      </c>
      <c r="Q242" s="45">
        <f>IF(OR(L$231=0,L$231=""),0,P242*INDEX(Listes!$K$15:$P$26,MATCH(L$231,Listes!$K$15:$K$26,0),MATCH(Q$232,Listes!$K$15:$P$15,0))*INDEX(Listes!$K$29:$O$31,MATCH(M$231,Listes!$K$29:$K$31,0),MATCH(Q$232,Listes!$K$29:$O$29,0)))</f>
        <v>0</v>
      </c>
      <c r="R242" s="45">
        <f>IF(OR(L$231=0,L$231=""),0,P242*INDEX(Listes!$K$15:$P$26,MATCH(L$231,Listes!$K$15:$K$26,0),MATCH(R$232,Listes!$K$15:$P$15,0))*INDEX(Listes!$K$29:$O$31,MATCH(M$231,Listes!$K$29:$K$31,0),MATCH(R$232,Listes!$K$29:$O$29,0)))</f>
        <v>0</v>
      </c>
      <c r="S242" s="45">
        <f>IF(OR(L$231=0,L$231=""),0,P242*INDEX(Listes!$K$15:$P$26,MATCH(L$231,Listes!$K$15:$K$26,0),MATCH(S$232,Listes!$K$15:$P$15,0))*INDEX(Listes!$K$29:$O$31,MATCH(M$231,Listes!$K$29:$K$31,0),MATCH(S$232,Listes!$K$29:$O$29,0)))</f>
        <v>0</v>
      </c>
      <c r="U242" s="463"/>
      <c r="V242" s="3">
        <v>10</v>
      </c>
      <c r="W242" s="45">
        <f t="shared" si="110"/>
        <v>0</v>
      </c>
      <c r="X242" s="45">
        <f t="shared" si="111"/>
        <v>0</v>
      </c>
      <c r="Y242" s="45">
        <f>IF(OR(X242=0,X242="",V$116=0),0,X242*INDEX(Listes!$K$1:$Q$12,MATCH(V$116,Listes!$K$1:$K$12,0),MATCH(Y$117,Listes!$K$1:$Q$1,0)))</f>
        <v>0</v>
      </c>
      <c r="Z242" s="45">
        <f t="shared" si="112"/>
        <v>0</v>
      </c>
      <c r="AA242" s="45">
        <f>IF(OR(V$231=0,V$231=""),0,Z242*INDEX(Listes!$K$15:$P$26,MATCH(V$231,Listes!$K$15:$K$26,0),MATCH(AA$232,Listes!$K$15:$P$15,0))*INDEX(Listes!$K$29:$O$31,MATCH(W$231,Listes!$K$29:$K$31,0),MATCH(AA$232,Listes!$K$29:$O$29,0)))</f>
        <v>0</v>
      </c>
      <c r="AB242" s="45">
        <f>IF(OR(V$231=0,V$231=""),0,Z242*INDEX(Listes!$K$15:$P$26,MATCH(V$231,Listes!$K$15:$K$26,0),MATCH(AB$232,Listes!$K$15:$P$15,0))*INDEX(Listes!$K$29:$O$31,MATCH(W$231,Listes!$K$29:$K$31,0),MATCH(AB$232,Listes!$K$29:$O$29,0)))</f>
        <v>0</v>
      </c>
      <c r="AC242" s="45">
        <f>IF(OR(V$231=0,V$231=""),0,Z242*INDEX(Listes!$K$15:$P$26,MATCH(V$231,Listes!$K$15:$K$26,0),MATCH(AC$232,Listes!$K$15:$P$15,0))*INDEX(Listes!$K$29:$O$31,MATCH(W$231,Listes!$K$29:$K$31,0),MATCH(AC$232,Listes!$K$29:$O$29,0)))</f>
        <v>0</v>
      </c>
      <c r="AE242" s="463"/>
      <c r="AF242" s="3">
        <v>10</v>
      </c>
      <c r="AG242" s="45">
        <f t="shared" si="113"/>
        <v>0</v>
      </c>
      <c r="AH242" s="45">
        <f t="shared" si="114"/>
        <v>0</v>
      </c>
      <c r="AI242" s="45">
        <f>IF(OR(AH242=0,AH242="",AF$116=0),0,AH242*INDEX(Listes!$K$1:$Q$12,MATCH(AF$116,Listes!$K$1:$K$12,0),MATCH(AI$117,Listes!$K$1:$Q$1,0)))</f>
        <v>0</v>
      </c>
      <c r="AJ242" s="45">
        <f t="shared" si="115"/>
        <v>0</v>
      </c>
      <c r="AK242" s="45">
        <f>IF(OR(AF$231=0,AF$231=""),0,AJ242*INDEX(Listes!$K$15:$P$26,MATCH(AF$231,Listes!$K$15:$K$26,0),MATCH(AK$232,Listes!$K$15:$P$15,0))*INDEX(Listes!$K$29:$O$31,MATCH(AG$231,Listes!$K$29:$K$31,0),MATCH(AK$232,Listes!$K$29:$O$29,0)))</f>
        <v>0</v>
      </c>
      <c r="AL242" s="45">
        <f>IF(OR(AF$231=0,AF$231=""),0,AJ242*INDEX(Listes!$K$15:$P$26,MATCH(AF$231,Listes!$K$15:$K$26,0),MATCH(AL$232,Listes!$K$15:$P$15,0))*INDEX(Listes!$K$29:$O$31,MATCH(AG$231,Listes!$K$29:$K$31,0),MATCH(AL$232,Listes!$K$29:$O$29,0)))</f>
        <v>0</v>
      </c>
      <c r="AM242" s="45">
        <f>IF(OR(AF$231=0,AF$231=""),0,AJ242*INDEX(Listes!$K$15:$P$26,MATCH(AF$231,Listes!$K$15:$K$26,0),MATCH(AM$232,Listes!$K$15:$P$15,0))*INDEX(Listes!$K$29:$O$31,MATCH(AG$231,Listes!$K$29:$K$31,0),MATCH(AM$232,Listes!$K$29:$O$29,0)))</f>
        <v>0</v>
      </c>
      <c r="AO242" s="463"/>
      <c r="AP242" s="3">
        <v>10</v>
      </c>
      <c r="AQ242" s="11">
        <f t="shared" si="116"/>
        <v>0</v>
      </c>
      <c r="AR242" s="11">
        <f t="shared" si="116"/>
        <v>0</v>
      </c>
      <c r="AS242" s="11">
        <f t="shared" si="116"/>
        <v>0</v>
      </c>
      <c r="AT242" s="11">
        <f>AQ242*VLOOKUP(AQ$232,Tableau17[],4,FALSE)+AR242*VLOOKUP(AR$232,Tableau17[],4,FALSE)+AS242*VLOOKUP(AS$232,Tableau17[],4,FALSE)</f>
        <v>0</v>
      </c>
      <c r="AU242" s="11">
        <f>AQ242*VLOOKUP(AQ$232,Tableau17[],3,FALSE)+AR242*VLOOKUP(AR$232,Tableau17[],3,FALSE)+AS242*VLOOKUP(AS$232,Tableau17[],3,FALSE)</f>
        <v>0</v>
      </c>
    </row>
    <row r="243" spans="1:52" x14ac:dyDescent="0.2">
      <c r="A243" s="463"/>
      <c r="B243" s="3">
        <v>11</v>
      </c>
      <c r="C243" s="45">
        <f t="shared" si="117"/>
        <v>0</v>
      </c>
      <c r="D243" s="45">
        <f t="shared" si="105"/>
        <v>0</v>
      </c>
      <c r="E243" s="45">
        <f>IF(OR(D243=0,D243="",B$116=0),0,D243*INDEX(Listes!$K$1:$Q$12,MATCH(B$116,Listes!$K$1:$K$12,0),MATCH(E$117,Listes!$K$1:$Q$1,0)))</f>
        <v>0</v>
      </c>
      <c r="F243" s="45">
        <f t="shared" si="106"/>
        <v>0</v>
      </c>
      <c r="G243" s="45">
        <f>IF(OR(B$231=0,B$231=""),0,F243*INDEX(Listes!$K$15:$P$26,MATCH(B$231,Listes!$K$15:$K$26,0),MATCH(G$232,Listes!$K$15:$P$15,0))*INDEX(Listes!$K$29:$O$31,MATCH(C$231,Listes!$K$29:$K$31,0),MATCH(G$232,Listes!$K$29:$O$29,0)))</f>
        <v>0</v>
      </c>
      <c r="H243" s="45">
        <f>IF(OR(B$231=0,B$231=""),0,F243*INDEX(Listes!$K$15:$P$26,MATCH(B$231,Listes!$K$15:$K$26,0),MATCH(H$232,Listes!$K$15:$P$15,0))*INDEX(Listes!$K$29:$O$31,MATCH(C$231,Listes!$K$29:$K$31,0),MATCH(H$232,Listes!$K$29:$O$29,0)))</f>
        <v>0</v>
      </c>
      <c r="I243" s="45">
        <f>IF(OR(B$231=0,B$231=""),0,F243*INDEX(Listes!$K$15:$P$26,MATCH(B$231,Listes!$K$15:$K$26,0),MATCH(I$232,Listes!$K$15:$P$15,0))*INDEX(Listes!$K$29:$O$31,MATCH(C$231,Listes!$K$29:$K$31,0),MATCH(I$232,Listes!$K$29:$O$29,0)))</f>
        <v>0</v>
      </c>
      <c r="K243" s="463"/>
      <c r="L243" s="3">
        <v>11</v>
      </c>
      <c r="M243" s="45">
        <f t="shared" si="107"/>
        <v>0</v>
      </c>
      <c r="N243" s="45">
        <f t="shared" si="108"/>
        <v>0</v>
      </c>
      <c r="O243" s="45">
        <f>IF(OR(N243=0,N243="",L$116=0),0,N243*INDEX(Listes!$K$1:$Q$12,MATCH(L$116,Listes!$K$1:$K$12,0),MATCH(O$117,Listes!$K$1:$Q$1,0)))</f>
        <v>0</v>
      </c>
      <c r="P243" s="45">
        <f t="shared" si="109"/>
        <v>0</v>
      </c>
      <c r="Q243" s="45">
        <f>IF(OR(L$231=0,L$231=""),0,P243*INDEX(Listes!$K$15:$P$26,MATCH(L$231,Listes!$K$15:$K$26,0),MATCH(Q$232,Listes!$K$15:$P$15,0))*INDEX(Listes!$K$29:$O$31,MATCH(M$231,Listes!$K$29:$K$31,0),MATCH(Q$232,Listes!$K$29:$O$29,0)))</f>
        <v>0</v>
      </c>
      <c r="R243" s="45">
        <f>IF(OR(L$231=0,L$231=""),0,P243*INDEX(Listes!$K$15:$P$26,MATCH(L$231,Listes!$K$15:$K$26,0),MATCH(R$232,Listes!$K$15:$P$15,0))*INDEX(Listes!$K$29:$O$31,MATCH(M$231,Listes!$K$29:$K$31,0),MATCH(R$232,Listes!$K$29:$O$29,0)))</f>
        <v>0</v>
      </c>
      <c r="S243" s="45">
        <f>IF(OR(L$231=0,L$231=""),0,P243*INDEX(Listes!$K$15:$P$26,MATCH(L$231,Listes!$K$15:$K$26,0),MATCH(S$232,Listes!$K$15:$P$15,0))*INDEX(Listes!$K$29:$O$31,MATCH(M$231,Listes!$K$29:$K$31,0),MATCH(S$232,Listes!$K$29:$O$29,0)))</f>
        <v>0</v>
      </c>
      <c r="U243" s="463"/>
      <c r="V243" s="3">
        <v>11</v>
      </c>
      <c r="W243" s="45">
        <f t="shared" si="110"/>
        <v>0</v>
      </c>
      <c r="X243" s="45">
        <f t="shared" si="111"/>
        <v>0</v>
      </c>
      <c r="Y243" s="45">
        <f>IF(OR(X243=0,X243="",V$116=0),0,X243*INDEX(Listes!$K$1:$Q$12,MATCH(V$116,Listes!$K$1:$K$12,0),MATCH(Y$117,Listes!$K$1:$Q$1,0)))</f>
        <v>0</v>
      </c>
      <c r="Z243" s="45">
        <f t="shared" si="112"/>
        <v>0</v>
      </c>
      <c r="AA243" s="45">
        <f>IF(OR(V$231=0,V$231=""),0,Z243*INDEX(Listes!$K$15:$P$26,MATCH(V$231,Listes!$K$15:$K$26,0),MATCH(AA$232,Listes!$K$15:$P$15,0))*INDEX(Listes!$K$29:$O$31,MATCH(W$231,Listes!$K$29:$K$31,0),MATCH(AA$232,Listes!$K$29:$O$29,0)))</f>
        <v>0</v>
      </c>
      <c r="AB243" s="45">
        <f>IF(OR(V$231=0,V$231=""),0,Z243*INDEX(Listes!$K$15:$P$26,MATCH(V$231,Listes!$K$15:$K$26,0),MATCH(AB$232,Listes!$K$15:$P$15,0))*INDEX(Listes!$K$29:$O$31,MATCH(W$231,Listes!$K$29:$K$31,0),MATCH(AB$232,Listes!$K$29:$O$29,0)))</f>
        <v>0</v>
      </c>
      <c r="AC243" s="45">
        <f>IF(OR(V$231=0,V$231=""),0,Z243*INDEX(Listes!$K$15:$P$26,MATCH(V$231,Listes!$K$15:$K$26,0),MATCH(AC$232,Listes!$K$15:$P$15,0))*INDEX(Listes!$K$29:$O$31,MATCH(W$231,Listes!$K$29:$K$31,0),MATCH(AC$232,Listes!$K$29:$O$29,0)))</f>
        <v>0</v>
      </c>
      <c r="AE243" s="463"/>
      <c r="AF243" s="3">
        <v>11</v>
      </c>
      <c r="AG243" s="45">
        <f t="shared" si="113"/>
        <v>0</v>
      </c>
      <c r="AH243" s="45">
        <f t="shared" si="114"/>
        <v>0</v>
      </c>
      <c r="AI243" s="45">
        <f>IF(OR(AH243=0,AH243="",AF$116=0),0,AH243*INDEX(Listes!$K$1:$Q$12,MATCH(AF$116,Listes!$K$1:$K$12,0),MATCH(AI$117,Listes!$K$1:$Q$1,0)))</f>
        <v>0</v>
      </c>
      <c r="AJ243" s="45">
        <f t="shared" si="115"/>
        <v>0</v>
      </c>
      <c r="AK243" s="45">
        <f>IF(OR(AF$231=0,AF$231=""),0,AJ243*INDEX(Listes!$K$15:$P$26,MATCH(AF$231,Listes!$K$15:$K$26,0),MATCH(AK$232,Listes!$K$15:$P$15,0))*INDEX(Listes!$K$29:$O$31,MATCH(AG$231,Listes!$K$29:$K$31,0),MATCH(AK$232,Listes!$K$29:$O$29,0)))</f>
        <v>0</v>
      </c>
      <c r="AL243" s="45">
        <f>IF(OR(AF$231=0,AF$231=""),0,AJ243*INDEX(Listes!$K$15:$P$26,MATCH(AF$231,Listes!$K$15:$K$26,0),MATCH(AL$232,Listes!$K$15:$P$15,0))*INDEX(Listes!$K$29:$O$31,MATCH(AG$231,Listes!$K$29:$K$31,0),MATCH(AL$232,Listes!$K$29:$O$29,0)))</f>
        <v>0</v>
      </c>
      <c r="AM243" s="45">
        <f>IF(OR(AF$231=0,AF$231=""),0,AJ243*INDEX(Listes!$K$15:$P$26,MATCH(AF$231,Listes!$K$15:$K$26,0),MATCH(AM$232,Listes!$K$15:$P$15,0))*INDEX(Listes!$K$29:$O$31,MATCH(AG$231,Listes!$K$29:$K$31,0),MATCH(AM$232,Listes!$K$29:$O$29,0)))</f>
        <v>0</v>
      </c>
      <c r="AO243" s="463"/>
      <c r="AP243" s="3">
        <v>11</v>
      </c>
      <c r="AQ243" s="11">
        <f t="shared" si="116"/>
        <v>0</v>
      </c>
      <c r="AR243" s="11">
        <f t="shared" si="116"/>
        <v>0</v>
      </c>
      <c r="AS243" s="11">
        <f t="shared" si="116"/>
        <v>0</v>
      </c>
      <c r="AT243" s="11">
        <f>AQ243*VLOOKUP(AQ$232,Tableau17[],4,FALSE)+AR243*VLOOKUP(AR$232,Tableau17[],4,FALSE)+AS243*VLOOKUP(AS$232,Tableau17[],4,FALSE)</f>
        <v>0</v>
      </c>
      <c r="AU243" s="11">
        <f>AQ243*VLOOKUP(AQ$232,Tableau17[],3,FALSE)+AR243*VLOOKUP(AR$232,Tableau17[],3,FALSE)+AS243*VLOOKUP(AS$232,Tableau17[],3,FALSE)</f>
        <v>0</v>
      </c>
    </row>
    <row r="244" spans="1:52" x14ac:dyDescent="0.2">
      <c r="A244" s="463"/>
      <c r="B244" s="3">
        <v>12</v>
      </c>
      <c r="C244" s="45">
        <f t="shared" si="117"/>
        <v>0</v>
      </c>
      <c r="D244" s="45">
        <f t="shared" si="105"/>
        <v>0</v>
      </c>
      <c r="E244" s="45">
        <f>IF(OR(D244=0,D244="",B$116=0),0,D244*INDEX(Listes!$K$1:$Q$12,MATCH(B$116,Listes!$K$1:$K$12,0),MATCH(E$117,Listes!$K$1:$Q$1,0)))</f>
        <v>0</v>
      </c>
      <c r="F244" s="45">
        <f t="shared" si="106"/>
        <v>0</v>
      </c>
      <c r="G244" s="45">
        <f>IF(OR(B$231=0,B$231=""),0,F244*INDEX(Listes!$K$15:$P$26,MATCH(B$231,Listes!$K$15:$K$26,0),MATCH(G$232,Listes!$K$15:$P$15,0))*INDEX(Listes!$K$29:$O$31,MATCH(C$231,Listes!$K$29:$K$31,0),MATCH(G$232,Listes!$K$29:$O$29,0)))</f>
        <v>0</v>
      </c>
      <c r="H244" s="45">
        <f>IF(OR(B$231=0,B$231=""),0,F244*INDEX(Listes!$K$15:$P$26,MATCH(B$231,Listes!$K$15:$K$26,0),MATCH(H$232,Listes!$K$15:$P$15,0))*INDEX(Listes!$K$29:$O$31,MATCH(C$231,Listes!$K$29:$K$31,0),MATCH(H$232,Listes!$K$29:$O$29,0)))</f>
        <v>0</v>
      </c>
      <c r="I244" s="45">
        <f>IF(OR(B$231=0,B$231=""),0,F244*INDEX(Listes!$K$15:$P$26,MATCH(B$231,Listes!$K$15:$K$26,0),MATCH(I$232,Listes!$K$15:$P$15,0))*INDEX(Listes!$K$29:$O$31,MATCH(C$231,Listes!$K$29:$K$31,0),MATCH(I$232,Listes!$K$29:$O$29,0)))</f>
        <v>0</v>
      </c>
      <c r="K244" s="463"/>
      <c r="L244" s="3">
        <v>12</v>
      </c>
      <c r="M244" s="45">
        <f t="shared" si="107"/>
        <v>0</v>
      </c>
      <c r="N244" s="45">
        <f t="shared" si="108"/>
        <v>0</v>
      </c>
      <c r="O244" s="45">
        <f>IF(OR(N244=0,N244="",L$116=0),0,N244*INDEX(Listes!$K$1:$Q$12,MATCH(L$116,Listes!$K$1:$K$12,0),MATCH(O$117,Listes!$K$1:$Q$1,0)))</f>
        <v>0</v>
      </c>
      <c r="P244" s="45">
        <f t="shared" si="109"/>
        <v>0</v>
      </c>
      <c r="Q244" s="45">
        <f>IF(OR(L$231=0,L$231=""),0,P244*INDEX(Listes!$K$15:$P$26,MATCH(L$231,Listes!$K$15:$K$26,0),MATCH(Q$232,Listes!$K$15:$P$15,0))*INDEX(Listes!$K$29:$O$31,MATCH(M$231,Listes!$K$29:$K$31,0),MATCH(Q$232,Listes!$K$29:$O$29,0)))</f>
        <v>0</v>
      </c>
      <c r="R244" s="45">
        <f>IF(OR(L$231=0,L$231=""),0,P244*INDEX(Listes!$K$15:$P$26,MATCH(L$231,Listes!$K$15:$K$26,0),MATCH(R$232,Listes!$K$15:$P$15,0))*INDEX(Listes!$K$29:$O$31,MATCH(M$231,Listes!$K$29:$K$31,0),MATCH(R$232,Listes!$K$29:$O$29,0)))</f>
        <v>0</v>
      </c>
      <c r="S244" s="45">
        <f>IF(OR(L$231=0,L$231=""),0,P244*INDEX(Listes!$K$15:$P$26,MATCH(L$231,Listes!$K$15:$K$26,0),MATCH(S$232,Listes!$K$15:$P$15,0))*INDEX(Listes!$K$29:$O$31,MATCH(M$231,Listes!$K$29:$K$31,0),MATCH(S$232,Listes!$K$29:$O$29,0)))</f>
        <v>0</v>
      </c>
      <c r="U244" s="463"/>
      <c r="V244" s="3">
        <v>12</v>
      </c>
      <c r="W244" s="45">
        <f t="shared" si="110"/>
        <v>0</v>
      </c>
      <c r="X244" s="45">
        <f t="shared" si="111"/>
        <v>0</v>
      </c>
      <c r="Y244" s="45">
        <f>IF(OR(X244=0,X244="",V$116=0),0,X244*INDEX(Listes!$K$1:$Q$12,MATCH(V$116,Listes!$K$1:$K$12,0),MATCH(Y$117,Listes!$K$1:$Q$1,0)))</f>
        <v>0</v>
      </c>
      <c r="Z244" s="45">
        <f t="shared" si="112"/>
        <v>0</v>
      </c>
      <c r="AA244" s="45">
        <f>IF(OR(V$231=0,V$231=""),0,Z244*INDEX(Listes!$K$15:$P$26,MATCH(V$231,Listes!$K$15:$K$26,0),MATCH(AA$232,Listes!$K$15:$P$15,0))*INDEX(Listes!$K$29:$O$31,MATCH(W$231,Listes!$K$29:$K$31,0),MATCH(AA$232,Listes!$K$29:$O$29,0)))</f>
        <v>0</v>
      </c>
      <c r="AB244" s="45">
        <f>IF(OR(V$231=0,V$231=""),0,Z244*INDEX(Listes!$K$15:$P$26,MATCH(V$231,Listes!$K$15:$K$26,0),MATCH(AB$232,Listes!$K$15:$P$15,0))*INDEX(Listes!$K$29:$O$31,MATCH(W$231,Listes!$K$29:$K$31,0),MATCH(AB$232,Listes!$K$29:$O$29,0)))</f>
        <v>0</v>
      </c>
      <c r="AC244" s="45">
        <f>IF(OR(V$231=0,V$231=""),0,Z244*INDEX(Listes!$K$15:$P$26,MATCH(V$231,Listes!$K$15:$K$26,0),MATCH(AC$232,Listes!$K$15:$P$15,0))*INDEX(Listes!$K$29:$O$31,MATCH(W$231,Listes!$K$29:$K$31,0),MATCH(AC$232,Listes!$K$29:$O$29,0)))</f>
        <v>0</v>
      </c>
      <c r="AE244" s="463"/>
      <c r="AF244" s="3">
        <v>12</v>
      </c>
      <c r="AG244" s="45">
        <f t="shared" si="113"/>
        <v>0</v>
      </c>
      <c r="AH244" s="45">
        <f t="shared" si="114"/>
        <v>0</v>
      </c>
      <c r="AI244" s="45">
        <f>IF(OR(AH244=0,AH244="",AF$116=0),0,AH244*INDEX(Listes!$K$1:$Q$12,MATCH(AF$116,Listes!$K$1:$K$12,0),MATCH(AI$117,Listes!$K$1:$Q$1,0)))</f>
        <v>0</v>
      </c>
      <c r="AJ244" s="45">
        <f t="shared" si="115"/>
        <v>0</v>
      </c>
      <c r="AK244" s="45">
        <f>IF(OR(AF$231=0,AF$231=""),0,AJ244*INDEX(Listes!$K$15:$P$26,MATCH(AF$231,Listes!$K$15:$K$26,0),MATCH(AK$232,Listes!$K$15:$P$15,0))*INDEX(Listes!$K$29:$O$31,MATCH(AG$231,Listes!$K$29:$K$31,0),MATCH(AK$232,Listes!$K$29:$O$29,0)))</f>
        <v>0</v>
      </c>
      <c r="AL244" s="45">
        <f>IF(OR(AF$231=0,AF$231=""),0,AJ244*INDEX(Listes!$K$15:$P$26,MATCH(AF$231,Listes!$K$15:$K$26,0),MATCH(AL$232,Listes!$K$15:$P$15,0))*INDEX(Listes!$K$29:$O$31,MATCH(AG$231,Listes!$K$29:$K$31,0),MATCH(AL$232,Listes!$K$29:$O$29,0)))</f>
        <v>0</v>
      </c>
      <c r="AM244" s="45">
        <f>IF(OR(AF$231=0,AF$231=""),0,AJ244*INDEX(Listes!$K$15:$P$26,MATCH(AF$231,Listes!$K$15:$K$26,0),MATCH(AM$232,Listes!$K$15:$P$15,0))*INDEX(Listes!$K$29:$O$31,MATCH(AG$231,Listes!$K$29:$K$31,0),MATCH(AM$232,Listes!$K$29:$O$29,0)))</f>
        <v>0</v>
      </c>
      <c r="AO244" s="463"/>
      <c r="AP244" s="3">
        <v>12</v>
      </c>
      <c r="AQ244" s="11">
        <f t="shared" si="116"/>
        <v>0</v>
      </c>
      <c r="AR244" s="11">
        <f t="shared" si="116"/>
        <v>0</v>
      </c>
      <c r="AS244" s="11">
        <f t="shared" si="116"/>
        <v>0</v>
      </c>
      <c r="AT244" s="11">
        <f>AQ244*VLOOKUP(AQ$232,Tableau17[],4,FALSE)+AR244*VLOOKUP(AR$232,Tableau17[],4,FALSE)+AS244*VLOOKUP(AS$232,Tableau17[],4,FALSE)</f>
        <v>0</v>
      </c>
      <c r="AU244" s="11">
        <f>AQ244*VLOOKUP(AQ$232,Tableau17[],3,FALSE)+AR244*VLOOKUP(AR$232,Tableau17[],3,FALSE)+AS244*VLOOKUP(AS$232,Tableau17[],3,FALSE)</f>
        <v>0</v>
      </c>
    </row>
    <row r="245" spans="1:52" x14ac:dyDescent="0.2">
      <c r="A245" s="463"/>
      <c r="B245" s="3">
        <v>13</v>
      </c>
      <c r="C245" s="45">
        <f t="shared" si="117"/>
        <v>0</v>
      </c>
      <c r="D245" s="45">
        <f t="shared" si="105"/>
        <v>0</v>
      </c>
      <c r="E245" s="45">
        <f>IF(OR(D245=0,D245="",B$116=0),0,D245*INDEX(Listes!$K$1:$Q$12,MATCH(B$116,Listes!$K$1:$K$12,0),MATCH(E$117,Listes!$K$1:$Q$1,0)))</f>
        <v>0</v>
      </c>
      <c r="F245" s="45">
        <f t="shared" si="106"/>
        <v>0</v>
      </c>
      <c r="G245" s="45">
        <f>IF(OR(B$231=0,B$231=""),0,F245*INDEX(Listes!$K$15:$P$26,MATCH(B$231,Listes!$K$15:$K$26,0),MATCH(G$232,Listes!$K$15:$P$15,0))*INDEX(Listes!$K$29:$O$31,MATCH(C$231,Listes!$K$29:$K$31,0),MATCH(G$232,Listes!$K$29:$O$29,0)))</f>
        <v>0</v>
      </c>
      <c r="H245" s="45">
        <f>IF(OR(B$231=0,B$231=""),0,F245*INDEX(Listes!$K$15:$P$26,MATCH(B$231,Listes!$K$15:$K$26,0),MATCH(H$232,Listes!$K$15:$P$15,0))*INDEX(Listes!$K$29:$O$31,MATCH(C$231,Listes!$K$29:$K$31,0),MATCH(H$232,Listes!$K$29:$O$29,0)))</f>
        <v>0</v>
      </c>
      <c r="I245" s="45">
        <f>IF(OR(B$231=0,B$231=""),0,F245*INDEX(Listes!$K$15:$P$26,MATCH(B$231,Listes!$K$15:$K$26,0),MATCH(I$232,Listes!$K$15:$P$15,0))*INDEX(Listes!$K$29:$O$31,MATCH(C$231,Listes!$K$29:$K$31,0),MATCH(I$232,Listes!$K$29:$O$29,0)))</f>
        <v>0</v>
      </c>
      <c r="K245" s="463"/>
      <c r="L245" s="3">
        <v>13</v>
      </c>
      <c r="M245" s="45">
        <f t="shared" si="107"/>
        <v>0</v>
      </c>
      <c r="N245" s="45">
        <f t="shared" si="108"/>
        <v>0</v>
      </c>
      <c r="O245" s="45">
        <f>IF(OR(N245=0,N245="",L$116=0),0,N245*INDEX(Listes!$K$1:$Q$12,MATCH(L$116,Listes!$K$1:$K$12,0),MATCH(O$117,Listes!$K$1:$Q$1,0)))</f>
        <v>0</v>
      </c>
      <c r="P245" s="45">
        <f t="shared" si="109"/>
        <v>0</v>
      </c>
      <c r="Q245" s="45">
        <f>IF(OR(L$231=0,L$231=""),0,P245*INDEX(Listes!$K$15:$P$26,MATCH(L$231,Listes!$K$15:$K$26,0),MATCH(Q$232,Listes!$K$15:$P$15,0))*INDEX(Listes!$K$29:$O$31,MATCH(M$231,Listes!$K$29:$K$31,0),MATCH(Q$232,Listes!$K$29:$O$29,0)))</f>
        <v>0</v>
      </c>
      <c r="R245" s="45">
        <f>IF(OR(L$231=0,L$231=""),0,P245*INDEX(Listes!$K$15:$P$26,MATCH(L$231,Listes!$K$15:$K$26,0),MATCH(R$232,Listes!$K$15:$P$15,0))*INDEX(Listes!$K$29:$O$31,MATCH(M$231,Listes!$K$29:$K$31,0),MATCH(R$232,Listes!$K$29:$O$29,0)))</f>
        <v>0</v>
      </c>
      <c r="S245" s="45">
        <f>IF(OR(L$231=0,L$231=""),0,P245*INDEX(Listes!$K$15:$P$26,MATCH(L$231,Listes!$K$15:$K$26,0),MATCH(S$232,Listes!$K$15:$P$15,0))*INDEX(Listes!$K$29:$O$31,MATCH(M$231,Listes!$K$29:$K$31,0),MATCH(S$232,Listes!$K$29:$O$29,0)))</f>
        <v>0</v>
      </c>
      <c r="U245" s="463"/>
      <c r="V245" s="3">
        <v>13</v>
      </c>
      <c r="W245" s="45">
        <f t="shared" si="110"/>
        <v>0</v>
      </c>
      <c r="X245" s="45">
        <f t="shared" si="111"/>
        <v>0</v>
      </c>
      <c r="Y245" s="45">
        <f>IF(OR(X245=0,X245="",V$116=0),0,X245*INDEX(Listes!$K$1:$Q$12,MATCH(V$116,Listes!$K$1:$K$12,0),MATCH(Y$117,Listes!$K$1:$Q$1,0)))</f>
        <v>0</v>
      </c>
      <c r="Z245" s="45">
        <f t="shared" si="112"/>
        <v>0</v>
      </c>
      <c r="AA245" s="45">
        <f>IF(OR(V$231=0,V$231=""),0,Z245*INDEX(Listes!$K$15:$P$26,MATCH(V$231,Listes!$K$15:$K$26,0),MATCH(AA$232,Listes!$K$15:$P$15,0))*INDEX(Listes!$K$29:$O$31,MATCH(W$231,Listes!$K$29:$K$31,0),MATCH(AA$232,Listes!$K$29:$O$29,0)))</f>
        <v>0</v>
      </c>
      <c r="AB245" s="45">
        <f>IF(OR(V$231=0,V$231=""),0,Z245*INDEX(Listes!$K$15:$P$26,MATCH(V$231,Listes!$K$15:$K$26,0),MATCH(AB$232,Listes!$K$15:$P$15,0))*INDEX(Listes!$K$29:$O$31,MATCH(W$231,Listes!$K$29:$K$31,0),MATCH(AB$232,Listes!$K$29:$O$29,0)))</f>
        <v>0</v>
      </c>
      <c r="AC245" s="45">
        <f>IF(OR(V$231=0,V$231=""),0,Z245*INDEX(Listes!$K$15:$P$26,MATCH(V$231,Listes!$K$15:$K$26,0),MATCH(AC$232,Listes!$K$15:$P$15,0))*INDEX(Listes!$K$29:$O$31,MATCH(W$231,Listes!$K$29:$K$31,0),MATCH(AC$232,Listes!$K$29:$O$29,0)))</f>
        <v>0</v>
      </c>
      <c r="AE245" s="463"/>
      <c r="AF245" s="3">
        <v>13</v>
      </c>
      <c r="AG245" s="45">
        <f t="shared" si="113"/>
        <v>0</v>
      </c>
      <c r="AH245" s="45">
        <f t="shared" si="114"/>
        <v>0</v>
      </c>
      <c r="AI245" s="45">
        <f>IF(OR(AH245=0,AH245="",AF$116=0),0,AH245*INDEX(Listes!$K$1:$Q$12,MATCH(AF$116,Listes!$K$1:$K$12,0),MATCH(AI$117,Listes!$K$1:$Q$1,0)))</f>
        <v>0</v>
      </c>
      <c r="AJ245" s="45">
        <f t="shared" si="115"/>
        <v>0</v>
      </c>
      <c r="AK245" s="45">
        <f>IF(OR(AF$231=0,AF$231=""),0,AJ245*INDEX(Listes!$K$15:$P$26,MATCH(AF$231,Listes!$K$15:$K$26,0),MATCH(AK$232,Listes!$K$15:$P$15,0))*INDEX(Listes!$K$29:$O$31,MATCH(AG$231,Listes!$K$29:$K$31,0),MATCH(AK$232,Listes!$K$29:$O$29,0)))</f>
        <v>0</v>
      </c>
      <c r="AL245" s="45">
        <f>IF(OR(AF$231=0,AF$231=""),0,AJ245*INDEX(Listes!$K$15:$P$26,MATCH(AF$231,Listes!$K$15:$K$26,0),MATCH(AL$232,Listes!$K$15:$P$15,0))*INDEX(Listes!$K$29:$O$31,MATCH(AG$231,Listes!$K$29:$K$31,0),MATCH(AL$232,Listes!$K$29:$O$29,0)))</f>
        <v>0</v>
      </c>
      <c r="AM245" s="45">
        <f>IF(OR(AF$231=0,AF$231=""),0,AJ245*INDEX(Listes!$K$15:$P$26,MATCH(AF$231,Listes!$K$15:$K$26,0),MATCH(AM$232,Listes!$K$15:$P$15,0))*INDEX(Listes!$K$29:$O$31,MATCH(AG$231,Listes!$K$29:$K$31,0),MATCH(AM$232,Listes!$K$29:$O$29,0)))</f>
        <v>0</v>
      </c>
      <c r="AO245" s="463"/>
      <c r="AP245" s="3">
        <v>13</v>
      </c>
      <c r="AQ245" s="11">
        <f t="shared" si="116"/>
        <v>0</v>
      </c>
      <c r="AR245" s="11">
        <f t="shared" si="116"/>
        <v>0</v>
      </c>
      <c r="AS245" s="11">
        <f t="shared" si="116"/>
        <v>0</v>
      </c>
      <c r="AT245" s="11">
        <f>AQ245*VLOOKUP(AQ$232,Tableau17[],4,FALSE)+AR245*VLOOKUP(AR$232,Tableau17[],4,FALSE)+AS245*VLOOKUP(AS$232,Tableau17[],4,FALSE)</f>
        <v>0</v>
      </c>
      <c r="AU245" s="11">
        <f>AQ245*VLOOKUP(AQ$232,Tableau17[],3,FALSE)+AR245*VLOOKUP(AR$232,Tableau17[],3,FALSE)+AS245*VLOOKUP(AS$232,Tableau17[],3,FALSE)</f>
        <v>0</v>
      </c>
    </row>
    <row r="246" spans="1:52" x14ac:dyDescent="0.2">
      <c r="A246" s="463"/>
      <c r="B246" s="3">
        <v>14</v>
      </c>
      <c r="C246" s="45">
        <f t="shared" si="117"/>
        <v>0</v>
      </c>
      <c r="D246" s="45">
        <f t="shared" si="105"/>
        <v>0</v>
      </c>
      <c r="E246" s="45">
        <f>IF(OR(D246=0,D246="",B$116=0),0,D246*INDEX(Listes!$K$1:$Q$12,MATCH(B$116,Listes!$K$1:$K$12,0),MATCH(E$117,Listes!$K$1:$Q$1,0)))</f>
        <v>0</v>
      </c>
      <c r="F246" s="45">
        <f t="shared" si="106"/>
        <v>0</v>
      </c>
      <c r="G246" s="45">
        <f>IF(OR(B$231=0,B$231=""),0,F246*INDEX(Listes!$K$15:$P$26,MATCH(B$231,Listes!$K$15:$K$26,0),MATCH(G$232,Listes!$K$15:$P$15,0))*INDEX(Listes!$K$29:$O$31,MATCH(C$231,Listes!$K$29:$K$31,0),MATCH(G$232,Listes!$K$29:$O$29,0)))</f>
        <v>0</v>
      </c>
      <c r="H246" s="45">
        <f>IF(OR(B$231=0,B$231=""),0,F246*INDEX(Listes!$K$15:$P$26,MATCH(B$231,Listes!$K$15:$K$26,0),MATCH(H$232,Listes!$K$15:$P$15,0))*INDEX(Listes!$K$29:$O$31,MATCH(C$231,Listes!$K$29:$K$31,0),MATCH(H$232,Listes!$K$29:$O$29,0)))</f>
        <v>0</v>
      </c>
      <c r="I246" s="45">
        <f>IF(OR(B$231=0,B$231=""),0,F246*INDEX(Listes!$K$15:$P$26,MATCH(B$231,Listes!$K$15:$K$26,0),MATCH(I$232,Listes!$K$15:$P$15,0))*INDEX(Listes!$K$29:$O$31,MATCH(C$231,Listes!$K$29:$K$31,0),MATCH(I$232,Listes!$K$29:$O$29,0)))</f>
        <v>0</v>
      </c>
      <c r="K246" s="463"/>
      <c r="L246" s="3">
        <v>14</v>
      </c>
      <c r="M246" s="45">
        <f t="shared" si="107"/>
        <v>0</v>
      </c>
      <c r="N246" s="45">
        <f t="shared" si="108"/>
        <v>0</v>
      </c>
      <c r="O246" s="45">
        <f>IF(OR(N246=0,N246="",L$116=0),0,N246*INDEX(Listes!$K$1:$Q$12,MATCH(L$116,Listes!$K$1:$K$12,0),MATCH(O$117,Listes!$K$1:$Q$1,0)))</f>
        <v>0</v>
      </c>
      <c r="P246" s="45">
        <f t="shared" si="109"/>
        <v>0</v>
      </c>
      <c r="Q246" s="45">
        <f>IF(OR(L$231=0,L$231=""),0,P246*INDEX(Listes!$K$15:$P$26,MATCH(L$231,Listes!$K$15:$K$26,0),MATCH(Q$232,Listes!$K$15:$P$15,0))*INDEX(Listes!$K$29:$O$31,MATCH(M$231,Listes!$K$29:$K$31,0),MATCH(Q$232,Listes!$K$29:$O$29,0)))</f>
        <v>0</v>
      </c>
      <c r="R246" s="45">
        <f>IF(OR(L$231=0,L$231=""),0,P246*INDEX(Listes!$K$15:$P$26,MATCH(L$231,Listes!$K$15:$K$26,0),MATCH(R$232,Listes!$K$15:$P$15,0))*INDEX(Listes!$K$29:$O$31,MATCH(M$231,Listes!$K$29:$K$31,0),MATCH(R$232,Listes!$K$29:$O$29,0)))</f>
        <v>0</v>
      </c>
      <c r="S246" s="45">
        <f>IF(OR(L$231=0,L$231=""),0,P246*INDEX(Listes!$K$15:$P$26,MATCH(L$231,Listes!$K$15:$K$26,0),MATCH(S$232,Listes!$K$15:$P$15,0))*INDEX(Listes!$K$29:$O$31,MATCH(M$231,Listes!$K$29:$K$31,0),MATCH(S$232,Listes!$K$29:$O$29,0)))</f>
        <v>0</v>
      </c>
      <c r="U246" s="463"/>
      <c r="V246" s="3">
        <v>14</v>
      </c>
      <c r="W246" s="45">
        <f t="shared" si="110"/>
        <v>0</v>
      </c>
      <c r="X246" s="45">
        <f t="shared" si="111"/>
        <v>0</v>
      </c>
      <c r="Y246" s="45">
        <f>IF(OR(X246=0,X246="",V$116=0),0,X246*INDEX(Listes!$K$1:$Q$12,MATCH(V$116,Listes!$K$1:$K$12,0),MATCH(Y$117,Listes!$K$1:$Q$1,0)))</f>
        <v>0</v>
      </c>
      <c r="Z246" s="45">
        <f t="shared" si="112"/>
        <v>0</v>
      </c>
      <c r="AA246" s="45">
        <f>IF(OR(V$231=0,V$231=""),0,Z246*INDEX(Listes!$K$15:$P$26,MATCH(V$231,Listes!$K$15:$K$26,0),MATCH(AA$232,Listes!$K$15:$P$15,0))*INDEX(Listes!$K$29:$O$31,MATCH(W$231,Listes!$K$29:$K$31,0),MATCH(AA$232,Listes!$K$29:$O$29,0)))</f>
        <v>0</v>
      </c>
      <c r="AB246" s="45">
        <f>IF(OR(V$231=0,V$231=""),0,Z246*INDEX(Listes!$K$15:$P$26,MATCH(V$231,Listes!$K$15:$K$26,0),MATCH(AB$232,Listes!$K$15:$P$15,0))*INDEX(Listes!$K$29:$O$31,MATCH(W$231,Listes!$K$29:$K$31,0),MATCH(AB$232,Listes!$K$29:$O$29,0)))</f>
        <v>0</v>
      </c>
      <c r="AC246" s="45">
        <f>IF(OR(V$231=0,V$231=""),0,Z246*INDEX(Listes!$K$15:$P$26,MATCH(V$231,Listes!$K$15:$K$26,0),MATCH(AC$232,Listes!$K$15:$P$15,0))*INDEX(Listes!$K$29:$O$31,MATCH(W$231,Listes!$K$29:$K$31,0),MATCH(AC$232,Listes!$K$29:$O$29,0)))</f>
        <v>0</v>
      </c>
      <c r="AE246" s="463"/>
      <c r="AF246" s="3">
        <v>14</v>
      </c>
      <c r="AG246" s="45">
        <f t="shared" si="113"/>
        <v>0</v>
      </c>
      <c r="AH246" s="45">
        <f t="shared" si="114"/>
        <v>0</v>
      </c>
      <c r="AI246" s="45">
        <f>IF(OR(AH246=0,AH246="",AF$116=0),0,AH246*INDEX(Listes!$K$1:$Q$12,MATCH(AF$116,Listes!$K$1:$K$12,0),MATCH(AI$117,Listes!$K$1:$Q$1,0)))</f>
        <v>0</v>
      </c>
      <c r="AJ246" s="45">
        <f t="shared" si="115"/>
        <v>0</v>
      </c>
      <c r="AK246" s="45">
        <f>IF(OR(AF$231=0,AF$231=""),0,AJ246*INDEX(Listes!$K$15:$P$26,MATCH(AF$231,Listes!$K$15:$K$26,0),MATCH(AK$232,Listes!$K$15:$P$15,0))*INDEX(Listes!$K$29:$O$31,MATCH(AG$231,Listes!$K$29:$K$31,0),MATCH(AK$232,Listes!$K$29:$O$29,0)))</f>
        <v>0</v>
      </c>
      <c r="AL246" s="45">
        <f>IF(OR(AF$231=0,AF$231=""),0,AJ246*INDEX(Listes!$K$15:$P$26,MATCH(AF$231,Listes!$K$15:$K$26,0),MATCH(AL$232,Listes!$K$15:$P$15,0))*INDEX(Listes!$K$29:$O$31,MATCH(AG$231,Listes!$K$29:$K$31,0),MATCH(AL$232,Listes!$K$29:$O$29,0)))</f>
        <v>0</v>
      </c>
      <c r="AM246" s="45">
        <f>IF(OR(AF$231=0,AF$231=""),0,AJ246*INDEX(Listes!$K$15:$P$26,MATCH(AF$231,Listes!$K$15:$K$26,0),MATCH(AM$232,Listes!$K$15:$P$15,0))*INDEX(Listes!$K$29:$O$31,MATCH(AG$231,Listes!$K$29:$K$31,0),MATCH(AM$232,Listes!$K$29:$O$29,0)))</f>
        <v>0</v>
      </c>
      <c r="AO246" s="463"/>
      <c r="AP246" s="3">
        <v>14</v>
      </c>
      <c r="AQ246" s="11">
        <f t="shared" si="116"/>
        <v>0</v>
      </c>
      <c r="AR246" s="11">
        <f t="shared" si="116"/>
        <v>0</v>
      </c>
      <c r="AS246" s="11">
        <f t="shared" si="116"/>
        <v>0</v>
      </c>
      <c r="AT246" s="11">
        <f>AQ246*VLOOKUP(AQ$232,Tableau17[],4,FALSE)+AR246*VLOOKUP(AR$232,Tableau17[],4,FALSE)+AS246*VLOOKUP(AS$232,Tableau17[],4,FALSE)</f>
        <v>0</v>
      </c>
      <c r="AU246" s="11">
        <f>AQ246*VLOOKUP(AQ$232,Tableau17[],3,FALSE)+AR246*VLOOKUP(AR$232,Tableau17[],3,FALSE)+AS246*VLOOKUP(AS$232,Tableau17[],3,FALSE)</f>
        <v>0</v>
      </c>
    </row>
    <row r="247" spans="1:52" x14ac:dyDescent="0.2">
      <c r="A247" s="463"/>
      <c r="B247" s="3">
        <v>15</v>
      </c>
      <c r="C247" s="45">
        <f t="shared" si="117"/>
        <v>0</v>
      </c>
      <c r="D247" s="45">
        <f t="shared" si="105"/>
        <v>0</v>
      </c>
      <c r="E247" s="45">
        <f>IF(OR(D247=0,D247="",B$116=0),0,D247*INDEX(Listes!$K$1:$Q$12,MATCH(B$116,Listes!$K$1:$K$12,0),MATCH(E$117,Listes!$K$1:$Q$1,0)))</f>
        <v>0</v>
      </c>
      <c r="F247" s="45">
        <f t="shared" si="106"/>
        <v>0</v>
      </c>
      <c r="G247" s="45">
        <f>IF(OR(B$231=0,B$231=""),0,F247*INDEX(Listes!$K$15:$P$26,MATCH(B$231,Listes!$K$15:$K$26,0),MATCH(G$232,Listes!$K$15:$P$15,0))*INDEX(Listes!$K$29:$O$31,MATCH(C$231,Listes!$K$29:$K$31,0),MATCH(G$232,Listes!$K$29:$O$29,0)))</f>
        <v>0</v>
      </c>
      <c r="H247" s="45">
        <f>IF(OR(B$231=0,B$231=""),0,F247*INDEX(Listes!$K$15:$P$26,MATCH(B$231,Listes!$K$15:$K$26,0),MATCH(H$232,Listes!$K$15:$P$15,0))*INDEX(Listes!$K$29:$O$31,MATCH(C$231,Listes!$K$29:$K$31,0),MATCH(H$232,Listes!$K$29:$O$29,0)))</f>
        <v>0</v>
      </c>
      <c r="I247" s="45">
        <f>IF(OR(B$231=0,B$231=""),0,F247*INDEX(Listes!$K$15:$P$26,MATCH(B$231,Listes!$K$15:$K$26,0),MATCH(I$232,Listes!$K$15:$P$15,0))*INDEX(Listes!$K$29:$O$31,MATCH(C$231,Listes!$K$29:$K$31,0),MATCH(I$232,Listes!$K$29:$O$29,0)))</f>
        <v>0</v>
      </c>
      <c r="K247" s="463"/>
      <c r="L247" s="3">
        <v>15</v>
      </c>
      <c r="M247" s="45">
        <f t="shared" si="107"/>
        <v>0</v>
      </c>
      <c r="N247" s="45">
        <f t="shared" si="108"/>
        <v>0</v>
      </c>
      <c r="O247" s="45">
        <f>IF(OR(N247=0,N247="",L$116=0),0,N247*INDEX(Listes!$K$1:$Q$12,MATCH(L$116,Listes!$K$1:$K$12,0),MATCH(O$117,Listes!$K$1:$Q$1,0)))</f>
        <v>0</v>
      </c>
      <c r="P247" s="45">
        <f t="shared" si="109"/>
        <v>0</v>
      </c>
      <c r="Q247" s="45">
        <f>IF(OR(L$231=0,L$231=""),0,P247*INDEX(Listes!$K$15:$P$26,MATCH(L$231,Listes!$K$15:$K$26,0),MATCH(Q$232,Listes!$K$15:$P$15,0))*INDEX(Listes!$K$29:$O$31,MATCH(M$231,Listes!$K$29:$K$31,0),MATCH(Q$232,Listes!$K$29:$O$29,0)))</f>
        <v>0</v>
      </c>
      <c r="R247" s="45">
        <f>IF(OR(L$231=0,L$231=""),0,P247*INDEX(Listes!$K$15:$P$26,MATCH(L$231,Listes!$K$15:$K$26,0),MATCH(R$232,Listes!$K$15:$P$15,0))*INDEX(Listes!$K$29:$O$31,MATCH(M$231,Listes!$K$29:$K$31,0),MATCH(R$232,Listes!$K$29:$O$29,0)))</f>
        <v>0</v>
      </c>
      <c r="S247" s="45">
        <f>IF(OR(L$231=0,L$231=""),0,P247*INDEX(Listes!$K$15:$P$26,MATCH(L$231,Listes!$K$15:$K$26,0),MATCH(S$232,Listes!$K$15:$P$15,0))*INDEX(Listes!$K$29:$O$31,MATCH(M$231,Listes!$K$29:$K$31,0),MATCH(S$232,Listes!$K$29:$O$29,0)))</f>
        <v>0</v>
      </c>
      <c r="U247" s="463"/>
      <c r="V247" s="3">
        <v>15</v>
      </c>
      <c r="W247" s="45">
        <f t="shared" si="110"/>
        <v>0</v>
      </c>
      <c r="X247" s="45">
        <f t="shared" si="111"/>
        <v>0</v>
      </c>
      <c r="Y247" s="45">
        <f>IF(OR(X247=0,X247="",V$116=0),0,X247*INDEX(Listes!$K$1:$Q$12,MATCH(V$116,Listes!$K$1:$K$12,0),MATCH(Y$117,Listes!$K$1:$Q$1,0)))</f>
        <v>0</v>
      </c>
      <c r="Z247" s="45">
        <f t="shared" si="112"/>
        <v>0</v>
      </c>
      <c r="AA247" s="45">
        <f>IF(OR(V$231=0,V$231=""),0,Z247*INDEX(Listes!$K$15:$P$26,MATCH(V$231,Listes!$K$15:$K$26,0),MATCH(AA$232,Listes!$K$15:$P$15,0))*INDEX(Listes!$K$29:$O$31,MATCH(W$231,Listes!$K$29:$K$31,0),MATCH(AA$232,Listes!$K$29:$O$29,0)))</f>
        <v>0</v>
      </c>
      <c r="AB247" s="45">
        <f>IF(OR(V$231=0,V$231=""),0,Z247*INDEX(Listes!$K$15:$P$26,MATCH(V$231,Listes!$K$15:$K$26,0),MATCH(AB$232,Listes!$K$15:$P$15,0))*INDEX(Listes!$K$29:$O$31,MATCH(W$231,Listes!$K$29:$K$31,0),MATCH(AB$232,Listes!$K$29:$O$29,0)))</f>
        <v>0</v>
      </c>
      <c r="AC247" s="45">
        <f>IF(OR(V$231=0,V$231=""),0,Z247*INDEX(Listes!$K$15:$P$26,MATCH(V$231,Listes!$K$15:$K$26,0),MATCH(AC$232,Listes!$K$15:$P$15,0))*INDEX(Listes!$K$29:$O$31,MATCH(W$231,Listes!$K$29:$K$31,0),MATCH(AC$232,Listes!$K$29:$O$29,0)))</f>
        <v>0</v>
      </c>
      <c r="AE247" s="463"/>
      <c r="AF247" s="3">
        <v>15</v>
      </c>
      <c r="AG247" s="45">
        <f t="shared" si="113"/>
        <v>0</v>
      </c>
      <c r="AH247" s="45">
        <f t="shared" si="114"/>
        <v>0</v>
      </c>
      <c r="AI247" s="45">
        <f>IF(OR(AH247=0,AH247="",AF$116=0),0,AH247*INDEX(Listes!$K$1:$Q$12,MATCH(AF$116,Listes!$K$1:$K$12,0),MATCH(AI$117,Listes!$K$1:$Q$1,0)))</f>
        <v>0</v>
      </c>
      <c r="AJ247" s="45">
        <f t="shared" si="115"/>
        <v>0</v>
      </c>
      <c r="AK247" s="45">
        <f>IF(OR(AF$231=0,AF$231=""),0,AJ247*INDEX(Listes!$K$15:$P$26,MATCH(AF$231,Listes!$K$15:$K$26,0),MATCH(AK$232,Listes!$K$15:$P$15,0))*INDEX(Listes!$K$29:$O$31,MATCH(AG$231,Listes!$K$29:$K$31,0),MATCH(AK$232,Listes!$K$29:$O$29,0)))</f>
        <v>0</v>
      </c>
      <c r="AL247" s="45">
        <f>IF(OR(AF$231=0,AF$231=""),0,AJ247*INDEX(Listes!$K$15:$P$26,MATCH(AF$231,Listes!$K$15:$K$26,0),MATCH(AL$232,Listes!$K$15:$P$15,0))*INDEX(Listes!$K$29:$O$31,MATCH(AG$231,Listes!$K$29:$K$31,0),MATCH(AL$232,Listes!$K$29:$O$29,0)))</f>
        <v>0</v>
      </c>
      <c r="AM247" s="45">
        <f>IF(OR(AF$231=0,AF$231=""),0,AJ247*INDEX(Listes!$K$15:$P$26,MATCH(AF$231,Listes!$K$15:$K$26,0),MATCH(AM$232,Listes!$K$15:$P$15,0))*INDEX(Listes!$K$29:$O$31,MATCH(AG$231,Listes!$K$29:$K$31,0),MATCH(AM$232,Listes!$K$29:$O$29,0)))</f>
        <v>0</v>
      </c>
      <c r="AO247" s="463"/>
      <c r="AP247" s="3">
        <v>15</v>
      </c>
      <c r="AQ247" s="11">
        <f t="shared" si="116"/>
        <v>0</v>
      </c>
      <c r="AR247" s="11">
        <f t="shared" si="116"/>
        <v>0</v>
      </c>
      <c r="AS247" s="11">
        <f t="shared" si="116"/>
        <v>0</v>
      </c>
      <c r="AT247" s="11">
        <f>AQ247*VLOOKUP(AQ$232,Tableau17[],4,FALSE)+AR247*VLOOKUP(AR$232,Tableau17[],4,FALSE)+AS247*VLOOKUP(AS$232,Tableau17[],4,FALSE)</f>
        <v>0</v>
      </c>
      <c r="AU247" s="11">
        <f>AQ247*VLOOKUP(AQ$232,Tableau17[],3,FALSE)+AR247*VLOOKUP(AR$232,Tableau17[],3,FALSE)+AS247*VLOOKUP(AS$232,Tableau17[],3,FALSE)</f>
        <v>0</v>
      </c>
    </row>
    <row r="248" spans="1:52" x14ac:dyDescent="0.2">
      <c r="A248" s="463"/>
      <c r="B248" s="3">
        <v>16</v>
      </c>
      <c r="C248" s="45">
        <f t="shared" si="117"/>
        <v>0</v>
      </c>
      <c r="D248" s="45">
        <f t="shared" si="105"/>
        <v>0</v>
      </c>
      <c r="E248" s="45">
        <f>IF(OR(D248=0,D248="",B$116=0),0,D248*INDEX(Listes!$K$1:$Q$12,MATCH(B$116,Listes!$K$1:$K$12,0),MATCH(E$117,Listes!$K$1:$Q$1,0)))</f>
        <v>0</v>
      </c>
      <c r="F248" s="45">
        <f t="shared" si="106"/>
        <v>0</v>
      </c>
      <c r="G248" s="45">
        <f>IF(OR(B$231=0,B$231=""),0,F248*INDEX(Listes!$K$15:$P$26,MATCH(B$231,Listes!$K$15:$K$26,0),MATCH(G$232,Listes!$K$15:$P$15,0))*INDEX(Listes!$K$29:$O$31,MATCH(C$231,Listes!$K$29:$K$31,0),MATCH(G$232,Listes!$K$29:$O$29,0)))</f>
        <v>0</v>
      </c>
      <c r="H248" s="45">
        <f>IF(OR(B$231=0,B$231=""),0,F248*INDEX(Listes!$K$15:$P$26,MATCH(B$231,Listes!$K$15:$K$26,0),MATCH(H$232,Listes!$K$15:$P$15,0))*INDEX(Listes!$K$29:$O$31,MATCH(C$231,Listes!$K$29:$K$31,0),MATCH(H$232,Listes!$K$29:$O$29,0)))</f>
        <v>0</v>
      </c>
      <c r="I248" s="45">
        <f>IF(OR(B$231=0,B$231=""),0,F248*INDEX(Listes!$K$15:$P$26,MATCH(B$231,Listes!$K$15:$K$26,0),MATCH(I$232,Listes!$K$15:$P$15,0))*INDEX(Listes!$K$29:$O$31,MATCH(C$231,Listes!$K$29:$K$31,0),MATCH(I$232,Listes!$K$29:$O$29,0)))</f>
        <v>0</v>
      </c>
      <c r="K248" s="463"/>
      <c r="L248" s="3">
        <v>16</v>
      </c>
      <c r="M248" s="45">
        <f t="shared" si="107"/>
        <v>0</v>
      </c>
      <c r="N248" s="45">
        <f t="shared" si="108"/>
        <v>0</v>
      </c>
      <c r="O248" s="45">
        <f>IF(OR(N248=0,N248="",L$116=0),0,N248*INDEX(Listes!$K$1:$Q$12,MATCH(L$116,Listes!$K$1:$K$12,0),MATCH(O$117,Listes!$K$1:$Q$1,0)))</f>
        <v>0</v>
      </c>
      <c r="P248" s="45">
        <f t="shared" si="109"/>
        <v>0</v>
      </c>
      <c r="Q248" s="45">
        <f>IF(OR(L$231=0,L$231=""),0,P248*INDEX(Listes!$K$15:$P$26,MATCH(L$231,Listes!$K$15:$K$26,0),MATCH(Q$232,Listes!$K$15:$P$15,0))*INDEX(Listes!$K$29:$O$31,MATCH(M$231,Listes!$K$29:$K$31,0),MATCH(Q$232,Listes!$K$29:$O$29,0)))</f>
        <v>0</v>
      </c>
      <c r="R248" s="45">
        <f>IF(OR(L$231=0,L$231=""),0,P248*INDEX(Listes!$K$15:$P$26,MATCH(L$231,Listes!$K$15:$K$26,0),MATCH(R$232,Listes!$K$15:$P$15,0))*INDEX(Listes!$K$29:$O$31,MATCH(M$231,Listes!$K$29:$K$31,0),MATCH(R$232,Listes!$K$29:$O$29,0)))</f>
        <v>0</v>
      </c>
      <c r="S248" s="45">
        <f>IF(OR(L$231=0,L$231=""),0,P248*INDEX(Listes!$K$15:$P$26,MATCH(L$231,Listes!$K$15:$K$26,0),MATCH(S$232,Listes!$K$15:$P$15,0))*INDEX(Listes!$K$29:$O$31,MATCH(M$231,Listes!$K$29:$K$31,0),MATCH(S$232,Listes!$K$29:$O$29,0)))</f>
        <v>0</v>
      </c>
      <c r="U248" s="463"/>
      <c r="V248" s="3">
        <v>16</v>
      </c>
      <c r="W248" s="45">
        <f t="shared" si="110"/>
        <v>0</v>
      </c>
      <c r="X248" s="45">
        <f t="shared" si="111"/>
        <v>0</v>
      </c>
      <c r="Y248" s="45">
        <f>IF(OR(X248=0,X248="",V$116=0),0,X248*INDEX(Listes!$K$1:$Q$12,MATCH(V$116,Listes!$K$1:$K$12,0),MATCH(Y$117,Listes!$K$1:$Q$1,0)))</f>
        <v>0</v>
      </c>
      <c r="Z248" s="45">
        <f t="shared" si="112"/>
        <v>0</v>
      </c>
      <c r="AA248" s="45">
        <f>IF(OR(V$231=0,V$231=""),0,Z248*INDEX(Listes!$K$15:$P$26,MATCH(V$231,Listes!$K$15:$K$26,0),MATCH(AA$232,Listes!$K$15:$P$15,0))*INDEX(Listes!$K$29:$O$31,MATCH(W$231,Listes!$K$29:$K$31,0),MATCH(AA$232,Listes!$K$29:$O$29,0)))</f>
        <v>0</v>
      </c>
      <c r="AB248" s="45">
        <f>IF(OR(V$231=0,V$231=""),0,Z248*INDEX(Listes!$K$15:$P$26,MATCH(V$231,Listes!$K$15:$K$26,0),MATCH(AB$232,Listes!$K$15:$P$15,0))*INDEX(Listes!$K$29:$O$31,MATCH(W$231,Listes!$K$29:$K$31,0),MATCH(AB$232,Listes!$K$29:$O$29,0)))</f>
        <v>0</v>
      </c>
      <c r="AC248" s="45">
        <f>IF(OR(V$231=0,V$231=""),0,Z248*INDEX(Listes!$K$15:$P$26,MATCH(V$231,Listes!$K$15:$K$26,0),MATCH(AC$232,Listes!$K$15:$P$15,0))*INDEX(Listes!$K$29:$O$31,MATCH(W$231,Listes!$K$29:$K$31,0),MATCH(AC$232,Listes!$K$29:$O$29,0)))</f>
        <v>0</v>
      </c>
      <c r="AE248" s="463"/>
      <c r="AF248" s="3">
        <v>16</v>
      </c>
      <c r="AG248" s="45">
        <f t="shared" si="113"/>
        <v>0</v>
      </c>
      <c r="AH248" s="45">
        <f t="shared" si="114"/>
        <v>0</v>
      </c>
      <c r="AI248" s="45">
        <f>IF(OR(AH248=0,AH248="",AF$116=0),0,AH248*INDEX(Listes!$K$1:$Q$12,MATCH(AF$116,Listes!$K$1:$K$12,0),MATCH(AI$117,Listes!$K$1:$Q$1,0)))</f>
        <v>0</v>
      </c>
      <c r="AJ248" s="45">
        <f t="shared" si="115"/>
        <v>0</v>
      </c>
      <c r="AK248" s="45">
        <f>IF(OR(AF$231=0,AF$231=""),0,AJ248*INDEX(Listes!$K$15:$P$26,MATCH(AF$231,Listes!$K$15:$K$26,0),MATCH(AK$232,Listes!$K$15:$P$15,0))*INDEX(Listes!$K$29:$O$31,MATCH(AG$231,Listes!$K$29:$K$31,0),MATCH(AK$232,Listes!$K$29:$O$29,0)))</f>
        <v>0</v>
      </c>
      <c r="AL248" s="45">
        <f>IF(OR(AF$231=0,AF$231=""),0,AJ248*INDEX(Listes!$K$15:$P$26,MATCH(AF$231,Listes!$K$15:$K$26,0),MATCH(AL$232,Listes!$K$15:$P$15,0))*INDEX(Listes!$K$29:$O$31,MATCH(AG$231,Listes!$K$29:$K$31,0),MATCH(AL$232,Listes!$K$29:$O$29,0)))</f>
        <v>0</v>
      </c>
      <c r="AM248" s="45">
        <f>IF(OR(AF$231=0,AF$231=""),0,AJ248*INDEX(Listes!$K$15:$P$26,MATCH(AF$231,Listes!$K$15:$K$26,0),MATCH(AM$232,Listes!$K$15:$P$15,0))*INDEX(Listes!$K$29:$O$31,MATCH(AG$231,Listes!$K$29:$K$31,0),MATCH(AM$232,Listes!$K$29:$O$29,0)))</f>
        <v>0</v>
      </c>
      <c r="AO248" s="463"/>
      <c r="AP248" s="3">
        <v>16</v>
      </c>
      <c r="AQ248" s="11">
        <f t="shared" si="116"/>
        <v>0</v>
      </c>
      <c r="AR248" s="11">
        <f t="shared" si="116"/>
        <v>0</v>
      </c>
      <c r="AS248" s="11">
        <f t="shared" si="116"/>
        <v>0</v>
      </c>
      <c r="AT248" s="11">
        <f>AQ248*VLOOKUP(AQ$232,Tableau17[],4,FALSE)+AR248*VLOOKUP(AR$232,Tableau17[],4,FALSE)+AS248*VLOOKUP(AS$232,Tableau17[],4,FALSE)</f>
        <v>0</v>
      </c>
      <c r="AU248" s="11">
        <f>AQ248*VLOOKUP(AQ$232,Tableau17[],3,FALSE)+AR248*VLOOKUP(AR$232,Tableau17[],3,FALSE)+AS248*VLOOKUP(AS$232,Tableau17[],3,FALSE)</f>
        <v>0</v>
      </c>
    </row>
    <row r="249" spans="1:52" x14ac:dyDescent="0.2">
      <c r="A249" s="463"/>
      <c r="B249" s="3">
        <v>17</v>
      </c>
      <c r="C249" s="45">
        <f t="shared" si="117"/>
        <v>0</v>
      </c>
      <c r="D249" s="45">
        <f t="shared" si="105"/>
        <v>0</v>
      </c>
      <c r="E249" s="45">
        <f>IF(OR(D249=0,D249="",B$116=0),0,D249*INDEX(Listes!$K$1:$Q$12,MATCH(B$116,Listes!$K$1:$K$12,0),MATCH(E$117,Listes!$K$1:$Q$1,0)))</f>
        <v>0</v>
      </c>
      <c r="F249" s="45">
        <f t="shared" si="106"/>
        <v>0</v>
      </c>
      <c r="G249" s="45">
        <f>IF(OR(B$231=0,B$231=""),0,F249*INDEX(Listes!$K$15:$P$26,MATCH(B$231,Listes!$K$15:$K$26,0),MATCH(G$232,Listes!$K$15:$P$15,0))*INDEX(Listes!$K$29:$O$31,MATCH(C$231,Listes!$K$29:$K$31,0),MATCH(G$232,Listes!$K$29:$O$29,0)))</f>
        <v>0</v>
      </c>
      <c r="H249" s="45">
        <f>IF(OR(B$231=0,B$231=""),0,F249*INDEX(Listes!$K$15:$P$26,MATCH(B$231,Listes!$K$15:$K$26,0),MATCH(H$232,Listes!$K$15:$P$15,0))*INDEX(Listes!$K$29:$O$31,MATCH(C$231,Listes!$K$29:$K$31,0),MATCH(H$232,Listes!$K$29:$O$29,0)))</f>
        <v>0</v>
      </c>
      <c r="I249" s="45">
        <f>IF(OR(B$231=0,B$231=""),0,F249*INDEX(Listes!$K$15:$P$26,MATCH(B$231,Listes!$K$15:$K$26,0),MATCH(I$232,Listes!$K$15:$P$15,0))*INDEX(Listes!$K$29:$O$31,MATCH(C$231,Listes!$K$29:$K$31,0),MATCH(I$232,Listes!$K$29:$O$29,0)))</f>
        <v>0</v>
      </c>
      <c r="K249" s="463"/>
      <c r="L249" s="3">
        <v>17</v>
      </c>
      <c r="M249" s="45">
        <f t="shared" si="107"/>
        <v>0</v>
      </c>
      <c r="N249" s="45">
        <f t="shared" si="108"/>
        <v>0</v>
      </c>
      <c r="O249" s="45">
        <f>IF(OR(N249=0,N249="",L$116=0),0,N249*INDEX(Listes!$K$1:$Q$12,MATCH(L$116,Listes!$K$1:$K$12,0),MATCH(O$117,Listes!$K$1:$Q$1,0)))</f>
        <v>0</v>
      </c>
      <c r="P249" s="45">
        <f t="shared" si="109"/>
        <v>0</v>
      </c>
      <c r="Q249" s="45">
        <f>IF(OR(L$231=0,L$231=""),0,P249*INDEX(Listes!$K$15:$P$26,MATCH(L$231,Listes!$K$15:$K$26,0),MATCH(Q$232,Listes!$K$15:$P$15,0))*INDEX(Listes!$K$29:$O$31,MATCH(M$231,Listes!$K$29:$K$31,0),MATCH(Q$232,Listes!$K$29:$O$29,0)))</f>
        <v>0</v>
      </c>
      <c r="R249" s="45">
        <f>IF(OR(L$231=0,L$231=""),0,P249*INDEX(Listes!$K$15:$P$26,MATCH(L$231,Listes!$K$15:$K$26,0),MATCH(R$232,Listes!$K$15:$P$15,0))*INDEX(Listes!$K$29:$O$31,MATCH(M$231,Listes!$K$29:$K$31,0),MATCH(R$232,Listes!$K$29:$O$29,0)))</f>
        <v>0</v>
      </c>
      <c r="S249" s="45">
        <f>IF(OR(L$231=0,L$231=""),0,P249*INDEX(Listes!$K$15:$P$26,MATCH(L$231,Listes!$K$15:$K$26,0),MATCH(S$232,Listes!$K$15:$P$15,0))*INDEX(Listes!$K$29:$O$31,MATCH(M$231,Listes!$K$29:$K$31,0),MATCH(S$232,Listes!$K$29:$O$29,0)))</f>
        <v>0</v>
      </c>
      <c r="U249" s="463"/>
      <c r="V249" s="3">
        <v>17</v>
      </c>
      <c r="W249" s="45">
        <f t="shared" si="110"/>
        <v>0</v>
      </c>
      <c r="X249" s="45">
        <f t="shared" si="111"/>
        <v>0</v>
      </c>
      <c r="Y249" s="45">
        <f>IF(OR(X249=0,X249="",V$116=0),0,X249*INDEX(Listes!$K$1:$Q$12,MATCH(V$116,Listes!$K$1:$K$12,0),MATCH(Y$117,Listes!$K$1:$Q$1,0)))</f>
        <v>0</v>
      </c>
      <c r="Z249" s="45">
        <f t="shared" si="112"/>
        <v>0</v>
      </c>
      <c r="AA249" s="45">
        <f>IF(OR(V$231=0,V$231=""),0,Z249*INDEX(Listes!$K$15:$P$26,MATCH(V$231,Listes!$K$15:$K$26,0),MATCH(AA$232,Listes!$K$15:$P$15,0))*INDEX(Listes!$K$29:$O$31,MATCH(W$231,Listes!$K$29:$K$31,0),MATCH(AA$232,Listes!$K$29:$O$29,0)))</f>
        <v>0</v>
      </c>
      <c r="AB249" s="45">
        <f>IF(OR(V$231=0,V$231=""),0,Z249*INDEX(Listes!$K$15:$P$26,MATCH(V$231,Listes!$K$15:$K$26,0),MATCH(AB$232,Listes!$K$15:$P$15,0))*INDEX(Listes!$K$29:$O$31,MATCH(W$231,Listes!$K$29:$K$31,0),MATCH(AB$232,Listes!$K$29:$O$29,0)))</f>
        <v>0</v>
      </c>
      <c r="AC249" s="45">
        <f>IF(OR(V$231=0,V$231=""),0,Z249*INDEX(Listes!$K$15:$P$26,MATCH(V$231,Listes!$K$15:$K$26,0),MATCH(AC$232,Listes!$K$15:$P$15,0))*INDEX(Listes!$K$29:$O$31,MATCH(W$231,Listes!$K$29:$K$31,0),MATCH(AC$232,Listes!$K$29:$O$29,0)))</f>
        <v>0</v>
      </c>
      <c r="AE249" s="463"/>
      <c r="AF249" s="3">
        <v>17</v>
      </c>
      <c r="AG249" s="45">
        <f t="shared" si="113"/>
        <v>0</v>
      </c>
      <c r="AH249" s="45">
        <f t="shared" si="114"/>
        <v>0</v>
      </c>
      <c r="AI249" s="45">
        <f>IF(OR(AH249=0,AH249="",AF$116=0),0,AH249*INDEX(Listes!$K$1:$Q$12,MATCH(AF$116,Listes!$K$1:$K$12,0),MATCH(AI$117,Listes!$K$1:$Q$1,0)))</f>
        <v>0</v>
      </c>
      <c r="AJ249" s="45">
        <f t="shared" si="115"/>
        <v>0</v>
      </c>
      <c r="AK249" s="45">
        <f>IF(OR(AF$231=0,AF$231=""),0,AJ249*INDEX(Listes!$K$15:$P$26,MATCH(AF$231,Listes!$K$15:$K$26,0),MATCH(AK$232,Listes!$K$15:$P$15,0))*INDEX(Listes!$K$29:$O$31,MATCH(AG$231,Listes!$K$29:$K$31,0),MATCH(AK$232,Listes!$K$29:$O$29,0)))</f>
        <v>0</v>
      </c>
      <c r="AL249" s="45">
        <f>IF(OR(AF$231=0,AF$231=""),0,AJ249*INDEX(Listes!$K$15:$P$26,MATCH(AF$231,Listes!$K$15:$K$26,0),MATCH(AL$232,Listes!$K$15:$P$15,0))*INDEX(Listes!$K$29:$O$31,MATCH(AG$231,Listes!$K$29:$K$31,0),MATCH(AL$232,Listes!$K$29:$O$29,0)))</f>
        <v>0</v>
      </c>
      <c r="AM249" s="45">
        <f>IF(OR(AF$231=0,AF$231=""),0,AJ249*INDEX(Listes!$K$15:$P$26,MATCH(AF$231,Listes!$K$15:$K$26,0),MATCH(AM$232,Listes!$K$15:$P$15,0))*INDEX(Listes!$K$29:$O$31,MATCH(AG$231,Listes!$K$29:$K$31,0),MATCH(AM$232,Listes!$K$29:$O$29,0)))</f>
        <v>0</v>
      </c>
      <c r="AO249" s="463"/>
      <c r="AP249" s="3">
        <v>17</v>
      </c>
      <c r="AQ249" s="11">
        <f t="shared" si="116"/>
        <v>0</v>
      </c>
      <c r="AR249" s="11">
        <f t="shared" si="116"/>
        <v>0</v>
      </c>
      <c r="AS249" s="11">
        <f t="shared" si="116"/>
        <v>0</v>
      </c>
      <c r="AT249" s="11">
        <f>AQ249*VLOOKUP(AQ$232,Tableau17[],4,FALSE)+AR249*VLOOKUP(AR$232,Tableau17[],4,FALSE)+AS249*VLOOKUP(AS$232,Tableau17[],4,FALSE)</f>
        <v>0</v>
      </c>
      <c r="AU249" s="11">
        <f>AQ249*VLOOKUP(AQ$232,Tableau17[],3,FALSE)+AR249*VLOOKUP(AR$232,Tableau17[],3,FALSE)+AS249*VLOOKUP(AS$232,Tableau17[],3,FALSE)</f>
        <v>0</v>
      </c>
    </row>
    <row r="250" spans="1:52" x14ac:dyDescent="0.2">
      <c r="A250" s="463"/>
      <c r="B250" s="3">
        <v>18</v>
      </c>
      <c r="C250" s="45">
        <f t="shared" si="117"/>
        <v>0</v>
      </c>
      <c r="D250" s="45">
        <f t="shared" si="105"/>
        <v>0</v>
      </c>
      <c r="E250" s="45">
        <f>IF(OR(D250=0,D250="",B$116=0),0,D250*INDEX(Listes!$K$1:$Q$12,MATCH(B$116,Listes!$K$1:$K$12,0),MATCH(E$117,Listes!$K$1:$Q$1,0)))</f>
        <v>0</v>
      </c>
      <c r="F250" s="45">
        <f t="shared" si="106"/>
        <v>0</v>
      </c>
      <c r="G250" s="45">
        <f>IF(OR(B$231=0,B$231=""),0,F250*INDEX(Listes!$K$15:$P$26,MATCH(B$231,Listes!$K$15:$K$26,0),MATCH(G$232,Listes!$K$15:$P$15,0))*INDEX(Listes!$K$29:$O$31,MATCH(C$231,Listes!$K$29:$K$31,0),MATCH(G$232,Listes!$K$29:$O$29,0)))</f>
        <v>0</v>
      </c>
      <c r="H250" s="45">
        <f>IF(OR(B$231=0,B$231=""),0,F250*INDEX(Listes!$K$15:$P$26,MATCH(B$231,Listes!$K$15:$K$26,0),MATCH(H$232,Listes!$K$15:$P$15,0))*INDEX(Listes!$K$29:$O$31,MATCH(C$231,Listes!$K$29:$K$31,0),MATCH(H$232,Listes!$K$29:$O$29,0)))</f>
        <v>0</v>
      </c>
      <c r="I250" s="45">
        <f>IF(OR(B$231=0,B$231=""),0,F250*INDEX(Listes!$K$15:$P$26,MATCH(B$231,Listes!$K$15:$K$26,0),MATCH(I$232,Listes!$K$15:$P$15,0))*INDEX(Listes!$K$29:$O$31,MATCH(C$231,Listes!$K$29:$K$31,0),MATCH(I$232,Listes!$K$29:$O$29,0)))</f>
        <v>0</v>
      </c>
      <c r="K250" s="463"/>
      <c r="L250" s="3">
        <v>18</v>
      </c>
      <c r="M250" s="45">
        <f t="shared" si="107"/>
        <v>0</v>
      </c>
      <c r="N250" s="45">
        <f t="shared" si="108"/>
        <v>0</v>
      </c>
      <c r="O250" s="45">
        <f>IF(OR(N250=0,N250="",L$116=0),0,N250*INDEX(Listes!$K$1:$Q$12,MATCH(L$116,Listes!$K$1:$K$12,0),MATCH(O$117,Listes!$K$1:$Q$1,0)))</f>
        <v>0</v>
      </c>
      <c r="P250" s="45">
        <f t="shared" si="109"/>
        <v>0</v>
      </c>
      <c r="Q250" s="45">
        <f>IF(OR(L$231=0,L$231=""),0,P250*INDEX(Listes!$K$15:$P$26,MATCH(L$231,Listes!$K$15:$K$26,0),MATCH(Q$232,Listes!$K$15:$P$15,0))*INDEX(Listes!$K$29:$O$31,MATCH(M$231,Listes!$K$29:$K$31,0),MATCH(Q$232,Listes!$K$29:$O$29,0)))</f>
        <v>0</v>
      </c>
      <c r="R250" s="45">
        <f>IF(OR(L$231=0,L$231=""),0,P250*INDEX(Listes!$K$15:$P$26,MATCH(L$231,Listes!$K$15:$K$26,0),MATCH(R$232,Listes!$K$15:$P$15,0))*INDEX(Listes!$K$29:$O$31,MATCH(M$231,Listes!$K$29:$K$31,0),MATCH(R$232,Listes!$K$29:$O$29,0)))</f>
        <v>0</v>
      </c>
      <c r="S250" s="45">
        <f>IF(OR(L$231=0,L$231=""),0,P250*INDEX(Listes!$K$15:$P$26,MATCH(L$231,Listes!$K$15:$K$26,0),MATCH(S$232,Listes!$K$15:$P$15,0))*INDEX(Listes!$K$29:$O$31,MATCH(M$231,Listes!$K$29:$K$31,0),MATCH(S$232,Listes!$K$29:$O$29,0)))</f>
        <v>0</v>
      </c>
      <c r="U250" s="463"/>
      <c r="V250" s="3">
        <v>18</v>
      </c>
      <c r="W250" s="45">
        <f t="shared" si="110"/>
        <v>0</v>
      </c>
      <c r="X250" s="45">
        <f t="shared" si="111"/>
        <v>0</v>
      </c>
      <c r="Y250" s="45">
        <f>IF(OR(X250=0,X250="",V$116=0),0,X250*INDEX(Listes!$K$1:$Q$12,MATCH(V$116,Listes!$K$1:$K$12,0),MATCH(Y$117,Listes!$K$1:$Q$1,0)))</f>
        <v>0</v>
      </c>
      <c r="Z250" s="45">
        <f t="shared" si="112"/>
        <v>0</v>
      </c>
      <c r="AA250" s="45">
        <f>IF(OR(V$231=0,V$231=""),0,Z250*INDEX(Listes!$K$15:$P$26,MATCH(V$231,Listes!$K$15:$K$26,0),MATCH(AA$232,Listes!$K$15:$P$15,0))*INDEX(Listes!$K$29:$O$31,MATCH(W$231,Listes!$K$29:$K$31,0),MATCH(AA$232,Listes!$K$29:$O$29,0)))</f>
        <v>0</v>
      </c>
      <c r="AB250" s="45">
        <f>IF(OR(V$231=0,V$231=""),0,Z250*INDEX(Listes!$K$15:$P$26,MATCH(V$231,Listes!$K$15:$K$26,0),MATCH(AB$232,Listes!$K$15:$P$15,0))*INDEX(Listes!$K$29:$O$31,MATCH(W$231,Listes!$K$29:$K$31,0),MATCH(AB$232,Listes!$K$29:$O$29,0)))</f>
        <v>0</v>
      </c>
      <c r="AC250" s="45">
        <f>IF(OR(V$231=0,V$231=""),0,Z250*INDEX(Listes!$K$15:$P$26,MATCH(V$231,Listes!$K$15:$K$26,0),MATCH(AC$232,Listes!$K$15:$P$15,0))*INDEX(Listes!$K$29:$O$31,MATCH(W$231,Listes!$K$29:$K$31,0),MATCH(AC$232,Listes!$K$29:$O$29,0)))</f>
        <v>0</v>
      </c>
      <c r="AE250" s="463"/>
      <c r="AF250" s="3">
        <v>18</v>
      </c>
      <c r="AG250" s="45">
        <f t="shared" si="113"/>
        <v>0</v>
      </c>
      <c r="AH250" s="45">
        <f t="shared" si="114"/>
        <v>0</v>
      </c>
      <c r="AI250" s="45">
        <f>IF(OR(AH250=0,AH250="",AF$116=0),0,AH250*INDEX(Listes!$K$1:$Q$12,MATCH(AF$116,Listes!$K$1:$K$12,0),MATCH(AI$117,Listes!$K$1:$Q$1,0)))</f>
        <v>0</v>
      </c>
      <c r="AJ250" s="45">
        <f t="shared" si="115"/>
        <v>0</v>
      </c>
      <c r="AK250" s="45">
        <f>IF(OR(AF$231=0,AF$231=""),0,AJ250*INDEX(Listes!$K$15:$P$26,MATCH(AF$231,Listes!$K$15:$K$26,0),MATCH(AK$232,Listes!$K$15:$P$15,0))*INDEX(Listes!$K$29:$O$31,MATCH(AG$231,Listes!$K$29:$K$31,0),MATCH(AK$232,Listes!$K$29:$O$29,0)))</f>
        <v>0</v>
      </c>
      <c r="AL250" s="45">
        <f>IF(OR(AF$231=0,AF$231=""),0,AJ250*INDEX(Listes!$K$15:$P$26,MATCH(AF$231,Listes!$K$15:$K$26,0),MATCH(AL$232,Listes!$K$15:$P$15,0))*INDEX(Listes!$K$29:$O$31,MATCH(AG$231,Listes!$K$29:$K$31,0),MATCH(AL$232,Listes!$K$29:$O$29,0)))</f>
        <v>0</v>
      </c>
      <c r="AM250" s="45">
        <f>IF(OR(AF$231=0,AF$231=""),0,AJ250*INDEX(Listes!$K$15:$P$26,MATCH(AF$231,Listes!$K$15:$K$26,0),MATCH(AM$232,Listes!$K$15:$P$15,0))*INDEX(Listes!$K$29:$O$31,MATCH(AG$231,Listes!$K$29:$K$31,0),MATCH(AM$232,Listes!$K$29:$O$29,0)))</f>
        <v>0</v>
      </c>
      <c r="AO250" s="463"/>
      <c r="AP250" s="3">
        <v>18</v>
      </c>
      <c r="AQ250" s="11">
        <f t="shared" si="116"/>
        <v>0</v>
      </c>
      <c r="AR250" s="11">
        <f t="shared" si="116"/>
        <v>0</v>
      </c>
      <c r="AS250" s="11">
        <f t="shared" si="116"/>
        <v>0</v>
      </c>
      <c r="AT250" s="11">
        <f>AQ250*VLOOKUP(AQ$232,Tableau17[],4,FALSE)+AR250*VLOOKUP(AR$232,Tableau17[],4,FALSE)+AS250*VLOOKUP(AS$232,Tableau17[],4,FALSE)</f>
        <v>0</v>
      </c>
      <c r="AU250" s="11">
        <f>AQ250*VLOOKUP(AQ$232,Tableau17[],3,FALSE)+AR250*VLOOKUP(AR$232,Tableau17[],3,FALSE)+AS250*VLOOKUP(AS$232,Tableau17[],3,FALSE)</f>
        <v>0</v>
      </c>
    </row>
    <row r="251" spans="1:52" x14ac:dyDescent="0.2">
      <c r="A251" s="463"/>
      <c r="B251" s="3">
        <v>19</v>
      </c>
      <c r="C251" s="45">
        <f t="shared" si="117"/>
        <v>0</v>
      </c>
      <c r="D251" s="45">
        <f t="shared" si="105"/>
        <v>0</v>
      </c>
      <c r="E251" s="45">
        <f>IF(OR(D251=0,D251="",B$116=0),0,D251*INDEX(Listes!$K$1:$Q$12,MATCH(B$116,Listes!$K$1:$K$12,0),MATCH(E$117,Listes!$K$1:$Q$1,0)))</f>
        <v>0</v>
      </c>
      <c r="F251" s="45">
        <f t="shared" si="106"/>
        <v>0</v>
      </c>
      <c r="G251" s="45">
        <f>IF(OR(B$231=0,B$231=""),0,F251*INDEX(Listes!$K$15:$P$26,MATCH(B$231,Listes!$K$15:$K$26,0),MATCH(G$232,Listes!$K$15:$P$15,0))*INDEX(Listes!$K$29:$O$31,MATCH(C$231,Listes!$K$29:$K$31,0),MATCH(G$232,Listes!$K$29:$O$29,0)))</f>
        <v>0</v>
      </c>
      <c r="H251" s="45">
        <f>IF(OR(B$231=0,B$231=""),0,F251*INDEX(Listes!$K$15:$P$26,MATCH(B$231,Listes!$K$15:$K$26,0),MATCH(H$232,Listes!$K$15:$P$15,0))*INDEX(Listes!$K$29:$O$31,MATCH(C$231,Listes!$K$29:$K$31,0),MATCH(H$232,Listes!$K$29:$O$29,0)))</f>
        <v>0</v>
      </c>
      <c r="I251" s="45">
        <f>IF(OR(B$231=0,B$231=""),0,F251*INDEX(Listes!$K$15:$P$26,MATCH(B$231,Listes!$K$15:$K$26,0),MATCH(I$232,Listes!$K$15:$P$15,0))*INDEX(Listes!$K$29:$O$31,MATCH(C$231,Listes!$K$29:$K$31,0),MATCH(I$232,Listes!$K$29:$O$29,0)))</f>
        <v>0</v>
      </c>
      <c r="K251" s="463"/>
      <c r="L251" s="3">
        <v>19</v>
      </c>
      <c r="M251" s="45">
        <f t="shared" si="107"/>
        <v>0</v>
      </c>
      <c r="N251" s="45">
        <f t="shared" si="108"/>
        <v>0</v>
      </c>
      <c r="O251" s="45">
        <f>IF(OR(N251=0,N251="",L$116=0),0,N251*INDEX(Listes!$K$1:$Q$12,MATCH(L$116,Listes!$K$1:$K$12,0),MATCH(O$117,Listes!$K$1:$Q$1,0)))</f>
        <v>0</v>
      </c>
      <c r="P251" s="45">
        <f t="shared" si="109"/>
        <v>0</v>
      </c>
      <c r="Q251" s="45">
        <f>IF(OR(L$231=0,L$231=""),0,P251*INDEX(Listes!$K$15:$P$26,MATCH(L$231,Listes!$K$15:$K$26,0),MATCH(Q$232,Listes!$K$15:$P$15,0))*INDEX(Listes!$K$29:$O$31,MATCH(M$231,Listes!$K$29:$K$31,0),MATCH(Q$232,Listes!$K$29:$O$29,0)))</f>
        <v>0</v>
      </c>
      <c r="R251" s="45">
        <f>IF(OR(L$231=0,L$231=""),0,P251*INDEX(Listes!$K$15:$P$26,MATCH(L$231,Listes!$K$15:$K$26,0),MATCH(R$232,Listes!$K$15:$P$15,0))*INDEX(Listes!$K$29:$O$31,MATCH(M$231,Listes!$K$29:$K$31,0),MATCH(R$232,Listes!$K$29:$O$29,0)))</f>
        <v>0</v>
      </c>
      <c r="S251" s="45">
        <f>IF(OR(L$231=0,L$231=""),0,P251*INDEX(Listes!$K$15:$P$26,MATCH(L$231,Listes!$K$15:$K$26,0),MATCH(S$232,Listes!$K$15:$P$15,0))*INDEX(Listes!$K$29:$O$31,MATCH(M$231,Listes!$K$29:$K$31,0),MATCH(S$232,Listes!$K$29:$O$29,0)))</f>
        <v>0</v>
      </c>
      <c r="U251" s="463"/>
      <c r="V251" s="3">
        <v>19</v>
      </c>
      <c r="W251" s="45">
        <f t="shared" si="110"/>
        <v>0</v>
      </c>
      <c r="X251" s="45">
        <f t="shared" si="111"/>
        <v>0</v>
      </c>
      <c r="Y251" s="45">
        <f>IF(OR(X251=0,X251="",V$116=0),0,X251*INDEX(Listes!$K$1:$Q$12,MATCH(V$116,Listes!$K$1:$K$12,0),MATCH(Y$117,Listes!$K$1:$Q$1,0)))</f>
        <v>0</v>
      </c>
      <c r="Z251" s="45">
        <f t="shared" si="112"/>
        <v>0</v>
      </c>
      <c r="AA251" s="45">
        <f>IF(OR(V$231=0,V$231=""),0,Z251*INDEX(Listes!$K$15:$P$26,MATCH(V$231,Listes!$K$15:$K$26,0),MATCH(AA$232,Listes!$K$15:$P$15,0))*INDEX(Listes!$K$29:$O$31,MATCH(W$231,Listes!$K$29:$K$31,0),MATCH(AA$232,Listes!$K$29:$O$29,0)))</f>
        <v>0</v>
      </c>
      <c r="AB251" s="45">
        <f>IF(OR(V$231=0,V$231=""),0,Z251*INDEX(Listes!$K$15:$P$26,MATCH(V$231,Listes!$K$15:$K$26,0),MATCH(AB$232,Listes!$K$15:$P$15,0))*INDEX(Listes!$K$29:$O$31,MATCH(W$231,Listes!$K$29:$K$31,0),MATCH(AB$232,Listes!$K$29:$O$29,0)))</f>
        <v>0</v>
      </c>
      <c r="AC251" s="45">
        <f>IF(OR(V$231=0,V$231=""),0,Z251*INDEX(Listes!$K$15:$P$26,MATCH(V$231,Listes!$K$15:$K$26,0),MATCH(AC$232,Listes!$K$15:$P$15,0))*INDEX(Listes!$K$29:$O$31,MATCH(W$231,Listes!$K$29:$K$31,0),MATCH(AC$232,Listes!$K$29:$O$29,0)))</f>
        <v>0</v>
      </c>
      <c r="AE251" s="463"/>
      <c r="AF251" s="3">
        <v>19</v>
      </c>
      <c r="AG251" s="45">
        <f t="shared" si="113"/>
        <v>0</v>
      </c>
      <c r="AH251" s="45">
        <f t="shared" si="114"/>
        <v>0</v>
      </c>
      <c r="AI251" s="45">
        <f>IF(OR(AH251=0,AH251="",AF$116=0),0,AH251*INDEX(Listes!$K$1:$Q$12,MATCH(AF$116,Listes!$K$1:$K$12,0),MATCH(AI$117,Listes!$K$1:$Q$1,0)))</f>
        <v>0</v>
      </c>
      <c r="AJ251" s="45">
        <f t="shared" si="115"/>
        <v>0</v>
      </c>
      <c r="AK251" s="45">
        <f>IF(OR(AF$231=0,AF$231=""),0,AJ251*INDEX(Listes!$K$15:$P$26,MATCH(AF$231,Listes!$K$15:$K$26,0),MATCH(AK$232,Listes!$K$15:$P$15,0))*INDEX(Listes!$K$29:$O$31,MATCH(AG$231,Listes!$K$29:$K$31,0),MATCH(AK$232,Listes!$K$29:$O$29,0)))</f>
        <v>0</v>
      </c>
      <c r="AL251" s="45">
        <f>IF(OR(AF$231=0,AF$231=""),0,AJ251*INDEX(Listes!$K$15:$P$26,MATCH(AF$231,Listes!$K$15:$K$26,0),MATCH(AL$232,Listes!$K$15:$P$15,0))*INDEX(Listes!$K$29:$O$31,MATCH(AG$231,Listes!$K$29:$K$31,0),MATCH(AL$232,Listes!$K$29:$O$29,0)))</f>
        <v>0</v>
      </c>
      <c r="AM251" s="45">
        <f>IF(OR(AF$231=0,AF$231=""),0,AJ251*INDEX(Listes!$K$15:$P$26,MATCH(AF$231,Listes!$K$15:$K$26,0),MATCH(AM$232,Listes!$K$15:$P$15,0))*INDEX(Listes!$K$29:$O$31,MATCH(AG$231,Listes!$K$29:$K$31,0),MATCH(AM$232,Listes!$K$29:$O$29,0)))</f>
        <v>0</v>
      </c>
      <c r="AO251" s="463"/>
      <c r="AP251" s="3">
        <v>19</v>
      </c>
      <c r="AQ251" s="11">
        <f t="shared" si="116"/>
        <v>0</v>
      </c>
      <c r="AR251" s="11">
        <f t="shared" si="116"/>
        <v>0</v>
      </c>
      <c r="AS251" s="11">
        <f t="shared" si="116"/>
        <v>0</v>
      </c>
      <c r="AT251" s="11">
        <f>AQ251*VLOOKUP(AQ$232,Tableau17[],4,FALSE)+AR251*VLOOKUP(AR$232,Tableau17[],4,FALSE)+AS251*VLOOKUP(AS$232,Tableau17[],4,FALSE)</f>
        <v>0</v>
      </c>
      <c r="AU251" s="11">
        <f>AQ251*VLOOKUP(AQ$232,Tableau17[],3,FALSE)+AR251*VLOOKUP(AR$232,Tableau17[],3,FALSE)+AS251*VLOOKUP(AS$232,Tableau17[],3,FALSE)</f>
        <v>0</v>
      </c>
    </row>
    <row r="252" spans="1:52" x14ac:dyDescent="0.2">
      <c r="A252" s="463"/>
      <c r="B252" s="3">
        <v>20</v>
      </c>
      <c r="C252" s="45">
        <f t="shared" si="117"/>
        <v>0</v>
      </c>
      <c r="D252" s="45">
        <f t="shared" si="105"/>
        <v>0</v>
      </c>
      <c r="E252" s="45">
        <f>IF(OR(D252=0,D252="",B$116=0),0,D252*INDEX(Listes!$K$1:$Q$12,MATCH(B$116,Listes!$K$1:$K$12,0),MATCH(E$117,Listes!$K$1:$Q$1,0)))</f>
        <v>0</v>
      </c>
      <c r="F252" s="45">
        <f t="shared" si="106"/>
        <v>0</v>
      </c>
      <c r="G252" s="45">
        <f>IF(OR(B$231=0,B$231=""),0,F252*INDEX(Listes!$K$15:$P$26,MATCH(B$231,Listes!$K$15:$K$26,0),MATCH(G$232,Listes!$K$15:$P$15,0))*INDEX(Listes!$K$29:$O$31,MATCH(C$231,Listes!$K$29:$K$31,0),MATCH(G$232,Listes!$K$29:$O$29,0)))</f>
        <v>0</v>
      </c>
      <c r="H252" s="45">
        <f>IF(OR(B$231=0,B$231=""),0,F252*INDEX(Listes!$K$15:$P$26,MATCH(B$231,Listes!$K$15:$K$26,0),MATCH(H$232,Listes!$K$15:$P$15,0))*INDEX(Listes!$K$29:$O$31,MATCH(C$231,Listes!$K$29:$K$31,0),MATCH(H$232,Listes!$K$29:$O$29,0)))</f>
        <v>0</v>
      </c>
      <c r="I252" s="45">
        <f>IF(OR(B$231=0,B$231=""),0,F252*INDEX(Listes!$K$15:$P$26,MATCH(B$231,Listes!$K$15:$K$26,0),MATCH(I$232,Listes!$K$15:$P$15,0))*INDEX(Listes!$K$29:$O$31,MATCH(C$231,Listes!$K$29:$K$31,0),MATCH(I$232,Listes!$K$29:$O$29,0)))</f>
        <v>0</v>
      </c>
      <c r="K252" s="463"/>
      <c r="L252" s="3">
        <v>20</v>
      </c>
      <c r="M252" s="45">
        <f t="shared" si="107"/>
        <v>0</v>
      </c>
      <c r="N252" s="45">
        <f t="shared" si="108"/>
        <v>0</v>
      </c>
      <c r="O252" s="45">
        <f>IF(OR(N252=0,N252="",L$116=0),0,N252*INDEX(Listes!$K$1:$Q$12,MATCH(L$116,Listes!$K$1:$K$12,0),MATCH(O$117,Listes!$K$1:$Q$1,0)))</f>
        <v>0</v>
      </c>
      <c r="P252" s="45">
        <f t="shared" si="109"/>
        <v>0</v>
      </c>
      <c r="Q252" s="45">
        <f>IF(OR(L$231=0,L$231=""),0,P252*INDEX(Listes!$K$15:$P$26,MATCH(L$231,Listes!$K$15:$K$26,0),MATCH(Q$232,Listes!$K$15:$P$15,0))*INDEX(Listes!$K$29:$O$31,MATCH(M$231,Listes!$K$29:$K$31,0),MATCH(Q$232,Listes!$K$29:$O$29,0)))</f>
        <v>0</v>
      </c>
      <c r="R252" s="45">
        <f>IF(OR(L$231=0,L$231=""),0,P252*INDEX(Listes!$K$15:$P$26,MATCH(L$231,Listes!$K$15:$K$26,0),MATCH(R$232,Listes!$K$15:$P$15,0))*INDEX(Listes!$K$29:$O$31,MATCH(M$231,Listes!$K$29:$K$31,0),MATCH(R$232,Listes!$K$29:$O$29,0)))</f>
        <v>0</v>
      </c>
      <c r="S252" s="45">
        <f>IF(OR(L$231=0,L$231=""),0,P252*INDEX(Listes!$K$15:$P$26,MATCH(L$231,Listes!$K$15:$K$26,0),MATCH(S$232,Listes!$K$15:$P$15,0))*INDEX(Listes!$K$29:$O$31,MATCH(M$231,Listes!$K$29:$K$31,0),MATCH(S$232,Listes!$K$29:$O$29,0)))</f>
        <v>0</v>
      </c>
      <c r="U252" s="463"/>
      <c r="V252" s="3">
        <v>20</v>
      </c>
      <c r="W252" s="45">
        <f t="shared" si="110"/>
        <v>0</v>
      </c>
      <c r="X252" s="45">
        <f t="shared" si="111"/>
        <v>0</v>
      </c>
      <c r="Y252" s="45">
        <f>IF(OR(X252=0,X252="",V$116=0),0,X252*INDEX(Listes!$K$1:$Q$12,MATCH(V$116,Listes!$K$1:$K$12,0),MATCH(Y$117,Listes!$K$1:$Q$1,0)))</f>
        <v>0</v>
      </c>
      <c r="Z252" s="45">
        <f t="shared" si="112"/>
        <v>0</v>
      </c>
      <c r="AA252" s="45">
        <f>IF(OR(V$231=0,V$231=""),0,Z252*INDEX(Listes!$K$15:$P$26,MATCH(V$231,Listes!$K$15:$K$26,0),MATCH(AA$232,Listes!$K$15:$P$15,0))*INDEX(Listes!$K$29:$O$31,MATCH(W$231,Listes!$K$29:$K$31,0),MATCH(AA$232,Listes!$K$29:$O$29,0)))</f>
        <v>0</v>
      </c>
      <c r="AB252" s="45">
        <f>IF(OR(V$231=0,V$231=""),0,Z252*INDEX(Listes!$K$15:$P$26,MATCH(V$231,Listes!$K$15:$K$26,0),MATCH(AB$232,Listes!$K$15:$P$15,0))*INDEX(Listes!$K$29:$O$31,MATCH(W$231,Listes!$K$29:$K$31,0),MATCH(AB$232,Listes!$K$29:$O$29,0)))</f>
        <v>0</v>
      </c>
      <c r="AC252" s="45">
        <f>IF(OR(V$231=0,V$231=""),0,Z252*INDEX(Listes!$K$15:$P$26,MATCH(V$231,Listes!$K$15:$K$26,0),MATCH(AC$232,Listes!$K$15:$P$15,0))*INDEX(Listes!$K$29:$O$31,MATCH(W$231,Listes!$K$29:$K$31,0),MATCH(AC$232,Listes!$K$29:$O$29,0)))</f>
        <v>0</v>
      </c>
      <c r="AE252" s="463"/>
      <c r="AF252" s="3">
        <v>20</v>
      </c>
      <c r="AG252" s="45">
        <f t="shared" si="113"/>
        <v>0</v>
      </c>
      <c r="AH252" s="45">
        <f t="shared" si="114"/>
        <v>0</v>
      </c>
      <c r="AI252" s="45">
        <f>IF(OR(AH252=0,AH252="",AF$116=0),0,AH252*INDEX(Listes!$K$1:$Q$12,MATCH(AF$116,Listes!$K$1:$K$12,0),MATCH(AI$117,Listes!$K$1:$Q$1,0)))</f>
        <v>0</v>
      </c>
      <c r="AJ252" s="45">
        <f t="shared" si="115"/>
        <v>0</v>
      </c>
      <c r="AK252" s="45">
        <f>IF(OR(AF$231=0,AF$231=""),0,AJ252*INDEX(Listes!$K$15:$P$26,MATCH(AF$231,Listes!$K$15:$K$26,0),MATCH(AK$232,Listes!$K$15:$P$15,0))*INDEX(Listes!$K$29:$O$31,MATCH(AG$231,Listes!$K$29:$K$31,0),MATCH(AK$232,Listes!$K$29:$O$29,0)))</f>
        <v>0</v>
      </c>
      <c r="AL252" s="45">
        <f>IF(OR(AF$231=0,AF$231=""),0,AJ252*INDEX(Listes!$K$15:$P$26,MATCH(AF$231,Listes!$K$15:$K$26,0),MATCH(AL$232,Listes!$K$15:$P$15,0))*INDEX(Listes!$K$29:$O$31,MATCH(AG$231,Listes!$K$29:$K$31,0),MATCH(AL$232,Listes!$K$29:$O$29,0)))</f>
        <v>0</v>
      </c>
      <c r="AM252" s="45">
        <f>IF(OR(AF$231=0,AF$231=""),0,AJ252*INDEX(Listes!$K$15:$P$26,MATCH(AF$231,Listes!$K$15:$K$26,0),MATCH(AM$232,Listes!$K$15:$P$15,0))*INDEX(Listes!$K$29:$O$31,MATCH(AG$231,Listes!$K$29:$K$31,0),MATCH(AM$232,Listes!$K$29:$O$29,0)))</f>
        <v>0</v>
      </c>
      <c r="AO252" s="463"/>
      <c r="AP252" s="3">
        <v>20</v>
      </c>
      <c r="AQ252" s="11">
        <f t="shared" si="116"/>
        <v>0</v>
      </c>
      <c r="AR252" s="11">
        <f t="shared" si="116"/>
        <v>0</v>
      </c>
      <c r="AS252" s="11">
        <f t="shared" si="116"/>
        <v>0</v>
      </c>
      <c r="AT252" s="11">
        <f>AQ252*VLOOKUP(AQ$232,Tableau17[],4,FALSE)+AR252*VLOOKUP(AR$232,Tableau17[],4,FALSE)+AS252*VLOOKUP(AS$232,Tableau17[],4,FALSE)</f>
        <v>0</v>
      </c>
      <c r="AU252" s="11">
        <f>AQ252*VLOOKUP(AQ$232,Tableau17[],3,FALSE)+AR252*VLOOKUP(AR$232,Tableau17[],3,FALSE)+AS252*VLOOKUP(AS$232,Tableau17[],3,FALSE)</f>
        <v>0</v>
      </c>
    </row>
    <row r="254" spans="1:52" x14ac:dyDescent="0.2">
      <c r="A254" s="136" t="s">
        <v>633</v>
      </c>
      <c r="B254" s="136"/>
      <c r="C254" s="136"/>
      <c r="D254" s="136"/>
      <c r="E254" s="136"/>
      <c r="F254" s="136"/>
      <c r="G254" s="136"/>
      <c r="H254" s="136"/>
      <c r="I254" s="136"/>
      <c r="J254" s="136"/>
      <c r="K254" s="136"/>
      <c r="L254" s="136"/>
      <c r="M254" s="49"/>
      <c r="N254" s="49"/>
      <c r="O254" s="49"/>
      <c r="P254" s="49"/>
      <c r="Q254" s="49"/>
      <c r="R254" s="49"/>
      <c r="S254" s="49"/>
      <c r="T254" s="49"/>
      <c r="U254" s="49"/>
      <c r="V254" s="49"/>
      <c r="W254" s="49"/>
      <c r="X254" s="49"/>
      <c r="Y254" s="49"/>
      <c r="Z254" s="49"/>
      <c r="AA254" s="49"/>
      <c r="AB254" s="49"/>
      <c r="AC254" s="49"/>
      <c r="AD254" s="49"/>
      <c r="AE254" s="49"/>
      <c r="AF254" s="49"/>
      <c r="AG254" s="49"/>
      <c r="AH254" s="49"/>
      <c r="AI254" s="49"/>
      <c r="AJ254" s="49"/>
      <c r="AK254" s="49"/>
      <c r="AL254" s="49"/>
      <c r="AM254" s="49"/>
      <c r="AN254" s="49"/>
      <c r="AO254" s="49"/>
      <c r="AP254" s="49"/>
      <c r="AQ254" s="49"/>
      <c r="AR254" s="49"/>
      <c r="AS254" s="49"/>
      <c r="AT254" s="49"/>
      <c r="AU254" s="49"/>
      <c r="AV254" s="49"/>
      <c r="AW254" s="49"/>
      <c r="AX254" s="49"/>
      <c r="AY254" s="49"/>
      <c r="AZ254" s="49"/>
    </row>
    <row r="256" spans="1:52" x14ac:dyDescent="0.2">
      <c r="A256" s="463" t="s">
        <v>185</v>
      </c>
      <c r="B256" s="3" t="s">
        <v>28</v>
      </c>
      <c r="C256" s="3">
        <v>1</v>
      </c>
      <c r="D256" s="3">
        <v>2</v>
      </c>
      <c r="E256" s="3">
        <v>3</v>
      </c>
      <c r="F256" s="3">
        <v>4</v>
      </c>
      <c r="G256" s="3">
        <v>5</v>
      </c>
      <c r="H256" s="3">
        <v>6</v>
      </c>
      <c r="I256" s="3">
        <v>7</v>
      </c>
      <c r="J256" s="3">
        <v>8</v>
      </c>
      <c r="K256" s="3">
        <v>9</v>
      </c>
      <c r="L256" s="3">
        <v>10</v>
      </c>
      <c r="M256" s="3">
        <v>11</v>
      </c>
      <c r="N256" s="3">
        <v>12</v>
      </c>
      <c r="O256" s="3">
        <v>13</v>
      </c>
      <c r="P256" s="3">
        <v>14</v>
      </c>
      <c r="Q256" s="3">
        <v>15</v>
      </c>
      <c r="R256" s="3">
        <v>16</v>
      </c>
      <c r="S256" s="3">
        <v>17</v>
      </c>
      <c r="T256" s="3">
        <v>18</v>
      </c>
      <c r="U256" s="3">
        <v>19</v>
      </c>
      <c r="V256" s="3">
        <v>20</v>
      </c>
    </row>
    <row r="257" spans="1:32" x14ac:dyDescent="0.2">
      <c r="A257" s="463"/>
      <c r="B257" s="3" t="s">
        <v>86</v>
      </c>
      <c r="C257" s="11">
        <f>VLOOKUP(C256,Tableau4668167392[],6,FALSE)</f>
        <v>0</v>
      </c>
      <c r="D257" s="11">
        <f>VLOOKUP(D256,Tableau4668167392[],6,FALSE)</f>
        <v>0</v>
      </c>
      <c r="E257" s="11">
        <f>VLOOKUP(E256,Tableau4668167392[],6,FALSE)</f>
        <v>0</v>
      </c>
      <c r="F257" s="11">
        <f>VLOOKUP(F256,Tableau4668167392[],6,FALSE)</f>
        <v>0</v>
      </c>
      <c r="G257" s="11">
        <f>VLOOKUP(G256,Tableau4668167392[],6,FALSE)</f>
        <v>0</v>
      </c>
      <c r="H257" s="11">
        <f>VLOOKUP(H256,Tableau4668167392[],6,FALSE)</f>
        <v>0</v>
      </c>
      <c r="I257" s="11">
        <f>VLOOKUP(I256,Tableau4668167392[],6,FALSE)</f>
        <v>0</v>
      </c>
      <c r="J257" s="11">
        <f>VLOOKUP(J256,Tableau4668167392[],6,FALSE)</f>
        <v>0</v>
      </c>
      <c r="K257" s="11">
        <f>VLOOKUP(K256,Tableau4668167392[],6,FALSE)</f>
        <v>0</v>
      </c>
      <c r="L257" s="11">
        <f>VLOOKUP(L256,Tableau4668167392[],6,FALSE)</f>
        <v>0</v>
      </c>
      <c r="M257" s="11">
        <f>VLOOKUP(M256,Tableau4668167392[],6,FALSE)</f>
        <v>0</v>
      </c>
      <c r="N257" s="11">
        <f>VLOOKUP(N256,Tableau4668167392[],6,FALSE)</f>
        <v>0</v>
      </c>
      <c r="O257" s="11">
        <f>VLOOKUP(O256,Tableau4668167392[],6,FALSE)</f>
        <v>0</v>
      </c>
      <c r="P257" s="11">
        <f>VLOOKUP(P256,Tableau4668167392[],6,FALSE)</f>
        <v>0</v>
      </c>
      <c r="Q257" s="11">
        <f>VLOOKUP(Q256,Tableau4668167392[],6,FALSE)</f>
        <v>0</v>
      </c>
      <c r="R257" s="11">
        <f>VLOOKUP(R256,Tableau4668167392[],6,FALSE)</f>
        <v>0</v>
      </c>
      <c r="S257" s="11">
        <f>VLOOKUP(S256,Tableau4668167392[],6,FALSE)</f>
        <v>0</v>
      </c>
      <c r="T257" s="11">
        <f>VLOOKUP(T256,Tableau4668167392[],6,FALSE)</f>
        <v>0</v>
      </c>
      <c r="U257" s="11">
        <f>VLOOKUP(U256,Tableau4668167392[],6,FALSE)</f>
        <v>0</v>
      </c>
      <c r="V257" s="11">
        <f>VLOOKUP(V256,Tableau4668167392[],6,FALSE)</f>
        <v>0</v>
      </c>
      <c r="W257" s="11"/>
      <c r="X257" s="11"/>
      <c r="Y257" s="11"/>
      <c r="Z257" s="11"/>
      <c r="AA257" s="11"/>
      <c r="AB257" s="11"/>
      <c r="AC257" s="11"/>
      <c r="AD257" s="11"/>
      <c r="AE257" s="11"/>
      <c r="AF257" s="11"/>
    </row>
    <row r="259" spans="1:32" ht="16" customHeight="1" x14ac:dyDescent="0.2">
      <c r="A259" s="463" t="s">
        <v>186</v>
      </c>
      <c r="B259" s="3" t="s">
        <v>28</v>
      </c>
      <c r="C259" s="3" t="s">
        <v>27</v>
      </c>
      <c r="D259" s="3" t="s">
        <v>29</v>
      </c>
      <c r="E259" s="3" t="s">
        <v>30</v>
      </c>
      <c r="F259" s="3" t="s">
        <v>31</v>
      </c>
      <c r="G259" s="3" t="s">
        <v>32</v>
      </c>
      <c r="H259" s="3" t="s">
        <v>33</v>
      </c>
      <c r="I259" s="3" t="s">
        <v>34</v>
      </c>
      <c r="J259" s="3" t="s">
        <v>35</v>
      </c>
      <c r="K259" s="3" t="s">
        <v>36</v>
      </c>
      <c r="L259" s="3" t="s">
        <v>37</v>
      </c>
      <c r="M259" s="3" t="s">
        <v>38</v>
      </c>
      <c r="N259" s="3" t="s">
        <v>39</v>
      </c>
      <c r="O259" s="3" t="s">
        <v>40</v>
      </c>
      <c r="P259" s="3" t="s">
        <v>41</v>
      </c>
      <c r="Q259" s="3" t="s">
        <v>42</v>
      </c>
      <c r="R259" s="3" t="s">
        <v>43</v>
      </c>
      <c r="S259" s="3" t="s">
        <v>44</v>
      </c>
      <c r="T259" s="3" t="s">
        <v>45</v>
      </c>
      <c r="U259" s="3" t="s">
        <v>46</v>
      </c>
      <c r="V259" s="3" t="s">
        <v>47</v>
      </c>
      <c r="W259" s="3" t="s">
        <v>48</v>
      </c>
      <c r="X259" s="3" t="s">
        <v>49</v>
      </c>
    </row>
    <row r="260" spans="1:32" x14ac:dyDescent="0.2">
      <c r="A260" s="463"/>
      <c r="B260" s="3">
        <v>1</v>
      </c>
      <c r="C260" s="45">
        <f t="shared" ref="C260:C279" si="118">AT233+IF($B260=1,0,C259)</f>
        <v>0</v>
      </c>
      <c r="D260" s="45">
        <f t="shared" ref="D260:W272" si="119">IF($B260&gt;=C$256,IF($B260=C$256,C$257,C$257*((20+C$256)-$B260)/20),0)*IF((20+C$256)-$B260&lt;0,0,1)</f>
        <v>0</v>
      </c>
      <c r="E260" s="45">
        <f t="shared" si="119"/>
        <v>0</v>
      </c>
      <c r="F260" s="45">
        <f t="shared" si="119"/>
        <v>0</v>
      </c>
      <c r="G260" s="45">
        <f t="shared" si="119"/>
        <v>0</v>
      </c>
      <c r="H260" s="45">
        <f t="shared" si="119"/>
        <v>0</v>
      </c>
      <c r="I260" s="45">
        <f t="shared" si="119"/>
        <v>0</v>
      </c>
      <c r="J260" s="45">
        <f t="shared" si="119"/>
        <v>0</v>
      </c>
      <c r="K260" s="45">
        <f t="shared" si="119"/>
        <v>0</v>
      </c>
      <c r="L260" s="45">
        <f t="shared" si="119"/>
        <v>0</v>
      </c>
      <c r="M260" s="45">
        <f t="shared" si="119"/>
        <v>0</v>
      </c>
      <c r="N260" s="45">
        <f t="shared" si="119"/>
        <v>0</v>
      </c>
      <c r="O260" s="45">
        <f t="shared" si="119"/>
        <v>0</v>
      </c>
      <c r="P260" s="45">
        <f t="shared" si="119"/>
        <v>0</v>
      </c>
      <c r="Q260" s="45">
        <f t="shared" si="119"/>
        <v>0</v>
      </c>
      <c r="R260" s="45">
        <f t="shared" si="119"/>
        <v>0</v>
      </c>
      <c r="S260" s="45">
        <f t="shared" si="119"/>
        <v>0</v>
      </c>
      <c r="T260" s="45">
        <f t="shared" si="119"/>
        <v>0</v>
      </c>
      <c r="U260" s="45">
        <f t="shared" si="119"/>
        <v>0</v>
      </c>
      <c r="V260" s="45">
        <f t="shared" si="119"/>
        <v>0</v>
      </c>
      <c r="W260" s="45">
        <f t="shared" si="119"/>
        <v>0</v>
      </c>
      <c r="X260" s="45">
        <f t="shared" ref="X260:X279" si="120">SUM(C260:W260)*44/12</f>
        <v>0</v>
      </c>
    </row>
    <row r="261" spans="1:32" x14ac:dyDescent="0.2">
      <c r="A261" s="463"/>
      <c r="B261" s="3">
        <v>2</v>
      </c>
      <c r="C261" s="11">
        <f t="shared" si="118"/>
        <v>0</v>
      </c>
      <c r="D261" s="45">
        <f t="shared" si="119"/>
        <v>0</v>
      </c>
      <c r="E261" s="45">
        <f t="shared" si="119"/>
        <v>0</v>
      </c>
      <c r="F261" s="45">
        <f t="shared" si="119"/>
        <v>0</v>
      </c>
      <c r="G261" s="45">
        <f t="shared" si="119"/>
        <v>0</v>
      </c>
      <c r="H261" s="45">
        <f t="shared" si="119"/>
        <v>0</v>
      </c>
      <c r="I261" s="45">
        <f t="shared" si="119"/>
        <v>0</v>
      </c>
      <c r="J261" s="45">
        <f t="shared" si="119"/>
        <v>0</v>
      </c>
      <c r="K261" s="45">
        <f t="shared" si="119"/>
        <v>0</v>
      </c>
      <c r="L261" s="45">
        <f t="shared" si="119"/>
        <v>0</v>
      </c>
      <c r="M261" s="11">
        <f t="shared" si="119"/>
        <v>0</v>
      </c>
      <c r="N261" s="11">
        <f t="shared" si="119"/>
        <v>0</v>
      </c>
      <c r="O261" s="11">
        <f t="shared" si="119"/>
        <v>0</v>
      </c>
      <c r="P261" s="11">
        <f t="shared" si="119"/>
        <v>0</v>
      </c>
      <c r="Q261" s="11">
        <f t="shared" si="119"/>
        <v>0</v>
      </c>
      <c r="R261" s="11">
        <f t="shared" si="119"/>
        <v>0</v>
      </c>
      <c r="S261" s="11">
        <f t="shared" si="119"/>
        <v>0</v>
      </c>
      <c r="T261" s="11">
        <f t="shared" si="119"/>
        <v>0</v>
      </c>
      <c r="U261" s="11">
        <f t="shared" si="119"/>
        <v>0</v>
      </c>
      <c r="V261" s="11">
        <f t="shared" si="119"/>
        <v>0</v>
      </c>
      <c r="W261" s="11">
        <f t="shared" si="119"/>
        <v>0</v>
      </c>
      <c r="X261" s="11">
        <f t="shared" si="120"/>
        <v>0</v>
      </c>
    </row>
    <row r="262" spans="1:32" x14ac:dyDescent="0.2">
      <c r="A262" s="463"/>
      <c r="B262" s="3">
        <v>3</v>
      </c>
      <c r="C262" s="11">
        <f t="shared" si="118"/>
        <v>0</v>
      </c>
      <c r="D262" s="45">
        <f t="shared" si="119"/>
        <v>0</v>
      </c>
      <c r="E262" s="45">
        <f t="shared" si="119"/>
        <v>0</v>
      </c>
      <c r="F262" s="45">
        <f t="shared" si="119"/>
        <v>0</v>
      </c>
      <c r="G262" s="45">
        <f t="shared" si="119"/>
        <v>0</v>
      </c>
      <c r="H262" s="45">
        <f t="shared" si="119"/>
        <v>0</v>
      </c>
      <c r="I262" s="45">
        <f t="shared" si="119"/>
        <v>0</v>
      </c>
      <c r="J262" s="45">
        <f t="shared" si="119"/>
        <v>0</v>
      </c>
      <c r="K262" s="45">
        <f t="shared" si="119"/>
        <v>0</v>
      </c>
      <c r="L262" s="45">
        <f t="shared" si="119"/>
        <v>0</v>
      </c>
      <c r="M262" s="11">
        <f t="shared" si="119"/>
        <v>0</v>
      </c>
      <c r="N262" s="11">
        <f t="shared" si="119"/>
        <v>0</v>
      </c>
      <c r="O262" s="11">
        <f t="shared" si="119"/>
        <v>0</v>
      </c>
      <c r="P262" s="11">
        <f t="shared" si="119"/>
        <v>0</v>
      </c>
      <c r="Q262" s="11">
        <f t="shared" si="119"/>
        <v>0</v>
      </c>
      <c r="R262" s="11">
        <f t="shared" si="119"/>
        <v>0</v>
      </c>
      <c r="S262" s="11">
        <f t="shared" si="119"/>
        <v>0</v>
      </c>
      <c r="T262" s="11">
        <f t="shared" si="119"/>
        <v>0</v>
      </c>
      <c r="U262" s="11">
        <f t="shared" si="119"/>
        <v>0</v>
      </c>
      <c r="V262" s="11">
        <f t="shared" si="119"/>
        <v>0</v>
      </c>
      <c r="W262" s="11">
        <f t="shared" si="119"/>
        <v>0</v>
      </c>
      <c r="X262" s="11">
        <f t="shared" si="120"/>
        <v>0</v>
      </c>
    </row>
    <row r="263" spans="1:32" x14ac:dyDescent="0.2">
      <c r="A263" s="463"/>
      <c r="B263" s="3">
        <v>4</v>
      </c>
      <c r="C263" s="11">
        <f t="shared" si="118"/>
        <v>0</v>
      </c>
      <c r="D263" s="45">
        <f t="shared" si="119"/>
        <v>0</v>
      </c>
      <c r="E263" s="45">
        <f t="shared" si="119"/>
        <v>0</v>
      </c>
      <c r="F263" s="45">
        <f t="shared" si="119"/>
        <v>0</v>
      </c>
      <c r="G263" s="45">
        <f t="shared" si="119"/>
        <v>0</v>
      </c>
      <c r="H263" s="45">
        <f t="shared" si="119"/>
        <v>0</v>
      </c>
      <c r="I263" s="45">
        <f t="shared" si="119"/>
        <v>0</v>
      </c>
      <c r="J263" s="45">
        <f t="shared" si="119"/>
        <v>0</v>
      </c>
      <c r="K263" s="45">
        <f t="shared" si="119"/>
        <v>0</v>
      </c>
      <c r="L263" s="45">
        <f t="shared" si="119"/>
        <v>0</v>
      </c>
      <c r="M263" s="11">
        <f t="shared" si="119"/>
        <v>0</v>
      </c>
      <c r="N263" s="11">
        <f t="shared" si="119"/>
        <v>0</v>
      </c>
      <c r="O263" s="11">
        <f t="shared" si="119"/>
        <v>0</v>
      </c>
      <c r="P263" s="11">
        <f t="shared" si="119"/>
        <v>0</v>
      </c>
      <c r="Q263" s="11">
        <f t="shared" si="119"/>
        <v>0</v>
      </c>
      <c r="R263" s="11">
        <f t="shared" si="119"/>
        <v>0</v>
      </c>
      <c r="S263" s="11">
        <f t="shared" si="119"/>
        <v>0</v>
      </c>
      <c r="T263" s="11">
        <f t="shared" si="119"/>
        <v>0</v>
      </c>
      <c r="U263" s="11">
        <f t="shared" si="119"/>
        <v>0</v>
      </c>
      <c r="V263" s="11">
        <f t="shared" si="119"/>
        <v>0</v>
      </c>
      <c r="W263" s="11">
        <f t="shared" si="119"/>
        <v>0</v>
      </c>
      <c r="X263" s="11">
        <f t="shared" si="120"/>
        <v>0</v>
      </c>
    </row>
    <row r="264" spans="1:32" x14ac:dyDescent="0.2">
      <c r="A264" s="463"/>
      <c r="B264" s="3">
        <v>5</v>
      </c>
      <c r="C264" s="11">
        <f t="shared" si="118"/>
        <v>0</v>
      </c>
      <c r="D264" s="45">
        <f t="shared" si="119"/>
        <v>0</v>
      </c>
      <c r="E264" s="45">
        <f t="shared" si="119"/>
        <v>0</v>
      </c>
      <c r="F264" s="45">
        <f t="shared" si="119"/>
        <v>0</v>
      </c>
      <c r="G264" s="45">
        <f t="shared" si="119"/>
        <v>0</v>
      </c>
      <c r="H264" s="45">
        <f t="shared" si="119"/>
        <v>0</v>
      </c>
      <c r="I264" s="45">
        <f t="shared" si="119"/>
        <v>0</v>
      </c>
      <c r="J264" s="45">
        <f t="shared" si="119"/>
        <v>0</v>
      </c>
      <c r="K264" s="45">
        <f t="shared" si="119"/>
        <v>0</v>
      </c>
      <c r="L264" s="45">
        <f t="shared" si="119"/>
        <v>0</v>
      </c>
      <c r="M264" s="11">
        <f t="shared" si="119"/>
        <v>0</v>
      </c>
      <c r="N264" s="11">
        <f t="shared" si="119"/>
        <v>0</v>
      </c>
      <c r="O264" s="11">
        <f t="shared" si="119"/>
        <v>0</v>
      </c>
      <c r="P264" s="11">
        <f t="shared" si="119"/>
        <v>0</v>
      </c>
      <c r="Q264" s="11">
        <f t="shared" si="119"/>
        <v>0</v>
      </c>
      <c r="R264" s="11">
        <f t="shared" si="119"/>
        <v>0</v>
      </c>
      <c r="S264" s="11">
        <f t="shared" si="119"/>
        <v>0</v>
      </c>
      <c r="T264" s="11">
        <f t="shared" si="119"/>
        <v>0</v>
      </c>
      <c r="U264" s="11">
        <f t="shared" si="119"/>
        <v>0</v>
      </c>
      <c r="V264" s="11">
        <f t="shared" si="119"/>
        <v>0</v>
      </c>
      <c r="W264" s="11">
        <f t="shared" si="119"/>
        <v>0</v>
      </c>
      <c r="X264" s="11">
        <f t="shared" si="120"/>
        <v>0</v>
      </c>
    </row>
    <row r="265" spans="1:32" x14ac:dyDescent="0.2">
      <c r="A265" s="463"/>
      <c r="B265" s="3">
        <v>6</v>
      </c>
      <c r="C265" s="11">
        <f t="shared" si="118"/>
        <v>0</v>
      </c>
      <c r="D265" s="45">
        <f t="shared" si="119"/>
        <v>0</v>
      </c>
      <c r="E265" s="45">
        <f t="shared" si="119"/>
        <v>0</v>
      </c>
      <c r="F265" s="45">
        <f t="shared" si="119"/>
        <v>0</v>
      </c>
      <c r="G265" s="45">
        <f t="shared" si="119"/>
        <v>0</v>
      </c>
      <c r="H265" s="45">
        <f t="shared" si="119"/>
        <v>0</v>
      </c>
      <c r="I265" s="45">
        <f t="shared" si="119"/>
        <v>0</v>
      </c>
      <c r="J265" s="45">
        <f t="shared" si="119"/>
        <v>0</v>
      </c>
      <c r="K265" s="45">
        <f t="shared" si="119"/>
        <v>0</v>
      </c>
      <c r="L265" s="45">
        <f t="shared" si="119"/>
        <v>0</v>
      </c>
      <c r="M265" s="11">
        <f t="shared" si="119"/>
        <v>0</v>
      </c>
      <c r="N265" s="11">
        <f t="shared" si="119"/>
        <v>0</v>
      </c>
      <c r="O265" s="11">
        <f t="shared" si="119"/>
        <v>0</v>
      </c>
      <c r="P265" s="11">
        <f t="shared" si="119"/>
        <v>0</v>
      </c>
      <c r="Q265" s="11">
        <f t="shared" si="119"/>
        <v>0</v>
      </c>
      <c r="R265" s="11">
        <f t="shared" si="119"/>
        <v>0</v>
      </c>
      <c r="S265" s="11">
        <f t="shared" si="119"/>
        <v>0</v>
      </c>
      <c r="T265" s="11">
        <f t="shared" si="119"/>
        <v>0</v>
      </c>
      <c r="U265" s="11">
        <f t="shared" si="119"/>
        <v>0</v>
      </c>
      <c r="V265" s="11">
        <f t="shared" si="119"/>
        <v>0</v>
      </c>
      <c r="W265" s="11">
        <f t="shared" si="119"/>
        <v>0</v>
      </c>
      <c r="X265" s="11">
        <f t="shared" si="120"/>
        <v>0</v>
      </c>
    </row>
    <row r="266" spans="1:32" x14ac:dyDescent="0.2">
      <c r="A266" s="463"/>
      <c r="B266" s="3">
        <v>7</v>
      </c>
      <c r="C266" s="11">
        <f t="shared" si="118"/>
        <v>0</v>
      </c>
      <c r="D266" s="45">
        <f t="shared" si="119"/>
        <v>0</v>
      </c>
      <c r="E266" s="45">
        <f t="shared" si="119"/>
        <v>0</v>
      </c>
      <c r="F266" s="45">
        <f t="shared" si="119"/>
        <v>0</v>
      </c>
      <c r="G266" s="45">
        <f t="shared" si="119"/>
        <v>0</v>
      </c>
      <c r="H266" s="45">
        <f t="shared" si="119"/>
        <v>0</v>
      </c>
      <c r="I266" s="45">
        <f t="shared" si="119"/>
        <v>0</v>
      </c>
      <c r="J266" s="45">
        <f t="shared" si="119"/>
        <v>0</v>
      </c>
      <c r="K266" s="45">
        <f t="shared" si="119"/>
        <v>0</v>
      </c>
      <c r="L266" s="45">
        <f t="shared" si="119"/>
        <v>0</v>
      </c>
      <c r="M266" s="11">
        <f t="shared" si="119"/>
        <v>0</v>
      </c>
      <c r="N266" s="11">
        <f t="shared" si="119"/>
        <v>0</v>
      </c>
      <c r="O266" s="11">
        <f t="shared" si="119"/>
        <v>0</v>
      </c>
      <c r="P266" s="11">
        <f t="shared" si="119"/>
        <v>0</v>
      </c>
      <c r="Q266" s="11">
        <f t="shared" si="119"/>
        <v>0</v>
      </c>
      <c r="R266" s="11">
        <f t="shared" si="119"/>
        <v>0</v>
      </c>
      <c r="S266" s="11">
        <f t="shared" si="119"/>
        <v>0</v>
      </c>
      <c r="T266" s="11">
        <f t="shared" si="119"/>
        <v>0</v>
      </c>
      <c r="U266" s="11">
        <f t="shared" si="119"/>
        <v>0</v>
      </c>
      <c r="V266" s="11">
        <f t="shared" si="119"/>
        <v>0</v>
      </c>
      <c r="W266" s="11">
        <f t="shared" si="119"/>
        <v>0</v>
      </c>
      <c r="X266" s="11">
        <f t="shared" si="120"/>
        <v>0</v>
      </c>
    </row>
    <row r="267" spans="1:32" x14ac:dyDescent="0.2">
      <c r="A267" s="463"/>
      <c r="B267" s="3">
        <v>8</v>
      </c>
      <c r="C267" s="11">
        <f t="shared" si="118"/>
        <v>0</v>
      </c>
      <c r="D267" s="45">
        <f t="shared" si="119"/>
        <v>0</v>
      </c>
      <c r="E267" s="45">
        <f t="shared" si="119"/>
        <v>0</v>
      </c>
      <c r="F267" s="45">
        <f t="shared" si="119"/>
        <v>0</v>
      </c>
      <c r="G267" s="45">
        <f t="shared" si="119"/>
        <v>0</v>
      </c>
      <c r="H267" s="45">
        <f t="shared" si="119"/>
        <v>0</v>
      </c>
      <c r="I267" s="45">
        <f t="shared" si="119"/>
        <v>0</v>
      </c>
      <c r="J267" s="45">
        <f t="shared" si="119"/>
        <v>0</v>
      </c>
      <c r="K267" s="45">
        <f t="shared" si="119"/>
        <v>0</v>
      </c>
      <c r="L267" s="45">
        <f t="shared" si="119"/>
        <v>0</v>
      </c>
      <c r="M267" s="11">
        <f t="shared" si="119"/>
        <v>0</v>
      </c>
      <c r="N267" s="11">
        <f t="shared" si="119"/>
        <v>0</v>
      </c>
      <c r="O267" s="11">
        <f t="shared" si="119"/>
        <v>0</v>
      </c>
      <c r="P267" s="11">
        <f t="shared" si="119"/>
        <v>0</v>
      </c>
      <c r="Q267" s="11">
        <f t="shared" si="119"/>
        <v>0</v>
      </c>
      <c r="R267" s="11">
        <f t="shared" si="119"/>
        <v>0</v>
      </c>
      <c r="S267" s="11">
        <f t="shared" si="119"/>
        <v>0</v>
      </c>
      <c r="T267" s="11">
        <f t="shared" si="119"/>
        <v>0</v>
      </c>
      <c r="U267" s="11">
        <f t="shared" si="119"/>
        <v>0</v>
      </c>
      <c r="V267" s="11">
        <f t="shared" si="119"/>
        <v>0</v>
      </c>
      <c r="W267" s="11">
        <f t="shared" si="119"/>
        <v>0</v>
      </c>
      <c r="X267" s="11">
        <f t="shared" si="120"/>
        <v>0</v>
      </c>
    </row>
    <row r="268" spans="1:32" x14ac:dyDescent="0.2">
      <c r="A268" s="463"/>
      <c r="B268" s="3">
        <v>9</v>
      </c>
      <c r="C268" s="11">
        <f t="shared" si="118"/>
        <v>0</v>
      </c>
      <c r="D268" s="45">
        <f t="shared" si="119"/>
        <v>0</v>
      </c>
      <c r="E268" s="45">
        <f t="shared" si="119"/>
        <v>0</v>
      </c>
      <c r="F268" s="45">
        <f t="shared" si="119"/>
        <v>0</v>
      </c>
      <c r="G268" s="45">
        <f t="shared" si="119"/>
        <v>0</v>
      </c>
      <c r="H268" s="45">
        <f t="shared" si="119"/>
        <v>0</v>
      </c>
      <c r="I268" s="45">
        <f t="shared" si="119"/>
        <v>0</v>
      </c>
      <c r="J268" s="45">
        <f t="shared" si="119"/>
        <v>0</v>
      </c>
      <c r="K268" s="45">
        <f t="shared" si="119"/>
        <v>0</v>
      </c>
      <c r="L268" s="45">
        <f t="shared" si="119"/>
        <v>0</v>
      </c>
      <c r="M268" s="11">
        <f t="shared" si="119"/>
        <v>0</v>
      </c>
      <c r="N268" s="11">
        <f t="shared" si="119"/>
        <v>0</v>
      </c>
      <c r="O268" s="11">
        <f t="shared" si="119"/>
        <v>0</v>
      </c>
      <c r="P268" s="11">
        <f t="shared" si="119"/>
        <v>0</v>
      </c>
      <c r="Q268" s="11">
        <f t="shared" si="119"/>
        <v>0</v>
      </c>
      <c r="R268" s="11">
        <f t="shared" si="119"/>
        <v>0</v>
      </c>
      <c r="S268" s="11">
        <f t="shared" si="119"/>
        <v>0</v>
      </c>
      <c r="T268" s="11">
        <f t="shared" si="119"/>
        <v>0</v>
      </c>
      <c r="U268" s="11">
        <f t="shared" si="119"/>
        <v>0</v>
      </c>
      <c r="V268" s="11">
        <f t="shared" si="119"/>
        <v>0</v>
      </c>
      <c r="W268" s="11">
        <f t="shared" si="119"/>
        <v>0</v>
      </c>
      <c r="X268" s="11">
        <f t="shared" si="120"/>
        <v>0</v>
      </c>
    </row>
    <row r="269" spans="1:32" x14ac:dyDescent="0.2">
      <c r="A269" s="463"/>
      <c r="B269" s="3">
        <v>10</v>
      </c>
      <c r="C269" s="11">
        <f t="shared" si="118"/>
        <v>0</v>
      </c>
      <c r="D269" s="45">
        <f t="shared" si="119"/>
        <v>0</v>
      </c>
      <c r="E269" s="45">
        <f t="shared" si="119"/>
        <v>0</v>
      </c>
      <c r="F269" s="45">
        <f t="shared" si="119"/>
        <v>0</v>
      </c>
      <c r="G269" s="45">
        <f t="shared" si="119"/>
        <v>0</v>
      </c>
      <c r="H269" s="45">
        <f t="shared" si="119"/>
        <v>0</v>
      </c>
      <c r="I269" s="45">
        <f t="shared" si="119"/>
        <v>0</v>
      </c>
      <c r="J269" s="45">
        <f t="shared" si="119"/>
        <v>0</v>
      </c>
      <c r="K269" s="45">
        <f t="shared" si="119"/>
        <v>0</v>
      </c>
      <c r="L269" s="45">
        <f t="shared" si="119"/>
        <v>0</v>
      </c>
      <c r="M269" s="11">
        <f t="shared" si="119"/>
        <v>0</v>
      </c>
      <c r="N269" s="11">
        <f t="shared" si="119"/>
        <v>0</v>
      </c>
      <c r="O269" s="11">
        <f t="shared" si="119"/>
        <v>0</v>
      </c>
      <c r="P269" s="11">
        <f t="shared" si="119"/>
        <v>0</v>
      </c>
      <c r="Q269" s="11">
        <f t="shared" si="119"/>
        <v>0</v>
      </c>
      <c r="R269" s="11">
        <f t="shared" si="119"/>
        <v>0</v>
      </c>
      <c r="S269" s="11">
        <f t="shared" si="119"/>
        <v>0</v>
      </c>
      <c r="T269" s="11">
        <f t="shared" si="119"/>
        <v>0</v>
      </c>
      <c r="U269" s="11">
        <f t="shared" si="119"/>
        <v>0</v>
      </c>
      <c r="V269" s="11">
        <f t="shared" si="119"/>
        <v>0</v>
      </c>
      <c r="W269" s="11">
        <f t="shared" si="119"/>
        <v>0</v>
      </c>
      <c r="X269" s="11">
        <f t="shared" si="120"/>
        <v>0</v>
      </c>
    </row>
    <row r="270" spans="1:32" x14ac:dyDescent="0.2">
      <c r="A270" s="463"/>
      <c r="B270" s="3">
        <v>11</v>
      </c>
      <c r="C270" s="11">
        <f t="shared" si="118"/>
        <v>0</v>
      </c>
      <c r="D270" s="45">
        <f t="shared" si="119"/>
        <v>0</v>
      </c>
      <c r="E270" s="45">
        <f t="shared" si="119"/>
        <v>0</v>
      </c>
      <c r="F270" s="45">
        <f t="shared" si="119"/>
        <v>0</v>
      </c>
      <c r="G270" s="45">
        <f t="shared" si="119"/>
        <v>0</v>
      </c>
      <c r="H270" s="45">
        <f t="shared" si="119"/>
        <v>0</v>
      </c>
      <c r="I270" s="45">
        <f t="shared" si="119"/>
        <v>0</v>
      </c>
      <c r="J270" s="45">
        <f t="shared" si="119"/>
        <v>0</v>
      </c>
      <c r="K270" s="45">
        <f t="shared" si="119"/>
        <v>0</v>
      </c>
      <c r="L270" s="45">
        <f t="shared" si="119"/>
        <v>0</v>
      </c>
      <c r="M270" s="11">
        <f t="shared" si="119"/>
        <v>0</v>
      </c>
      <c r="N270" s="11">
        <f t="shared" si="119"/>
        <v>0</v>
      </c>
      <c r="O270" s="11">
        <f t="shared" si="119"/>
        <v>0</v>
      </c>
      <c r="P270" s="11">
        <f t="shared" si="119"/>
        <v>0</v>
      </c>
      <c r="Q270" s="11">
        <f t="shared" si="119"/>
        <v>0</v>
      </c>
      <c r="R270" s="11">
        <f t="shared" si="119"/>
        <v>0</v>
      </c>
      <c r="S270" s="11">
        <f t="shared" si="119"/>
        <v>0</v>
      </c>
      <c r="T270" s="11">
        <f t="shared" si="119"/>
        <v>0</v>
      </c>
      <c r="U270" s="11">
        <f t="shared" si="119"/>
        <v>0</v>
      </c>
      <c r="V270" s="11">
        <f t="shared" si="119"/>
        <v>0</v>
      </c>
      <c r="W270" s="11">
        <f t="shared" si="119"/>
        <v>0</v>
      </c>
      <c r="X270" s="11">
        <f t="shared" si="120"/>
        <v>0</v>
      </c>
    </row>
    <row r="271" spans="1:32" x14ac:dyDescent="0.2">
      <c r="A271" s="463"/>
      <c r="B271" s="3">
        <v>12</v>
      </c>
      <c r="C271" s="11">
        <f t="shared" si="118"/>
        <v>0</v>
      </c>
      <c r="D271" s="45">
        <f t="shared" si="119"/>
        <v>0</v>
      </c>
      <c r="E271" s="45">
        <f t="shared" si="119"/>
        <v>0</v>
      </c>
      <c r="F271" s="45">
        <f t="shared" si="119"/>
        <v>0</v>
      </c>
      <c r="G271" s="45">
        <f t="shared" si="119"/>
        <v>0</v>
      </c>
      <c r="H271" s="45">
        <f t="shared" si="119"/>
        <v>0</v>
      </c>
      <c r="I271" s="45">
        <f t="shared" si="119"/>
        <v>0</v>
      </c>
      <c r="J271" s="45">
        <f t="shared" si="119"/>
        <v>0</v>
      </c>
      <c r="K271" s="45">
        <f t="shared" si="119"/>
        <v>0</v>
      </c>
      <c r="L271" s="45">
        <f t="shared" si="119"/>
        <v>0</v>
      </c>
      <c r="M271" s="11">
        <f t="shared" si="119"/>
        <v>0</v>
      </c>
      <c r="N271" s="11">
        <f t="shared" si="119"/>
        <v>0</v>
      </c>
      <c r="O271" s="11">
        <f t="shared" si="119"/>
        <v>0</v>
      </c>
      <c r="P271" s="11">
        <f t="shared" si="119"/>
        <v>0</v>
      </c>
      <c r="Q271" s="11">
        <f t="shared" si="119"/>
        <v>0</v>
      </c>
      <c r="R271" s="11">
        <f t="shared" si="119"/>
        <v>0</v>
      </c>
      <c r="S271" s="11">
        <f t="shared" si="119"/>
        <v>0</v>
      </c>
      <c r="T271" s="11">
        <f t="shared" si="119"/>
        <v>0</v>
      </c>
      <c r="U271" s="11">
        <f t="shared" si="119"/>
        <v>0</v>
      </c>
      <c r="V271" s="11">
        <f t="shared" si="119"/>
        <v>0</v>
      </c>
      <c r="W271" s="11">
        <f t="shared" si="119"/>
        <v>0</v>
      </c>
      <c r="X271" s="11">
        <f t="shared" si="120"/>
        <v>0</v>
      </c>
    </row>
    <row r="272" spans="1:32" x14ac:dyDescent="0.2">
      <c r="A272" s="463"/>
      <c r="B272" s="3">
        <v>13</v>
      </c>
      <c r="C272" s="11">
        <f t="shared" si="118"/>
        <v>0</v>
      </c>
      <c r="D272" s="45">
        <f t="shared" si="119"/>
        <v>0</v>
      </c>
      <c r="E272" s="45">
        <f t="shared" si="119"/>
        <v>0</v>
      </c>
      <c r="F272" s="45">
        <f t="shared" si="119"/>
        <v>0</v>
      </c>
      <c r="G272" s="45">
        <f t="shared" si="119"/>
        <v>0</v>
      </c>
      <c r="H272" s="45">
        <f t="shared" si="119"/>
        <v>0</v>
      </c>
      <c r="I272" s="45">
        <f t="shared" si="119"/>
        <v>0</v>
      </c>
      <c r="J272" s="45">
        <f t="shared" si="119"/>
        <v>0</v>
      </c>
      <c r="K272" s="45">
        <f t="shared" si="119"/>
        <v>0</v>
      </c>
      <c r="L272" s="45">
        <f t="shared" si="119"/>
        <v>0</v>
      </c>
      <c r="M272" s="11">
        <f t="shared" si="119"/>
        <v>0</v>
      </c>
      <c r="N272" s="11">
        <f t="shared" si="119"/>
        <v>0</v>
      </c>
      <c r="O272" s="11">
        <f t="shared" si="119"/>
        <v>0</v>
      </c>
      <c r="P272" s="11">
        <f t="shared" si="119"/>
        <v>0</v>
      </c>
      <c r="Q272" s="11">
        <f t="shared" si="119"/>
        <v>0</v>
      </c>
      <c r="R272" s="11">
        <f t="shared" si="119"/>
        <v>0</v>
      </c>
      <c r="S272" s="11">
        <f t="shared" ref="S272:W279" si="121">IF($B272&gt;=R$256,IF($B272=R$256,R$257,R$257*((20+R$256)-$B272)/20),0)*IF((20+R$256)-$B272&lt;0,0,1)</f>
        <v>0</v>
      </c>
      <c r="T272" s="11">
        <f t="shared" si="121"/>
        <v>0</v>
      </c>
      <c r="U272" s="11">
        <f t="shared" si="121"/>
        <v>0</v>
      </c>
      <c r="V272" s="11">
        <f t="shared" si="121"/>
        <v>0</v>
      </c>
      <c r="W272" s="11">
        <f t="shared" si="121"/>
        <v>0</v>
      </c>
      <c r="X272" s="11">
        <f t="shared" si="120"/>
        <v>0</v>
      </c>
    </row>
    <row r="273" spans="1:24" x14ac:dyDescent="0.2">
      <c r="A273" s="463"/>
      <c r="B273" s="3">
        <v>14</v>
      </c>
      <c r="C273" s="11">
        <f t="shared" si="118"/>
        <v>0</v>
      </c>
      <c r="D273" s="45">
        <f t="shared" ref="D273:R279" si="122">IF($B273&gt;=C$256,IF($B273=C$256,C$257,C$257*((20+C$256)-$B273)/20),0)*IF((20+C$256)-$B273&lt;0,0,1)</f>
        <v>0</v>
      </c>
      <c r="E273" s="45">
        <f t="shared" si="122"/>
        <v>0</v>
      </c>
      <c r="F273" s="45">
        <f t="shared" si="122"/>
        <v>0</v>
      </c>
      <c r="G273" s="45">
        <f t="shared" si="122"/>
        <v>0</v>
      </c>
      <c r="H273" s="45">
        <f t="shared" si="122"/>
        <v>0</v>
      </c>
      <c r="I273" s="45">
        <f t="shared" si="122"/>
        <v>0</v>
      </c>
      <c r="J273" s="45">
        <f t="shared" si="122"/>
        <v>0</v>
      </c>
      <c r="K273" s="45">
        <f t="shared" si="122"/>
        <v>0</v>
      </c>
      <c r="L273" s="45">
        <f t="shared" si="122"/>
        <v>0</v>
      </c>
      <c r="M273" s="11">
        <f t="shared" si="122"/>
        <v>0</v>
      </c>
      <c r="N273" s="11">
        <f t="shared" si="122"/>
        <v>0</v>
      </c>
      <c r="O273" s="11">
        <f t="shared" si="122"/>
        <v>0</v>
      </c>
      <c r="P273" s="11">
        <f t="shared" si="122"/>
        <v>0</v>
      </c>
      <c r="Q273" s="11">
        <f t="shared" si="122"/>
        <v>0</v>
      </c>
      <c r="R273" s="11">
        <f t="shared" si="122"/>
        <v>0</v>
      </c>
      <c r="S273" s="11">
        <f t="shared" si="121"/>
        <v>0</v>
      </c>
      <c r="T273" s="11">
        <f t="shared" si="121"/>
        <v>0</v>
      </c>
      <c r="U273" s="11">
        <f t="shared" si="121"/>
        <v>0</v>
      </c>
      <c r="V273" s="11">
        <f t="shared" si="121"/>
        <v>0</v>
      </c>
      <c r="W273" s="11">
        <f t="shared" si="121"/>
        <v>0</v>
      </c>
      <c r="X273" s="11">
        <f t="shared" si="120"/>
        <v>0</v>
      </c>
    </row>
    <row r="274" spans="1:24" x14ac:dyDescent="0.2">
      <c r="A274" s="463"/>
      <c r="B274" s="3">
        <v>15</v>
      </c>
      <c r="C274" s="11">
        <f t="shared" si="118"/>
        <v>0</v>
      </c>
      <c r="D274" s="45">
        <f t="shared" si="122"/>
        <v>0</v>
      </c>
      <c r="E274" s="45">
        <f t="shared" si="122"/>
        <v>0</v>
      </c>
      <c r="F274" s="45">
        <f t="shared" si="122"/>
        <v>0</v>
      </c>
      <c r="G274" s="45">
        <f t="shared" si="122"/>
        <v>0</v>
      </c>
      <c r="H274" s="45">
        <f t="shared" si="122"/>
        <v>0</v>
      </c>
      <c r="I274" s="45">
        <f t="shared" si="122"/>
        <v>0</v>
      </c>
      <c r="J274" s="45">
        <f t="shared" si="122"/>
        <v>0</v>
      </c>
      <c r="K274" s="45">
        <f t="shared" si="122"/>
        <v>0</v>
      </c>
      <c r="L274" s="45">
        <f t="shared" si="122"/>
        <v>0</v>
      </c>
      <c r="M274" s="11">
        <f t="shared" si="122"/>
        <v>0</v>
      </c>
      <c r="N274" s="11">
        <f t="shared" si="122"/>
        <v>0</v>
      </c>
      <c r="O274" s="11">
        <f t="shared" si="122"/>
        <v>0</v>
      </c>
      <c r="P274" s="11">
        <f t="shared" si="122"/>
        <v>0</v>
      </c>
      <c r="Q274" s="11">
        <f t="shared" si="122"/>
        <v>0</v>
      </c>
      <c r="R274" s="11">
        <f t="shared" si="122"/>
        <v>0</v>
      </c>
      <c r="S274" s="11">
        <f t="shared" si="121"/>
        <v>0</v>
      </c>
      <c r="T274" s="11">
        <f t="shared" si="121"/>
        <v>0</v>
      </c>
      <c r="U274" s="11">
        <f t="shared" si="121"/>
        <v>0</v>
      </c>
      <c r="V274" s="11">
        <f t="shared" si="121"/>
        <v>0</v>
      </c>
      <c r="W274" s="11">
        <f t="shared" si="121"/>
        <v>0</v>
      </c>
      <c r="X274" s="11">
        <f t="shared" si="120"/>
        <v>0</v>
      </c>
    </row>
    <row r="275" spans="1:24" x14ac:dyDescent="0.2">
      <c r="A275" s="463"/>
      <c r="B275" s="3">
        <v>16</v>
      </c>
      <c r="C275" s="11">
        <f t="shared" si="118"/>
        <v>0</v>
      </c>
      <c r="D275" s="45">
        <f t="shared" si="122"/>
        <v>0</v>
      </c>
      <c r="E275" s="45">
        <f t="shared" si="122"/>
        <v>0</v>
      </c>
      <c r="F275" s="45">
        <f t="shared" si="122"/>
        <v>0</v>
      </c>
      <c r="G275" s="45">
        <f t="shared" si="122"/>
        <v>0</v>
      </c>
      <c r="H275" s="45">
        <f t="shared" si="122"/>
        <v>0</v>
      </c>
      <c r="I275" s="45">
        <f t="shared" si="122"/>
        <v>0</v>
      </c>
      <c r="J275" s="45">
        <f t="shared" si="122"/>
        <v>0</v>
      </c>
      <c r="K275" s="45">
        <f t="shared" si="122"/>
        <v>0</v>
      </c>
      <c r="L275" s="45">
        <f t="shared" si="122"/>
        <v>0</v>
      </c>
      <c r="M275" s="11">
        <f t="shared" si="122"/>
        <v>0</v>
      </c>
      <c r="N275" s="11">
        <f t="shared" si="122"/>
        <v>0</v>
      </c>
      <c r="O275" s="11">
        <f t="shared" si="122"/>
        <v>0</v>
      </c>
      <c r="P275" s="11">
        <f t="shared" si="122"/>
        <v>0</v>
      </c>
      <c r="Q275" s="11">
        <f t="shared" si="122"/>
        <v>0</v>
      </c>
      <c r="R275" s="11">
        <f t="shared" si="122"/>
        <v>0</v>
      </c>
      <c r="S275" s="11">
        <f t="shared" si="121"/>
        <v>0</v>
      </c>
      <c r="T275" s="11">
        <f t="shared" si="121"/>
        <v>0</v>
      </c>
      <c r="U275" s="11">
        <f t="shared" si="121"/>
        <v>0</v>
      </c>
      <c r="V275" s="11">
        <f t="shared" si="121"/>
        <v>0</v>
      </c>
      <c r="W275" s="11">
        <f t="shared" si="121"/>
        <v>0</v>
      </c>
      <c r="X275" s="11">
        <f t="shared" si="120"/>
        <v>0</v>
      </c>
    </row>
    <row r="276" spans="1:24" x14ac:dyDescent="0.2">
      <c r="A276" s="463"/>
      <c r="B276" s="3">
        <v>17</v>
      </c>
      <c r="C276" s="11">
        <f t="shared" si="118"/>
        <v>0</v>
      </c>
      <c r="D276" s="45">
        <f t="shared" si="122"/>
        <v>0</v>
      </c>
      <c r="E276" s="45">
        <f t="shared" si="122"/>
        <v>0</v>
      </c>
      <c r="F276" s="45">
        <f t="shared" si="122"/>
        <v>0</v>
      </c>
      <c r="G276" s="45">
        <f t="shared" si="122"/>
        <v>0</v>
      </c>
      <c r="H276" s="45">
        <f t="shared" si="122"/>
        <v>0</v>
      </c>
      <c r="I276" s="45">
        <f t="shared" si="122"/>
        <v>0</v>
      </c>
      <c r="J276" s="45">
        <f t="shared" si="122"/>
        <v>0</v>
      </c>
      <c r="K276" s="45">
        <f t="shared" si="122"/>
        <v>0</v>
      </c>
      <c r="L276" s="45">
        <f t="shared" si="122"/>
        <v>0</v>
      </c>
      <c r="M276" s="11">
        <f t="shared" si="122"/>
        <v>0</v>
      </c>
      <c r="N276" s="11">
        <f t="shared" si="122"/>
        <v>0</v>
      </c>
      <c r="O276" s="11">
        <f t="shared" si="122"/>
        <v>0</v>
      </c>
      <c r="P276" s="11">
        <f t="shared" si="122"/>
        <v>0</v>
      </c>
      <c r="Q276" s="11">
        <f t="shared" si="122"/>
        <v>0</v>
      </c>
      <c r="R276" s="11">
        <f t="shared" si="122"/>
        <v>0</v>
      </c>
      <c r="S276" s="11">
        <f t="shared" si="121"/>
        <v>0</v>
      </c>
      <c r="T276" s="11">
        <f t="shared" si="121"/>
        <v>0</v>
      </c>
      <c r="U276" s="11">
        <f t="shared" si="121"/>
        <v>0</v>
      </c>
      <c r="V276" s="11">
        <f t="shared" si="121"/>
        <v>0</v>
      </c>
      <c r="W276" s="11">
        <f t="shared" si="121"/>
        <v>0</v>
      </c>
      <c r="X276" s="11">
        <f t="shared" si="120"/>
        <v>0</v>
      </c>
    </row>
    <row r="277" spans="1:24" x14ac:dyDescent="0.2">
      <c r="A277" s="463"/>
      <c r="B277" s="3">
        <v>18</v>
      </c>
      <c r="C277" s="11">
        <f t="shared" si="118"/>
        <v>0</v>
      </c>
      <c r="D277" s="45">
        <f t="shared" si="122"/>
        <v>0</v>
      </c>
      <c r="E277" s="45">
        <f t="shared" si="122"/>
        <v>0</v>
      </c>
      <c r="F277" s="45">
        <f t="shared" si="122"/>
        <v>0</v>
      </c>
      <c r="G277" s="45">
        <f t="shared" si="122"/>
        <v>0</v>
      </c>
      <c r="H277" s="45">
        <f t="shared" si="122"/>
        <v>0</v>
      </c>
      <c r="I277" s="45">
        <f t="shared" si="122"/>
        <v>0</v>
      </c>
      <c r="J277" s="45">
        <f t="shared" si="122"/>
        <v>0</v>
      </c>
      <c r="K277" s="45">
        <f t="shared" si="122"/>
        <v>0</v>
      </c>
      <c r="L277" s="45">
        <f t="shared" si="122"/>
        <v>0</v>
      </c>
      <c r="M277" s="11">
        <f t="shared" si="122"/>
        <v>0</v>
      </c>
      <c r="N277" s="11">
        <f t="shared" si="122"/>
        <v>0</v>
      </c>
      <c r="O277" s="11">
        <f t="shared" si="122"/>
        <v>0</v>
      </c>
      <c r="P277" s="11">
        <f t="shared" si="122"/>
        <v>0</v>
      </c>
      <c r="Q277" s="11">
        <f t="shared" si="122"/>
        <v>0</v>
      </c>
      <c r="R277" s="11">
        <f t="shared" si="122"/>
        <v>0</v>
      </c>
      <c r="S277" s="11">
        <f t="shared" si="121"/>
        <v>0</v>
      </c>
      <c r="T277" s="11">
        <f t="shared" si="121"/>
        <v>0</v>
      </c>
      <c r="U277" s="11">
        <f t="shared" si="121"/>
        <v>0</v>
      </c>
      <c r="V277" s="11">
        <f t="shared" si="121"/>
        <v>0</v>
      </c>
      <c r="W277" s="11">
        <f t="shared" si="121"/>
        <v>0</v>
      </c>
      <c r="X277" s="11">
        <f t="shared" si="120"/>
        <v>0</v>
      </c>
    </row>
    <row r="278" spans="1:24" x14ac:dyDescent="0.2">
      <c r="A278" s="463"/>
      <c r="B278" s="3">
        <v>19</v>
      </c>
      <c r="C278" s="11">
        <f t="shared" si="118"/>
        <v>0</v>
      </c>
      <c r="D278" s="45">
        <f t="shared" si="122"/>
        <v>0</v>
      </c>
      <c r="E278" s="45">
        <f t="shared" si="122"/>
        <v>0</v>
      </c>
      <c r="F278" s="45">
        <f t="shared" si="122"/>
        <v>0</v>
      </c>
      <c r="G278" s="45">
        <f t="shared" si="122"/>
        <v>0</v>
      </c>
      <c r="H278" s="45">
        <f t="shared" si="122"/>
        <v>0</v>
      </c>
      <c r="I278" s="45">
        <f t="shared" si="122"/>
        <v>0</v>
      </c>
      <c r="J278" s="45">
        <f t="shared" si="122"/>
        <v>0</v>
      </c>
      <c r="K278" s="45">
        <f t="shared" si="122"/>
        <v>0</v>
      </c>
      <c r="L278" s="45">
        <f t="shared" si="122"/>
        <v>0</v>
      </c>
      <c r="M278" s="11">
        <f t="shared" si="122"/>
        <v>0</v>
      </c>
      <c r="N278" s="11">
        <f t="shared" si="122"/>
        <v>0</v>
      </c>
      <c r="O278" s="11">
        <f t="shared" si="122"/>
        <v>0</v>
      </c>
      <c r="P278" s="11">
        <f t="shared" si="122"/>
        <v>0</v>
      </c>
      <c r="Q278" s="11">
        <f t="shared" si="122"/>
        <v>0</v>
      </c>
      <c r="R278" s="11">
        <f t="shared" si="122"/>
        <v>0</v>
      </c>
      <c r="S278" s="11">
        <f t="shared" si="121"/>
        <v>0</v>
      </c>
      <c r="T278" s="11">
        <f t="shared" si="121"/>
        <v>0</v>
      </c>
      <c r="U278" s="11">
        <f t="shared" si="121"/>
        <v>0</v>
      </c>
      <c r="V278" s="11">
        <f t="shared" si="121"/>
        <v>0</v>
      </c>
      <c r="W278" s="11">
        <f t="shared" si="121"/>
        <v>0</v>
      </c>
      <c r="X278" s="11">
        <f t="shared" si="120"/>
        <v>0</v>
      </c>
    </row>
    <row r="279" spans="1:24" x14ac:dyDescent="0.2">
      <c r="A279" s="463"/>
      <c r="B279" s="3">
        <v>20</v>
      </c>
      <c r="C279" s="11">
        <f t="shared" si="118"/>
        <v>0</v>
      </c>
      <c r="D279" s="45">
        <f t="shared" si="122"/>
        <v>0</v>
      </c>
      <c r="E279" s="45">
        <f t="shared" si="122"/>
        <v>0</v>
      </c>
      <c r="F279" s="45">
        <f t="shared" si="122"/>
        <v>0</v>
      </c>
      <c r="G279" s="45">
        <f t="shared" si="122"/>
        <v>0</v>
      </c>
      <c r="H279" s="45">
        <f t="shared" si="122"/>
        <v>0</v>
      </c>
      <c r="I279" s="45">
        <f t="shared" si="122"/>
        <v>0</v>
      </c>
      <c r="J279" s="45">
        <f t="shared" si="122"/>
        <v>0</v>
      </c>
      <c r="K279" s="45">
        <f t="shared" si="122"/>
        <v>0</v>
      </c>
      <c r="L279" s="45">
        <f t="shared" si="122"/>
        <v>0</v>
      </c>
      <c r="M279" s="11">
        <f t="shared" si="122"/>
        <v>0</v>
      </c>
      <c r="N279" s="11">
        <f t="shared" si="122"/>
        <v>0</v>
      </c>
      <c r="O279" s="11">
        <f t="shared" si="122"/>
        <v>0</v>
      </c>
      <c r="P279" s="11">
        <f t="shared" si="122"/>
        <v>0</v>
      </c>
      <c r="Q279" s="11">
        <f t="shared" si="122"/>
        <v>0</v>
      </c>
      <c r="R279" s="11">
        <f t="shared" si="122"/>
        <v>0</v>
      </c>
      <c r="S279" s="11">
        <f t="shared" si="121"/>
        <v>0</v>
      </c>
      <c r="T279" s="11">
        <f t="shared" si="121"/>
        <v>0</v>
      </c>
      <c r="U279" s="11">
        <f t="shared" si="121"/>
        <v>0</v>
      </c>
      <c r="V279" s="11">
        <f t="shared" si="121"/>
        <v>0</v>
      </c>
      <c r="W279" s="11">
        <f t="shared" si="121"/>
        <v>0</v>
      </c>
      <c r="X279" s="11">
        <f t="shared" si="120"/>
        <v>0</v>
      </c>
    </row>
    <row r="281" spans="1:24" x14ac:dyDescent="0.2">
      <c r="A281" s="464" t="s">
        <v>51</v>
      </c>
      <c r="B281" s="464"/>
      <c r="C281" s="51"/>
      <c r="D281" s="51"/>
      <c r="E281" s="51"/>
      <c r="F281" s="51"/>
      <c r="G281" s="51"/>
      <c r="H281" s="51"/>
      <c r="I281" s="51"/>
      <c r="J281" s="51"/>
      <c r="K281" s="51"/>
      <c r="L281" s="51"/>
      <c r="M281" s="51"/>
      <c r="N281" s="51"/>
      <c r="O281" s="51"/>
      <c r="P281" s="51"/>
      <c r="Q281" s="51"/>
    </row>
    <row r="282" spans="1:24" x14ac:dyDescent="0.2">
      <c r="A282" s="464"/>
      <c r="B282" s="464"/>
      <c r="C282" s="51"/>
      <c r="D282" s="51"/>
      <c r="E282" s="51"/>
      <c r="F282" s="51"/>
      <c r="G282" s="51"/>
      <c r="H282" s="51"/>
      <c r="I282" s="51"/>
      <c r="J282" s="51"/>
      <c r="K282" s="51"/>
      <c r="L282" s="51"/>
      <c r="M282" s="51"/>
      <c r="N282" s="51"/>
      <c r="O282" s="51"/>
      <c r="P282" s="51"/>
      <c r="Q282" s="51"/>
    </row>
    <row r="284" spans="1:24" ht="16" customHeight="1" x14ac:dyDescent="0.2">
      <c r="A284" s="460" t="s">
        <v>635</v>
      </c>
      <c r="B284" s="3" t="s">
        <v>15</v>
      </c>
      <c r="C284" s="3" t="s">
        <v>55</v>
      </c>
      <c r="D284" s="3" t="s">
        <v>154</v>
      </c>
      <c r="E284" s="3" t="s">
        <v>54</v>
      </c>
      <c r="F284" s="3" t="s">
        <v>53</v>
      </c>
      <c r="G284" s="3" t="s">
        <v>155</v>
      </c>
      <c r="H284" s="3" t="s">
        <v>52</v>
      </c>
      <c r="I284" s="3" t="s">
        <v>57</v>
      </c>
      <c r="K284" s="460" t="s">
        <v>636</v>
      </c>
      <c r="L284" s="3" t="s">
        <v>15</v>
      </c>
      <c r="M284" s="3" t="s">
        <v>90</v>
      </c>
      <c r="N284" s="3" t="s">
        <v>89</v>
      </c>
      <c r="O284" s="3" t="s">
        <v>156</v>
      </c>
    </row>
    <row r="285" spans="1:24" x14ac:dyDescent="0.2">
      <c r="A285" s="460"/>
      <c r="B285" s="3">
        <v>1</v>
      </c>
      <c r="C285" s="45">
        <f>SUM(H61,Q61,Z61,AI61)</f>
        <v>0</v>
      </c>
      <c r="D285" s="45">
        <f t="shared" ref="D285:D304" si="123">Y92</f>
        <v>0</v>
      </c>
      <c r="E285" s="11">
        <f t="shared" ref="E285:E304" si="124">X145</f>
        <v>0</v>
      </c>
      <c r="F285" s="11">
        <f t="shared" ref="F285:F304" si="125">SUM(H177,Q177,Z177,AI177)</f>
        <v>0</v>
      </c>
      <c r="G285" s="11">
        <f t="shared" ref="G285:G304" si="126">Y208</f>
        <v>0</v>
      </c>
      <c r="H285" s="11">
        <f t="shared" ref="H285:H304" si="127">X260</f>
        <v>0</v>
      </c>
      <c r="I285" s="11">
        <f t="shared" ref="I285:I304" si="128">F285-C285+G285-D285+H285-E285</f>
        <v>0</v>
      </c>
      <c r="J285" s="11"/>
      <c r="K285" s="460"/>
      <c r="L285" s="3">
        <v>1</v>
      </c>
      <c r="M285" s="11">
        <f>F285-C285</f>
        <v>0</v>
      </c>
      <c r="N285" s="11">
        <f t="shared" ref="N285:N304" si="129">H285-E285</f>
        <v>0</v>
      </c>
      <c r="O285" s="11">
        <f t="shared" ref="O285:O304" si="130">G285-D285</f>
        <v>0</v>
      </c>
      <c r="W285" s="11"/>
      <c r="X285" s="11"/>
    </row>
    <row r="286" spans="1:24" x14ac:dyDescent="0.2">
      <c r="A286" s="460"/>
      <c r="B286" s="3">
        <v>2</v>
      </c>
      <c r="C286" s="45">
        <f t="shared" ref="C286:C304" si="131">SUM(H62,Q62,Z62,AI62)</f>
        <v>0</v>
      </c>
      <c r="D286" s="45">
        <f t="shared" si="123"/>
        <v>0</v>
      </c>
      <c r="E286" s="11">
        <f t="shared" si="124"/>
        <v>0</v>
      </c>
      <c r="F286" s="11">
        <f t="shared" si="125"/>
        <v>0</v>
      </c>
      <c r="G286" s="11">
        <f t="shared" si="126"/>
        <v>0</v>
      </c>
      <c r="H286" s="11">
        <f t="shared" si="127"/>
        <v>0</v>
      </c>
      <c r="I286" s="11">
        <f t="shared" si="128"/>
        <v>0</v>
      </c>
      <c r="J286" s="11"/>
      <c r="K286" s="460"/>
      <c r="L286" s="3">
        <v>2</v>
      </c>
      <c r="M286" s="11">
        <f t="shared" ref="M286:M304" si="132">F286-C286</f>
        <v>0</v>
      </c>
      <c r="N286" s="11">
        <f t="shared" si="129"/>
        <v>0</v>
      </c>
      <c r="O286" s="11">
        <f t="shared" si="130"/>
        <v>0</v>
      </c>
      <c r="W286" s="11"/>
      <c r="X286" s="11"/>
    </row>
    <row r="287" spans="1:24" x14ac:dyDescent="0.2">
      <c r="A287" s="460"/>
      <c r="B287" s="3">
        <v>3</v>
      </c>
      <c r="C287" s="11">
        <f t="shared" si="131"/>
        <v>0</v>
      </c>
      <c r="D287" s="11">
        <f t="shared" si="123"/>
        <v>0</v>
      </c>
      <c r="E287" s="11">
        <f t="shared" si="124"/>
        <v>0</v>
      </c>
      <c r="F287" s="11">
        <f t="shared" si="125"/>
        <v>0</v>
      </c>
      <c r="G287" s="11">
        <f t="shared" si="126"/>
        <v>0</v>
      </c>
      <c r="H287" s="11">
        <f t="shared" si="127"/>
        <v>0</v>
      </c>
      <c r="I287" s="11">
        <f t="shared" si="128"/>
        <v>0</v>
      </c>
      <c r="J287" s="11"/>
      <c r="K287" s="460"/>
      <c r="L287" s="3">
        <v>3</v>
      </c>
      <c r="M287" s="11">
        <f t="shared" si="132"/>
        <v>0</v>
      </c>
      <c r="N287" s="11">
        <f t="shared" si="129"/>
        <v>0</v>
      </c>
      <c r="O287" s="11">
        <f t="shared" si="130"/>
        <v>0</v>
      </c>
      <c r="W287" s="11"/>
      <c r="X287" s="11"/>
    </row>
    <row r="288" spans="1:24" x14ac:dyDescent="0.2">
      <c r="A288" s="460"/>
      <c r="B288" s="3">
        <v>4</v>
      </c>
      <c r="C288" s="11">
        <f t="shared" si="131"/>
        <v>0</v>
      </c>
      <c r="D288" s="11">
        <f t="shared" si="123"/>
        <v>0</v>
      </c>
      <c r="E288" s="11">
        <f t="shared" si="124"/>
        <v>0</v>
      </c>
      <c r="F288" s="11">
        <f t="shared" si="125"/>
        <v>0</v>
      </c>
      <c r="G288" s="11">
        <f t="shared" si="126"/>
        <v>0</v>
      </c>
      <c r="H288" s="11">
        <f t="shared" si="127"/>
        <v>0</v>
      </c>
      <c r="I288" s="11">
        <f t="shared" si="128"/>
        <v>0</v>
      </c>
      <c r="J288" s="11"/>
      <c r="K288" s="460"/>
      <c r="L288" s="3">
        <v>4</v>
      </c>
      <c r="M288" s="11">
        <f t="shared" si="132"/>
        <v>0</v>
      </c>
      <c r="N288" s="11">
        <f t="shared" si="129"/>
        <v>0</v>
      </c>
      <c r="O288" s="11">
        <f t="shared" si="130"/>
        <v>0</v>
      </c>
      <c r="W288" s="11"/>
      <c r="X288" s="11"/>
    </row>
    <row r="289" spans="1:24" x14ac:dyDescent="0.2">
      <c r="A289" s="460"/>
      <c r="B289" s="3">
        <v>5</v>
      </c>
      <c r="C289" s="11">
        <f t="shared" si="131"/>
        <v>0</v>
      </c>
      <c r="D289" s="11">
        <f t="shared" si="123"/>
        <v>0</v>
      </c>
      <c r="E289" s="11">
        <f t="shared" si="124"/>
        <v>0</v>
      </c>
      <c r="F289" s="11">
        <f t="shared" si="125"/>
        <v>0</v>
      </c>
      <c r="G289" s="11">
        <f t="shared" si="126"/>
        <v>0</v>
      </c>
      <c r="H289" s="11">
        <f t="shared" si="127"/>
        <v>0</v>
      </c>
      <c r="I289" s="11">
        <f t="shared" si="128"/>
        <v>0</v>
      </c>
      <c r="J289" s="11"/>
      <c r="K289" s="460"/>
      <c r="L289" s="3">
        <v>5</v>
      </c>
      <c r="M289" s="11">
        <f t="shared" si="132"/>
        <v>0</v>
      </c>
      <c r="N289" s="11">
        <f t="shared" si="129"/>
        <v>0</v>
      </c>
      <c r="O289" s="11">
        <f t="shared" si="130"/>
        <v>0</v>
      </c>
      <c r="W289" s="11"/>
      <c r="X289" s="11"/>
    </row>
    <row r="290" spans="1:24" x14ac:dyDescent="0.2">
      <c r="A290" s="460"/>
      <c r="B290" s="3">
        <v>6</v>
      </c>
      <c r="C290" s="11">
        <f t="shared" si="131"/>
        <v>0</v>
      </c>
      <c r="D290" s="11">
        <f t="shared" si="123"/>
        <v>0</v>
      </c>
      <c r="E290" s="11">
        <f t="shared" si="124"/>
        <v>0</v>
      </c>
      <c r="F290" s="11">
        <f t="shared" si="125"/>
        <v>0</v>
      </c>
      <c r="G290" s="11">
        <f t="shared" si="126"/>
        <v>0</v>
      </c>
      <c r="H290" s="11">
        <f t="shared" si="127"/>
        <v>0</v>
      </c>
      <c r="I290" s="11">
        <f t="shared" si="128"/>
        <v>0</v>
      </c>
      <c r="J290" s="11"/>
      <c r="K290" s="460"/>
      <c r="L290" s="3">
        <v>6</v>
      </c>
      <c r="M290" s="11">
        <f t="shared" si="132"/>
        <v>0</v>
      </c>
      <c r="N290" s="11">
        <f t="shared" si="129"/>
        <v>0</v>
      </c>
      <c r="O290" s="11">
        <f t="shared" si="130"/>
        <v>0</v>
      </c>
      <c r="W290" s="11"/>
      <c r="X290" s="11"/>
    </row>
    <row r="291" spans="1:24" x14ac:dyDescent="0.2">
      <c r="A291" s="460"/>
      <c r="B291" s="3">
        <v>7</v>
      </c>
      <c r="C291" s="11">
        <f t="shared" si="131"/>
        <v>0</v>
      </c>
      <c r="D291" s="11">
        <f t="shared" si="123"/>
        <v>0</v>
      </c>
      <c r="E291" s="11">
        <f t="shared" si="124"/>
        <v>0</v>
      </c>
      <c r="F291" s="11">
        <f t="shared" si="125"/>
        <v>0</v>
      </c>
      <c r="G291" s="11">
        <f t="shared" si="126"/>
        <v>0</v>
      </c>
      <c r="H291" s="11">
        <f t="shared" si="127"/>
        <v>0</v>
      </c>
      <c r="I291" s="11">
        <f t="shared" si="128"/>
        <v>0</v>
      </c>
      <c r="J291" s="11"/>
      <c r="K291" s="460"/>
      <c r="L291" s="3">
        <v>7</v>
      </c>
      <c r="M291" s="11">
        <f t="shared" si="132"/>
        <v>0</v>
      </c>
      <c r="N291" s="11">
        <f t="shared" si="129"/>
        <v>0</v>
      </c>
      <c r="O291" s="11">
        <f t="shared" si="130"/>
        <v>0</v>
      </c>
      <c r="W291" s="11"/>
      <c r="X291" s="11"/>
    </row>
    <row r="292" spans="1:24" x14ac:dyDescent="0.2">
      <c r="A292" s="460"/>
      <c r="B292" s="3">
        <v>8</v>
      </c>
      <c r="C292" s="11">
        <f t="shared" si="131"/>
        <v>0</v>
      </c>
      <c r="D292" s="11">
        <f t="shared" si="123"/>
        <v>0</v>
      </c>
      <c r="E292" s="11">
        <f t="shared" si="124"/>
        <v>0</v>
      </c>
      <c r="F292" s="11">
        <f t="shared" si="125"/>
        <v>0</v>
      </c>
      <c r="G292" s="11">
        <f t="shared" si="126"/>
        <v>0</v>
      </c>
      <c r="H292" s="11">
        <f t="shared" si="127"/>
        <v>0</v>
      </c>
      <c r="I292" s="11">
        <f t="shared" si="128"/>
        <v>0</v>
      </c>
      <c r="J292" s="11"/>
      <c r="K292" s="460"/>
      <c r="L292" s="3">
        <v>8</v>
      </c>
      <c r="M292" s="11">
        <f t="shared" si="132"/>
        <v>0</v>
      </c>
      <c r="N292" s="11">
        <f t="shared" si="129"/>
        <v>0</v>
      </c>
      <c r="O292" s="11">
        <f t="shared" si="130"/>
        <v>0</v>
      </c>
      <c r="W292" s="11"/>
      <c r="X292" s="11"/>
    </row>
    <row r="293" spans="1:24" x14ac:dyDescent="0.2">
      <c r="A293" s="460"/>
      <c r="B293" s="3">
        <v>9</v>
      </c>
      <c r="C293" s="11">
        <f t="shared" si="131"/>
        <v>0</v>
      </c>
      <c r="D293" s="11">
        <f t="shared" si="123"/>
        <v>0</v>
      </c>
      <c r="E293" s="11">
        <f t="shared" si="124"/>
        <v>0</v>
      </c>
      <c r="F293" s="11">
        <f t="shared" si="125"/>
        <v>0</v>
      </c>
      <c r="G293" s="11">
        <f t="shared" si="126"/>
        <v>0</v>
      </c>
      <c r="H293" s="11">
        <f t="shared" si="127"/>
        <v>0</v>
      </c>
      <c r="I293" s="11">
        <f t="shared" si="128"/>
        <v>0</v>
      </c>
      <c r="J293" s="11"/>
      <c r="K293" s="460"/>
      <c r="L293" s="3">
        <v>9</v>
      </c>
      <c r="M293" s="11">
        <f t="shared" si="132"/>
        <v>0</v>
      </c>
      <c r="N293" s="11">
        <f t="shared" si="129"/>
        <v>0</v>
      </c>
      <c r="O293" s="11">
        <f t="shared" si="130"/>
        <v>0</v>
      </c>
      <c r="W293" s="11"/>
      <c r="X293" s="11"/>
    </row>
    <row r="294" spans="1:24" x14ac:dyDescent="0.2">
      <c r="A294" s="460"/>
      <c r="B294" s="3">
        <v>10</v>
      </c>
      <c r="C294" s="11">
        <f t="shared" si="131"/>
        <v>0</v>
      </c>
      <c r="D294" s="11">
        <f t="shared" si="123"/>
        <v>0</v>
      </c>
      <c r="E294" s="11">
        <f t="shared" si="124"/>
        <v>0</v>
      </c>
      <c r="F294" s="11">
        <f t="shared" si="125"/>
        <v>0</v>
      </c>
      <c r="G294" s="11">
        <f t="shared" si="126"/>
        <v>0</v>
      </c>
      <c r="H294" s="11">
        <f t="shared" si="127"/>
        <v>0</v>
      </c>
      <c r="I294" s="11">
        <f t="shared" si="128"/>
        <v>0</v>
      </c>
      <c r="J294" s="11"/>
      <c r="K294" s="460"/>
      <c r="L294" s="3">
        <v>10</v>
      </c>
      <c r="M294" s="11">
        <f t="shared" si="132"/>
        <v>0</v>
      </c>
      <c r="N294" s="11">
        <f t="shared" si="129"/>
        <v>0</v>
      </c>
      <c r="O294" s="11">
        <f t="shared" si="130"/>
        <v>0</v>
      </c>
      <c r="W294" s="11"/>
      <c r="X294" s="11"/>
    </row>
    <row r="295" spans="1:24" x14ac:dyDescent="0.2">
      <c r="A295" s="460"/>
      <c r="B295" s="3">
        <v>11</v>
      </c>
      <c r="C295" s="11">
        <f t="shared" si="131"/>
        <v>0</v>
      </c>
      <c r="D295" s="11">
        <f t="shared" si="123"/>
        <v>0</v>
      </c>
      <c r="E295" s="11">
        <f t="shared" si="124"/>
        <v>0</v>
      </c>
      <c r="F295" s="11">
        <f t="shared" si="125"/>
        <v>0</v>
      </c>
      <c r="G295" s="11">
        <f t="shared" si="126"/>
        <v>0</v>
      </c>
      <c r="H295" s="11">
        <f t="shared" si="127"/>
        <v>0</v>
      </c>
      <c r="I295" s="11">
        <f t="shared" si="128"/>
        <v>0</v>
      </c>
      <c r="J295" s="11"/>
      <c r="K295" s="460"/>
      <c r="L295" s="3">
        <v>11</v>
      </c>
      <c r="M295" s="11">
        <f t="shared" si="132"/>
        <v>0</v>
      </c>
      <c r="N295" s="11">
        <f t="shared" si="129"/>
        <v>0</v>
      </c>
      <c r="O295" s="11">
        <f t="shared" si="130"/>
        <v>0</v>
      </c>
      <c r="W295" s="11"/>
      <c r="X295" s="11"/>
    </row>
    <row r="296" spans="1:24" x14ac:dyDescent="0.2">
      <c r="A296" s="460"/>
      <c r="B296" s="3">
        <v>12</v>
      </c>
      <c r="C296" s="11">
        <f t="shared" si="131"/>
        <v>0</v>
      </c>
      <c r="D296" s="11">
        <f t="shared" si="123"/>
        <v>0</v>
      </c>
      <c r="E296" s="11">
        <f t="shared" si="124"/>
        <v>0</v>
      </c>
      <c r="F296" s="11">
        <f t="shared" si="125"/>
        <v>0</v>
      </c>
      <c r="G296" s="11">
        <f t="shared" si="126"/>
        <v>0</v>
      </c>
      <c r="H296" s="11">
        <f t="shared" si="127"/>
        <v>0</v>
      </c>
      <c r="I296" s="11">
        <f t="shared" si="128"/>
        <v>0</v>
      </c>
      <c r="J296" s="11"/>
      <c r="K296" s="460"/>
      <c r="L296" s="3">
        <v>12</v>
      </c>
      <c r="M296" s="11">
        <f t="shared" si="132"/>
        <v>0</v>
      </c>
      <c r="N296" s="11">
        <f t="shared" si="129"/>
        <v>0</v>
      </c>
      <c r="O296" s="11">
        <f t="shared" si="130"/>
        <v>0</v>
      </c>
      <c r="W296" s="11"/>
      <c r="X296" s="11"/>
    </row>
    <row r="297" spans="1:24" x14ac:dyDescent="0.2">
      <c r="A297" s="460"/>
      <c r="B297" s="3">
        <v>13</v>
      </c>
      <c r="C297" s="11">
        <f t="shared" si="131"/>
        <v>0</v>
      </c>
      <c r="D297" s="11">
        <f t="shared" si="123"/>
        <v>0</v>
      </c>
      <c r="E297" s="11">
        <f t="shared" si="124"/>
        <v>0</v>
      </c>
      <c r="F297" s="11">
        <f t="shared" si="125"/>
        <v>0</v>
      </c>
      <c r="G297" s="11">
        <f t="shared" si="126"/>
        <v>0</v>
      </c>
      <c r="H297" s="11">
        <f t="shared" si="127"/>
        <v>0</v>
      </c>
      <c r="I297" s="11">
        <f t="shared" si="128"/>
        <v>0</v>
      </c>
      <c r="J297" s="11"/>
      <c r="K297" s="460"/>
      <c r="L297" s="3">
        <v>13</v>
      </c>
      <c r="M297" s="11">
        <f t="shared" si="132"/>
        <v>0</v>
      </c>
      <c r="N297" s="11">
        <f t="shared" si="129"/>
        <v>0</v>
      </c>
      <c r="O297" s="11">
        <f t="shared" si="130"/>
        <v>0</v>
      </c>
      <c r="W297" s="11"/>
      <c r="X297" s="11"/>
    </row>
    <row r="298" spans="1:24" x14ac:dyDescent="0.2">
      <c r="A298" s="460"/>
      <c r="B298" s="3">
        <v>14</v>
      </c>
      <c r="C298" s="11">
        <f t="shared" si="131"/>
        <v>0</v>
      </c>
      <c r="D298" s="11">
        <f t="shared" si="123"/>
        <v>0</v>
      </c>
      <c r="E298" s="11">
        <f t="shared" si="124"/>
        <v>0</v>
      </c>
      <c r="F298" s="11">
        <f t="shared" si="125"/>
        <v>0</v>
      </c>
      <c r="G298" s="11">
        <f t="shared" si="126"/>
        <v>0</v>
      </c>
      <c r="H298" s="11">
        <f t="shared" si="127"/>
        <v>0</v>
      </c>
      <c r="I298" s="11">
        <f t="shared" si="128"/>
        <v>0</v>
      </c>
      <c r="J298" s="11"/>
      <c r="K298" s="460"/>
      <c r="L298" s="3">
        <v>14</v>
      </c>
      <c r="M298" s="11">
        <f t="shared" si="132"/>
        <v>0</v>
      </c>
      <c r="N298" s="11">
        <f t="shared" si="129"/>
        <v>0</v>
      </c>
      <c r="O298" s="11">
        <f t="shared" si="130"/>
        <v>0</v>
      </c>
      <c r="W298" s="11"/>
      <c r="X298" s="11"/>
    </row>
    <row r="299" spans="1:24" x14ac:dyDescent="0.2">
      <c r="A299" s="460"/>
      <c r="B299" s="3">
        <v>15</v>
      </c>
      <c r="C299" s="11">
        <f t="shared" si="131"/>
        <v>0</v>
      </c>
      <c r="D299" s="11">
        <f t="shared" si="123"/>
        <v>0</v>
      </c>
      <c r="E299" s="11">
        <f t="shared" si="124"/>
        <v>0</v>
      </c>
      <c r="F299" s="11">
        <f t="shared" si="125"/>
        <v>0</v>
      </c>
      <c r="G299" s="11">
        <f t="shared" si="126"/>
        <v>0</v>
      </c>
      <c r="H299" s="11">
        <f t="shared" si="127"/>
        <v>0</v>
      </c>
      <c r="I299" s="11">
        <f t="shared" si="128"/>
        <v>0</v>
      </c>
      <c r="J299" s="11"/>
      <c r="K299" s="460"/>
      <c r="L299" s="3">
        <v>15</v>
      </c>
      <c r="M299" s="11">
        <f t="shared" si="132"/>
        <v>0</v>
      </c>
      <c r="N299" s="11">
        <f t="shared" si="129"/>
        <v>0</v>
      </c>
      <c r="O299" s="11">
        <f t="shared" si="130"/>
        <v>0</v>
      </c>
      <c r="W299" s="11"/>
      <c r="X299" s="11"/>
    </row>
    <row r="300" spans="1:24" x14ac:dyDescent="0.2">
      <c r="A300" s="460"/>
      <c r="B300" s="3">
        <v>16</v>
      </c>
      <c r="C300" s="11">
        <f t="shared" si="131"/>
        <v>0</v>
      </c>
      <c r="D300" s="11">
        <f t="shared" si="123"/>
        <v>0</v>
      </c>
      <c r="E300" s="11">
        <f t="shared" si="124"/>
        <v>0</v>
      </c>
      <c r="F300" s="11">
        <f t="shared" si="125"/>
        <v>0</v>
      </c>
      <c r="G300" s="11">
        <f t="shared" si="126"/>
        <v>0</v>
      </c>
      <c r="H300" s="11">
        <f t="shared" si="127"/>
        <v>0</v>
      </c>
      <c r="I300" s="11">
        <f t="shared" si="128"/>
        <v>0</v>
      </c>
      <c r="J300" s="11"/>
      <c r="K300" s="460"/>
      <c r="L300" s="3">
        <v>16</v>
      </c>
      <c r="M300" s="11">
        <f t="shared" si="132"/>
        <v>0</v>
      </c>
      <c r="N300" s="11">
        <f t="shared" si="129"/>
        <v>0</v>
      </c>
      <c r="O300" s="11">
        <f t="shared" si="130"/>
        <v>0</v>
      </c>
      <c r="W300" s="11"/>
      <c r="X300" s="11"/>
    </row>
    <row r="301" spans="1:24" x14ac:dyDescent="0.2">
      <c r="A301" s="460"/>
      <c r="B301" s="3">
        <v>17</v>
      </c>
      <c r="C301" s="11">
        <f t="shared" si="131"/>
        <v>0</v>
      </c>
      <c r="D301" s="11">
        <f t="shared" si="123"/>
        <v>0</v>
      </c>
      <c r="E301" s="11">
        <f t="shared" si="124"/>
        <v>0</v>
      </c>
      <c r="F301" s="11">
        <f t="shared" si="125"/>
        <v>0</v>
      </c>
      <c r="G301" s="11">
        <f t="shared" si="126"/>
        <v>0</v>
      </c>
      <c r="H301" s="11">
        <f t="shared" si="127"/>
        <v>0</v>
      </c>
      <c r="I301" s="11">
        <f t="shared" si="128"/>
        <v>0</v>
      </c>
      <c r="J301" s="11"/>
      <c r="K301" s="460"/>
      <c r="L301" s="3">
        <v>17</v>
      </c>
      <c r="M301" s="11">
        <f t="shared" si="132"/>
        <v>0</v>
      </c>
      <c r="N301" s="11">
        <f t="shared" si="129"/>
        <v>0</v>
      </c>
      <c r="O301" s="11">
        <f t="shared" si="130"/>
        <v>0</v>
      </c>
      <c r="W301" s="11"/>
      <c r="X301" s="11"/>
    </row>
    <row r="302" spans="1:24" x14ac:dyDescent="0.2">
      <c r="A302" s="460"/>
      <c r="B302" s="3">
        <v>18</v>
      </c>
      <c r="C302" s="11">
        <f t="shared" si="131"/>
        <v>0</v>
      </c>
      <c r="D302" s="11">
        <f t="shared" si="123"/>
        <v>0</v>
      </c>
      <c r="E302" s="11">
        <f t="shared" si="124"/>
        <v>0</v>
      </c>
      <c r="F302" s="11">
        <f t="shared" si="125"/>
        <v>0</v>
      </c>
      <c r="G302" s="11">
        <f t="shared" si="126"/>
        <v>0</v>
      </c>
      <c r="H302" s="11">
        <f t="shared" si="127"/>
        <v>0</v>
      </c>
      <c r="I302" s="11">
        <f t="shared" si="128"/>
        <v>0</v>
      </c>
      <c r="J302" s="11"/>
      <c r="K302" s="460"/>
      <c r="L302" s="3">
        <v>18</v>
      </c>
      <c r="M302" s="11">
        <f t="shared" si="132"/>
        <v>0</v>
      </c>
      <c r="N302" s="11">
        <f t="shared" si="129"/>
        <v>0</v>
      </c>
      <c r="O302" s="11">
        <f t="shared" si="130"/>
        <v>0</v>
      </c>
      <c r="W302" s="11"/>
      <c r="X302" s="11"/>
    </row>
    <row r="303" spans="1:24" x14ac:dyDescent="0.2">
      <c r="A303" s="460"/>
      <c r="B303" s="3">
        <v>19</v>
      </c>
      <c r="C303" s="11">
        <f t="shared" si="131"/>
        <v>0</v>
      </c>
      <c r="D303" s="11">
        <f t="shared" si="123"/>
        <v>0</v>
      </c>
      <c r="E303" s="11">
        <f t="shared" si="124"/>
        <v>0</v>
      </c>
      <c r="F303" s="11">
        <f t="shared" si="125"/>
        <v>0</v>
      </c>
      <c r="G303" s="11">
        <f t="shared" si="126"/>
        <v>0</v>
      </c>
      <c r="H303" s="11">
        <f t="shared" si="127"/>
        <v>0</v>
      </c>
      <c r="I303" s="11">
        <f t="shared" si="128"/>
        <v>0</v>
      </c>
      <c r="J303" s="11"/>
      <c r="K303" s="460"/>
      <c r="L303" s="3">
        <v>19</v>
      </c>
      <c r="M303" s="11">
        <f t="shared" si="132"/>
        <v>0</v>
      </c>
      <c r="N303" s="11">
        <f t="shared" si="129"/>
        <v>0</v>
      </c>
      <c r="O303" s="11">
        <f t="shared" si="130"/>
        <v>0</v>
      </c>
      <c r="W303" s="11"/>
      <c r="X303" s="11"/>
    </row>
    <row r="304" spans="1:24" x14ac:dyDescent="0.2">
      <c r="A304" s="460"/>
      <c r="B304" s="3">
        <v>20</v>
      </c>
      <c r="C304" s="11">
        <f t="shared" si="131"/>
        <v>0</v>
      </c>
      <c r="D304" s="11">
        <f t="shared" si="123"/>
        <v>0</v>
      </c>
      <c r="E304" s="11">
        <f t="shared" si="124"/>
        <v>0</v>
      </c>
      <c r="F304" s="11">
        <f t="shared" si="125"/>
        <v>0</v>
      </c>
      <c r="G304" s="11">
        <f t="shared" si="126"/>
        <v>0</v>
      </c>
      <c r="H304" s="11">
        <f t="shared" si="127"/>
        <v>0</v>
      </c>
      <c r="I304" s="11">
        <f t="shared" si="128"/>
        <v>0</v>
      </c>
      <c r="J304" s="11"/>
      <c r="K304" s="460"/>
      <c r="L304" s="3">
        <v>20</v>
      </c>
      <c r="M304" s="11">
        <f t="shared" si="132"/>
        <v>0</v>
      </c>
      <c r="N304" s="11">
        <f t="shared" si="129"/>
        <v>0</v>
      </c>
      <c r="O304" s="11">
        <f t="shared" si="130"/>
        <v>0</v>
      </c>
      <c r="W304" s="11"/>
      <c r="X304" s="11"/>
    </row>
    <row r="306" spans="1:11" x14ac:dyDescent="0.2">
      <c r="A306" s="467" t="s">
        <v>667</v>
      </c>
      <c r="B306" s="73" t="s">
        <v>670</v>
      </c>
      <c r="C306" s="151">
        <f>BILAN_FORET!C12</f>
        <v>0.25</v>
      </c>
      <c r="D306" s="149"/>
      <c r="E306" s="52"/>
      <c r="F306" s="150"/>
    </row>
    <row r="307" spans="1:11" x14ac:dyDescent="0.2">
      <c r="A307" s="467"/>
      <c r="B307" s="73" t="s">
        <v>669</v>
      </c>
      <c r="C307" s="151">
        <f>IF(OR($C$6=0,$C$6=""),0,VLOOKUP(C1,Tableau619[],5,FALSE))</f>
        <v>0</v>
      </c>
    </row>
    <row r="308" spans="1:11" x14ac:dyDescent="0.2">
      <c r="A308" s="467"/>
      <c r="B308" s="73" t="s">
        <v>668</v>
      </c>
      <c r="C308" s="151" t="e">
        <f>BILAN_FORET!$C$28</f>
        <v>#VALUE!</v>
      </c>
      <c r="D308" s="149"/>
      <c r="E308" s="52"/>
      <c r="F308" s="150"/>
    </row>
    <row r="310" spans="1:11" ht="15.5" customHeight="1" x14ac:dyDescent="0.2">
      <c r="A310" s="217" t="s">
        <v>187</v>
      </c>
      <c r="B310" s="3" t="s">
        <v>15</v>
      </c>
      <c r="C310" s="3" t="s">
        <v>650</v>
      </c>
      <c r="D310" s="3" t="s">
        <v>651</v>
      </c>
      <c r="E310" s="3" t="s">
        <v>652</v>
      </c>
      <c r="F310" s="3" t="s">
        <v>656</v>
      </c>
      <c r="G310" s="3" t="s">
        <v>268</v>
      </c>
      <c r="H310" s="3" t="s">
        <v>658</v>
      </c>
      <c r="I310" s="3" t="s">
        <v>657</v>
      </c>
      <c r="J310" s="3" t="s">
        <v>660</v>
      </c>
      <c r="K310" s="3" t="s">
        <v>281</v>
      </c>
    </row>
    <row r="311" spans="1:11" x14ac:dyDescent="0.2">
      <c r="A311" s="218"/>
      <c r="B311" s="3">
        <v>1</v>
      </c>
      <c r="C311" s="11">
        <f t="shared" ref="C311:C330" si="133">IF(B311=1,M285,M285-M284)</f>
        <v>0</v>
      </c>
      <c r="D311" s="11">
        <f t="shared" ref="D311:D330" si="134">IF(B311=1,O285,O285-O284)</f>
        <v>0</v>
      </c>
      <c r="E311" s="11">
        <f t="shared" ref="E311:E330" si="135">IF(B311=1,N285,N285-N284)</f>
        <v>0</v>
      </c>
      <c r="F311" s="11">
        <f t="shared" ref="F311:F330" si="136">SUM(C311:E311)</f>
        <v>0</v>
      </c>
      <c r="G311" s="52">
        <f t="shared" ref="G311:G330" si="137">F311*$C$306</f>
        <v>0</v>
      </c>
      <c r="H311" s="52">
        <f t="shared" ref="H311:H330" si="138">(F311-G311)*$C$307</f>
        <v>0</v>
      </c>
      <c r="I311" s="52" t="e">
        <f>(F311-G311-H311)*$C$308</f>
        <v>#VALUE!</v>
      </c>
      <c r="J311" s="74" t="e">
        <f t="shared" ref="J311:J330" si="139">F311-G311-H311-I311</f>
        <v>#VALUE!</v>
      </c>
      <c r="K311" s="74" t="e">
        <f t="shared" ref="K311:K330" si="140">C$336</f>
        <v>#VALUE!</v>
      </c>
    </row>
    <row r="312" spans="1:11" x14ac:dyDescent="0.2">
      <c r="A312" s="218"/>
      <c r="B312" s="3">
        <v>2</v>
      </c>
      <c r="C312" s="11">
        <f t="shared" si="133"/>
        <v>0</v>
      </c>
      <c r="D312" s="11">
        <f t="shared" si="134"/>
        <v>0</v>
      </c>
      <c r="E312" s="11">
        <f t="shared" si="135"/>
        <v>0</v>
      </c>
      <c r="F312" s="11">
        <f t="shared" si="136"/>
        <v>0</v>
      </c>
      <c r="G312" s="52">
        <f t="shared" si="137"/>
        <v>0</v>
      </c>
      <c r="H312" s="52">
        <f t="shared" si="138"/>
        <v>0</v>
      </c>
      <c r="I312" s="52" t="e">
        <f t="shared" ref="I312:I330" si="141">(F312-G312-H312)*$C$308</f>
        <v>#VALUE!</v>
      </c>
      <c r="J312" s="74" t="e">
        <f t="shared" si="139"/>
        <v>#VALUE!</v>
      </c>
      <c r="K312" s="74" t="e">
        <f t="shared" si="140"/>
        <v>#VALUE!</v>
      </c>
    </row>
    <row r="313" spans="1:11" x14ac:dyDescent="0.2">
      <c r="A313" s="218"/>
      <c r="B313" s="3">
        <v>3</v>
      </c>
      <c r="C313" s="11">
        <f t="shared" si="133"/>
        <v>0</v>
      </c>
      <c r="D313" s="11">
        <f t="shared" si="134"/>
        <v>0</v>
      </c>
      <c r="E313" s="11">
        <f t="shared" si="135"/>
        <v>0</v>
      </c>
      <c r="F313" s="11">
        <f t="shared" si="136"/>
        <v>0</v>
      </c>
      <c r="G313" s="52">
        <f t="shared" si="137"/>
        <v>0</v>
      </c>
      <c r="H313" s="52">
        <f t="shared" si="138"/>
        <v>0</v>
      </c>
      <c r="I313" s="52" t="e">
        <f t="shared" si="141"/>
        <v>#VALUE!</v>
      </c>
      <c r="J313" s="74" t="e">
        <f t="shared" si="139"/>
        <v>#VALUE!</v>
      </c>
      <c r="K313" s="74" t="e">
        <f t="shared" si="140"/>
        <v>#VALUE!</v>
      </c>
    </row>
    <row r="314" spans="1:11" x14ac:dyDescent="0.2">
      <c r="A314" s="218"/>
      <c r="B314" s="3">
        <v>4</v>
      </c>
      <c r="C314" s="11">
        <f t="shared" si="133"/>
        <v>0</v>
      </c>
      <c r="D314" s="11">
        <f t="shared" si="134"/>
        <v>0</v>
      </c>
      <c r="E314" s="11">
        <f t="shared" si="135"/>
        <v>0</v>
      </c>
      <c r="F314" s="11">
        <f t="shared" si="136"/>
        <v>0</v>
      </c>
      <c r="G314" s="52">
        <f t="shared" si="137"/>
        <v>0</v>
      </c>
      <c r="H314" s="52">
        <f t="shared" si="138"/>
        <v>0</v>
      </c>
      <c r="I314" s="52" t="e">
        <f t="shared" si="141"/>
        <v>#VALUE!</v>
      </c>
      <c r="J314" s="74" t="e">
        <f t="shared" si="139"/>
        <v>#VALUE!</v>
      </c>
      <c r="K314" s="74" t="e">
        <f t="shared" si="140"/>
        <v>#VALUE!</v>
      </c>
    </row>
    <row r="315" spans="1:11" x14ac:dyDescent="0.2">
      <c r="A315" s="218"/>
      <c r="B315" s="3">
        <v>5</v>
      </c>
      <c r="C315" s="11">
        <f t="shared" si="133"/>
        <v>0</v>
      </c>
      <c r="D315" s="11">
        <f t="shared" si="134"/>
        <v>0</v>
      </c>
      <c r="E315" s="11">
        <f t="shared" si="135"/>
        <v>0</v>
      </c>
      <c r="F315" s="11">
        <f t="shared" si="136"/>
        <v>0</v>
      </c>
      <c r="G315" s="52">
        <f t="shared" si="137"/>
        <v>0</v>
      </c>
      <c r="H315" s="52">
        <f t="shared" si="138"/>
        <v>0</v>
      </c>
      <c r="I315" s="52" t="e">
        <f t="shared" si="141"/>
        <v>#VALUE!</v>
      </c>
      <c r="J315" s="74" t="e">
        <f t="shared" si="139"/>
        <v>#VALUE!</v>
      </c>
      <c r="K315" s="74" t="e">
        <f t="shared" si="140"/>
        <v>#VALUE!</v>
      </c>
    </row>
    <row r="316" spans="1:11" x14ac:dyDescent="0.2">
      <c r="A316" s="218"/>
      <c r="B316" s="3">
        <v>6</v>
      </c>
      <c r="C316" s="11">
        <f t="shared" si="133"/>
        <v>0</v>
      </c>
      <c r="D316" s="11">
        <f t="shared" si="134"/>
        <v>0</v>
      </c>
      <c r="E316" s="11">
        <f t="shared" si="135"/>
        <v>0</v>
      </c>
      <c r="F316" s="11">
        <f t="shared" si="136"/>
        <v>0</v>
      </c>
      <c r="G316" s="52">
        <f t="shared" si="137"/>
        <v>0</v>
      </c>
      <c r="H316" s="52">
        <f t="shared" si="138"/>
        <v>0</v>
      </c>
      <c r="I316" s="52" t="e">
        <f t="shared" si="141"/>
        <v>#VALUE!</v>
      </c>
      <c r="J316" s="74" t="e">
        <f t="shared" si="139"/>
        <v>#VALUE!</v>
      </c>
      <c r="K316" s="74" t="e">
        <f t="shared" si="140"/>
        <v>#VALUE!</v>
      </c>
    </row>
    <row r="317" spans="1:11" x14ac:dyDescent="0.2">
      <c r="A317" s="218"/>
      <c r="B317" s="3">
        <v>7</v>
      </c>
      <c r="C317" s="11">
        <f t="shared" si="133"/>
        <v>0</v>
      </c>
      <c r="D317" s="11">
        <f t="shared" si="134"/>
        <v>0</v>
      </c>
      <c r="E317" s="11">
        <f t="shared" si="135"/>
        <v>0</v>
      </c>
      <c r="F317" s="11">
        <f t="shared" si="136"/>
        <v>0</v>
      </c>
      <c r="G317" s="52">
        <f t="shared" si="137"/>
        <v>0</v>
      </c>
      <c r="H317" s="52">
        <f t="shared" si="138"/>
        <v>0</v>
      </c>
      <c r="I317" s="52" t="e">
        <f t="shared" si="141"/>
        <v>#VALUE!</v>
      </c>
      <c r="J317" s="74" t="e">
        <f t="shared" si="139"/>
        <v>#VALUE!</v>
      </c>
      <c r="K317" s="74" t="e">
        <f t="shared" si="140"/>
        <v>#VALUE!</v>
      </c>
    </row>
    <row r="318" spans="1:11" x14ac:dyDescent="0.2">
      <c r="A318" s="218"/>
      <c r="B318" s="3">
        <v>8</v>
      </c>
      <c r="C318" s="11">
        <f t="shared" si="133"/>
        <v>0</v>
      </c>
      <c r="D318" s="11">
        <f t="shared" si="134"/>
        <v>0</v>
      </c>
      <c r="E318" s="11">
        <f t="shared" si="135"/>
        <v>0</v>
      </c>
      <c r="F318" s="11">
        <f t="shared" si="136"/>
        <v>0</v>
      </c>
      <c r="G318" s="52">
        <f t="shared" si="137"/>
        <v>0</v>
      </c>
      <c r="H318" s="52">
        <f t="shared" si="138"/>
        <v>0</v>
      </c>
      <c r="I318" s="52" t="e">
        <f t="shared" si="141"/>
        <v>#VALUE!</v>
      </c>
      <c r="J318" s="74" t="e">
        <f t="shared" si="139"/>
        <v>#VALUE!</v>
      </c>
      <c r="K318" s="74" t="e">
        <f t="shared" si="140"/>
        <v>#VALUE!</v>
      </c>
    </row>
    <row r="319" spans="1:11" x14ac:dyDescent="0.2">
      <c r="A319" s="218"/>
      <c r="B319" s="3">
        <v>9</v>
      </c>
      <c r="C319" s="11">
        <f t="shared" si="133"/>
        <v>0</v>
      </c>
      <c r="D319" s="11">
        <f t="shared" si="134"/>
        <v>0</v>
      </c>
      <c r="E319" s="11">
        <f t="shared" si="135"/>
        <v>0</v>
      </c>
      <c r="F319" s="11">
        <f t="shared" si="136"/>
        <v>0</v>
      </c>
      <c r="G319" s="52">
        <f t="shared" si="137"/>
        <v>0</v>
      </c>
      <c r="H319" s="52">
        <f t="shared" si="138"/>
        <v>0</v>
      </c>
      <c r="I319" s="52" t="e">
        <f t="shared" si="141"/>
        <v>#VALUE!</v>
      </c>
      <c r="J319" s="74" t="e">
        <f t="shared" si="139"/>
        <v>#VALUE!</v>
      </c>
      <c r="K319" s="74" t="e">
        <f t="shared" si="140"/>
        <v>#VALUE!</v>
      </c>
    </row>
    <row r="320" spans="1:11" x14ac:dyDescent="0.2">
      <c r="A320" s="218"/>
      <c r="B320" s="3">
        <v>10</v>
      </c>
      <c r="C320" s="11">
        <f t="shared" si="133"/>
        <v>0</v>
      </c>
      <c r="D320" s="11">
        <f t="shared" si="134"/>
        <v>0</v>
      </c>
      <c r="E320" s="11">
        <f t="shared" si="135"/>
        <v>0</v>
      </c>
      <c r="F320" s="11">
        <f t="shared" si="136"/>
        <v>0</v>
      </c>
      <c r="G320" s="52">
        <f t="shared" si="137"/>
        <v>0</v>
      </c>
      <c r="H320" s="52">
        <f t="shared" si="138"/>
        <v>0</v>
      </c>
      <c r="I320" s="52" t="e">
        <f t="shared" si="141"/>
        <v>#VALUE!</v>
      </c>
      <c r="J320" s="74" t="e">
        <f t="shared" si="139"/>
        <v>#VALUE!</v>
      </c>
      <c r="K320" s="74" t="e">
        <f t="shared" si="140"/>
        <v>#VALUE!</v>
      </c>
    </row>
    <row r="321" spans="1:11" x14ac:dyDescent="0.2">
      <c r="A321" s="218"/>
      <c r="B321" s="3">
        <v>11</v>
      </c>
      <c r="C321" s="11">
        <f t="shared" si="133"/>
        <v>0</v>
      </c>
      <c r="D321" s="11">
        <f t="shared" si="134"/>
        <v>0</v>
      </c>
      <c r="E321" s="11">
        <f t="shared" si="135"/>
        <v>0</v>
      </c>
      <c r="F321" s="11">
        <f t="shared" si="136"/>
        <v>0</v>
      </c>
      <c r="G321" s="52">
        <f t="shared" si="137"/>
        <v>0</v>
      </c>
      <c r="H321" s="52">
        <f t="shared" si="138"/>
        <v>0</v>
      </c>
      <c r="I321" s="52" t="e">
        <f t="shared" si="141"/>
        <v>#VALUE!</v>
      </c>
      <c r="J321" s="74" t="e">
        <f t="shared" si="139"/>
        <v>#VALUE!</v>
      </c>
      <c r="K321" s="74" t="e">
        <f t="shared" si="140"/>
        <v>#VALUE!</v>
      </c>
    </row>
    <row r="322" spans="1:11" x14ac:dyDescent="0.2">
      <c r="A322" s="218"/>
      <c r="B322" s="3">
        <v>12</v>
      </c>
      <c r="C322" s="11">
        <f t="shared" si="133"/>
        <v>0</v>
      </c>
      <c r="D322" s="11">
        <f t="shared" si="134"/>
        <v>0</v>
      </c>
      <c r="E322" s="11">
        <f t="shared" si="135"/>
        <v>0</v>
      </c>
      <c r="F322" s="11">
        <f t="shared" si="136"/>
        <v>0</v>
      </c>
      <c r="G322" s="52">
        <f t="shared" si="137"/>
        <v>0</v>
      </c>
      <c r="H322" s="52">
        <f t="shared" si="138"/>
        <v>0</v>
      </c>
      <c r="I322" s="52" t="e">
        <f t="shared" si="141"/>
        <v>#VALUE!</v>
      </c>
      <c r="J322" s="74" t="e">
        <f t="shared" si="139"/>
        <v>#VALUE!</v>
      </c>
      <c r="K322" s="74" t="e">
        <f t="shared" si="140"/>
        <v>#VALUE!</v>
      </c>
    </row>
    <row r="323" spans="1:11" x14ac:dyDescent="0.2">
      <c r="A323" s="218"/>
      <c r="B323" s="3">
        <v>13</v>
      </c>
      <c r="C323" s="11">
        <f t="shared" si="133"/>
        <v>0</v>
      </c>
      <c r="D323" s="11">
        <f t="shared" si="134"/>
        <v>0</v>
      </c>
      <c r="E323" s="11">
        <f t="shared" si="135"/>
        <v>0</v>
      </c>
      <c r="F323" s="11">
        <f t="shared" si="136"/>
        <v>0</v>
      </c>
      <c r="G323" s="52">
        <f t="shared" si="137"/>
        <v>0</v>
      </c>
      <c r="H323" s="52">
        <f t="shared" si="138"/>
        <v>0</v>
      </c>
      <c r="I323" s="52" t="e">
        <f t="shared" si="141"/>
        <v>#VALUE!</v>
      </c>
      <c r="J323" s="74" t="e">
        <f t="shared" si="139"/>
        <v>#VALUE!</v>
      </c>
      <c r="K323" s="74" t="e">
        <f t="shared" si="140"/>
        <v>#VALUE!</v>
      </c>
    </row>
    <row r="324" spans="1:11" x14ac:dyDescent="0.2">
      <c r="A324" s="218"/>
      <c r="B324" s="3">
        <v>14</v>
      </c>
      <c r="C324" s="11">
        <f t="shared" si="133"/>
        <v>0</v>
      </c>
      <c r="D324" s="11">
        <f t="shared" si="134"/>
        <v>0</v>
      </c>
      <c r="E324" s="11">
        <f t="shared" si="135"/>
        <v>0</v>
      </c>
      <c r="F324" s="11">
        <f t="shared" si="136"/>
        <v>0</v>
      </c>
      <c r="G324" s="52">
        <f t="shared" si="137"/>
        <v>0</v>
      </c>
      <c r="H324" s="52">
        <f t="shared" si="138"/>
        <v>0</v>
      </c>
      <c r="I324" s="52" t="e">
        <f t="shared" si="141"/>
        <v>#VALUE!</v>
      </c>
      <c r="J324" s="74" t="e">
        <f t="shared" si="139"/>
        <v>#VALUE!</v>
      </c>
      <c r="K324" s="74" t="e">
        <f t="shared" si="140"/>
        <v>#VALUE!</v>
      </c>
    </row>
    <row r="325" spans="1:11" x14ac:dyDescent="0.2">
      <c r="A325" s="218"/>
      <c r="B325" s="3">
        <v>15</v>
      </c>
      <c r="C325" s="11">
        <f t="shared" si="133"/>
        <v>0</v>
      </c>
      <c r="D325" s="11">
        <f t="shared" si="134"/>
        <v>0</v>
      </c>
      <c r="E325" s="11">
        <f t="shared" si="135"/>
        <v>0</v>
      </c>
      <c r="F325" s="11">
        <f t="shared" si="136"/>
        <v>0</v>
      </c>
      <c r="G325" s="52">
        <f t="shared" si="137"/>
        <v>0</v>
      </c>
      <c r="H325" s="52">
        <f t="shared" si="138"/>
        <v>0</v>
      </c>
      <c r="I325" s="52" t="e">
        <f t="shared" si="141"/>
        <v>#VALUE!</v>
      </c>
      <c r="J325" s="74" t="e">
        <f t="shared" si="139"/>
        <v>#VALUE!</v>
      </c>
      <c r="K325" s="74" t="e">
        <f t="shared" si="140"/>
        <v>#VALUE!</v>
      </c>
    </row>
    <row r="326" spans="1:11" x14ac:dyDescent="0.2">
      <c r="A326" s="218"/>
      <c r="B326" s="3">
        <v>16</v>
      </c>
      <c r="C326" s="11">
        <f t="shared" si="133"/>
        <v>0</v>
      </c>
      <c r="D326" s="11">
        <f t="shared" si="134"/>
        <v>0</v>
      </c>
      <c r="E326" s="11">
        <f t="shared" si="135"/>
        <v>0</v>
      </c>
      <c r="F326" s="11">
        <f t="shared" si="136"/>
        <v>0</v>
      </c>
      <c r="G326" s="52">
        <f t="shared" si="137"/>
        <v>0</v>
      </c>
      <c r="H326" s="52">
        <f t="shared" si="138"/>
        <v>0</v>
      </c>
      <c r="I326" s="52" t="e">
        <f t="shared" si="141"/>
        <v>#VALUE!</v>
      </c>
      <c r="J326" s="74" t="e">
        <f t="shared" si="139"/>
        <v>#VALUE!</v>
      </c>
      <c r="K326" s="74" t="e">
        <f t="shared" si="140"/>
        <v>#VALUE!</v>
      </c>
    </row>
    <row r="327" spans="1:11" x14ac:dyDescent="0.2">
      <c r="A327" s="218"/>
      <c r="B327" s="3">
        <v>17</v>
      </c>
      <c r="C327" s="11">
        <f t="shared" si="133"/>
        <v>0</v>
      </c>
      <c r="D327" s="11">
        <f t="shared" si="134"/>
        <v>0</v>
      </c>
      <c r="E327" s="11">
        <f t="shared" si="135"/>
        <v>0</v>
      </c>
      <c r="F327" s="11">
        <f t="shared" si="136"/>
        <v>0</v>
      </c>
      <c r="G327" s="52">
        <f t="shared" si="137"/>
        <v>0</v>
      </c>
      <c r="H327" s="52">
        <f t="shared" si="138"/>
        <v>0</v>
      </c>
      <c r="I327" s="52" t="e">
        <f t="shared" si="141"/>
        <v>#VALUE!</v>
      </c>
      <c r="J327" s="74" t="e">
        <f t="shared" si="139"/>
        <v>#VALUE!</v>
      </c>
      <c r="K327" s="74" t="e">
        <f t="shared" si="140"/>
        <v>#VALUE!</v>
      </c>
    </row>
    <row r="328" spans="1:11" x14ac:dyDescent="0.2">
      <c r="A328" s="218"/>
      <c r="B328" s="3">
        <v>18</v>
      </c>
      <c r="C328" s="11">
        <f t="shared" si="133"/>
        <v>0</v>
      </c>
      <c r="D328" s="11">
        <f t="shared" si="134"/>
        <v>0</v>
      </c>
      <c r="E328" s="11">
        <f t="shared" si="135"/>
        <v>0</v>
      </c>
      <c r="F328" s="11">
        <f t="shared" si="136"/>
        <v>0</v>
      </c>
      <c r="G328" s="52">
        <f t="shared" si="137"/>
        <v>0</v>
      </c>
      <c r="H328" s="52">
        <f t="shared" si="138"/>
        <v>0</v>
      </c>
      <c r="I328" s="52" t="e">
        <f t="shared" si="141"/>
        <v>#VALUE!</v>
      </c>
      <c r="J328" s="74" t="e">
        <f t="shared" si="139"/>
        <v>#VALUE!</v>
      </c>
      <c r="K328" s="74" t="e">
        <f t="shared" si="140"/>
        <v>#VALUE!</v>
      </c>
    </row>
    <row r="329" spans="1:11" x14ac:dyDescent="0.2">
      <c r="A329" s="218"/>
      <c r="B329" s="3">
        <v>19</v>
      </c>
      <c r="C329" s="11">
        <f t="shared" si="133"/>
        <v>0</v>
      </c>
      <c r="D329" s="11">
        <f t="shared" si="134"/>
        <v>0</v>
      </c>
      <c r="E329" s="11">
        <f t="shared" si="135"/>
        <v>0</v>
      </c>
      <c r="F329" s="11">
        <f t="shared" si="136"/>
        <v>0</v>
      </c>
      <c r="G329" s="52">
        <f t="shared" si="137"/>
        <v>0</v>
      </c>
      <c r="H329" s="52">
        <f t="shared" si="138"/>
        <v>0</v>
      </c>
      <c r="I329" s="52" t="e">
        <f t="shared" si="141"/>
        <v>#VALUE!</v>
      </c>
      <c r="J329" s="74" t="e">
        <f t="shared" si="139"/>
        <v>#VALUE!</v>
      </c>
      <c r="K329" s="74" t="e">
        <f t="shared" si="140"/>
        <v>#VALUE!</v>
      </c>
    </row>
    <row r="330" spans="1:11" x14ac:dyDescent="0.2">
      <c r="A330" s="218"/>
      <c r="B330" s="3">
        <v>20</v>
      </c>
      <c r="C330" s="11">
        <f t="shared" si="133"/>
        <v>0</v>
      </c>
      <c r="D330" s="11">
        <f t="shared" si="134"/>
        <v>0</v>
      </c>
      <c r="E330" s="11">
        <f t="shared" si="135"/>
        <v>0</v>
      </c>
      <c r="F330" s="11">
        <f t="shared" si="136"/>
        <v>0</v>
      </c>
      <c r="G330" s="52">
        <f t="shared" si="137"/>
        <v>0</v>
      </c>
      <c r="H330" s="52">
        <f t="shared" si="138"/>
        <v>0</v>
      </c>
      <c r="I330" s="52" t="e">
        <f t="shared" si="141"/>
        <v>#VALUE!</v>
      </c>
      <c r="J330" s="74" t="e">
        <f t="shared" si="139"/>
        <v>#VALUE!</v>
      </c>
      <c r="K330" s="74" t="e">
        <f t="shared" si="140"/>
        <v>#VALUE!</v>
      </c>
    </row>
    <row r="332" spans="1:11" x14ac:dyDescent="0.2">
      <c r="B332" s="94" t="s">
        <v>662</v>
      </c>
      <c r="C332" s="95">
        <f t="shared" ref="C332:K332" si="142">SUM(C311:C330)</f>
        <v>0</v>
      </c>
      <c r="D332" s="95">
        <f t="shared" si="142"/>
        <v>0</v>
      </c>
      <c r="E332" s="95">
        <f t="shared" si="142"/>
        <v>0</v>
      </c>
      <c r="F332" s="95">
        <f t="shared" si="142"/>
        <v>0</v>
      </c>
      <c r="G332" s="105">
        <f t="shared" si="142"/>
        <v>0</v>
      </c>
      <c r="H332" s="105">
        <f t="shared" si="142"/>
        <v>0</v>
      </c>
      <c r="I332" s="105" t="e">
        <f t="shared" si="142"/>
        <v>#VALUE!</v>
      </c>
      <c r="J332" s="106" t="e">
        <f t="shared" si="142"/>
        <v>#VALUE!</v>
      </c>
      <c r="K332" s="106" t="e">
        <f t="shared" si="142"/>
        <v>#VALUE!</v>
      </c>
    </row>
    <row r="333" spans="1:11" x14ac:dyDescent="0.2">
      <c r="B333" s="94" t="s">
        <v>661</v>
      </c>
      <c r="C333" s="3" t="s">
        <v>653</v>
      </c>
      <c r="D333" s="3" t="s">
        <v>654</v>
      </c>
      <c r="E333" s="3" t="s">
        <v>655</v>
      </c>
      <c r="F333" s="3" t="s">
        <v>659</v>
      </c>
      <c r="G333" s="53" t="s">
        <v>663</v>
      </c>
      <c r="H333" s="53" t="s">
        <v>664</v>
      </c>
      <c r="I333" s="53" t="s">
        <v>665</v>
      </c>
      <c r="J333" s="462" t="s">
        <v>666</v>
      </c>
      <c r="K333" s="462"/>
    </row>
    <row r="335" spans="1:11" ht="16" customHeight="1" x14ac:dyDescent="0.2">
      <c r="B335" s="465" t="s">
        <v>257</v>
      </c>
      <c r="C335" s="107" t="e">
        <f>J332</f>
        <v>#VALUE!</v>
      </c>
      <c r="D335" s="64" t="s">
        <v>91</v>
      </c>
      <c r="E335" s="74"/>
      <c r="F335" s="75"/>
    </row>
    <row r="336" spans="1:11" ht="16" customHeight="1" x14ac:dyDescent="0.2">
      <c r="B336" s="466"/>
      <c r="C336" s="415" t="e">
        <f>C335/20</f>
        <v>#VALUE!</v>
      </c>
      <c r="D336" s="65" t="s">
        <v>93</v>
      </c>
    </row>
    <row r="337" spans="1:30" ht="16" customHeight="1" x14ac:dyDescent="0.2">
      <c r="B337" s="466"/>
      <c r="C337" s="228">
        <f>IF(OR($C$6=0,$C$6=""),0,C336/C6)</f>
        <v>0</v>
      </c>
      <c r="D337" s="65" t="s">
        <v>806</v>
      </c>
    </row>
    <row r="338" spans="1:30" ht="16" customHeight="1" x14ac:dyDescent="0.2">
      <c r="B338" s="466"/>
      <c r="C338" s="228" t="e">
        <f>IF(C336=0,0,C336/IF($C$4="IRR",$C$6,SUM($I$19:$I$38)))</f>
        <v>#VALUE!</v>
      </c>
      <c r="D338" s="63" t="s">
        <v>807</v>
      </c>
    </row>
    <row r="341" spans="1:30" x14ac:dyDescent="0.2">
      <c r="A341" s="146"/>
      <c r="B341" s="146"/>
      <c r="C341" s="146"/>
      <c r="D341" s="146"/>
      <c r="E341" s="146"/>
      <c r="F341" s="146"/>
      <c r="G341" s="146"/>
      <c r="H341" s="146"/>
      <c r="I341" s="146"/>
      <c r="J341" s="146"/>
      <c r="K341" s="146"/>
      <c r="L341" s="146"/>
      <c r="M341" s="146"/>
      <c r="N341" s="146"/>
      <c r="O341" s="146"/>
      <c r="P341" s="146"/>
      <c r="Q341" s="146"/>
      <c r="R341" s="146"/>
      <c r="S341" s="146"/>
      <c r="T341" s="146"/>
      <c r="U341" s="146"/>
      <c r="V341" s="146"/>
      <c r="W341" s="146"/>
      <c r="X341" s="146"/>
      <c r="Y341" s="146"/>
      <c r="Z341" s="146"/>
      <c r="AA341" s="146"/>
      <c r="AB341" s="146"/>
      <c r="AC341" s="146"/>
      <c r="AD341" s="146"/>
    </row>
    <row r="343" spans="1:30" ht="31" customHeight="1" x14ac:dyDescent="0.2">
      <c r="A343" s="63" t="s">
        <v>649</v>
      </c>
      <c r="B343" s="148"/>
      <c r="C343" s="148"/>
      <c r="D343" s="148"/>
      <c r="E343" s="148"/>
      <c r="F343" s="148"/>
      <c r="G343" s="148"/>
      <c r="H343" s="148"/>
      <c r="I343" s="148"/>
      <c r="J343" s="148"/>
      <c r="K343" s="148"/>
    </row>
    <row r="344" spans="1:30" x14ac:dyDescent="0.2">
      <c r="A344" s="461" t="s">
        <v>775</v>
      </c>
      <c r="B344" s="461"/>
      <c r="C344" s="461"/>
      <c r="D344" s="461"/>
    </row>
    <row r="345" spans="1:30" x14ac:dyDescent="0.2">
      <c r="A345" s="3" t="s">
        <v>94</v>
      </c>
      <c r="B345" s="3" t="s">
        <v>777</v>
      </c>
      <c r="C345" s="3" t="s">
        <v>766</v>
      </c>
      <c r="D345" s="3" t="s">
        <v>767</v>
      </c>
    </row>
    <row r="346" spans="1:30" x14ac:dyDescent="0.2">
      <c r="A346" s="3">
        <v>0</v>
      </c>
      <c r="B346" s="95">
        <f t="shared" ref="B346:B366" si="143">IF(A346=0,SUM($S$4:$S$7),C284+D284+E284)</f>
        <v>0</v>
      </c>
      <c r="C346" s="95">
        <f t="shared" ref="C346:C366" si="144">IF(A346=0,SUM($S$4:$S$7),F284+G284+H284)</f>
        <v>0</v>
      </c>
      <c r="D346" s="95">
        <f>C346-B346</f>
        <v>0</v>
      </c>
    </row>
    <row r="347" spans="1:30" x14ac:dyDescent="0.2">
      <c r="A347" s="3">
        <v>1</v>
      </c>
      <c r="B347" s="95">
        <f t="shared" si="143"/>
        <v>0</v>
      </c>
      <c r="C347" s="95">
        <f t="shared" si="144"/>
        <v>0</v>
      </c>
      <c r="D347" s="95">
        <f t="shared" ref="D347:D366" si="145">C347-B347</f>
        <v>0</v>
      </c>
    </row>
    <row r="348" spans="1:30" x14ac:dyDescent="0.2">
      <c r="A348" s="3">
        <v>2</v>
      </c>
      <c r="B348" s="95">
        <f t="shared" si="143"/>
        <v>0</v>
      </c>
      <c r="C348" s="95">
        <f t="shared" si="144"/>
        <v>0</v>
      </c>
      <c r="D348" s="95">
        <f t="shared" si="145"/>
        <v>0</v>
      </c>
      <c r="K348" s="11"/>
      <c r="L348" s="11"/>
      <c r="M348" s="11"/>
    </row>
    <row r="349" spans="1:30" x14ac:dyDescent="0.2">
      <c r="A349" s="3">
        <v>3</v>
      </c>
      <c r="B349" s="95">
        <f t="shared" si="143"/>
        <v>0</v>
      </c>
      <c r="C349" s="95">
        <f t="shared" si="144"/>
        <v>0</v>
      </c>
      <c r="D349" s="95">
        <f t="shared" si="145"/>
        <v>0</v>
      </c>
      <c r="K349" s="11"/>
      <c r="L349" s="11"/>
      <c r="M349" s="11"/>
    </row>
    <row r="350" spans="1:30" x14ac:dyDescent="0.2">
      <c r="A350" s="3">
        <v>4</v>
      </c>
      <c r="B350" s="95">
        <f t="shared" si="143"/>
        <v>0</v>
      </c>
      <c r="C350" s="95">
        <f t="shared" si="144"/>
        <v>0</v>
      </c>
      <c r="D350" s="95">
        <f t="shared" si="145"/>
        <v>0</v>
      </c>
      <c r="K350" s="11"/>
      <c r="L350" s="11"/>
      <c r="M350" s="11"/>
    </row>
    <row r="351" spans="1:30" x14ac:dyDescent="0.2">
      <c r="A351" s="3">
        <v>5</v>
      </c>
      <c r="B351" s="95">
        <f t="shared" si="143"/>
        <v>0</v>
      </c>
      <c r="C351" s="95">
        <f t="shared" si="144"/>
        <v>0</v>
      </c>
      <c r="D351" s="95">
        <f t="shared" si="145"/>
        <v>0</v>
      </c>
      <c r="K351" s="11"/>
      <c r="L351" s="11"/>
      <c r="M351" s="11"/>
    </row>
    <row r="352" spans="1:30" x14ac:dyDescent="0.2">
      <c r="A352" s="3">
        <v>6</v>
      </c>
      <c r="B352" s="95">
        <f t="shared" si="143"/>
        <v>0</v>
      </c>
      <c r="C352" s="95">
        <f t="shared" si="144"/>
        <v>0</v>
      </c>
      <c r="D352" s="95">
        <f t="shared" si="145"/>
        <v>0</v>
      </c>
      <c r="K352" s="11"/>
      <c r="L352" s="11"/>
      <c r="M352" s="11"/>
    </row>
    <row r="353" spans="1:13" x14ac:dyDescent="0.2">
      <c r="A353" s="3">
        <v>7</v>
      </c>
      <c r="B353" s="95">
        <f t="shared" si="143"/>
        <v>0</v>
      </c>
      <c r="C353" s="95">
        <f t="shared" si="144"/>
        <v>0</v>
      </c>
      <c r="D353" s="95">
        <f t="shared" si="145"/>
        <v>0</v>
      </c>
      <c r="K353" s="11"/>
      <c r="L353" s="11"/>
      <c r="M353" s="11"/>
    </row>
    <row r="354" spans="1:13" x14ac:dyDescent="0.2">
      <c r="A354" s="3">
        <v>8</v>
      </c>
      <c r="B354" s="95">
        <f t="shared" si="143"/>
        <v>0</v>
      </c>
      <c r="C354" s="95">
        <f t="shared" si="144"/>
        <v>0</v>
      </c>
      <c r="D354" s="95">
        <f t="shared" si="145"/>
        <v>0</v>
      </c>
      <c r="K354" s="11"/>
      <c r="L354" s="11"/>
      <c r="M354" s="11"/>
    </row>
    <row r="355" spans="1:13" x14ac:dyDescent="0.2">
      <c r="A355" s="3">
        <v>9</v>
      </c>
      <c r="B355" s="95">
        <f t="shared" si="143"/>
        <v>0</v>
      </c>
      <c r="C355" s="95">
        <f t="shared" si="144"/>
        <v>0</v>
      </c>
      <c r="D355" s="95">
        <f t="shared" si="145"/>
        <v>0</v>
      </c>
      <c r="K355" s="11"/>
      <c r="L355" s="11"/>
      <c r="M355" s="11"/>
    </row>
    <row r="356" spans="1:13" x14ac:dyDescent="0.2">
      <c r="A356" s="3">
        <v>10</v>
      </c>
      <c r="B356" s="95">
        <f t="shared" si="143"/>
        <v>0</v>
      </c>
      <c r="C356" s="95">
        <f t="shared" si="144"/>
        <v>0</v>
      </c>
      <c r="D356" s="95">
        <f t="shared" si="145"/>
        <v>0</v>
      </c>
      <c r="K356" s="11"/>
      <c r="L356" s="11"/>
      <c r="M356" s="11"/>
    </row>
    <row r="357" spans="1:13" x14ac:dyDescent="0.2">
      <c r="A357" s="3">
        <v>11</v>
      </c>
      <c r="B357" s="95">
        <f t="shared" si="143"/>
        <v>0</v>
      </c>
      <c r="C357" s="95">
        <f t="shared" si="144"/>
        <v>0</v>
      </c>
      <c r="D357" s="95">
        <f t="shared" si="145"/>
        <v>0</v>
      </c>
      <c r="K357" s="11"/>
      <c r="L357" s="11"/>
      <c r="M357" s="11"/>
    </row>
    <row r="358" spans="1:13" x14ac:dyDescent="0.2">
      <c r="A358" s="3">
        <v>12</v>
      </c>
      <c r="B358" s="95">
        <f t="shared" si="143"/>
        <v>0</v>
      </c>
      <c r="C358" s="95">
        <f t="shared" si="144"/>
        <v>0</v>
      </c>
      <c r="D358" s="95">
        <f t="shared" si="145"/>
        <v>0</v>
      </c>
      <c r="K358" s="11"/>
      <c r="L358" s="11"/>
      <c r="M358" s="11"/>
    </row>
    <row r="359" spans="1:13" x14ac:dyDescent="0.2">
      <c r="A359" s="3">
        <v>13</v>
      </c>
      <c r="B359" s="95">
        <f t="shared" si="143"/>
        <v>0</v>
      </c>
      <c r="C359" s="95">
        <f t="shared" si="144"/>
        <v>0</v>
      </c>
      <c r="D359" s="95">
        <f t="shared" si="145"/>
        <v>0</v>
      </c>
      <c r="K359" s="11"/>
      <c r="L359" s="11"/>
      <c r="M359" s="11"/>
    </row>
    <row r="360" spans="1:13" x14ac:dyDescent="0.2">
      <c r="A360" s="3">
        <v>14</v>
      </c>
      <c r="B360" s="95">
        <f t="shared" si="143"/>
        <v>0</v>
      </c>
      <c r="C360" s="95">
        <f t="shared" si="144"/>
        <v>0</v>
      </c>
      <c r="D360" s="95">
        <f t="shared" si="145"/>
        <v>0</v>
      </c>
      <c r="K360" s="11"/>
      <c r="L360" s="11"/>
      <c r="M360" s="11"/>
    </row>
    <row r="361" spans="1:13" x14ac:dyDescent="0.2">
      <c r="A361" s="3">
        <v>15</v>
      </c>
      <c r="B361" s="95">
        <f t="shared" si="143"/>
        <v>0</v>
      </c>
      <c r="C361" s="95">
        <f t="shared" si="144"/>
        <v>0</v>
      </c>
      <c r="D361" s="95">
        <f t="shared" si="145"/>
        <v>0</v>
      </c>
      <c r="K361" s="11"/>
      <c r="L361" s="11"/>
      <c r="M361" s="11"/>
    </row>
    <row r="362" spans="1:13" x14ac:dyDescent="0.2">
      <c r="A362" s="3">
        <v>16</v>
      </c>
      <c r="B362" s="95">
        <f t="shared" si="143"/>
        <v>0</v>
      </c>
      <c r="C362" s="95">
        <f t="shared" si="144"/>
        <v>0</v>
      </c>
      <c r="D362" s="95">
        <f t="shared" si="145"/>
        <v>0</v>
      </c>
      <c r="K362" s="11"/>
      <c r="L362" s="11"/>
      <c r="M362" s="11"/>
    </row>
    <row r="363" spans="1:13" x14ac:dyDescent="0.2">
      <c r="A363" s="3">
        <v>17</v>
      </c>
      <c r="B363" s="95">
        <f t="shared" si="143"/>
        <v>0</v>
      </c>
      <c r="C363" s="95">
        <f t="shared" si="144"/>
        <v>0</v>
      </c>
      <c r="D363" s="95">
        <f t="shared" si="145"/>
        <v>0</v>
      </c>
      <c r="K363" s="11"/>
      <c r="L363" s="11"/>
      <c r="M363" s="11"/>
    </row>
    <row r="364" spans="1:13" x14ac:dyDescent="0.2">
      <c r="A364" s="3">
        <v>18</v>
      </c>
      <c r="B364" s="95">
        <f t="shared" si="143"/>
        <v>0</v>
      </c>
      <c r="C364" s="95">
        <f t="shared" si="144"/>
        <v>0</v>
      </c>
      <c r="D364" s="95">
        <f t="shared" si="145"/>
        <v>0</v>
      </c>
      <c r="K364" s="11"/>
      <c r="L364" s="11"/>
      <c r="M364" s="11"/>
    </row>
    <row r="365" spans="1:13" x14ac:dyDescent="0.2">
      <c r="A365" s="3">
        <v>19</v>
      </c>
      <c r="B365" s="95">
        <f t="shared" si="143"/>
        <v>0</v>
      </c>
      <c r="C365" s="95">
        <f t="shared" si="144"/>
        <v>0</v>
      </c>
      <c r="D365" s="95">
        <f t="shared" si="145"/>
        <v>0</v>
      </c>
      <c r="K365" s="11"/>
      <c r="L365" s="11"/>
      <c r="M365" s="11"/>
    </row>
    <row r="366" spans="1:13" s="94" customFormat="1" x14ac:dyDescent="0.2">
      <c r="A366" s="94">
        <v>20</v>
      </c>
      <c r="B366" s="96">
        <f t="shared" si="143"/>
        <v>0</v>
      </c>
      <c r="C366" s="96">
        <f t="shared" si="144"/>
        <v>0</v>
      </c>
      <c r="D366" s="96">
        <f t="shared" si="145"/>
        <v>0</v>
      </c>
      <c r="K366" s="221"/>
      <c r="L366" s="221"/>
      <c r="M366" s="221"/>
    </row>
    <row r="368" spans="1:13" x14ac:dyDescent="0.2">
      <c r="A368" s="461" t="s">
        <v>638</v>
      </c>
      <c r="B368" s="461"/>
      <c r="C368" s="461"/>
      <c r="D368" s="461"/>
    </row>
    <row r="369" spans="1:4" x14ac:dyDescent="0.2">
      <c r="A369" s="3" t="s">
        <v>94</v>
      </c>
      <c r="B369" s="3" t="s">
        <v>285</v>
      </c>
      <c r="C369" s="3" t="s">
        <v>286</v>
      </c>
      <c r="D369" s="3" t="s">
        <v>287</v>
      </c>
    </row>
    <row r="370" spans="1:4" x14ac:dyDescent="0.2">
      <c r="A370" s="3">
        <v>1</v>
      </c>
      <c r="B370" s="95">
        <f t="shared" ref="B370:B389" si="146">M285</f>
        <v>0</v>
      </c>
      <c r="C370" s="95">
        <f t="shared" ref="C370:C389" si="147">N285</f>
        <v>0</v>
      </c>
      <c r="D370" s="95">
        <f t="shared" ref="D370:D389" si="148">O285</f>
        <v>0</v>
      </c>
    </row>
    <row r="371" spans="1:4" x14ac:dyDescent="0.2">
      <c r="A371" s="3">
        <v>2</v>
      </c>
      <c r="B371" s="95">
        <f t="shared" si="146"/>
        <v>0</v>
      </c>
      <c r="C371" s="95">
        <f t="shared" si="147"/>
        <v>0</v>
      </c>
      <c r="D371" s="95">
        <f t="shared" si="148"/>
        <v>0</v>
      </c>
    </row>
    <row r="372" spans="1:4" x14ac:dyDescent="0.2">
      <c r="A372" s="3">
        <v>3</v>
      </c>
      <c r="B372" s="95">
        <f t="shared" si="146"/>
        <v>0</v>
      </c>
      <c r="C372" s="95">
        <f t="shared" si="147"/>
        <v>0</v>
      </c>
      <c r="D372" s="95">
        <f t="shared" si="148"/>
        <v>0</v>
      </c>
    </row>
    <row r="373" spans="1:4" x14ac:dyDescent="0.2">
      <c r="A373" s="3">
        <v>4</v>
      </c>
      <c r="B373" s="95">
        <f t="shared" si="146"/>
        <v>0</v>
      </c>
      <c r="C373" s="95">
        <f t="shared" si="147"/>
        <v>0</v>
      </c>
      <c r="D373" s="95">
        <f t="shared" si="148"/>
        <v>0</v>
      </c>
    </row>
    <row r="374" spans="1:4" x14ac:dyDescent="0.2">
      <c r="A374" s="3">
        <v>5</v>
      </c>
      <c r="B374" s="95">
        <f t="shared" si="146"/>
        <v>0</v>
      </c>
      <c r="C374" s="95">
        <f t="shared" si="147"/>
        <v>0</v>
      </c>
      <c r="D374" s="95">
        <f t="shared" si="148"/>
        <v>0</v>
      </c>
    </row>
    <row r="375" spans="1:4" x14ac:dyDescent="0.2">
      <c r="A375" s="3">
        <v>6</v>
      </c>
      <c r="B375" s="95">
        <f t="shared" si="146"/>
        <v>0</v>
      </c>
      <c r="C375" s="95">
        <f t="shared" si="147"/>
        <v>0</v>
      </c>
      <c r="D375" s="95">
        <f t="shared" si="148"/>
        <v>0</v>
      </c>
    </row>
    <row r="376" spans="1:4" x14ac:dyDescent="0.2">
      <c r="A376" s="3">
        <v>7</v>
      </c>
      <c r="B376" s="95">
        <f t="shared" si="146"/>
        <v>0</v>
      </c>
      <c r="C376" s="95">
        <f t="shared" si="147"/>
        <v>0</v>
      </c>
      <c r="D376" s="95">
        <f t="shared" si="148"/>
        <v>0</v>
      </c>
    </row>
    <row r="377" spans="1:4" x14ac:dyDescent="0.2">
      <c r="A377" s="3">
        <v>8</v>
      </c>
      <c r="B377" s="95">
        <f t="shared" si="146"/>
        <v>0</v>
      </c>
      <c r="C377" s="95">
        <f t="shared" si="147"/>
        <v>0</v>
      </c>
      <c r="D377" s="95">
        <f t="shared" si="148"/>
        <v>0</v>
      </c>
    </row>
    <row r="378" spans="1:4" x14ac:dyDescent="0.2">
      <c r="A378" s="3">
        <v>9</v>
      </c>
      <c r="B378" s="95">
        <f t="shared" si="146"/>
        <v>0</v>
      </c>
      <c r="C378" s="95">
        <f t="shared" si="147"/>
        <v>0</v>
      </c>
      <c r="D378" s="95">
        <f t="shared" si="148"/>
        <v>0</v>
      </c>
    </row>
    <row r="379" spans="1:4" x14ac:dyDescent="0.2">
      <c r="A379" s="3">
        <v>10</v>
      </c>
      <c r="B379" s="95">
        <f t="shared" si="146"/>
        <v>0</v>
      </c>
      <c r="C379" s="95">
        <f t="shared" si="147"/>
        <v>0</v>
      </c>
      <c r="D379" s="95">
        <f t="shared" si="148"/>
        <v>0</v>
      </c>
    </row>
    <row r="380" spans="1:4" x14ac:dyDescent="0.2">
      <c r="A380" s="3">
        <v>11</v>
      </c>
      <c r="B380" s="95">
        <f t="shared" si="146"/>
        <v>0</v>
      </c>
      <c r="C380" s="95">
        <f t="shared" si="147"/>
        <v>0</v>
      </c>
      <c r="D380" s="95">
        <f t="shared" si="148"/>
        <v>0</v>
      </c>
    </row>
    <row r="381" spans="1:4" x14ac:dyDescent="0.2">
      <c r="A381" s="3">
        <v>12</v>
      </c>
      <c r="B381" s="95">
        <f t="shared" si="146"/>
        <v>0</v>
      </c>
      <c r="C381" s="95">
        <f t="shared" si="147"/>
        <v>0</v>
      </c>
      <c r="D381" s="95">
        <f t="shared" si="148"/>
        <v>0</v>
      </c>
    </row>
    <row r="382" spans="1:4" x14ac:dyDescent="0.2">
      <c r="A382" s="3">
        <v>13</v>
      </c>
      <c r="B382" s="95">
        <f t="shared" si="146"/>
        <v>0</v>
      </c>
      <c r="C382" s="95">
        <f t="shared" si="147"/>
        <v>0</v>
      </c>
      <c r="D382" s="95">
        <f t="shared" si="148"/>
        <v>0</v>
      </c>
    </row>
    <row r="383" spans="1:4" x14ac:dyDescent="0.2">
      <c r="A383" s="3">
        <v>14</v>
      </c>
      <c r="B383" s="95">
        <f t="shared" si="146"/>
        <v>0</v>
      </c>
      <c r="C383" s="95">
        <f t="shared" si="147"/>
        <v>0</v>
      </c>
      <c r="D383" s="95">
        <f t="shared" si="148"/>
        <v>0</v>
      </c>
    </row>
    <row r="384" spans="1:4" x14ac:dyDescent="0.2">
      <c r="A384" s="3">
        <v>15</v>
      </c>
      <c r="B384" s="95">
        <f t="shared" si="146"/>
        <v>0</v>
      </c>
      <c r="C384" s="95">
        <f t="shared" si="147"/>
        <v>0</v>
      </c>
      <c r="D384" s="95">
        <f t="shared" si="148"/>
        <v>0</v>
      </c>
    </row>
    <row r="385" spans="1:11" x14ac:dyDescent="0.2">
      <c r="A385" s="3">
        <v>16</v>
      </c>
      <c r="B385" s="95">
        <f t="shared" si="146"/>
        <v>0</v>
      </c>
      <c r="C385" s="95">
        <f t="shared" si="147"/>
        <v>0</v>
      </c>
      <c r="D385" s="95">
        <f t="shared" si="148"/>
        <v>0</v>
      </c>
    </row>
    <row r="386" spans="1:11" x14ac:dyDescent="0.2">
      <c r="A386" s="3">
        <v>17</v>
      </c>
      <c r="B386" s="95">
        <f t="shared" si="146"/>
        <v>0</v>
      </c>
      <c r="C386" s="95">
        <f t="shared" si="147"/>
        <v>0</v>
      </c>
      <c r="D386" s="95">
        <f t="shared" si="148"/>
        <v>0</v>
      </c>
    </row>
    <row r="387" spans="1:11" x14ac:dyDescent="0.2">
      <c r="A387" s="3">
        <v>18</v>
      </c>
      <c r="B387" s="95">
        <f t="shared" si="146"/>
        <v>0</v>
      </c>
      <c r="C387" s="95">
        <f t="shared" si="147"/>
        <v>0</v>
      </c>
      <c r="D387" s="95">
        <f t="shared" si="148"/>
        <v>0</v>
      </c>
    </row>
    <row r="388" spans="1:11" x14ac:dyDescent="0.2">
      <c r="A388" s="3">
        <v>19</v>
      </c>
      <c r="B388" s="95">
        <f t="shared" si="146"/>
        <v>0</v>
      </c>
      <c r="C388" s="95">
        <f t="shared" si="147"/>
        <v>0</v>
      </c>
      <c r="D388" s="95">
        <f t="shared" si="148"/>
        <v>0</v>
      </c>
    </row>
    <row r="389" spans="1:11" x14ac:dyDescent="0.2">
      <c r="A389" s="94">
        <v>20</v>
      </c>
      <c r="B389" s="96">
        <f t="shared" si="146"/>
        <v>0</v>
      </c>
      <c r="C389" s="96">
        <f t="shared" si="147"/>
        <v>0</v>
      </c>
      <c r="D389" s="96">
        <f t="shared" si="148"/>
        <v>0</v>
      </c>
    </row>
    <row r="391" spans="1:11" ht="31" customHeight="1" x14ac:dyDescent="0.2">
      <c r="A391" s="63" t="s">
        <v>639</v>
      </c>
      <c r="B391" s="148"/>
      <c r="C391" s="148"/>
      <c r="D391" s="148"/>
      <c r="E391" s="148"/>
      <c r="F391" s="148"/>
      <c r="G391" s="148"/>
      <c r="H391" s="148"/>
      <c r="I391" s="148"/>
      <c r="J391" s="148"/>
      <c r="K391" s="148"/>
    </row>
    <row r="392" spans="1:11" x14ac:dyDescent="0.2">
      <c r="A392" s="147"/>
    </row>
    <row r="393" spans="1:11" x14ac:dyDescent="0.2">
      <c r="A393" s="81" t="s">
        <v>94</v>
      </c>
      <c r="B393" s="81" t="s">
        <v>761</v>
      </c>
      <c r="C393" s="81" t="s">
        <v>795</v>
      </c>
      <c r="D393" s="81" t="s">
        <v>759</v>
      </c>
      <c r="E393" s="81" t="s">
        <v>760</v>
      </c>
      <c r="F393" s="81" t="s">
        <v>762</v>
      </c>
      <c r="G393" s="81" t="s">
        <v>763</v>
      </c>
    </row>
    <row r="394" spans="1:11" x14ac:dyDescent="0.2">
      <c r="A394" s="3">
        <v>1</v>
      </c>
      <c r="B394" s="95">
        <f t="shared" ref="B394:B413" si="149">D$15</f>
        <v>0</v>
      </c>
      <c r="C394" s="95">
        <f t="shared" ref="C394:C413" si="150">D$16+D$15</f>
        <v>0</v>
      </c>
      <c r="D394" s="95">
        <f t="shared" ref="D394:D413" si="151">AS61</f>
        <v>0</v>
      </c>
      <c r="E394" s="95">
        <f t="shared" ref="E394:E413" si="152">AS177</f>
        <v>0</v>
      </c>
      <c r="F394" s="95">
        <f t="shared" ref="F394:F413" si="153">IF($C$4="iRR",D394+B394,D394)</f>
        <v>0</v>
      </c>
      <c r="G394" s="95">
        <f t="shared" ref="G394:G413" si="154">IF($C$4="IRR",B394+E394,E394)</f>
        <v>0</v>
      </c>
    </row>
    <row r="395" spans="1:11" x14ac:dyDescent="0.2">
      <c r="A395" s="3">
        <v>2</v>
      </c>
      <c r="B395" s="95">
        <f t="shared" si="149"/>
        <v>0</v>
      </c>
      <c r="C395" s="95">
        <f t="shared" si="150"/>
        <v>0</v>
      </c>
      <c r="D395" s="95">
        <f t="shared" si="151"/>
        <v>0</v>
      </c>
      <c r="E395" s="95">
        <f t="shared" si="152"/>
        <v>0</v>
      </c>
      <c r="F395" s="95">
        <f t="shared" si="153"/>
        <v>0</v>
      </c>
      <c r="G395" s="95">
        <f t="shared" si="154"/>
        <v>0</v>
      </c>
    </row>
    <row r="396" spans="1:11" x14ac:dyDescent="0.2">
      <c r="A396" s="3">
        <v>3</v>
      </c>
      <c r="B396" s="95">
        <f t="shared" si="149"/>
        <v>0</v>
      </c>
      <c r="C396" s="95">
        <f t="shared" si="150"/>
        <v>0</v>
      </c>
      <c r="D396" s="95">
        <f t="shared" si="151"/>
        <v>0</v>
      </c>
      <c r="E396" s="95">
        <f t="shared" si="152"/>
        <v>0</v>
      </c>
      <c r="F396" s="95">
        <f t="shared" si="153"/>
        <v>0</v>
      </c>
      <c r="G396" s="95">
        <f t="shared" si="154"/>
        <v>0</v>
      </c>
    </row>
    <row r="397" spans="1:11" x14ac:dyDescent="0.2">
      <c r="A397" s="3">
        <v>4</v>
      </c>
      <c r="B397" s="95">
        <f t="shared" si="149"/>
        <v>0</v>
      </c>
      <c r="C397" s="95">
        <f t="shared" si="150"/>
        <v>0</v>
      </c>
      <c r="D397" s="95">
        <f t="shared" si="151"/>
        <v>0</v>
      </c>
      <c r="E397" s="95">
        <f t="shared" si="152"/>
        <v>0</v>
      </c>
      <c r="F397" s="95">
        <f t="shared" si="153"/>
        <v>0</v>
      </c>
      <c r="G397" s="95">
        <f t="shared" si="154"/>
        <v>0</v>
      </c>
    </row>
    <row r="398" spans="1:11" x14ac:dyDescent="0.2">
      <c r="A398" s="3">
        <v>5</v>
      </c>
      <c r="B398" s="95">
        <f t="shared" si="149"/>
        <v>0</v>
      </c>
      <c r="C398" s="95">
        <f t="shared" si="150"/>
        <v>0</v>
      </c>
      <c r="D398" s="95">
        <f t="shared" si="151"/>
        <v>0</v>
      </c>
      <c r="E398" s="95">
        <f t="shared" si="152"/>
        <v>0</v>
      </c>
      <c r="F398" s="95">
        <f t="shared" si="153"/>
        <v>0</v>
      </c>
      <c r="G398" s="95">
        <f t="shared" si="154"/>
        <v>0</v>
      </c>
    </row>
    <row r="399" spans="1:11" x14ac:dyDescent="0.2">
      <c r="A399" s="3">
        <v>6</v>
      </c>
      <c r="B399" s="95">
        <f t="shared" si="149"/>
        <v>0</v>
      </c>
      <c r="C399" s="95">
        <f t="shared" si="150"/>
        <v>0</v>
      </c>
      <c r="D399" s="95">
        <f t="shared" si="151"/>
        <v>0</v>
      </c>
      <c r="E399" s="95">
        <f t="shared" si="152"/>
        <v>0</v>
      </c>
      <c r="F399" s="95">
        <f t="shared" si="153"/>
        <v>0</v>
      </c>
      <c r="G399" s="95">
        <f t="shared" si="154"/>
        <v>0</v>
      </c>
    </row>
    <row r="400" spans="1:11" x14ac:dyDescent="0.2">
      <c r="A400" s="3">
        <v>7</v>
      </c>
      <c r="B400" s="95">
        <f t="shared" si="149"/>
        <v>0</v>
      </c>
      <c r="C400" s="95">
        <f t="shared" si="150"/>
        <v>0</v>
      </c>
      <c r="D400" s="95">
        <f t="shared" si="151"/>
        <v>0</v>
      </c>
      <c r="E400" s="95">
        <f t="shared" si="152"/>
        <v>0</v>
      </c>
      <c r="F400" s="95">
        <f t="shared" si="153"/>
        <v>0</v>
      </c>
      <c r="G400" s="95">
        <f t="shared" si="154"/>
        <v>0</v>
      </c>
    </row>
    <row r="401" spans="1:7" x14ac:dyDescent="0.2">
      <c r="A401" s="3">
        <v>8</v>
      </c>
      <c r="B401" s="95">
        <f t="shared" si="149"/>
        <v>0</v>
      </c>
      <c r="C401" s="95">
        <f t="shared" si="150"/>
        <v>0</v>
      </c>
      <c r="D401" s="95">
        <f t="shared" si="151"/>
        <v>0</v>
      </c>
      <c r="E401" s="95">
        <f t="shared" si="152"/>
        <v>0</v>
      </c>
      <c r="F401" s="95">
        <f t="shared" si="153"/>
        <v>0</v>
      </c>
      <c r="G401" s="95">
        <f t="shared" si="154"/>
        <v>0</v>
      </c>
    </row>
    <row r="402" spans="1:7" x14ac:dyDescent="0.2">
      <c r="A402" s="3">
        <v>9</v>
      </c>
      <c r="B402" s="95">
        <f t="shared" si="149"/>
        <v>0</v>
      </c>
      <c r="C402" s="95">
        <f t="shared" si="150"/>
        <v>0</v>
      </c>
      <c r="D402" s="95">
        <f t="shared" si="151"/>
        <v>0</v>
      </c>
      <c r="E402" s="95">
        <f t="shared" si="152"/>
        <v>0</v>
      </c>
      <c r="F402" s="95">
        <f t="shared" si="153"/>
        <v>0</v>
      </c>
      <c r="G402" s="95">
        <f t="shared" si="154"/>
        <v>0</v>
      </c>
    </row>
    <row r="403" spans="1:7" x14ac:dyDescent="0.2">
      <c r="A403" s="3">
        <v>10</v>
      </c>
      <c r="B403" s="95">
        <f t="shared" si="149"/>
        <v>0</v>
      </c>
      <c r="C403" s="95">
        <f t="shared" si="150"/>
        <v>0</v>
      </c>
      <c r="D403" s="95">
        <f t="shared" si="151"/>
        <v>0</v>
      </c>
      <c r="E403" s="95">
        <f t="shared" si="152"/>
        <v>0</v>
      </c>
      <c r="F403" s="95">
        <f t="shared" si="153"/>
        <v>0</v>
      </c>
      <c r="G403" s="95">
        <f t="shared" si="154"/>
        <v>0</v>
      </c>
    </row>
    <row r="404" spans="1:7" x14ac:dyDescent="0.2">
      <c r="A404" s="3">
        <v>11</v>
      </c>
      <c r="B404" s="95">
        <f t="shared" si="149"/>
        <v>0</v>
      </c>
      <c r="C404" s="95">
        <f t="shared" si="150"/>
        <v>0</v>
      </c>
      <c r="D404" s="95">
        <f t="shared" si="151"/>
        <v>0</v>
      </c>
      <c r="E404" s="95">
        <f t="shared" si="152"/>
        <v>0</v>
      </c>
      <c r="F404" s="95">
        <f t="shared" si="153"/>
        <v>0</v>
      </c>
      <c r="G404" s="95">
        <f t="shared" si="154"/>
        <v>0</v>
      </c>
    </row>
    <row r="405" spans="1:7" x14ac:dyDescent="0.2">
      <c r="A405" s="3">
        <v>12</v>
      </c>
      <c r="B405" s="95">
        <f t="shared" si="149"/>
        <v>0</v>
      </c>
      <c r="C405" s="95">
        <f t="shared" si="150"/>
        <v>0</v>
      </c>
      <c r="D405" s="95">
        <f t="shared" si="151"/>
        <v>0</v>
      </c>
      <c r="E405" s="95">
        <f t="shared" si="152"/>
        <v>0</v>
      </c>
      <c r="F405" s="95">
        <f t="shared" si="153"/>
        <v>0</v>
      </c>
      <c r="G405" s="95">
        <f t="shared" si="154"/>
        <v>0</v>
      </c>
    </row>
    <row r="406" spans="1:7" x14ac:dyDescent="0.2">
      <c r="A406" s="3">
        <v>13</v>
      </c>
      <c r="B406" s="95">
        <f t="shared" si="149"/>
        <v>0</v>
      </c>
      <c r="C406" s="95">
        <f t="shared" si="150"/>
        <v>0</v>
      </c>
      <c r="D406" s="95">
        <f t="shared" si="151"/>
        <v>0</v>
      </c>
      <c r="E406" s="95">
        <f t="shared" si="152"/>
        <v>0</v>
      </c>
      <c r="F406" s="95">
        <f t="shared" si="153"/>
        <v>0</v>
      </c>
      <c r="G406" s="95">
        <f t="shared" si="154"/>
        <v>0</v>
      </c>
    </row>
    <row r="407" spans="1:7" x14ac:dyDescent="0.2">
      <c r="A407" s="3">
        <v>14</v>
      </c>
      <c r="B407" s="95">
        <f t="shared" si="149"/>
        <v>0</v>
      </c>
      <c r="C407" s="95">
        <f t="shared" si="150"/>
        <v>0</v>
      </c>
      <c r="D407" s="95">
        <f t="shared" si="151"/>
        <v>0</v>
      </c>
      <c r="E407" s="95">
        <f t="shared" si="152"/>
        <v>0</v>
      </c>
      <c r="F407" s="95">
        <f t="shared" si="153"/>
        <v>0</v>
      </c>
      <c r="G407" s="95">
        <f t="shared" si="154"/>
        <v>0</v>
      </c>
    </row>
    <row r="408" spans="1:7" x14ac:dyDescent="0.2">
      <c r="A408" s="3">
        <v>15</v>
      </c>
      <c r="B408" s="95">
        <f t="shared" si="149"/>
        <v>0</v>
      </c>
      <c r="C408" s="95">
        <f t="shared" si="150"/>
        <v>0</v>
      </c>
      <c r="D408" s="95">
        <f t="shared" si="151"/>
        <v>0</v>
      </c>
      <c r="E408" s="95">
        <f t="shared" si="152"/>
        <v>0</v>
      </c>
      <c r="F408" s="95">
        <f t="shared" si="153"/>
        <v>0</v>
      </c>
      <c r="G408" s="95">
        <f t="shared" si="154"/>
        <v>0</v>
      </c>
    </row>
    <row r="409" spans="1:7" x14ac:dyDescent="0.2">
      <c r="A409" s="3">
        <v>16</v>
      </c>
      <c r="B409" s="95">
        <f t="shared" si="149"/>
        <v>0</v>
      </c>
      <c r="C409" s="95">
        <f t="shared" si="150"/>
        <v>0</v>
      </c>
      <c r="D409" s="95">
        <f t="shared" si="151"/>
        <v>0</v>
      </c>
      <c r="E409" s="95">
        <f t="shared" si="152"/>
        <v>0</v>
      </c>
      <c r="F409" s="95">
        <f t="shared" si="153"/>
        <v>0</v>
      </c>
      <c r="G409" s="95">
        <f t="shared" si="154"/>
        <v>0</v>
      </c>
    </row>
    <row r="410" spans="1:7" x14ac:dyDescent="0.2">
      <c r="A410" s="3">
        <v>17</v>
      </c>
      <c r="B410" s="95">
        <f t="shared" si="149"/>
        <v>0</v>
      </c>
      <c r="C410" s="95">
        <f t="shared" si="150"/>
        <v>0</v>
      </c>
      <c r="D410" s="95">
        <f t="shared" si="151"/>
        <v>0</v>
      </c>
      <c r="E410" s="95">
        <f t="shared" si="152"/>
        <v>0</v>
      </c>
      <c r="F410" s="95">
        <f t="shared" si="153"/>
        <v>0</v>
      </c>
      <c r="G410" s="95">
        <f t="shared" si="154"/>
        <v>0</v>
      </c>
    </row>
    <row r="411" spans="1:7" x14ac:dyDescent="0.2">
      <c r="A411" s="3">
        <v>18</v>
      </c>
      <c r="B411" s="95">
        <f t="shared" si="149"/>
        <v>0</v>
      </c>
      <c r="C411" s="95">
        <f t="shared" si="150"/>
        <v>0</v>
      </c>
      <c r="D411" s="95">
        <f t="shared" si="151"/>
        <v>0</v>
      </c>
      <c r="E411" s="95">
        <f t="shared" si="152"/>
        <v>0</v>
      </c>
      <c r="F411" s="95">
        <f t="shared" si="153"/>
        <v>0</v>
      </c>
      <c r="G411" s="95">
        <f t="shared" si="154"/>
        <v>0</v>
      </c>
    </row>
    <row r="412" spans="1:7" x14ac:dyDescent="0.2">
      <c r="A412" s="3">
        <v>19</v>
      </c>
      <c r="B412" s="95">
        <f t="shared" si="149"/>
        <v>0</v>
      </c>
      <c r="C412" s="95">
        <f t="shared" si="150"/>
        <v>0</v>
      </c>
      <c r="D412" s="95">
        <f t="shared" si="151"/>
        <v>0</v>
      </c>
      <c r="E412" s="95">
        <f t="shared" si="152"/>
        <v>0</v>
      </c>
      <c r="F412" s="95">
        <f t="shared" si="153"/>
        <v>0</v>
      </c>
      <c r="G412" s="95">
        <f t="shared" si="154"/>
        <v>0</v>
      </c>
    </row>
    <row r="413" spans="1:7" x14ac:dyDescent="0.2">
      <c r="A413" s="3">
        <v>20</v>
      </c>
      <c r="B413" s="95">
        <f t="shared" si="149"/>
        <v>0</v>
      </c>
      <c r="C413" s="95">
        <f t="shared" si="150"/>
        <v>0</v>
      </c>
      <c r="D413" s="95">
        <f t="shared" si="151"/>
        <v>0</v>
      </c>
      <c r="E413" s="95">
        <f t="shared" si="152"/>
        <v>0</v>
      </c>
      <c r="F413" s="95">
        <f t="shared" si="153"/>
        <v>0</v>
      </c>
      <c r="G413" s="95">
        <f t="shared" si="154"/>
        <v>0</v>
      </c>
    </row>
    <row r="414" spans="1:7" x14ac:dyDescent="0.2">
      <c r="B414" s="95"/>
      <c r="C414" s="95"/>
      <c r="D414" s="95"/>
      <c r="E414" s="95"/>
      <c r="F414" s="95"/>
      <c r="G414" s="95"/>
    </row>
    <row r="415" spans="1:7" x14ac:dyDescent="0.2">
      <c r="A415" s="476" t="s">
        <v>800</v>
      </c>
      <c r="B415" s="476"/>
      <c r="C415" s="476"/>
      <c r="D415" s="476"/>
      <c r="E415" s="476"/>
      <c r="F415" s="476"/>
      <c r="G415" s="476"/>
    </row>
    <row r="416" spans="1:7" x14ac:dyDescent="0.2">
      <c r="A416" s="81" t="s">
        <v>94</v>
      </c>
      <c r="B416" s="81" t="s">
        <v>761</v>
      </c>
      <c r="C416" s="81" t="s">
        <v>795</v>
      </c>
      <c r="D416" s="81" t="s">
        <v>792</v>
      </c>
      <c r="E416" s="81" t="s">
        <v>791</v>
      </c>
      <c r="F416" s="81" t="s">
        <v>762</v>
      </c>
      <c r="G416" s="81" t="s">
        <v>763</v>
      </c>
    </row>
    <row r="417" spans="1:7" x14ac:dyDescent="0.2">
      <c r="A417" s="3">
        <v>1</v>
      </c>
      <c r="B417" s="95" t="e">
        <f t="shared" ref="B417:B436" si="155">D$15/$C$6</f>
        <v>#DIV/0!</v>
      </c>
      <c r="C417" s="95" t="e">
        <f t="shared" ref="C417:C436" si="156">(D$16+D$15)/$C$6</f>
        <v>#DIV/0!</v>
      </c>
      <c r="D417" s="95" t="e">
        <f t="shared" ref="D417:D436" si="157">AS61/$C$6</f>
        <v>#DIV/0!</v>
      </c>
      <c r="E417" s="95" t="e">
        <f t="shared" ref="E417:E436" si="158">AS177/$C$6</f>
        <v>#DIV/0!</v>
      </c>
      <c r="F417" s="95" t="e">
        <f t="shared" ref="F417:F436" si="159">IF($C$4="iRR",D417+B417,D417)</f>
        <v>#DIV/0!</v>
      </c>
      <c r="G417" s="95" t="e">
        <f t="shared" ref="G417:G436" si="160">IF($C$4="IRR",B417+E417,E417)</f>
        <v>#DIV/0!</v>
      </c>
    </row>
    <row r="418" spans="1:7" x14ac:dyDescent="0.2">
      <c r="A418" s="3">
        <v>2</v>
      </c>
      <c r="B418" s="95" t="e">
        <f t="shared" si="155"/>
        <v>#DIV/0!</v>
      </c>
      <c r="C418" s="95" t="e">
        <f t="shared" si="156"/>
        <v>#DIV/0!</v>
      </c>
      <c r="D418" s="95" t="e">
        <f t="shared" si="157"/>
        <v>#DIV/0!</v>
      </c>
      <c r="E418" s="95" t="e">
        <f t="shared" si="158"/>
        <v>#DIV/0!</v>
      </c>
      <c r="F418" s="95" t="e">
        <f t="shared" si="159"/>
        <v>#DIV/0!</v>
      </c>
      <c r="G418" s="95" t="e">
        <f t="shared" si="160"/>
        <v>#DIV/0!</v>
      </c>
    </row>
    <row r="419" spans="1:7" x14ac:dyDescent="0.2">
      <c r="A419" s="3">
        <v>3</v>
      </c>
      <c r="B419" s="95" t="e">
        <f t="shared" si="155"/>
        <v>#DIV/0!</v>
      </c>
      <c r="C419" s="95" t="e">
        <f t="shared" si="156"/>
        <v>#DIV/0!</v>
      </c>
      <c r="D419" s="95" t="e">
        <f t="shared" si="157"/>
        <v>#DIV/0!</v>
      </c>
      <c r="E419" s="95" t="e">
        <f t="shared" si="158"/>
        <v>#DIV/0!</v>
      </c>
      <c r="F419" s="95" t="e">
        <f t="shared" si="159"/>
        <v>#DIV/0!</v>
      </c>
      <c r="G419" s="95" t="e">
        <f t="shared" si="160"/>
        <v>#DIV/0!</v>
      </c>
    </row>
    <row r="420" spans="1:7" x14ac:dyDescent="0.2">
      <c r="A420" s="3">
        <v>4</v>
      </c>
      <c r="B420" s="95" t="e">
        <f t="shared" si="155"/>
        <v>#DIV/0!</v>
      </c>
      <c r="C420" s="95" t="e">
        <f t="shared" si="156"/>
        <v>#DIV/0!</v>
      </c>
      <c r="D420" s="95" t="e">
        <f t="shared" si="157"/>
        <v>#DIV/0!</v>
      </c>
      <c r="E420" s="95" t="e">
        <f t="shared" si="158"/>
        <v>#DIV/0!</v>
      </c>
      <c r="F420" s="95" t="e">
        <f t="shared" si="159"/>
        <v>#DIV/0!</v>
      </c>
      <c r="G420" s="95" t="e">
        <f t="shared" si="160"/>
        <v>#DIV/0!</v>
      </c>
    </row>
    <row r="421" spans="1:7" x14ac:dyDescent="0.2">
      <c r="A421" s="3">
        <v>5</v>
      </c>
      <c r="B421" s="95" t="e">
        <f t="shared" si="155"/>
        <v>#DIV/0!</v>
      </c>
      <c r="C421" s="95" t="e">
        <f t="shared" si="156"/>
        <v>#DIV/0!</v>
      </c>
      <c r="D421" s="95" t="e">
        <f t="shared" si="157"/>
        <v>#DIV/0!</v>
      </c>
      <c r="E421" s="95" t="e">
        <f t="shared" si="158"/>
        <v>#DIV/0!</v>
      </c>
      <c r="F421" s="95" t="e">
        <f t="shared" si="159"/>
        <v>#DIV/0!</v>
      </c>
      <c r="G421" s="95" t="e">
        <f t="shared" si="160"/>
        <v>#DIV/0!</v>
      </c>
    </row>
    <row r="422" spans="1:7" x14ac:dyDescent="0.2">
      <c r="A422" s="3">
        <v>6</v>
      </c>
      <c r="B422" s="95" t="e">
        <f t="shared" si="155"/>
        <v>#DIV/0!</v>
      </c>
      <c r="C422" s="95" t="e">
        <f t="shared" si="156"/>
        <v>#DIV/0!</v>
      </c>
      <c r="D422" s="95" t="e">
        <f t="shared" si="157"/>
        <v>#DIV/0!</v>
      </c>
      <c r="E422" s="95" t="e">
        <f t="shared" si="158"/>
        <v>#DIV/0!</v>
      </c>
      <c r="F422" s="95" t="e">
        <f t="shared" si="159"/>
        <v>#DIV/0!</v>
      </c>
      <c r="G422" s="95" t="e">
        <f t="shared" si="160"/>
        <v>#DIV/0!</v>
      </c>
    </row>
    <row r="423" spans="1:7" x14ac:dyDescent="0.2">
      <c r="A423" s="3">
        <v>7</v>
      </c>
      <c r="B423" s="95" t="e">
        <f t="shared" si="155"/>
        <v>#DIV/0!</v>
      </c>
      <c r="C423" s="95" t="e">
        <f t="shared" si="156"/>
        <v>#DIV/0!</v>
      </c>
      <c r="D423" s="95" t="e">
        <f t="shared" si="157"/>
        <v>#DIV/0!</v>
      </c>
      <c r="E423" s="95" t="e">
        <f t="shared" si="158"/>
        <v>#DIV/0!</v>
      </c>
      <c r="F423" s="95" t="e">
        <f t="shared" si="159"/>
        <v>#DIV/0!</v>
      </c>
      <c r="G423" s="95" t="e">
        <f t="shared" si="160"/>
        <v>#DIV/0!</v>
      </c>
    </row>
    <row r="424" spans="1:7" x14ac:dyDescent="0.2">
      <c r="A424" s="3">
        <v>8</v>
      </c>
      <c r="B424" s="95" t="e">
        <f t="shared" si="155"/>
        <v>#DIV/0!</v>
      </c>
      <c r="C424" s="95" t="e">
        <f t="shared" si="156"/>
        <v>#DIV/0!</v>
      </c>
      <c r="D424" s="95" t="e">
        <f t="shared" si="157"/>
        <v>#DIV/0!</v>
      </c>
      <c r="E424" s="95" t="e">
        <f t="shared" si="158"/>
        <v>#DIV/0!</v>
      </c>
      <c r="F424" s="95" t="e">
        <f t="shared" si="159"/>
        <v>#DIV/0!</v>
      </c>
      <c r="G424" s="95" t="e">
        <f t="shared" si="160"/>
        <v>#DIV/0!</v>
      </c>
    </row>
    <row r="425" spans="1:7" x14ac:dyDescent="0.2">
      <c r="A425" s="3">
        <v>9</v>
      </c>
      <c r="B425" s="95" t="e">
        <f t="shared" si="155"/>
        <v>#DIV/0!</v>
      </c>
      <c r="C425" s="95" t="e">
        <f t="shared" si="156"/>
        <v>#DIV/0!</v>
      </c>
      <c r="D425" s="95" t="e">
        <f t="shared" si="157"/>
        <v>#DIV/0!</v>
      </c>
      <c r="E425" s="95" t="e">
        <f t="shared" si="158"/>
        <v>#DIV/0!</v>
      </c>
      <c r="F425" s="95" t="e">
        <f t="shared" si="159"/>
        <v>#DIV/0!</v>
      </c>
      <c r="G425" s="95" t="e">
        <f t="shared" si="160"/>
        <v>#DIV/0!</v>
      </c>
    </row>
    <row r="426" spans="1:7" x14ac:dyDescent="0.2">
      <c r="A426" s="3">
        <v>10</v>
      </c>
      <c r="B426" s="95" t="e">
        <f t="shared" si="155"/>
        <v>#DIV/0!</v>
      </c>
      <c r="C426" s="95" t="e">
        <f t="shared" si="156"/>
        <v>#DIV/0!</v>
      </c>
      <c r="D426" s="95" t="e">
        <f t="shared" si="157"/>
        <v>#DIV/0!</v>
      </c>
      <c r="E426" s="95" t="e">
        <f t="shared" si="158"/>
        <v>#DIV/0!</v>
      </c>
      <c r="F426" s="95" t="e">
        <f t="shared" si="159"/>
        <v>#DIV/0!</v>
      </c>
      <c r="G426" s="95" t="e">
        <f t="shared" si="160"/>
        <v>#DIV/0!</v>
      </c>
    </row>
    <row r="427" spans="1:7" x14ac:dyDescent="0.2">
      <c r="A427" s="3">
        <v>11</v>
      </c>
      <c r="B427" s="95" t="e">
        <f t="shared" si="155"/>
        <v>#DIV/0!</v>
      </c>
      <c r="C427" s="95" t="e">
        <f t="shared" si="156"/>
        <v>#DIV/0!</v>
      </c>
      <c r="D427" s="95" t="e">
        <f t="shared" si="157"/>
        <v>#DIV/0!</v>
      </c>
      <c r="E427" s="95" t="e">
        <f t="shared" si="158"/>
        <v>#DIV/0!</v>
      </c>
      <c r="F427" s="95" t="e">
        <f t="shared" si="159"/>
        <v>#DIV/0!</v>
      </c>
      <c r="G427" s="95" t="e">
        <f t="shared" si="160"/>
        <v>#DIV/0!</v>
      </c>
    </row>
    <row r="428" spans="1:7" x14ac:dyDescent="0.2">
      <c r="A428" s="3">
        <v>12</v>
      </c>
      <c r="B428" s="95" t="e">
        <f t="shared" si="155"/>
        <v>#DIV/0!</v>
      </c>
      <c r="C428" s="95" t="e">
        <f t="shared" si="156"/>
        <v>#DIV/0!</v>
      </c>
      <c r="D428" s="95" t="e">
        <f t="shared" si="157"/>
        <v>#DIV/0!</v>
      </c>
      <c r="E428" s="95" t="e">
        <f t="shared" si="158"/>
        <v>#DIV/0!</v>
      </c>
      <c r="F428" s="95" t="e">
        <f t="shared" si="159"/>
        <v>#DIV/0!</v>
      </c>
      <c r="G428" s="95" t="e">
        <f t="shared" si="160"/>
        <v>#DIV/0!</v>
      </c>
    </row>
    <row r="429" spans="1:7" x14ac:dyDescent="0.2">
      <c r="A429" s="3">
        <v>13</v>
      </c>
      <c r="B429" s="95" t="e">
        <f t="shared" si="155"/>
        <v>#DIV/0!</v>
      </c>
      <c r="C429" s="95" t="e">
        <f t="shared" si="156"/>
        <v>#DIV/0!</v>
      </c>
      <c r="D429" s="95" t="e">
        <f t="shared" si="157"/>
        <v>#DIV/0!</v>
      </c>
      <c r="E429" s="95" t="e">
        <f t="shared" si="158"/>
        <v>#DIV/0!</v>
      </c>
      <c r="F429" s="95" t="e">
        <f t="shared" si="159"/>
        <v>#DIV/0!</v>
      </c>
      <c r="G429" s="95" t="e">
        <f t="shared" si="160"/>
        <v>#DIV/0!</v>
      </c>
    </row>
    <row r="430" spans="1:7" x14ac:dyDescent="0.2">
      <c r="A430" s="3">
        <v>14</v>
      </c>
      <c r="B430" s="95" t="e">
        <f t="shared" si="155"/>
        <v>#DIV/0!</v>
      </c>
      <c r="C430" s="95" t="e">
        <f t="shared" si="156"/>
        <v>#DIV/0!</v>
      </c>
      <c r="D430" s="95" t="e">
        <f t="shared" si="157"/>
        <v>#DIV/0!</v>
      </c>
      <c r="E430" s="95" t="e">
        <f t="shared" si="158"/>
        <v>#DIV/0!</v>
      </c>
      <c r="F430" s="95" t="e">
        <f t="shared" si="159"/>
        <v>#DIV/0!</v>
      </c>
      <c r="G430" s="95" t="e">
        <f t="shared" si="160"/>
        <v>#DIV/0!</v>
      </c>
    </row>
    <row r="431" spans="1:7" x14ac:dyDescent="0.2">
      <c r="A431" s="3">
        <v>15</v>
      </c>
      <c r="B431" s="95" t="e">
        <f t="shared" si="155"/>
        <v>#DIV/0!</v>
      </c>
      <c r="C431" s="95" t="e">
        <f t="shared" si="156"/>
        <v>#DIV/0!</v>
      </c>
      <c r="D431" s="95" t="e">
        <f t="shared" si="157"/>
        <v>#DIV/0!</v>
      </c>
      <c r="E431" s="95" t="e">
        <f t="shared" si="158"/>
        <v>#DIV/0!</v>
      </c>
      <c r="F431" s="95" t="e">
        <f t="shared" si="159"/>
        <v>#DIV/0!</v>
      </c>
      <c r="G431" s="95" t="e">
        <f t="shared" si="160"/>
        <v>#DIV/0!</v>
      </c>
    </row>
    <row r="432" spans="1:7" x14ac:dyDescent="0.2">
      <c r="A432" s="3">
        <v>16</v>
      </c>
      <c r="B432" s="95" t="e">
        <f t="shared" si="155"/>
        <v>#DIV/0!</v>
      </c>
      <c r="C432" s="95" t="e">
        <f t="shared" si="156"/>
        <v>#DIV/0!</v>
      </c>
      <c r="D432" s="95" t="e">
        <f t="shared" si="157"/>
        <v>#DIV/0!</v>
      </c>
      <c r="E432" s="95" t="e">
        <f t="shared" si="158"/>
        <v>#DIV/0!</v>
      </c>
      <c r="F432" s="95" t="e">
        <f t="shared" si="159"/>
        <v>#DIV/0!</v>
      </c>
      <c r="G432" s="95" t="e">
        <f t="shared" si="160"/>
        <v>#DIV/0!</v>
      </c>
    </row>
    <row r="433" spans="1:7" x14ac:dyDescent="0.2">
      <c r="A433" s="3">
        <v>17</v>
      </c>
      <c r="B433" s="95" t="e">
        <f t="shared" si="155"/>
        <v>#DIV/0!</v>
      </c>
      <c r="C433" s="95" t="e">
        <f t="shared" si="156"/>
        <v>#DIV/0!</v>
      </c>
      <c r="D433" s="95" t="e">
        <f t="shared" si="157"/>
        <v>#DIV/0!</v>
      </c>
      <c r="E433" s="95" t="e">
        <f t="shared" si="158"/>
        <v>#DIV/0!</v>
      </c>
      <c r="F433" s="95" t="e">
        <f t="shared" si="159"/>
        <v>#DIV/0!</v>
      </c>
      <c r="G433" s="95" t="e">
        <f t="shared" si="160"/>
        <v>#DIV/0!</v>
      </c>
    </row>
    <row r="434" spans="1:7" x14ac:dyDescent="0.2">
      <c r="A434" s="3">
        <v>18</v>
      </c>
      <c r="B434" s="95" t="e">
        <f t="shared" si="155"/>
        <v>#DIV/0!</v>
      </c>
      <c r="C434" s="95" t="e">
        <f t="shared" si="156"/>
        <v>#DIV/0!</v>
      </c>
      <c r="D434" s="95" t="e">
        <f t="shared" si="157"/>
        <v>#DIV/0!</v>
      </c>
      <c r="E434" s="95" t="e">
        <f t="shared" si="158"/>
        <v>#DIV/0!</v>
      </c>
      <c r="F434" s="95" t="e">
        <f t="shared" si="159"/>
        <v>#DIV/0!</v>
      </c>
      <c r="G434" s="95" t="e">
        <f t="shared" si="160"/>
        <v>#DIV/0!</v>
      </c>
    </row>
    <row r="435" spans="1:7" x14ac:dyDescent="0.2">
      <c r="A435" s="3">
        <v>19</v>
      </c>
      <c r="B435" s="95" t="e">
        <f t="shared" si="155"/>
        <v>#DIV/0!</v>
      </c>
      <c r="C435" s="95" t="e">
        <f t="shared" si="156"/>
        <v>#DIV/0!</v>
      </c>
      <c r="D435" s="95" t="e">
        <f t="shared" si="157"/>
        <v>#DIV/0!</v>
      </c>
      <c r="E435" s="95" t="e">
        <f t="shared" si="158"/>
        <v>#DIV/0!</v>
      </c>
      <c r="F435" s="95" t="e">
        <f t="shared" si="159"/>
        <v>#DIV/0!</v>
      </c>
      <c r="G435" s="95" t="e">
        <f t="shared" si="160"/>
        <v>#DIV/0!</v>
      </c>
    </row>
    <row r="436" spans="1:7" x14ac:dyDescent="0.2">
      <c r="A436" s="3">
        <v>20</v>
      </c>
      <c r="B436" s="95" t="e">
        <f t="shared" si="155"/>
        <v>#DIV/0!</v>
      </c>
      <c r="C436" s="95" t="e">
        <f t="shared" si="156"/>
        <v>#DIV/0!</v>
      </c>
      <c r="D436" s="95" t="e">
        <f t="shared" si="157"/>
        <v>#DIV/0!</v>
      </c>
      <c r="E436" s="95" t="e">
        <f t="shared" si="158"/>
        <v>#DIV/0!</v>
      </c>
      <c r="F436" s="95" t="e">
        <f t="shared" si="159"/>
        <v>#DIV/0!</v>
      </c>
      <c r="G436" s="95" t="e">
        <f t="shared" si="160"/>
        <v>#DIV/0!</v>
      </c>
    </row>
    <row r="438" spans="1:7" x14ac:dyDescent="0.2">
      <c r="F438" s="95" t="e">
        <f>F436-F417</f>
        <v>#DIV/0!</v>
      </c>
      <c r="G438" s="95" t="e">
        <f>G436-G417</f>
        <v>#DIV/0!</v>
      </c>
    </row>
    <row r="439" spans="1:7" x14ac:dyDescent="0.2">
      <c r="G439" s="95" t="e">
        <f>G438-F438</f>
        <v>#DIV/0!</v>
      </c>
    </row>
  </sheetData>
  <sheetProtection algorithmName="SHA-512" hashValue="ULSYVxCC3c0qD03hDtdbj6utH5dNCpBygloFuRThAON4imauIDns+Bldp4cqXq+O70KALDbbKXKxkrpeTFCOKQ==" saltValue="wm/uDmU2RfcKmecQaCmVkA==" spinCount="100000" sheet="1" objects="1" scenarios="1"/>
  <mergeCells count="59">
    <mergeCell ref="A368:D368"/>
    <mergeCell ref="A415:G415"/>
    <mergeCell ref="B16:C16"/>
    <mergeCell ref="A344:D344"/>
    <mergeCell ref="AO232:AO252"/>
    <mergeCell ref="A256:A257"/>
    <mergeCell ref="A259:A279"/>
    <mergeCell ref="A281:B282"/>
    <mergeCell ref="A284:A304"/>
    <mergeCell ref="K284:K304"/>
    <mergeCell ref="A306:A308"/>
    <mergeCell ref="J333:K333"/>
    <mergeCell ref="A200:A205"/>
    <mergeCell ref="A207:A227"/>
    <mergeCell ref="AB209:AE214"/>
    <mergeCell ref="A232:A252"/>
    <mergeCell ref="AO117:AO137"/>
    <mergeCell ref="B335:B338"/>
    <mergeCell ref="A167:A169"/>
    <mergeCell ref="A173:A174"/>
    <mergeCell ref="K232:K252"/>
    <mergeCell ref="U232:U252"/>
    <mergeCell ref="AE232:AE252"/>
    <mergeCell ref="AK176:AK196"/>
    <mergeCell ref="A176:A196"/>
    <mergeCell ref="J176:J196"/>
    <mergeCell ref="S176:S196"/>
    <mergeCell ref="AB176:AB196"/>
    <mergeCell ref="J173:J174"/>
    <mergeCell ref="AB91:AE97"/>
    <mergeCell ref="S173:S174"/>
    <mergeCell ref="AB173:AB174"/>
    <mergeCell ref="K117:K137"/>
    <mergeCell ref="U117:U137"/>
    <mergeCell ref="AE117:AE137"/>
    <mergeCell ref="J60:J80"/>
    <mergeCell ref="S60:S80"/>
    <mergeCell ref="AB60:AB80"/>
    <mergeCell ref="S57:S58"/>
    <mergeCell ref="AQ60:AQ80"/>
    <mergeCell ref="AK60:AK80"/>
    <mergeCell ref="G18:G38"/>
    <mergeCell ref="A52:A53"/>
    <mergeCell ref="A57:A58"/>
    <mergeCell ref="J57:J58"/>
    <mergeCell ref="AB57:AB58"/>
    <mergeCell ref="A18:A49"/>
    <mergeCell ref="B15:C15"/>
    <mergeCell ref="A1:A2"/>
    <mergeCell ref="E3:E7"/>
    <mergeCell ref="A10:A11"/>
    <mergeCell ref="B13:C13"/>
    <mergeCell ref="A3:A7"/>
    <mergeCell ref="A60:A80"/>
    <mergeCell ref="A84:A89"/>
    <mergeCell ref="A91:A111"/>
    <mergeCell ref="A141:A142"/>
    <mergeCell ref="A144:A164"/>
    <mergeCell ref="A117:A137"/>
  </mergeCells>
  <pageMargins left="0.7" right="0.7" top="0.75" bottom="0.75" header="0.3" footer="0.3"/>
  <pageSetup paperSize="9" orientation="portrait" r:id="rId1"/>
  <drawing r:id="rId2"/>
  <tableParts count="38">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 r:id="rId23"/>
    <tablePart r:id="rId24"/>
    <tablePart r:id="rId25"/>
    <tablePart r:id="rId26"/>
    <tablePart r:id="rId27"/>
    <tablePart r:id="rId28"/>
    <tablePart r:id="rId29"/>
    <tablePart r:id="rId30"/>
    <tablePart r:id="rId31"/>
    <tablePart r:id="rId32"/>
    <tablePart r:id="rId33"/>
    <tablePart r:id="rId34"/>
    <tablePart r:id="rId35"/>
    <tablePart r:id="rId36"/>
    <tablePart r:id="rId37"/>
    <tablePart r:id="rId38"/>
    <tablePart r:id="rId39"/>
    <tablePart r:id="rId40"/>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D0228B-D907-EC4D-9188-8735FB06CACF}">
  <sheetPr>
    <tabColor rgb="FF00B050"/>
  </sheetPr>
  <dimension ref="A1:AZ439"/>
  <sheetViews>
    <sheetView topLeftCell="A159" zoomScaleNormal="50" workbookViewId="0">
      <selection activeCell="C202" sqref="C202"/>
    </sheetView>
  </sheetViews>
  <sheetFormatPr baseColWidth="10" defaultColWidth="11.1640625" defaultRowHeight="16" x14ac:dyDescent="0.2"/>
  <cols>
    <col min="1" max="1" width="16" style="3" customWidth="1"/>
    <col min="2" max="2" width="26" style="3" bestFit="1" customWidth="1"/>
    <col min="3" max="3" width="20.1640625" style="3" bestFit="1" customWidth="1"/>
    <col min="4" max="4" width="13.83203125" style="3" customWidth="1"/>
    <col min="5" max="5" width="19.6640625" style="3" bestFit="1" customWidth="1"/>
    <col min="6" max="6" width="20.1640625" style="3" bestFit="1" customWidth="1"/>
    <col min="7" max="7" width="14" style="3" customWidth="1"/>
    <col min="8" max="8" width="14.5" style="3" customWidth="1"/>
    <col min="9" max="9" width="15.1640625" style="3" customWidth="1"/>
    <col min="10" max="10" width="15.5" style="3" customWidth="1"/>
    <col min="11" max="11" width="15.1640625" style="3" customWidth="1"/>
    <col min="12" max="12" width="16.5" style="3" customWidth="1"/>
    <col min="13" max="13" width="17" style="3" customWidth="1"/>
    <col min="14" max="14" width="17" style="3" bestFit="1" customWidth="1"/>
    <col min="15" max="15" width="20.6640625" style="3" bestFit="1" customWidth="1"/>
    <col min="16" max="17" width="11.1640625" style="3"/>
    <col min="18" max="18" width="14.1640625" style="3" bestFit="1" customWidth="1"/>
    <col min="19" max="19" width="13.1640625" style="3" customWidth="1"/>
    <col min="20" max="26" width="11.1640625" style="3"/>
    <col min="27" max="27" width="13" style="3" customWidth="1"/>
    <col min="28" max="28" width="12.1640625" style="3" customWidth="1"/>
    <col min="29" max="29" width="12.5" style="3" customWidth="1"/>
    <col min="30" max="30" width="11.1640625" style="3"/>
    <col min="31" max="31" width="11.83203125" style="3" customWidth="1"/>
    <col min="32" max="32" width="12.33203125" style="3" customWidth="1"/>
    <col min="33" max="43" width="11.1640625" style="3"/>
    <col min="44" max="44" width="15.5" style="3" bestFit="1" customWidth="1"/>
    <col min="45" max="16384" width="11.1640625" style="3"/>
  </cols>
  <sheetData>
    <row r="1" spans="1:19" s="212" customFormat="1" x14ac:dyDescent="0.2">
      <c r="A1" s="468" t="s">
        <v>222</v>
      </c>
      <c r="B1" s="212" t="s">
        <v>223</v>
      </c>
      <c r="C1" s="212" t="s">
        <v>190</v>
      </c>
    </row>
    <row r="2" spans="1:19" s="212" customFormat="1" x14ac:dyDescent="0.2">
      <c r="A2" s="468"/>
      <c r="B2" s="213"/>
      <c r="C2" s="213"/>
    </row>
    <row r="3" spans="1:19" ht="16" customHeight="1" x14ac:dyDescent="0.2">
      <c r="A3" s="469" t="s">
        <v>612</v>
      </c>
      <c r="B3" s="4" t="s">
        <v>5</v>
      </c>
      <c r="C3" s="4" t="s">
        <v>12</v>
      </c>
      <c r="D3" s="4"/>
      <c r="E3" s="471" t="s">
        <v>613</v>
      </c>
      <c r="F3" s="4" t="s">
        <v>0</v>
      </c>
      <c r="G3" s="4" t="s">
        <v>8</v>
      </c>
      <c r="H3" s="4" t="s">
        <v>171</v>
      </c>
      <c r="I3" s="39" t="s">
        <v>616</v>
      </c>
      <c r="J3" s="39" t="s">
        <v>790</v>
      </c>
      <c r="K3" s="39" t="s">
        <v>788</v>
      </c>
      <c r="L3" s="39" t="s">
        <v>789</v>
      </c>
      <c r="M3" s="39" t="s">
        <v>783</v>
      </c>
      <c r="N3" s="39" t="s">
        <v>779</v>
      </c>
      <c r="O3" s="39" t="s">
        <v>793</v>
      </c>
      <c r="P3" s="81" t="s">
        <v>228</v>
      </c>
      <c r="Q3" s="39" t="s">
        <v>772</v>
      </c>
      <c r="R3" s="39" t="s">
        <v>773</v>
      </c>
      <c r="S3" s="81" t="s">
        <v>774</v>
      </c>
    </row>
    <row r="4" spans="1:19" ht="16" customHeight="1" x14ac:dyDescent="0.2">
      <c r="A4" s="469"/>
      <c r="B4" s="4" t="s">
        <v>6</v>
      </c>
      <c r="C4" s="4" t="str">
        <f>VLOOKUP(C1,Tableau619[],3,FALSE)</f>
        <v/>
      </c>
      <c r="D4" s="4"/>
      <c r="E4" s="469"/>
      <c r="F4" s="4" t="str">
        <f>C$1</f>
        <v>C</v>
      </c>
      <c r="G4" s="4" t="str">
        <f>INITIAL_FORET!Y10</f>
        <v/>
      </c>
      <c r="H4" s="58" t="str">
        <f>IF(OR(G4=0,G4=""),"",VLOOKUP(G4,Tableau45[],3,FALSE))</f>
        <v/>
      </c>
      <c r="I4" s="103" t="str">
        <f>IF(OR(F4="",G4=""),"",VLOOKUP(CONCATENATE(F4,"_",G4),INITIAL_FORET!$AB$40:$AQ$55,5,FALSE))</f>
        <v/>
      </c>
      <c r="J4" s="16" t="str">
        <f>IF(OR(I4=0,I4=""),"",VLOOKUP(G4,Tableau45[[Essence]:[RiskEss_choisi]],2,FALSE))</f>
        <v/>
      </c>
      <c r="K4" s="130" t="str">
        <f>IF(OR(G4=0,G4=""),"",I4*(1-J4))</f>
        <v/>
      </c>
      <c r="L4" s="227" t="str">
        <f>IF(OR(G4=0,G4=""),"",VLOOKUP(CONCATENATE(F4,"_",G4),INITIAL_FORET!$AB$40:$AQ$55,10,FALSE))</f>
        <v/>
      </c>
      <c r="M4" s="103" t="str">
        <f>IF(OR(G4=0,G4=""),"",VLOOKUP(CONCATENATE(F4,"_",G4),INITIAL_FORET!$AB$40:$AQ$55,12,FALSE))</f>
        <v/>
      </c>
      <c r="N4" s="103" t="str">
        <f>IF(OR(G4=0,G4=""),"",VLOOKUP(CONCATENATE(F4,"_",G4),INITIAL_FORET!$AB$40:$AQ$55,11,FALSE))</f>
        <v/>
      </c>
      <c r="O4" s="103" t="str">
        <f>IF(OR(G4=0,G4=""),"",IF($C$4="IRR",VLOOKUP(CONCATENATE(F4,"_",G4),INITIAL_FORET!$AB$40:$AQ$55,13,FALSE),K4-(K4/$C$6)*SUM($I$19:$I$38)))</f>
        <v/>
      </c>
      <c r="P4" s="3" t="str">
        <f>IF(OR(G4=0,G4=""),"",IF(VLOOKUP(G4,Tableau45[],5,FALSE)="Feuillus","Feuillus","Résineux"))</f>
        <v/>
      </c>
      <c r="Q4" s="103">
        <f>IF(L4="",0,L4*VLOOKUP(G4,Tableau44[[Code_ess]:[FEB]],4,FALSE))</f>
        <v>0</v>
      </c>
      <c r="R4" s="226">
        <f>IF(Q4&gt;0,EXP(-1.0587+0.8836*LN(Q4)+0.284),0)</f>
        <v>0</v>
      </c>
      <c r="S4" s="226">
        <f>SUM(Q4:R4)*0.475*44/12</f>
        <v>0</v>
      </c>
    </row>
    <row r="5" spans="1:19" x14ac:dyDescent="0.2">
      <c r="A5" s="469"/>
      <c r="B5" s="4" t="s">
        <v>87</v>
      </c>
      <c r="C5" s="22" t="str">
        <f>Niv_engt</f>
        <v/>
      </c>
      <c r="D5" s="4"/>
      <c r="E5" s="469"/>
      <c r="F5" s="4" t="str">
        <f>C$1</f>
        <v>C</v>
      </c>
      <c r="G5" s="4" t="str">
        <f>INITIAL_FORET!Y11</f>
        <v/>
      </c>
      <c r="H5" s="58" t="str">
        <f>IF(OR(G5=0,G5=""),"",VLOOKUP(G5,Tableau45[],3,FALSE))</f>
        <v/>
      </c>
      <c r="I5" s="131" t="str">
        <f>IF(OR(F5="",G5=""),"",VLOOKUP(CONCATENATE(F5,"_",G5),INITIAL_FORET!$AB$40:$AQ$55,5,FALSE))</f>
        <v/>
      </c>
      <c r="J5" s="246" t="str">
        <f>IF(OR(I5=0,I5=""),"",VLOOKUP(G5,Tableau45[[Essence]:[RiskEss_choisi]],2,FALSE))</f>
        <v/>
      </c>
      <c r="K5" s="130" t="str">
        <f t="shared" ref="K5:K7" si="0">IF(OR(G5=0,G5=""),"",I5*(1-J5))</f>
        <v/>
      </c>
      <c r="L5" s="227" t="str">
        <f>IF(OR(G5=0,G5=""),"",VLOOKUP(CONCATENATE(F5,"_",G5),INITIAL_FORET!$AB$40:$AQ$55,10,FALSE))</f>
        <v/>
      </c>
      <c r="M5" s="103" t="str">
        <f>IF(OR(G5=0,G5=""),"",VLOOKUP(CONCATENATE(F5,"_",G5),INITIAL_FORET!$AB$40:$AQ$55,12,FALSE))</f>
        <v/>
      </c>
      <c r="N5" s="103" t="str">
        <f>IF(OR(G5=0,G5=""),"",VLOOKUP(CONCATENATE(F5,"_",G5),INITIAL_FORET!$AB$40:$AQ$55,11,FALSE))</f>
        <v/>
      </c>
      <c r="O5" s="103" t="str">
        <f>IF(OR(G5=0,G5=""),"",IF($C$4="IRR",VLOOKUP(CONCATENATE(F5,"_",G5),INITIAL_FORET!$AB$40:$AQ$55,13,FALSE),K5-(K5/$C$6)*SUM($I$19:$I$38)))</f>
        <v/>
      </c>
      <c r="P5" s="3" t="str">
        <f>IF(OR(G5=0,G5=""),"",IF(VLOOKUP(G5,Tableau45[],5,FALSE)="Feuillus","Feuillus","Résineux"))</f>
        <v/>
      </c>
      <c r="Q5" s="103">
        <f>IF(L5="",0,L5*VLOOKUP(G5,Tableau44[[Code_ess]:[FEB]],4,FALSE))</f>
        <v>0</v>
      </c>
      <c r="R5" s="103">
        <f t="shared" ref="R5:R7" si="1">IF(Q5&gt;0,EXP(-1.0587+0.8836*LN(Q5)+0.284),0)</f>
        <v>0</v>
      </c>
      <c r="S5" s="95">
        <f t="shared" ref="S5:S7" si="2">SUM(Q5:R5)*0.475*44/12</f>
        <v>0</v>
      </c>
    </row>
    <row r="6" spans="1:19" x14ac:dyDescent="0.2">
      <c r="A6" s="469"/>
      <c r="B6" s="5" t="s">
        <v>226</v>
      </c>
      <c r="C6" s="29">
        <f>VLOOKUP(C1,Tableau619[],4,FALSE)</f>
        <v>0</v>
      </c>
      <c r="D6" s="4"/>
      <c r="E6" s="469"/>
      <c r="F6" s="4" t="str">
        <f>C$1</f>
        <v>C</v>
      </c>
      <c r="G6" s="4" t="str">
        <f>INITIAL_FORET!Y12</f>
        <v/>
      </c>
      <c r="H6" s="58" t="str">
        <f>IF(OR(G6=0,G6=""),"",VLOOKUP(G6,Tableau45[],3,FALSE))</f>
        <v/>
      </c>
      <c r="I6" s="131" t="str">
        <f>IF(OR(F6="",G6=""),"",VLOOKUP(CONCATENATE(F6,"_",G6),INITIAL_FORET!$AB$40:$AQ$55,5,FALSE))</f>
        <v/>
      </c>
      <c r="J6" s="246" t="str">
        <f>IF(OR(I6=0,I6=""),"",VLOOKUP(G6,Tableau45[[Essence]:[RiskEss_choisi]],2,FALSE))</f>
        <v/>
      </c>
      <c r="K6" s="130" t="str">
        <f t="shared" si="0"/>
        <v/>
      </c>
      <c r="L6" s="227" t="str">
        <f>IF(OR(G6=0,G6=""),"",VLOOKUP(CONCATENATE(F6,"_",G6),INITIAL_FORET!$AB$40:$AQ$55,10,FALSE))</f>
        <v/>
      </c>
      <c r="M6" s="103" t="str">
        <f>IF(OR(G6=0,G6=""),"",VLOOKUP(CONCATENATE(F6,"_",G6),INITIAL_FORET!$AB$40:$AQ$55,12,FALSE))</f>
        <v/>
      </c>
      <c r="N6" s="103" t="str">
        <f>IF(OR(G6=0,G6=""),"",VLOOKUP(CONCATENATE(F6,"_",G6),INITIAL_FORET!$AB$40:$AQ$55,11,FALSE))</f>
        <v/>
      </c>
      <c r="O6" s="103" t="str">
        <f>IF(OR(G6=0,G6=""),"",IF($C$4="IRR",VLOOKUP(CONCATENATE(F6,"_",G6),INITIAL_FORET!$AB$40:$AQ$55,13,FALSE),K6-(K6/$C$6)*SUM($I$19:$I$38)))</f>
        <v/>
      </c>
      <c r="P6" s="3" t="str">
        <f>IF(OR(G6=0,G6=""),"",IF(VLOOKUP(G6,Tableau45[],5,FALSE)="Feuillus","Feuillus","Résineux"))</f>
        <v/>
      </c>
      <c r="Q6" s="103">
        <f>IF(L6="",0,L6*VLOOKUP(G6,Tableau44[[Code_ess]:[FEB]],4,FALSE))</f>
        <v>0</v>
      </c>
      <c r="R6" s="103">
        <f t="shared" si="1"/>
        <v>0</v>
      </c>
      <c r="S6" s="95">
        <f t="shared" si="2"/>
        <v>0</v>
      </c>
    </row>
    <row r="7" spans="1:19" x14ac:dyDescent="0.2">
      <c r="A7" s="469"/>
      <c r="B7" s="5" t="s">
        <v>756</v>
      </c>
      <c r="C7" s="30">
        <f>IF(VLOOKUP(C1,Tableau223[],5,FALSE)="",0,VLOOKUP(C1,Tableau223[],5,FALSE))</f>
        <v>0</v>
      </c>
      <c r="D7" s="4"/>
      <c r="E7" s="469"/>
      <c r="F7" s="4" t="str">
        <f>C$1</f>
        <v>C</v>
      </c>
      <c r="G7" s="4" t="str">
        <f>INITIAL_FORET!Y13</f>
        <v/>
      </c>
      <c r="H7" s="22" t="str">
        <f>IF(OR(G7=0,G7=""),"",VLOOKUP(G7,Tableau45[],3,FALSE))</f>
        <v/>
      </c>
      <c r="I7" s="131" t="str">
        <f>IF(OR(F7="",G7=""),"",VLOOKUP(CONCATENATE(F7,"_",G7),INITIAL_FORET!$AB$40:$AQ$55,5,FALSE))</f>
        <v/>
      </c>
      <c r="J7" s="246" t="str">
        <f>IF(OR(I7=0,I7=""),"",VLOOKUP(G7,Tableau45[[Essence]:[RiskEss_choisi]],2,FALSE))</f>
        <v/>
      </c>
      <c r="K7" s="130" t="str">
        <f t="shared" si="0"/>
        <v/>
      </c>
      <c r="L7" s="227" t="str">
        <f>IF(OR(G7=0,G7=""),"",VLOOKUP(CONCATENATE(F7,"_",G7),INITIAL_FORET!$AB$40:$AQ$55,10,FALSE))</f>
        <v/>
      </c>
      <c r="M7" s="103" t="str">
        <f>IF(OR(G7=0,G7=""),"",VLOOKUP(CONCATENATE(F7,"_",G7),INITIAL_FORET!$AB$40:$AQ$55,12,FALSE))</f>
        <v/>
      </c>
      <c r="N7" s="103" t="str">
        <f>IF(OR(G7=0,G7=""),"",VLOOKUP(CONCATENATE(F7,"_",G7),INITIAL_FORET!$AB$40:$AQ$55,11,FALSE))</f>
        <v/>
      </c>
      <c r="O7" s="103" t="str">
        <f>IF(OR(G7=0,G7=""),"",IF($C$4="IRR",VLOOKUP(CONCATENATE(F7,"_",G7),INITIAL_FORET!$AB$40:$AQ$55,13,FALSE),K7-(K7/$C$6)*SUM($I$19:$I$38)))</f>
        <v/>
      </c>
      <c r="P7" s="3" t="str">
        <f>IF(OR(G7=0,G7=""),"",IF(VLOOKUP(G7,Tableau45[],5,FALSE)="Feuillus","Feuillus","Résineux"))</f>
        <v/>
      </c>
      <c r="Q7" s="103">
        <f>IF(L7="",0,L7*VLOOKUP(G7,Tableau44[[Code_ess]:[FEB]],4,FALSE))</f>
        <v>0</v>
      </c>
      <c r="R7" s="103">
        <f t="shared" si="1"/>
        <v>0</v>
      </c>
      <c r="S7" s="95">
        <f t="shared" si="2"/>
        <v>0</v>
      </c>
    </row>
    <row r="8" spans="1:19" x14ac:dyDescent="0.2">
      <c r="A8" s="330"/>
      <c r="B8" s="5"/>
      <c r="C8" s="32"/>
      <c r="D8" s="4"/>
      <c r="E8" s="60"/>
      <c r="I8" s="11"/>
      <c r="O8" s="4"/>
      <c r="P8" s="4"/>
    </row>
    <row r="9" spans="1:19" x14ac:dyDescent="0.2">
      <c r="A9" s="4"/>
      <c r="B9" s="4"/>
      <c r="C9" s="4"/>
      <c r="D9" s="4"/>
      <c r="E9" s="4"/>
      <c r="F9" s="4"/>
      <c r="G9" s="4"/>
      <c r="I9" s="62" t="s">
        <v>615</v>
      </c>
      <c r="J9" s="4"/>
      <c r="K9" s="102"/>
      <c r="L9" s="4"/>
      <c r="M9" s="12"/>
      <c r="N9" s="4"/>
      <c r="O9" s="4"/>
      <c r="P9" s="4"/>
    </row>
    <row r="10" spans="1:19" ht="16" customHeight="1" x14ac:dyDescent="0.2">
      <c r="A10" s="469" t="s">
        <v>614</v>
      </c>
      <c r="B10" s="4" t="s">
        <v>170</v>
      </c>
      <c r="C10" s="3" t="s">
        <v>17</v>
      </c>
      <c r="D10" s="3" t="s">
        <v>61</v>
      </c>
      <c r="I10" s="132">
        <f>MAX(Tableau15615178406445[Vol_tot])</f>
        <v>0</v>
      </c>
      <c r="J10" s="57"/>
      <c r="K10" s="56"/>
      <c r="L10" s="57"/>
      <c r="M10" s="97"/>
      <c r="N10" s="98"/>
    </row>
    <row r="11" spans="1:19" ht="16" customHeight="1" x14ac:dyDescent="0.2">
      <c r="A11" s="469"/>
      <c r="B11" s="4" t="str">
        <f>IF(I4=I10,G4,IF(I5=I10,G5,IF(I6=I10,G6,G7)))</f>
        <v/>
      </c>
      <c r="C11" s="3">
        <f>IF(OR(B11=0,B11=""),0,VLOOKUP(B11,Tableau44[[Code_ess]:[FEB]],4,FALSE))</f>
        <v>0</v>
      </c>
      <c r="D11" s="3">
        <f>IF(OR(B11=0,B11=""),0,VLOOKUP(B11,Tableau44[[Code_ess]:[FEB]],5,FALSE))</f>
        <v>0</v>
      </c>
      <c r="J11" s="57"/>
      <c r="K11" s="57"/>
      <c r="L11" s="57"/>
      <c r="M11" s="57"/>
    </row>
    <row r="12" spans="1:19" ht="16" customHeight="1" x14ac:dyDescent="0.2">
      <c r="A12" s="39"/>
      <c r="B12" s="4"/>
      <c r="C12" s="4"/>
      <c r="D12" s="4"/>
      <c r="J12" s="4"/>
      <c r="K12" s="57"/>
      <c r="L12" s="57"/>
      <c r="M12" s="57"/>
    </row>
    <row r="13" spans="1:19" ht="16" customHeight="1" x14ac:dyDescent="0.2">
      <c r="A13" s="4"/>
      <c r="B13" s="470" t="s">
        <v>625</v>
      </c>
      <c r="C13" s="470"/>
      <c r="D13" s="61">
        <f>IF(C4="REG",75%,IF(C4="RASE",90%,50%))</f>
        <v>0.5</v>
      </c>
      <c r="J13" s="4"/>
      <c r="K13" s="57"/>
      <c r="L13" s="57"/>
      <c r="M13" s="57"/>
    </row>
    <row r="14" spans="1:19" ht="16" customHeight="1" x14ac:dyDescent="0.2">
      <c r="A14" s="4"/>
      <c r="B14" s="4"/>
      <c r="C14" s="4"/>
      <c r="D14" s="22"/>
      <c r="J14" s="4"/>
      <c r="K14" s="57"/>
      <c r="L14" s="57"/>
      <c r="M14" s="57"/>
    </row>
    <row r="15" spans="1:19" ht="16" customHeight="1" x14ac:dyDescent="0.2">
      <c r="A15" s="4"/>
      <c r="B15" s="470" t="s">
        <v>757</v>
      </c>
      <c r="C15" s="470"/>
      <c r="D15" s="132">
        <f>SUM(K4:K7)-SUM(L4:L7)</f>
        <v>0</v>
      </c>
      <c r="E15" s="220"/>
      <c r="F15" s="81"/>
      <c r="J15" s="4"/>
      <c r="K15" s="57"/>
      <c r="L15" s="57"/>
      <c r="M15" s="57"/>
    </row>
    <row r="16" spans="1:19" ht="16" customHeight="1" x14ac:dyDescent="0.2">
      <c r="A16" s="4"/>
      <c r="B16" s="470" t="s">
        <v>794</v>
      </c>
      <c r="C16" s="470"/>
      <c r="D16" s="132">
        <f>SUM(O4:O7)-D15</f>
        <v>0</v>
      </c>
      <c r="E16" s="220"/>
      <c r="F16" s="81"/>
      <c r="J16" s="4"/>
      <c r="K16" s="57"/>
      <c r="L16" s="57"/>
      <c r="M16" s="57"/>
    </row>
    <row r="17" spans="1:16" ht="16" customHeight="1" x14ac:dyDescent="0.2">
      <c r="J17" s="4"/>
      <c r="K17" s="57"/>
      <c r="L17" s="57"/>
      <c r="M17" s="57"/>
    </row>
    <row r="18" spans="1:16" ht="16" customHeight="1" x14ac:dyDescent="0.2">
      <c r="A18" s="471" t="str">
        <f>CONCATENATE("RYTHME CROISSANCE REGE_",B11)</f>
        <v>RYTHME CROISSANCE REGE_</v>
      </c>
      <c r="B18" s="4" t="s">
        <v>94</v>
      </c>
      <c r="C18" s="4" t="s">
        <v>153</v>
      </c>
      <c r="D18" s="4" t="s">
        <v>152</v>
      </c>
      <c r="E18" s="4" t="s">
        <v>151</v>
      </c>
      <c r="G18" s="471" t="s">
        <v>748</v>
      </c>
      <c r="H18" s="3" t="s">
        <v>5</v>
      </c>
      <c r="I18" s="3" t="s">
        <v>749</v>
      </c>
      <c r="J18" s="4" t="s">
        <v>744</v>
      </c>
      <c r="K18" s="4" t="s">
        <v>745</v>
      </c>
      <c r="L18" s="4" t="s">
        <v>746</v>
      </c>
      <c r="M18" s="4" t="s">
        <v>747</v>
      </c>
      <c r="N18" s="4" t="s">
        <v>288</v>
      </c>
      <c r="O18" s="4"/>
      <c r="P18" s="4"/>
    </row>
    <row r="19" spans="1:16" x14ac:dyDescent="0.2">
      <c r="A19" s="471"/>
      <c r="B19" s="4">
        <v>0</v>
      </c>
      <c r="C19" s="10">
        <f>'3.ESS_RÉGÉ'!O22</f>
        <v>0</v>
      </c>
      <c r="D19" s="10">
        <f>'3.ESS_RÉGÉ'!P22</f>
        <v>0</v>
      </c>
      <c r="E19" s="10">
        <f>'3.ESS_RÉGÉ'!Q22</f>
        <v>0</v>
      </c>
      <c r="G19" s="471"/>
      <c r="H19" s="3">
        <v>1</v>
      </c>
      <c r="I19" s="11">
        <f>IF($C$4="REG",$C$7*INITIAL_FORET!K21,IF($C$4="RASE",$C$7*INITIAL_FORET!L24,0))</f>
        <v>0</v>
      </c>
      <c r="J19" s="11" cm="1">
        <f t="array" ref="J19">IF($C$6=0,0,IF(INDEX($G$4:$M$7,RIGHT(J$18,1),6)="",0,IF($C$4="IRR",INDEX($G$4:$M$7,RIGHT(J$18,1),7)*80%/20,((INDEX($G$4:$M$7,RIGHT(J$18,1),7))/$C$6)*$I19)))</f>
        <v>0</v>
      </c>
      <c r="K19" s="11" cm="1">
        <f t="array" ref="K19">IF($C$6=0,0,IF(INDEX($G$4:$M$7,RIGHT(K$18,1),6)="",0,IF($C$4="IRR",INDEX($G$4:$M$7,RIGHT(K$18,1),7)*80%/20,((INDEX($G$4:$M$7,RIGHT(K$18,1),7))/$C$6)*$I19)))</f>
        <v>0</v>
      </c>
      <c r="L19" s="11" cm="1">
        <f t="array" ref="L19">IF($C$6=0,0,IF(INDEX($G$4:$M$7,RIGHT(L$18,1),6)="",0,IF($C$4="IRR",INDEX($G$4:$M$7,RIGHT(L$18,1),7)*80%/20,((INDEX($G$4:$M$7,RIGHT(L$18,1),7))/$C$6)*$I19)))</f>
        <v>0</v>
      </c>
      <c r="M19" s="11" cm="1">
        <f t="array" ref="M19">IF($C$6=0,0,IF(INDEX($G$4:$M$7,RIGHT(M$18,1),6)="",0,IF($C$4="IRR",INDEX($G$4:$M$7,RIGHT(M$18,1),7)*80%/20,((INDEX($G$4:$M$7,RIGHT(M$18,1),7))/$C$6)*$I19)))</f>
        <v>0</v>
      </c>
      <c r="N19" s="11">
        <f t="shared" ref="N19:N38" si="3">SUM(J19:M19)</f>
        <v>0</v>
      </c>
      <c r="O19" s="4"/>
      <c r="P19" s="4"/>
    </row>
    <row r="20" spans="1:16" x14ac:dyDescent="0.2">
      <c r="A20" s="471"/>
      <c r="B20" s="12">
        <v>1</v>
      </c>
      <c r="C20" s="10">
        <f>'3.ESS_RÉGÉ'!O23</f>
        <v>0</v>
      </c>
      <c r="D20" s="10">
        <f>'3.ESS_RÉGÉ'!P23</f>
        <v>0</v>
      </c>
      <c r="E20" s="10">
        <f>'3.ESS_RÉGÉ'!Q23</f>
        <v>0</v>
      </c>
      <c r="G20" s="471"/>
      <c r="H20" s="3">
        <v>2</v>
      </c>
      <c r="I20" s="11">
        <f>IF($C$4="REG",$C$7*INITIAL_FORET!K22,IF($C$4="RASE",$C$7*INITIAL_FORET!L25,0))</f>
        <v>0</v>
      </c>
      <c r="J20" s="11" cm="1">
        <f t="array" ref="J20">IF($C$6=0,0,IF(INDEX($G$4:$M$7,RIGHT(J$18,1),6)="",0,IF($C$4="IRR",INDEX($G$4:$M$7,RIGHT(J$18,1),7)*80%/20,((INDEX($G$4:$M$7,RIGHT(J$18,1),7))/$C$6)*$I20)))</f>
        <v>0</v>
      </c>
      <c r="K20" s="11" cm="1">
        <f t="array" ref="K20">IF($C$6=0,0,IF(INDEX($G$4:$M$7,RIGHT(K$18,1),6)="",0,IF($C$4="IRR",INDEX($G$4:$M$7,RIGHT(K$18,1),7)*80%/20,((INDEX($G$4:$M$7,RIGHT(K$18,1),7))/$C$6)*$I20)))</f>
        <v>0</v>
      </c>
      <c r="L20" s="11" cm="1">
        <f t="array" ref="L20">IF($C$6=0,0,IF(INDEX($G$4:$M$7,RIGHT(L$18,1),6)="",0,IF($C$4="IRR",INDEX($G$4:$M$7,RIGHT(L$18,1),7)*80%/20,((INDEX($G$4:$M$7,RIGHT(L$18,1),7))/$C$6)*$I20)))</f>
        <v>0</v>
      </c>
      <c r="M20" s="11" cm="1">
        <f t="array" ref="M20">IF($C$6=0,0,IF(INDEX($G$4:$M$7,RIGHT(M$18,1),6)="",0,IF($C$4="IRR",INDEX($G$4:$M$7,RIGHT(M$18,1),7)*80%/20,((INDEX($G$4:$M$7,RIGHT(M$18,1),7))/$C$6)*$I20)))</f>
        <v>0</v>
      </c>
      <c r="N20" s="11">
        <f t="shared" si="3"/>
        <v>0</v>
      </c>
      <c r="O20" s="4"/>
      <c r="P20" s="4"/>
    </row>
    <row r="21" spans="1:16" x14ac:dyDescent="0.2">
      <c r="A21" s="471"/>
      <c r="B21" s="12">
        <v>2</v>
      </c>
      <c r="C21" s="10">
        <f>'3.ESS_RÉGÉ'!O24</f>
        <v>0</v>
      </c>
      <c r="D21" s="10">
        <f>'3.ESS_RÉGÉ'!P24</f>
        <v>0</v>
      </c>
      <c r="E21" s="10">
        <f>'3.ESS_RÉGÉ'!Q24</f>
        <v>0</v>
      </c>
      <c r="G21" s="471"/>
      <c r="H21" s="3">
        <v>3</v>
      </c>
      <c r="I21" s="11">
        <f>IF($C$4="REG",$C$7*INITIAL_FORET!K23,IF($C$4="RASE",$C$7*INITIAL_FORET!L26,0))</f>
        <v>0</v>
      </c>
      <c r="J21" s="11" cm="1">
        <f t="array" ref="J21">IF($C$6=0,0,IF(INDEX($G$4:$M$7,RIGHT(J$18,1),6)="",0,IF($C$4="IRR",INDEX($G$4:$M$7,RIGHT(J$18,1),7)*80%/20,((INDEX($G$4:$M$7,RIGHT(J$18,1),7))/$C$6)*$I21)))</f>
        <v>0</v>
      </c>
      <c r="K21" s="11" cm="1">
        <f t="array" ref="K21">IF($C$6=0,0,IF(INDEX($G$4:$M$7,RIGHT(K$18,1),6)="",0,IF($C$4="IRR",INDEX($G$4:$M$7,RIGHT(K$18,1),7)*80%/20,((INDEX($G$4:$M$7,RIGHT(K$18,1),7))/$C$6)*$I21)))</f>
        <v>0</v>
      </c>
      <c r="L21" s="11" cm="1">
        <f t="array" ref="L21">IF($C$6=0,0,IF(INDEX($G$4:$M$7,RIGHT(L$18,1),6)="",0,IF($C$4="IRR",INDEX($G$4:$M$7,RIGHT(L$18,1),7)*80%/20,((INDEX($G$4:$M$7,RIGHT(L$18,1),7))/$C$6)*$I21)))</f>
        <v>0</v>
      </c>
      <c r="M21" s="11" cm="1">
        <f t="array" ref="M21">IF($C$6=0,0,IF(INDEX($G$4:$M$7,RIGHT(M$18,1),6)="",0,IF($C$4="IRR",INDEX($G$4:$M$7,RIGHT(M$18,1),7)*80%/20,((INDEX($G$4:$M$7,RIGHT(M$18,1),7))/$C$6)*$I21)))</f>
        <v>0</v>
      </c>
      <c r="N21" s="11">
        <f t="shared" si="3"/>
        <v>0</v>
      </c>
    </row>
    <row r="22" spans="1:16" x14ac:dyDescent="0.2">
      <c r="A22" s="471"/>
      <c r="B22" s="12">
        <v>3</v>
      </c>
      <c r="C22" s="10">
        <f>'3.ESS_RÉGÉ'!O25</f>
        <v>0</v>
      </c>
      <c r="D22" s="10">
        <f>'3.ESS_RÉGÉ'!P25</f>
        <v>0</v>
      </c>
      <c r="E22" s="10">
        <f>'3.ESS_RÉGÉ'!Q25</f>
        <v>0</v>
      </c>
      <c r="G22" s="471"/>
      <c r="H22" s="3">
        <v>4</v>
      </c>
      <c r="I22" s="11">
        <f>IF($C$4="REG",$C$7*INITIAL_FORET!K24,IF($C$4="RASE",$C$7*INITIAL_FORET!L27,0))</f>
        <v>0</v>
      </c>
      <c r="J22" s="11" cm="1">
        <f t="array" ref="J22">IF($C$6=0,0,IF(INDEX($G$4:$M$7,RIGHT(J$18,1),6)="",0,IF($C$4="IRR",INDEX($G$4:$M$7,RIGHT(J$18,1),7)*80%/20,((INDEX($G$4:$M$7,RIGHT(J$18,1),7))/$C$6)*$I22)))</f>
        <v>0</v>
      </c>
      <c r="K22" s="11" cm="1">
        <f t="array" ref="K22">IF($C$6=0,0,IF(INDEX($G$4:$M$7,RIGHT(K$18,1),6)="",0,IF($C$4="IRR",INDEX($G$4:$M$7,RIGHT(K$18,1),7)*80%/20,((INDEX($G$4:$M$7,RIGHT(K$18,1),7))/$C$6)*$I22)))</f>
        <v>0</v>
      </c>
      <c r="L22" s="11" cm="1">
        <f t="array" ref="L22">IF($C$6=0,0,IF(INDEX($G$4:$M$7,RIGHT(L$18,1),6)="",0,IF($C$4="IRR",INDEX($G$4:$M$7,RIGHT(L$18,1),7)*80%/20,((INDEX($G$4:$M$7,RIGHT(L$18,1),7))/$C$6)*$I22)))</f>
        <v>0</v>
      </c>
      <c r="M22" s="11" cm="1">
        <f t="array" ref="M22">IF($C$6=0,0,IF(INDEX($G$4:$M$7,RIGHT(M$18,1),6)="",0,IF($C$4="IRR",INDEX($G$4:$M$7,RIGHT(M$18,1),7)*80%/20,((INDEX($G$4:$M$7,RIGHT(M$18,1),7))/$C$6)*$I22)))</f>
        <v>0</v>
      </c>
      <c r="N22" s="11">
        <f t="shared" si="3"/>
        <v>0</v>
      </c>
    </row>
    <row r="23" spans="1:16" x14ac:dyDescent="0.2">
      <c r="A23" s="471"/>
      <c r="B23" s="12">
        <v>4</v>
      </c>
      <c r="C23" s="10">
        <f>'3.ESS_RÉGÉ'!O26</f>
        <v>0</v>
      </c>
      <c r="D23" s="10">
        <f>'3.ESS_RÉGÉ'!P26</f>
        <v>0</v>
      </c>
      <c r="E23" s="10">
        <f>'3.ESS_RÉGÉ'!Q26</f>
        <v>0</v>
      </c>
      <c r="G23" s="471"/>
      <c r="H23" s="3">
        <v>5</v>
      </c>
      <c r="I23" s="11">
        <f>IF($C$4="REG",$C$7*INITIAL_FORET!K25,IF($C$4="RASE",$C$7*INITIAL_FORET!L28,0))</f>
        <v>0</v>
      </c>
      <c r="J23" s="11" cm="1">
        <f t="array" ref="J23">IF($C$6=0,0,IF(INDEX($G$4:$M$7,RIGHT(J$18,1),6)="",0,IF($C$4="IRR",INDEX($G$4:$M$7,RIGHT(J$18,1),7)*80%/20,((INDEX($G$4:$M$7,RIGHT(J$18,1),7))/$C$6)*$I23)))</f>
        <v>0</v>
      </c>
      <c r="K23" s="11" cm="1">
        <f t="array" ref="K23">IF($C$6=0,0,IF(INDEX($G$4:$M$7,RIGHT(K$18,1),6)="",0,IF($C$4="IRR",INDEX($G$4:$M$7,RIGHT(K$18,1),7)*80%/20,((INDEX($G$4:$M$7,RIGHT(K$18,1),7))/$C$6)*$I23)))</f>
        <v>0</v>
      </c>
      <c r="L23" s="11" cm="1">
        <f t="array" ref="L23">IF($C$6=0,0,IF(INDEX($G$4:$M$7,RIGHT(L$18,1),6)="",0,IF($C$4="IRR",INDEX($G$4:$M$7,RIGHT(L$18,1),7)*80%/20,((INDEX($G$4:$M$7,RIGHT(L$18,1),7))/$C$6)*$I23)))</f>
        <v>0</v>
      </c>
      <c r="M23" s="11" cm="1">
        <f t="array" ref="M23">IF($C$6=0,0,IF(INDEX($G$4:$M$7,RIGHT(M$18,1),6)="",0,IF($C$4="IRR",INDEX($G$4:$M$7,RIGHT(M$18,1),7)*80%/20,((INDEX($G$4:$M$7,RIGHT(M$18,1),7))/$C$6)*$I23)))</f>
        <v>0</v>
      </c>
      <c r="N23" s="11">
        <f t="shared" si="3"/>
        <v>0</v>
      </c>
    </row>
    <row r="24" spans="1:16" x14ac:dyDescent="0.2">
      <c r="A24" s="471"/>
      <c r="B24" s="12">
        <v>5</v>
      </c>
      <c r="C24" s="10">
        <f>'3.ESS_RÉGÉ'!O27</f>
        <v>0</v>
      </c>
      <c r="D24" s="10">
        <f>'3.ESS_RÉGÉ'!P27</f>
        <v>0</v>
      </c>
      <c r="E24" s="10">
        <f>'3.ESS_RÉGÉ'!Q27</f>
        <v>0</v>
      </c>
      <c r="G24" s="471"/>
      <c r="H24" s="3">
        <v>6</v>
      </c>
      <c r="I24" s="11">
        <f>IF($C$4="REG",$C$7*INITIAL_FORET!K26,IF($C$4="RASE",$C$7*INITIAL_FORET!L29,0))</f>
        <v>0</v>
      </c>
      <c r="J24" s="11" cm="1">
        <f t="array" ref="J24">IF($C$6=0,0,IF(INDEX($G$4:$M$7,RIGHT(J$18,1),6)="",0,IF($C$4="IRR",INDEX($G$4:$M$7,RIGHT(J$18,1),7)*80%/20,((INDEX($G$4:$M$7,RIGHT(J$18,1),7))/$C$6)*$I24)))</f>
        <v>0</v>
      </c>
      <c r="K24" s="11" cm="1">
        <f t="array" ref="K24">IF($C$6=0,0,IF(INDEX($G$4:$M$7,RIGHT(K$18,1),6)="",0,IF($C$4="IRR",INDEX($G$4:$M$7,RIGHT(K$18,1),7)*80%/20,((INDEX($G$4:$M$7,RIGHT(K$18,1),7))/$C$6)*$I24)))</f>
        <v>0</v>
      </c>
      <c r="L24" s="11" cm="1">
        <f t="array" ref="L24">IF($C$6=0,0,IF(INDEX($G$4:$M$7,RIGHT(L$18,1),6)="",0,IF($C$4="IRR",INDEX($G$4:$M$7,RIGHT(L$18,1),7)*80%/20,((INDEX($G$4:$M$7,RIGHT(L$18,1),7))/$C$6)*$I24)))</f>
        <v>0</v>
      </c>
      <c r="M24" s="11" cm="1">
        <f t="array" ref="M24">IF($C$6=0,0,IF(INDEX($G$4:$M$7,RIGHT(M$18,1),6)="",0,IF($C$4="IRR",INDEX($G$4:$M$7,RIGHT(M$18,1),7)*80%/20,((INDEX($G$4:$M$7,RIGHT(M$18,1),7))/$C$6)*$I24)))</f>
        <v>0</v>
      </c>
      <c r="N24" s="11">
        <f t="shared" si="3"/>
        <v>0</v>
      </c>
    </row>
    <row r="25" spans="1:16" x14ac:dyDescent="0.2">
      <c r="A25" s="471"/>
      <c r="B25" s="12">
        <v>6</v>
      </c>
      <c r="C25" s="10">
        <f>'3.ESS_RÉGÉ'!O28</f>
        <v>0</v>
      </c>
      <c r="D25" s="10">
        <f>'3.ESS_RÉGÉ'!P28</f>
        <v>0</v>
      </c>
      <c r="E25" s="10">
        <f>'3.ESS_RÉGÉ'!Q28</f>
        <v>0</v>
      </c>
      <c r="G25" s="471"/>
      <c r="H25" s="3">
        <v>7</v>
      </c>
      <c r="I25" s="11">
        <f>IF($C$4="REG",$C$7*INITIAL_FORET!K27,IF($C$4="RASE",$C$7*INITIAL_FORET!L30,0))</f>
        <v>0</v>
      </c>
      <c r="J25" s="11" cm="1">
        <f t="array" ref="J25">IF($C$6=0,0,IF(INDEX($G$4:$M$7,RIGHT(J$18,1),6)="",0,IF($C$4="IRR",INDEX($G$4:$M$7,RIGHT(J$18,1),7)*80%/20,((INDEX($G$4:$M$7,RIGHT(J$18,1),7))/$C$6)*$I25)))</f>
        <v>0</v>
      </c>
      <c r="K25" s="11" cm="1">
        <f t="array" ref="K25">IF($C$6=0,0,IF(INDEX($G$4:$M$7,RIGHT(K$18,1),6)="",0,IF($C$4="IRR",INDEX($G$4:$M$7,RIGHT(K$18,1),7)*80%/20,((INDEX($G$4:$M$7,RIGHT(K$18,1),7))/$C$6)*$I25)))</f>
        <v>0</v>
      </c>
      <c r="L25" s="11" cm="1">
        <f t="array" ref="L25">IF($C$6=0,0,IF(INDEX($G$4:$M$7,RIGHT(L$18,1),6)="",0,IF($C$4="IRR",INDEX($G$4:$M$7,RIGHT(L$18,1),7)*80%/20,((INDEX($G$4:$M$7,RIGHT(L$18,1),7))/$C$6)*$I25)))</f>
        <v>0</v>
      </c>
      <c r="M25" s="11" cm="1">
        <f t="array" ref="M25">IF($C$6=0,0,IF(INDEX($G$4:$M$7,RIGHT(M$18,1),6)="",0,IF($C$4="IRR",INDEX($G$4:$M$7,RIGHT(M$18,1),7)*80%/20,((INDEX($G$4:$M$7,RIGHT(M$18,1),7))/$C$6)*$I25)))</f>
        <v>0</v>
      </c>
      <c r="N25" s="11">
        <f t="shared" si="3"/>
        <v>0</v>
      </c>
    </row>
    <row r="26" spans="1:16" x14ac:dyDescent="0.2">
      <c r="A26" s="471"/>
      <c r="B26" s="12">
        <v>7</v>
      </c>
      <c r="C26" s="10">
        <f>'3.ESS_RÉGÉ'!O29</f>
        <v>0</v>
      </c>
      <c r="D26" s="10">
        <f>'3.ESS_RÉGÉ'!P29</f>
        <v>0</v>
      </c>
      <c r="E26" s="10">
        <f>'3.ESS_RÉGÉ'!Q29</f>
        <v>0</v>
      </c>
      <c r="G26" s="471"/>
      <c r="H26" s="3">
        <v>8</v>
      </c>
      <c r="I26" s="11">
        <f>IF($C$4="REG",$C$7*INITIAL_FORET!K28,IF($C$4="RASE",$C$7*INITIAL_FORET!L31,0))</f>
        <v>0</v>
      </c>
      <c r="J26" s="11" cm="1">
        <f t="array" ref="J26">IF($C$6=0,0,IF(INDEX($G$4:$M$7,RIGHT(J$18,1),6)="",0,IF($C$4="IRR",INDEX($G$4:$M$7,RIGHT(J$18,1),7)*80%/20,((INDEX($G$4:$M$7,RIGHT(J$18,1),7))/$C$6)*$I26)))</f>
        <v>0</v>
      </c>
      <c r="K26" s="11" cm="1">
        <f t="array" ref="K26">IF($C$6=0,0,IF(INDEX($G$4:$M$7,RIGHT(K$18,1),6)="",0,IF($C$4="IRR",INDEX($G$4:$M$7,RIGHT(K$18,1),7)*80%/20,((INDEX($G$4:$M$7,RIGHT(K$18,1),7))/$C$6)*$I26)))</f>
        <v>0</v>
      </c>
      <c r="L26" s="11" cm="1">
        <f t="array" ref="L26">IF($C$6=0,0,IF(INDEX($G$4:$M$7,RIGHT(L$18,1),6)="",0,IF($C$4="IRR",INDEX($G$4:$M$7,RIGHT(L$18,1),7)*80%/20,((INDEX($G$4:$M$7,RIGHT(L$18,1),7))/$C$6)*$I26)))</f>
        <v>0</v>
      </c>
      <c r="M26" s="11" cm="1">
        <f t="array" ref="M26">IF($C$6=0,0,IF(INDEX($G$4:$M$7,RIGHT(M$18,1),6)="",0,IF($C$4="IRR",INDEX($G$4:$M$7,RIGHT(M$18,1),7)*80%/20,((INDEX($G$4:$M$7,RIGHT(M$18,1),7))/$C$6)*$I26)))</f>
        <v>0</v>
      </c>
      <c r="N26" s="11">
        <f t="shared" si="3"/>
        <v>0</v>
      </c>
    </row>
    <row r="27" spans="1:16" x14ac:dyDescent="0.2">
      <c r="A27" s="471"/>
      <c r="B27" s="12">
        <v>8</v>
      </c>
      <c r="C27" s="10">
        <f>'3.ESS_RÉGÉ'!O30</f>
        <v>0</v>
      </c>
      <c r="D27" s="10">
        <f>'3.ESS_RÉGÉ'!P30</f>
        <v>0</v>
      </c>
      <c r="E27" s="10">
        <f>'3.ESS_RÉGÉ'!Q30</f>
        <v>0</v>
      </c>
      <c r="G27" s="471"/>
      <c r="H27" s="3">
        <v>9</v>
      </c>
      <c r="I27" s="11">
        <f>IF($C$4="REG",$C$7*INITIAL_FORET!K29,IF($C$4="RASE",$C$7*INITIAL_FORET!L32,0))</f>
        <v>0</v>
      </c>
      <c r="J27" s="11" cm="1">
        <f t="array" ref="J27">IF($C$6=0,0,IF(INDEX($G$4:$M$7,RIGHT(J$18,1),6)="",0,IF($C$4="IRR",INDEX($G$4:$M$7,RIGHT(J$18,1),7)*80%/20,((INDEX($G$4:$M$7,RIGHT(J$18,1),7))/$C$6)*$I27)))</f>
        <v>0</v>
      </c>
      <c r="K27" s="11" cm="1">
        <f t="array" ref="K27">IF($C$6=0,0,IF(INDEX($G$4:$M$7,RIGHT(K$18,1),6)="",0,IF($C$4="IRR",INDEX($G$4:$M$7,RIGHT(K$18,1),7)*80%/20,((INDEX($G$4:$M$7,RIGHT(K$18,1),7))/$C$6)*$I27)))</f>
        <v>0</v>
      </c>
      <c r="L27" s="11" cm="1">
        <f t="array" ref="L27">IF($C$6=0,0,IF(INDEX($G$4:$M$7,RIGHT(L$18,1),6)="",0,IF($C$4="IRR",INDEX($G$4:$M$7,RIGHT(L$18,1),7)*80%/20,((INDEX($G$4:$M$7,RIGHT(L$18,1),7))/$C$6)*$I27)))</f>
        <v>0</v>
      </c>
      <c r="M27" s="11" cm="1">
        <f t="array" ref="M27">IF($C$6=0,0,IF(INDEX($G$4:$M$7,RIGHT(M$18,1),6)="",0,IF($C$4="IRR",INDEX($G$4:$M$7,RIGHT(M$18,1),7)*80%/20,((INDEX($G$4:$M$7,RIGHT(M$18,1),7))/$C$6)*$I27)))</f>
        <v>0</v>
      </c>
      <c r="N27" s="11">
        <f t="shared" si="3"/>
        <v>0</v>
      </c>
    </row>
    <row r="28" spans="1:16" x14ac:dyDescent="0.2">
      <c r="A28" s="471"/>
      <c r="B28" s="12">
        <v>9</v>
      </c>
      <c r="C28" s="10">
        <f>'3.ESS_RÉGÉ'!O31</f>
        <v>0</v>
      </c>
      <c r="D28" s="10">
        <f>'3.ESS_RÉGÉ'!P31</f>
        <v>0</v>
      </c>
      <c r="E28" s="10">
        <f>'3.ESS_RÉGÉ'!Q31</f>
        <v>0</v>
      </c>
      <c r="G28" s="471"/>
      <c r="H28" s="3">
        <v>10</v>
      </c>
      <c r="I28" s="11">
        <f>IF($C$4="REG",$C$7*INITIAL_FORET!K30,IF($C$4="RASE",$C$7*INITIAL_FORET!L33,0))</f>
        <v>0</v>
      </c>
      <c r="J28" s="11" cm="1">
        <f t="array" ref="J28">IF($C$6=0,0,IF(INDEX($G$4:$M$7,RIGHT(J$18,1),6)="",0,IF($C$4="IRR",INDEX($G$4:$M$7,RIGHT(J$18,1),7)*80%/20,((INDEX($G$4:$M$7,RIGHT(J$18,1),7))/$C$6)*$I28)))</f>
        <v>0</v>
      </c>
      <c r="K28" s="11" cm="1">
        <f t="array" ref="K28">IF($C$6=0,0,IF(INDEX($G$4:$M$7,RIGHT(K$18,1),6)="",0,IF($C$4="IRR",INDEX($G$4:$M$7,RIGHT(K$18,1),7)*80%/20,((INDEX($G$4:$M$7,RIGHT(K$18,1),7))/$C$6)*$I28)))</f>
        <v>0</v>
      </c>
      <c r="L28" s="11" cm="1">
        <f t="array" ref="L28">IF($C$6=0,0,IF(INDEX($G$4:$M$7,RIGHT(L$18,1),6)="",0,IF($C$4="IRR",INDEX($G$4:$M$7,RIGHT(L$18,1),7)*80%/20,((INDEX($G$4:$M$7,RIGHT(L$18,1),7))/$C$6)*$I28)))</f>
        <v>0</v>
      </c>
      <c r="M28" s="11" cm="1">
        <f t="array" ref="M28">IF($C$6=0,0,IF(INDEX($G$4:$M$7,RIGHT(M$18,1),6)="",0,IF($C$4="IRR",INDEX($G$4:$M$7,RIGHT(M$18,1),7)*80%/20,((INDEX($G$4:$M$7,RIGHT(M$18,1),7))/$C$6)*$I28)))</f>
        <v>0</v>
      </c>
      <c r="N28" s="11">
        <f t="shared" si="3"/>
        <v>0</v>
      </c>
    </row>
    <row r="29" spans="1:16" x14ac:dyDescent="0.2">
      <c r="A29" s="471"/>
      <c r="B29" s="12">
        <v>10</v>
      </c>
      <c r="C29" s="10">
        <f>'3.ESS_RÉGÉ'!O32</f>
        <v>0</v>
      </c>
      <c r="D29" s="10">
        <f>'3.ESS_RÉGÉ'!P32</f>
        <v>0</v>
      </c>
      <c r="E29" s="10">
        <f>'3.ESS_RÉGÉ'!Q32</f>
        <v>0</v>
      </c>
      <c r="G29" s="471"/>
      <c r="H29" s="3">
        <v>11</v>
      </c>
      <c r="I29" s="11">
        <f>IF($C$4="REG",$C$7*INITIAL_FORET!K31,IF($C$4="RASE",$C$7*INITIAL_FORET!L34,0))</f>
        <v>0</v>
      </c>
      <c r="J29" s="11" cm="1">
        <f t="array" ref="J29">IF($C$6=0,0,IF(INDEX($G$4:$M$7,RIGHT(J$18,1),6)="",0,IF($C$4="IRR",INDEX($G$4:$M$7,RIGHT(J$18,1),7)*80%/20,((INDEX($G$4:$M$7,RIGHT(J$18,1),7))/$C$6)*$I29)))</f>
        <v>0</v>
      </c>
      <c r="K29" s="11" cm="1">
        <f t="array" ref="K29">IF($C$6=0,0,IF(INDEX($G$4:$M$7,RIGHT(K$18,1),6)="",0,IF($C$4="IRR",INDEX($G$4:$M$7,RIGHT(K$18,1),7)*80%/20,((INDEX($G$4:$M$7,RIGHT(K$18,1),7))/$C$6)*$I29)))</f>
        <v>0</v>
      </c>
      <c r="L29" s="11" cm="1">
        <f t="array" ref="L29">IF($C$6=0,0,IF(INDEX($G$4:$M$7,RIGHT(L$18,1),6)="",0,IF($C$4="IRR",INDEX($G$4:$M$7,RIGHT(L$18,1),7)*80%/20,((INDEX($G$4:$M$7,RIGHT(L$18,1),7))/$C$6)*$I29)))</f>
        <v>0</v>
      </c>
      <c r="M29" s="11" cm="1">
        <f t="array" ref="M29">IF($C$6=0,0,IF(INDEX($G$4:$M$7,RIGHT(M$18,1),6)="",0,IF($C$4="IRR",INDEX($G$4:$M$7,RIGHT(M$18,1),7)*80%/20,((INDEX($G$4:$M$7,RIGHT(M$18,1),7))/$C$6)*$I29)))</f>
        <v>0</v>
      </c>
      <c r="N29" s="11">
        <f t="shared" si="3"/>
        <v>0</v>
      </c>
    </row>
    <row r="30" spans="1:16" x14ac:dyDescent="0.2">
      <c r="A30" s="471"/>
      <c r="B30" s="12">
        <v>11</v>
      </c>
      <c r="C30" s="10">
        <f>'3.ESS_RÉGÉ'!O33</f>
        <v>0</v>
      </c>
      <c r="D30" s="10">
        <f>'3.ESS_RÉGÉ'!P33</f>
        <v>0</v>
      </c>
      <c r="E30" s="10">
        <f>'3.ESS_RÉGÉ'!Q33</f>
        <v>0</v>
      </c>
      <c r="G30" s="471"/>
      <c r="H30" s="3">
        <v>12</v>
      </c>
      <c r="I30" s="11">
        <f>IF($C$4="REG",$C$7*INITIAL_FORET!K32,IF($C$4="RASE",$C$7*INITIAL_FORET!L35,0))</f>
        <v>0</v>
      </c>
      <c r="J30" s="11" cm="1">
        <f t="array" ref="J30">IF($C$6=0,0,IF(INDEX($G$4:$M$7,RIGHT(J$18,1),6)="",0,IF($C$4="IRR",INDEX($G$4:$M$7,RIGHT(J$18,1),7)*80%/20,((INDEX($G$4:$M$7,RIGHT(J$18,1),7))/$C$6)*$I30)))</f>
        <v>0</v>
      </c>
      <c r="K30" s="11" cm="1">
        <f t="array" ref="K30">IF($C$6=0,0,IF(INDEX($G$4:$M$7,RIGHT(K$18,1),6)="",0,IF($C$4="IRR",INDEX($G$4:$M$7,RIGHT(K$18,1),7)*80%/20,((INDEX($G$4:$M$7,RIGHT(K$18,1),7))/$C$6)*$I30)))</f>
        <v>0</v>
      </c>
      <c r="L30" s="11" cm="1">
        <f t="array" ref="L30">IF($C$6=0,0,IF(INDEX($G$4:$M$7,RIGHT(L$18,1),6)="",0,IF($C$4="IRR",INDEX($G$4:$M$7,RIGHT(L$18,1),7)*80%/20,((INDEX($G$4:$M$7,RIGHT(L$18,1),7))/$C$6)*$I30)))</f>
        <v>0</v>
      </c>
      <c r="M30" s="11" cm="1">
        <f t="array" ref="M30">IF($C$6=0,0,IF(INDEX($G$4:$M$7,RIGHT(M$18,1),6)="",0,IF($C$4="IRR",INDEX($G$4:$M$7,RIGHT(M$18,1),7)*80%/20,((INDEX($G$4:$M$7,RIGHT(M$18,1),7))/$C$6)*$I30)))</f>
        <v>0</v>
      </c>
      <c r="N30" s="11">
        <f t="shared" si="3"/>
        <v>0</v>
      </c>
    </row>
    <row r="31" spans="1:16" x14ac:dyDescent="0.2">
      <c r="A31" s="471"/>
      <c r="B31" s="12">
        <v>12</v>
      </c>
      <c r="C31" s="10">
        <f>'3.ESS_RÉGÉ'!O34</f>
        <v>0</v>
      </c>
      <c r="D31" s="10">
        <f>'3.ESS_RÉGÉ'!P34</f>
        <v>0</v>
      </c>
      <c r="E31" s="10">
        <f>'3.ESS_RÉGÉ'!Q34</f>
        <v>0</v>
      </c>
      <c r="G31" s="471"/>
      <c r="H31" s="3">
        <v>13</v>
      </c>
      <c r="I31" s="11">
        <f>IF($C$4="REG",$C$7*INITIAL_FORET!K33,IF($C$4="RASE",$C$7*INITIAL_FORET!L36,0))</f>
        <v>0</v>
      </c>
      <c r="J31" s="11" cm="1">
        <f t="array" ref="J31">IF($C$6=0,0,IF(INDEX($G$4:$M$7,RIGHT(J$18,1),6)="",0,IF($C$4="IRR",INDEX($G$4:$M$7,RIGHT(J$18,1),7)*80%/20,((INDEX($G$4:$M$7,RIGHT(J$18,1),7))/$C$6)*$I31)))</f>
        <v>0</v>
      </c>
      <c r="K31" s="11" cm="1">
        <f t="array" ref="K31">IF($C$6=0,0,IF(INDEX($G$4:$M$7,RIGHT(K$18,1),6)="",0,IF($C$4="IRR",INDEX($G$4:$M$7,RIGHT(K$18,1),7)*80%/20,((INDEX($G$4:$M$7,RIGHT(K$18,1),7))/$C$6)*$I31)))</f>
        <v>0</v>
      </c>
      <c r="L31" s="11" cm="1">
        <f t="array" ref="L31">IF($C$6=0,0,IF(INDEX($G$4:$M$7,RIGHT(L$18,1),6)="",0,IF($C$4="IRR",INDEX($G$4:$M$7,RIGHT(L$18,1),7)*80%/20,((INDEX($G$4:$M$7,RIGHT(L$18,1),7))/$C$6)*$I31)))</f>
        <v>0</v>
      </c>
      <c r="M31" s="11" cm="1">
        <f t="array" ref="M31">IF($C$6=0,0,IF(INDEX($G$4:$M$7,RIGHT(M$18,1),6)="",0,IF($C$4="IRR",INDEX($G$4:$M$7,RIGHT(M$18,1),7)*80%/20,((INDEX($G$4:$M$7,RIGHT(M$18,1),7))/$C$6)*$I31)))</f>
        <v>0</v>
      </c>
      <c r="N31" s="11">
        <f t="shared" si="3"/>
        <v>0</v>
      </c>
    </row>
    <row r="32" spans="1:16" x14ac:dyDescent="0.2">
      <c r="A32" s="471"/>
      <c r="B32" s="12">
        <v>13</v>
      </c>
      <c r="C32" s="10">
        <f>'3.ESS_RÉGÉ'!O35</f>
        <v>0</v>
      </c>
      <c r="D32" s="10">
        <f>'3.ESS_RÉGÉ'!P35</f>
        <v>0</v>
      </c>
      <c r="E32" s="10">
        <f>'3.ESS_RÉGÉ'!Q35</f>
        <v>0</v>
      </c>
      <c r="G32" s="471"/>
      <c r="H32" s="3">
        <v>14</v>
      </c>
      <c r="I32" s="11">
        <f>IF($C$4="REG",$C$7*INITIAL_FORET!K34,IF($C$4="RASE",$C$7*INITIAL_FORET!L37,0))</f>
        <v>0</v>
      </c>
      <c r="J32" s="11" cm="1">
        <f t="array" ref="J32">IF($C$6=0,0,IF(INDEX($G$4:$M$7,RIGHT(J$18,1),6)="",0,IF($C$4="IRR",INDEX($G$4:$M$7,RIGHT(J$18,1),7)*80%/20,((INDEX($G$4:$M$7,RIGHT(J$18,1),7))/$C$6)*$I32)))</f>
        <v>0</v>
      </c>
      <c r="K32" s="11" cm="1">
        <f t="array" ref="K32">IF($C$6=0,0,IF(INDEX($G$4:$M$7,RIGHT(K$18,1),6)="",0,IF($C$4="IRR",INDEX($G$4:$M$7,RIGHT(K$18,1),7)*80%/20,((INDEX($G$4:$M$7,RIGHT(K$18,1),7))/$C$6)*$I32)))</f>
        <v>0</v>
      </c>
      <c r="L32" s="11" cm="1">
        <f t="array" ref="L32">IF($C$6=0,0,IF(INDEX($G$4:$M$7,RIGHT(L$18,1),6)="",0,IF($C$4="IRR",INDEX($G$4:$M$7,RIGHT(L$18,1),7)*80%/20,((INDEX($G$4:$M$7,RIGHT(L$18,1),7))/$C$6)*$I32)))</f>
        <v>0</v>
      </c>
      <c r="M32" s="11" cm="1">
        <f t="array" ref="M32">IF($C$6=0,0,IF(INDEX($G$4:$M$7,RIGHT(M$18,1),6)="",0,IF($C$4="IRR",INDEX($G$4:$M$7,RIGHT(M$18,1),7)*80%/20,((INDEX($G$4:$M$7,RIGHT(M$18,1),7))/$C$6)*$I32)))</f>
        <v>0</v>
      </c>
      <c r="N32" s="11">
        <f t="shared" si="3"/>
        <v>0</v>
      </c>
    </row>
    <row r="33" spans="1:14" x14ac:dyDescent="0.2">
      <c r="A33" s="471"/>
      <c r="B33" s="12">
        <v>14</v>
      </c>
      <c r="C33" s="10">
        <f>'3.ESS_RÉGÉ'!O36</f>
        <v>0</v>
      </c>
      <c r="D33" s="10">
        <f>'3.ESS_RÉGÉ'!P36</f>
        <v>0</v>
      </c>
      <c r="E33" s="10">
        <f>'3.ESS_RÉGÉ'!Q36</f>
        <v>0</v>
      </c>
      <c r="G33" s="471"/>
      <c r="H33" s="3">
        <v>15</v>
      </c>
      <c r="I33" s="11">
        <f>IF($C$4="REG",$C$7*INITIAL_FORET!K35,IF($C$4="RASE",$C$7*INITIAL_FORET!L38,0))</f>
        <v>0</v>
      </c>
      <c r="J33" s="11" cm="1">
        <f t="array" ref="J33">IF($C$6=0,0,IF(INDEX($G$4:$M$7,RIGHT(J$18,1),6)="",0,IF($C$4="IRR",INDEX($G$4:$M$7,RIGHT(J$18,1),7)*80%/20,((INDEX($G$4:$M$7,RIGHT(J$18,1),7))/$C$6)*$I33)))</f>
        <v>0</v>
      </c>
      <c r="K33" s="11" cm="1">
        <f t="array" ref="K33">IF($C$6=0,0,IF(INDEX($G$4:$M$7,RIGHT(K$18,1),6)="",0,IF($C$4="IRR",INDEX($G$4:$M$7,RIGHT(K$18,1),7)*80%/20,((INDEX($G$4:$M$7,RIGHT(K$18,1),7))/$C$6)*$I33)))</f>
        <v>0</v>
      </c>
      <c r="L33" s="11" cm="1">
        <f t="array" ref="L33">IF($C$6=0,0,IF(INDEX($G$4:$M$7,RIGHT(L$18,1),6)="",0,IF($C$4="IRR",INDEX($G$4:$M$7,RIGHT(L$18,1),7)*80%/20,((INDEX($G$4:$M$7,RIGHT(L$18,1),7))/$C$6)*$I33)))</f>
        <v>0</v>
      </c>
      <c r="M33" s="11" cm="1">
        <f t="array" ref="M33">IF($C$6=0,0,IF(INDEX($G$4:$M$7,RIGHT(M$18,1),6)="",0,IF($C$4="IRR",INDEX($G$4:$M$7,RIGHT(M$18,1),7)*80%/20,((INDEX($G$4:$M$7,RIGHT(M$18,1),7))/$C$6)*$I33)))</f>
        <v>0</v>
      </c>
      <c r="N33" s="11">
        <f t="shared" si="3"/>
        <v>0</v>
      </c>
    </row>
    <row r="34" spans="1:14" x14ac:dyDescent="0.2">
      <c r="A34" s="471"/>
      <c r="B34" s="12">
        <v>15</v>
      </c>
      <c r="C34" s="10">
        <f>'3.ESS_RÉGÉ'!O37</f>
        <v>0</v>
      </c>
      <c r="D34" s="10">
        <f>'3.ESS_RÉGÉ'!P37</f>
        <v>0</v>
      </c>
      <c r="E34" s="10">
        <f>'3.ESS_RÉGÉ'!Q37</f>
        <v>0</v>
      </c>
      <c r="G34" s="471"/>
      <c r="H34" s="3">
        <v>16</v>
      </c>
      <c r="I34" s="11">
        <f>IF($C$4="REG",$C$7*INITIAL_FORET!K36,IF($C$4="RASE",$C$7*INITIAL_FORET!L39,0))</f>
        <v>0</v>
      </c>
      <c r="J34" s="11" cm="1">
        <f t="array" ref="J34">IF($C$6=0,0,IF(INDEX($G$4:$M$7,RIGHT(J$18,1),6)="",0,IF($C$4="IRR",INDEX($G$4:$M$7,RIGHT(J$18,1),7)*80%/20,((INDEX($G$4:$M$7,RIGHT(J$18,1),7))/$C$6)*$I34)))</f>
        <v>0</v>
      </c>
      <c r="K34" s="11" cm="1">
        <f t="array" ref="K34">IF($C$6=0,0,IF(INDEX($G$4:$M$7,RIGHT(K$18,1),6)="",0,IF($C$4="IRR",INDEX($G$4:$M$7,RIGHT(K$18,1),7)*80%/20,((INDEX($G$4:$M$7,RIGHT(K$18,1),7))/$C$6)*$I34)))</f>
        <v>0</v>
      </c>
      <c r="L34" s="11" cm="1">
        <f t="array" ref="L34">IF($C$6=0,0,IF(INDEX($G$4:$M$7,RIGHT(L$18,1),6)="",0,IF($C$4="IRR",INDEX($G$4:$M$7,RIGHT(L$18,1),7)*80%/20,((INDEX($G$4:$M$7,RIGHT(L$18,1),7))/$C$6)*$I34)))</f>
        <v>0</v>
      </c>
      <c r="M34" s="11" cm="1">
        <f t="array" ref="M34">IF($C$6=0,0,IF(INDEX($G$4:$M$7,RIGHT(M$18,1),6)="",0,IF($C$4="IRR",INDEX($G$4:$M$7,RIGHT(M$18,1),7)*80%/20,((INDEX($G$4:$M$7,RIGHT(M$18,1),7))/$C$6)*$I34)))</f>
        <v>0</v>
      </c>
      <c r="N34" s="11">
        <f t="shared" si="3"/>
        <v>0</v>
      </c>
    </row>
    <row r="35" spans="1:14" x14ac:dyDescent="0.2">
      <c r="A35" s="471"/>
      <c r="B35" s="12">
        <v>16</v>
      </c>
      <c r="C35" s="10">
        <f>'3.ESS_RÉGÉ'!O38</f>
        <v>0</v>
      </c>
      <c r="D35" s="10">
        <f>'3.ESS_RÉGÉ'!P38</f>
        <v>0</v>
      </c>
      <c r="E35" s="10">
        <f>'3.ESS_RÉGÉ'!Q38</f>
        <v>0</v>
      </c>
      <c r="G35" s="471"/>
      <c r="H35" s="3">
        <v>17</v>
      </c>
      <c r="I35" s="11">
        <f>IF($C$4="REG",$C$7*INITIAL_FORET!K37,IF($C$4="RASE",$C$7*INITIAL_FORET!L40,0))</f>
        <v>0</v>
      </c>
      <c r="J35" s="11" cm="1">
        <f t="array" ref="J35">IF($C$6=0,0,IF(INDEX($G$4:$M$7,RIGHT(J$18,1),6)="",0,IF($C$4="IRR",INDEX($G$4:$M$7,RIGHT(J$18,1),7)*80%/20,((INDEX($G$4:$M$7,RIGHT(J$18,1),7))/$C$6)*$I35)))</f>
        <v>0</v>
      </c>
      <c r="K35" s="11" cm="1">
        <f t="array" ref="K35">IF($C$6=0,0,IF(INDEX($G$4:$M$7,RIGHT(K$18,1),6)="",0,IF($C$4="IRR",INDEX($G$4:$M$7,RIGHT(K$18,1),7)*80%/20,((INDEX($G$4:$M$7,RIGHT(K$18,1),7))/$C$6)*$I35)))</f>
        <v>0</v>
      </c>
      <c r="L35" s="11" cm="1">
        <f t="array" ref="L35">IF($C$6=0,0,IF(INDEX($G$4:$M$7,RIGHT(L$18,1),6)="",0,IF($C$4="IRR",INDEX($G$4:$M$7,RIGHT(L$18,1),7)*80%/20,((INDEX($G$4:$M$7,RIGHT(L$18,1),7))/$C$6)*$I35)))</f>
        <v>0</v>
      </c>
      <c r="M35" s="11" cm="1">
        <f t="array" ref="M35">IF($C$6=0,0,IF(INDEX($G$4:$M$7,RIGHT(M$18,1),6)="",0,IF($C$4="IRR",INDEX($G$4:$M$7,RIGHT(M$18,1),7)*80%/20,((INDEX($G$4:$M$7,RIGHT(M$18,1),7))/$C$6)*$I35)))</f>
        <v>0</v>
      </c>
      <c r="N35" s="11">
        <f t="shared" si="3"/>
        <v>0</v>
      </c>
    </row>
    <row r="36" spans="1:14" x14ac:dyDescent="0.2">
      <c r="A36" s="471"/>
      <c r="B36" s="12">
        <v>17</v>
      </c>
      <c r="C36" s="10">
        <f>'3.ESS_RÉGÉ'!O39</f>
        <v>0</v>
      </c>
      <c r="D36" s="10">
        <f>'3.ESS_RÉGÉ'!P39</f>
        <v>0</v>
      </c>
      <c r="E36" s="10">
        <f>'3.ESS_RÉGÉ'!Q39</f>
        <v>0</v>
      </c>
      <c r="G36" s="471"/>
      <c r="H36" s="3">
        <v>18</v>
      </c>
      <c r="I36" s="11">
        <f>IF($C$4="REG",$C$7*INITIAL_FORET!K38,IF($C$4="RASE",$C$7*INITIAL_FORET!L41,0))</f>
        <v>0</v>
      </c>
      <c r="J36" s="11" cm="1">
        <f t="array" ref="J36">IF($C$6=0,0,IF(INDEX($G$4:$M$7,RIGHT(J$18,1),6)="",0,IF($C$4="IRR",INDEX($G$4:$M$7,RIGHT(J$18,1),7)*80%/20,((INDEX($G$4:$M$7,RIGHT(J$18,1),7))/$C$6)*$I36)))</f>
        <v>0</v>
      </c>
      <c r="K36" s="11" cm="1">
        <f t="array" ref="K36">IF($C$6=0,0,IF(INDEX($G$4:$M$7,RIGHT(K$18,1),6)="",0,IF($C$4="IRR",INDEX($G$4:$M$7,RIGHT(K$18,1),7)*80%/20,((INDEX($G$4:$M$7,RIGHT(K$18,1),7))/$C$6)*$I36)))</f>
        <v>0</v>
      </c>
      <c r="L36" s="11" cm="1">
        <f t="array" ref="L36">IF($C$6=0,0,IF(INDEX($G$4:$M$7,RIGHT(L$18,1),6)="",0,IF($C$4="IRR",INDEX($G$4:$M$7,RIGHT(L$18,1),7)*80%/20,((INDEX($G$4:$M$7,RIGHT(L$18,1),7))/$C$6)*$I36)))</f>
        <v>0</v>
      </c>
      <c r="M36" s="11" cm="1">
        <f t="array" ref="M36">IF($C$6=0,0,IF(INDEX($G$4:$M$7,RIGHT(M$18,1),6)="",0,IF($C$4="IRR",INDEX($G$4:$M$7,RIGHT(M$18,1),7)*80%/20,((INDEX($G$4:$M$7,RIGHT(M$18,1),7))/$C$6)*$I36)))</f>
        <v>0</v>
      </c>
      <c r="N36" s="11">
        <f t="shared" si="3"/>
        <v>0</v>
      </c>
    </row>
    <row r="37" spans="1:14" x14ac:dyDescent="0.2">
      <c r="A37" s="471"/>
      <c r="B37" s="12">
        <v>18</v>
      </c>
      <c r="C37" s="10">
        <f>'3.ESS_RÉGÉ'!O40</f>
        <v>0</v>
      </c>
      <c r="D37" s="10">
        <f>'3.ESS_RÉGÉ'!P40</f>
        <v>0</v>
      </c>
      <c r="E37" s="10">
        <f>'3.ESS_RÉGÉ'!Q40</f>
        <v>0</v>
      </c>
      <c r="G37" s="471"/>
      <c r="H37" s="3">
        <v>19</v>
      </c>
      <c r="I37" s="11">
        <f>IF($C$4="REG",$C$7*INITIAL_FORET!K39,IF($C$4="RASE",$C$7*INITIAL_FORET!L42,0))</f>
        <v>0</v>
      </c>
      <c r="J37" s="11" cm="1">
        <f t="array" ref="J37">IF($C$6=0,0,IF(INDEX($G$4:$M$7,RIGHT(J$18,1),6)="",0,IF($C$4="IRR",INDEX($G$4:$M$7,RIGHT(J$18,1),7)*80%/20,((INDEX($G$4:$M$7,RIGHT(J$18,1),7))/$C$6)*$I37)))</f>
        <v>0</v>
      </c>
      <c r="K37" s="11" cm="1">
        <f t="array" ref="K37">IF($C$6=0,0,IF(INDEX($G$4:$M$7,RIGHT(K$18,1),6)="",0,IF($C$4="IRR",INDEX($G$4:$M$7,RIGHT(K$18,1),7)*80%/20,((INDEX($G$4:$M$7,RIGHT(K$18,1),7))/$C$6)*$I37)))</f>
        <v>0</v>
      </c>
      <c r="L37" s="11" cm="1">
        <f t="array" ref="L37">IF($C$6=0,0,IF(INDEX($G$4:$M$7,RIGHT(L$18,1),6)="",0,IF($C$4="IRR",INDEX($G$4:$M$7,RIGHT(L$18,1),7)*80%/20,((INDEX($G$4:$M$7,RIGHT(L$18,1),7))/$C$6)*$I37)))</f>
        <v>0</v>
      </c>
      <c r="M37" s="11" cm="1">
        <f t="array" ref="M37">IF($C$6=0,0,IF(INDEX($G$4:$M$7,RIGHT(M$18,1),6)="",0,IF($C$4="IRR",INDEX($G$4:$M$7,RIGHT(M$18,1),7)*80%/20,((INDEX($G$4:$M$7,RIGHT(M$18,1),7))/$C$6)*$I37)))</f>
        <v>0</v>
      </c>
      <c r="N37" s="11">
        <f t="shared" si="3"/>
        <v>0</v>
      </c>
    </row>
    <row r="38" spans="1:14" x14ac:dyDescent="0.2">
      <c r="A38" s="471"/>
      <c r="B38" s="12">
        <v>19</v>
      </c>
      <c r="C38" s="10">
        <f>'3.ESS_RÉGÉ'!O41</f>
        <v>0</v>
      </c>
      <c r="D38" s="10">
        <f>'3.ESS_RÉGÉ'!P41</f>
        <v>0</v>
      </c>
      <c r="E38" s="10">
        <f>'3.ESS_RÉGÉ'!Q41</f>
        <v>0</v>
      </c>
      <c r="G38" s="471"/>
      <c r="H38" s="3">
        <v>20</v>
      </c>
      <c r="I38" s="11">
        <f>IF($C$4="REG",$C$7*INITIAL_FORET!K40,IF($C$4="RASE",$C$7*INITIAL_FORET!L43,0))</f>
        <v>0</v>
      </c>
      <c r="J38" s="11" cm="1">
        <f t="array" ref="J38">IF($C$6=0,0,IF(INDEX($G$4:$M$7,RIGHT(J$18,1),6)="",0,IF($C$4="IRR",INDEX($G$4:$M$7,RIGHT(J$18,1),7)*80%/20,((INDEX($G$4:$M$7,RIGHT(J$18,1),7))/$C$6)*$I38)))</f>
        <v>0</v>
      </c>
      <c r="K38" s="11" cm="1">
        <f t="array" ref="K38">IF($C$6=0,0,IF(INDEX($G$4:$M$7,RIGHT(K$18,1),6)="",0,IF($C$4="IRR",INDEX($G$4:$M$7,RIGHT(K$18,1),7)*80%/20,((INDEX($G$4:$M$7,RIGHT(K$18,1),7))/$C$6)*$I38)))</f>
        <v>0</v>
      </c>
      <c r="L38" s="11" cm="1">
        <f t="array" ref="L38">IF($C$6=0,0,IF(INDEX($G$4:$M$7,RIGHT(L$18,1),6)="",0,IF($C$4="IRR",INDEX($G$4:$M$7,RIGHT(L$18,1),7)*80%/20,((INDEX($G$4:$M$7,RIGHT(L$18,1),7))/$C$6)*$I38)))</f>
        <v>0</v>
      </c>
      <c r="M38" s="11" cm="1">
        <f t="array" ref="M38">IF($C$6=0,0,IF(INDEX($G$4:$M$7,RIGHT(M$18,1),6)="",0,IF($C$4="IRR",INDEX($G$4:$M$7,RIGHT(M$18,1),7)*80%/20,((INDEX($G$4:$M$7,RIGHT(M$18,1),7))/$C$6)*$I38)))</f>
        <v>0</v>
      </c>
      <c r="N38" s="11">
        <f t="shared" si="3"/>
        <v>0</v>
      </c>
    </row>
    <row r="39" spans="1:14" x14ac:dyDescent="0.2">
      <c r="A39" s="471"/>
      <c r="B39" s="12">
        <v>20</v>
      </c>
      <c r="C39" s="10">
        <f>'3.ESS_RÉGÉ'!O42</f>
        <v>0</v>
      </c>
      <c r="D39" s="10">
        <f>'3.ESS_RÉGÉ'!P42</f>
        <v>0</v>
      </c>
      <c r="E39" s="10">
        <f>'3.ESS_RÉGÉ'!Q42</f>
        <v>0</v>
      </c>
      <c r="G39" s="219"/>
      <c r="I39" s="11"/>
      <c r="J39" s="11"/>
      <c r="K39" s="11"/>
      <c r="L39" s="11"/>
      <c r="M39" s="11"/>
    </row>
    <row r="40" spans="1:14" x14ac:dyDescent="0.2">
      <c r="A40" s="471"/>
      <c r="B40" s="12">
        <v>21</v>
      </c>
      <c r="C40" s="10">
        <f>'3.ESS_RÉGÉ'!O43</f>
        <v>0</v>
      </c>
      <c r="D40" s="10">
        <f>'3.ESS_RÉGÉ'!P43</f>
        <v>0</v>
      </c>
      <c r="E40" s="10">
        <f>'3.ESS_RÉGÉ'!Q43</f>
        <v>0</v>
      </c>
      <c r="G40" s="166"/>
    </row>
    <row r="41" spans="1:14" x14ac:dyDescent="0.2">
      <c r="A41" s="471"/>
      <c r="B41" s="12">
        <v>22</v>
      </c>
      <c r="C41" s="10">
        <f>'3.ESS_RÉGÉ'!O44</f>
        <v>0</v>
      </c>
      <c r="D41" s="10">
        <f>'3.ESS_RÉGÉ'!P44</f>
        <v>0</v>
      </c>
      <c r="E41" s="10">
        <f>'3.ESS_RÉGÉ'!Q44</f>
        <v>0</v>
      </c>
      <c r="G41" s="166"/>
    </row>
    <row r="42" spans="1:14" x14ac:dyDescent="0.2">
      <c r="A42" s="471"/>
      <c r="B42" s="12">
        <v>23</v>
      </c>
      <c r="C42" s="10">
        <f>'3.ESS_RÉGÉ'!O45</f>
        <v>0</v>
      </c>
      <c r="D42" s="10">
        <f>'3.ESS_RÉGÉ'!P45</f>
        <v>0</v>
      </c>
      <c r="E42" s="10">
        <f>'3.ESS_RÉGÉ'!Q45</f>
        <v>0</v>
      </c>
      <c r="G42" s="166"/>
    </row>
    <row r="43" spans="1:14" x14ac:dyDescent="0.2">
      <c r="A43" s="471"/>
      <c r="B43" s="12">
        <v>24</v>
      </c>
      <c r="C43" s="10">
        <f>'3.ESS_RÉGÉ'!O46</f>
        <v>0</v>
      </c>
      <c r="D43" s="10">
        <f>'3.ESS_RÉGÉ'!P46</f>
        <v>0</v>
      </c>
      <c r="E43" s="10">
        <f>'3.ESS_RÉGÉ'!Q46</f>
        <v>0</v>
      </c>
      <c r="G43" s="166"/>
    </row>
    <row r="44" spans="1:14" x14ac:dyDescent="0.2">
      <c r="A44" s="471"/>
      <c r="B44" s="12">
        <v>25</v>
      </c>
      <c r="C44" s="10">
        <f>'3.ESS_RÉGÉ'!O47</f>
        <v>0</v>
      </c>
      <c r="D44" s="10">
        <f>'3.ESS_RÉGÉ'!P47</f>
        <v>0</v>
      </c>
      <c r="E44" s="10">
        <f>'3.ESS_RÉGÉ'!Q47</f>
        <v>0</v>
      </c>
      <c r="G44" s="166"/>
    </row>
    <row r="45" spans="1:14" x14ac:dyDescent="0.2">
      <c r="A45" s="471"/>
      <c r="B45" s="12">
        <v>26</v>
      </c>
      <c r="C45" s="10">
        <f>'3.ESS_RÉGÉ'!O48</f>
        <v>0</v>
      </c>
      <c r="D45" s="10">
        <f>'3.ESS_RÉGÉ'!P48</f>
        <v>0</v>
      </c>
      <c r="E45" s="10">
        <f>'3.ESS_RÉGÉ'!Q48</f>
        <v>0</v>
      </c>
      <c r="G45" s="166"/>
    </row>
    <row r="46" spans="1:14" x14ac:dyDescent="0.2">
      <c r="A46" s="471"/>
      <c r="B46" s="12">
        <v>27</v>
      </c>
      <c r="C46" s="10">
        <f>'3.ESS_RÉGÉ'!O49</f>
        <v>0</v>
      </c>
      <c r="D46" s="10">
        <f>'3.ESS_RÉGÉ'!P49</f>
        <v>0</v>
      </c>
      <c r="E46" s="10">
        <f>'3.ESS_RÉGÉ'!Q49</f>
        <v>0</v>
      </c>
      <c r="G46" s="166"/>
    </row>
    <row r="47" spans="1:14" x14ac:dyDescent="0.2">
      <c r="A47" s="471"/>
      <c r="B47" s="12">
        <v>28</v>
      </c>
      <c r="C47" s="10">
        <f>'3.ESS_RÉGÉ'!O50</f>
        <v>0</v>
      </c>
      <c r="D47" s="10">
        <f>'3.ESS_RÉGÉ'!P50</f>
        <v>0</v>
      </c>
      <c r="E47" s="10">
        <f>'3.ESS_RÉGÉ'!Q50</f>
        <v>0</v>
      </c>
      <c r="G47" s="166"/>
    </row>
    <row r="48" spans="1:14" x14ac:dyDescent="0.2">
      <c r="A48" s="471"/>
      <c r="B48" s="12">
        <v>29</v>
      </c>
      <c r="C48" s="10">
        <f>'3.ESS_RÉGÉ'!O51</f>
        <v>0</v>
      </c>
      <c r="D48" s="10">
        <f>'3.ESS_RÉGÉ'!P51</f>
        <v>0</v>
      </c>
      <c r="E48" s="10">
        <f>'3.ESS_RÉGÉ'!Q51</f>
        <v>0</v>
      </c>
      <c r="G48" s="166"/>
    </row>
    <row r="49" spans="1:52" x14ac:dyDescent="0.2">
      <c r="A49" s="471"/>
      <c r="B49" s="12">
        <v>30</v>
      </c>
      <c r="C49" s="10">
        <f>'3.ESS_RÉGÉ'!O52</f>
        <v>0</v>
      </c>
      <c r="D49" s="10">
        <f>'3.ESS_RÉGÉ'!P52</f>
        <v>0</v>
      </c>
      <c r="E49" s="10">
        <f>'3.ESS_RÉGÉ'!Q52</f>
        <v>0</v>
      </c>
      <c r="G49" s="166"/>
    </row>
    <row r="52" spans="1:52" s="137" customFormat="1" x14ac:dyDescent="0.2">
      <c r="A52" s="473" t="s">
        <v>14</v>
      </c>
      <c r="B52" s="137" t="s">
        <v>6</v>
      </c>
      <c r="C52" s="138" t="str">
        <f>C4</f>
        <v/>
      </c>
    </row>
    <row r="53" spans="1:52" s="137" customFormat="1" x14ac:dyDescent="0.2">
      <c r="A53" s="473"/>
      <c r="B53" s="139" t="s">
        <v>181</v>
      </c>
      <c r="C53" s="139">
        <f>C6</f>
        <v>0</v>
      </c>
    </row>
    <row r="55" spans="1:52" x14ac:dyDescent="0.2">
      <c r="A55" s="134" t="s">
        <v>626</v>
      </c>
      <c r="B55" s="134"/>
      <c r="C55" s="134"/>
      <c r="D55" s="134"/>
      <c r="E55" s="134"/>
      <c r="F55" s="134"/>
      <c r="G55" s="134"/>
      <c r="H55" s="134"/>
      <c r="I55" s="134"/>
      <c r="J55" s="134"/>
      <c r="K55" s="134"/>
      <c r="L55" s="134"/>
      <c r="M55" s="133"/>
      <c r="N55" s="133"/>
      <c r="O55" s="133"/>
      <c r="P55" s="133"/>
      <c r="Q55" s="133"/>
      <c r="R55" s="133"/>
      <c r="S55" s="133"/>
      <c r="T55" s="133"/>
      <c r="U55" s="133"/>
      <c r="V55" s="133"/>
      <c r="W55" s="133"/>
      <c r="X55" s="133"/>
      <c r="Y55" s="133"/>
      <c r="Z55" s="133"/>
      <c r="AA55" s="133"/>
      <c r="AB55" s="133"/>
      <c r="AC55" s="133"/>
      <c r="AD55" s="133"/>
      <c r="AE55" s="133"/>
      <c r="AF55" s="133"/>
      <c r="AG55" s="133"/>
      <c r="AH55" s="133"/>
      <c r="AI55" s="133"/>
      <c r="AJ55" s="133"/>
      <c r="AK55" s="133"/>
      <c r="AL55" s="133"/>
      <c r="AM55" s="133"/>
      <c r="AN55" s="133"/>
      <c r="AO55" s="133"/>
      <c r="AP55" s="133"/>
      <c r="AQ55" s="133"/>
      <c r="AR55" s="133"/>
      <c r="AS55" s="133"/>
      <c r="AT55" s="133"/>
      <c r="AU55" s="133"/>
      <c r="AV55" s="133"/>
      <c r="AW55" s="133"/>
      <c r="AX55" s="133"/>
      <c r="AY55" s="133"/>
      <c r="AZ55" s="133"/>
    </row>
    <row r="57" spans="1:52" ht="16" customHeight="1" x14ac:dyDescent="0.2">
      <c r="A57" s="472" t="str">
        <f>CONCATENATE($C$1,"_ESS_1")</f>
        <v>C_ESS_1</v>
      </c>
      <c r="B57" s="3" t="s">
        <v>8</v>
      </c>
      <c r="C57" s="3" t="s">
        <v>17</v>
      </c>
      <c r="D57" s="3" t="s">
        <v>61</v>
      </c>
      <c r="E57" s="3" t="s">
        <v>88</v>
      </c>
      <c r="F57" s="3" t="s">
        <v>297</v>
      </c>
      <c r="G57" s="99"/>
      <c r="J57" s="472" t="str">
        <f>CONCATENATE($C$1,"_ESS_2")</f>
        <v>C_ESS_2</v>
      </c>
      <c r="K57" s="3" t="s">
        <v>8</v>
      </c>
      <c r="L57" s="3" t="s">
        <v>17</v>
      </c>
      <c r="M57" s="3" t="s">
        <v>61</v>
      </c>
      <c r="N57" s="3" t="s">
        <v>88</v>
      </c>
      <c r="O57" s="3" t="s">
        <v>297</v>
      </c>
      <c r="S57" s="472" t="str">
        <f>CONCATENATE($C$1,"_ESS_3")</f>
        <v>C_ESS_3</v>
      </c>
      <c r="T57" s="3" t="s">
        <v>8</v>
      </c>
      <c r="U57" s="3" t="s">
        <v>17</v>
      </c>
      <c r="V57" s="3" t="s">
        <v>61</v>
      </c>
      <c r="W57" s="3" t="s">
        <v>88</v>
      </c>
      <c r="X57" s="3" t="s">
        <v>297</v>
      </c>
      <c r="AB57" s="472" t="str">
        <f>CONCATENATE($C$1,"_ESS_4")</f>
        <v>C_ESS_4</v>
      </c>
      <c r="AC57" s="3" t="s">
        <v>8</v>
      </c>
      <c r="AD57" s="3" t="s">
        <v>17</v>
      </c>
      <c r="AE57" s="3" t="s">
        <v>61</v>
      </c>
      <c r="AF57" s="3" t="s">
        <v>88</v>
      </c>
      <c r="AG57" s="3" t="s">
        <v>297</v>
      </c>
    </row>
    <row r="58" spans="1:52" x14ac:dyDescent="0.2">
      <c r="A58" s="472"/>
      <c r="B58" s="42" t="str">
        <f>G4</f>
        <v/>
      </c>
      <c r="C58" s="3">
        <f>IF(OR(B58=0,B58=""),0,VLOOKUP(B58,Tableau44[[Code_ess]:[FEB]],4,FALSE))</f>
        <v>0</v>
      </c>
      <c r="D58" s="3">
        <f>IF(OR(B58=0,B58=""),0,VLOOKUP(B58,Tableau44[[Code_ess]:[FEB]],5,FALSE))</f>
        <v>0</v>
      </c>
      <c r="E58" s="43">
        <f>IF(OR(B58=0,B58=""),0,VLOOKUP(B58,$G$4:$H$7,2,FALSE))</f>
        <v>0</v>
      </c>
      <c r="F58" s="3">
        <f>IF(OR(B58=0,B58=""),0,VLOOKUP(B58,Listes!$C$7:$D$36,2,FALSE))</f>
        <v>0</v>
      </c>
      <c r="H58" s="44"/>
      <c r="J58" s="472"/>
      <c r="K58" s="3" t="str">
        <f>G5</f>
        <v/>
      </c>
      <c r="L58" s="3">
        <f>IF(OR(K58=0,K58=""),0,VLOOKUP(K58,Tableau44[[Code_ess]:[FEB]],4,FALSE))</f>
        <v>0</v>
      </c>
      <c r="M58" s="3">
        <f>IF(OR(K58=0,K58=""),0,VLOOKUP(K58,Tableau44[[Code_ess]:[FEB]],5,FALSE))</f>
        <v>0</v>
      </c>
      <c r="N58" s="43">
        <f>IF(OR(K58=0,K58=""),0,VLOOKUP(K58,$G$4:$H$7,2,FALSE))</f>
        <v>0</v>
      </c>
      <c r="O58" s="3">
        <f>IF(OR(K58=0,K58=""),0,VLOOKUP(K58,Listes!$C$7:$D$36,2,FALSE))</f>
        <v>0</v>
      </c>
      <c r="R58" s="44"/>
      <c r="S58" s="472"/>
      <c r="T58" s="3" t="str">
        <f>G6</f>
        <v/>
      </c>
      <c r="U58" s="3">
        <f>IF(OR(T58=0,T58=""),0,VLOOKUP(T58,Tableau44[[Code_ess]:[FEB]],4,FALSE))</f>
        <v>0</v>
      </c>
      <c r="V58" s="3">
        <f>IF(OR(T58=0,T58=""),0,VLOOKUP(T58,Tableau44[[Code_ess]:[FEB]],5,FALSE))</f>
        <v>0</v>
      </c>
      <c r="W58" s="43">
        <f>IF(OR(T58=0,T58=""),0,VLOOKUP(T58,$G$4:$H$7,2,FALSE))</f>
        <v>0</v>
      </c>
      <c r="X58" s="3">
        <f>IF(OR(T58=0,T58=""),0,VLOOKUP(T58,Listes!$C$7:$D$36,2,FALSE))</f>
        <v>0</v>
      </c>
      <c r="Z58" s="44"/>
      <c r="AB58" s="472"/>
      <c r="AC58" s="3" t="str">
        <f>G7</f>
        <v/>
      </c>
      <c r="AD58" s="3">
        <f>IF(OR(AC58=0,AC58=""),0,VLOOKUP(AC58,Tableau44[[Code_ess]:[FEB]],4,FALSE))</f>
        <v>0</v>
      </c>
      <c r="AE58" s="3">
        <f>IF(OR(AC58=0,AC58=""),0,VLOOKUP(AC58,Tableau44[[Code_ess]:[FEB]],5,FALSE))</f>
        <v>0</v>
      </c>
      <c r="AF58" s="43">
        <f>IF(OR(AC58=0,AC58=""),0,VLOOKUP(AC58,$G$4:$H$7,2,FALSE))</f>
        <v>0</v>
      </c>
      <c r="AG58" s="3">
        <f>IF(OR(AC58=0,AC58=""),0,VLOOKUP(AC58,Listes!$C$7:$D$36,2,FALSE))</f>
        <v>0</v>
      </c>
    </row>
    <row r="60" spans="1:52" ht="16" customHeight="1" x14ac:dyDescent="0.2">
      <c r="A60" s="472" t="str">
        <f>CONCATENATE("SQ_REF_",A57)</f>
        <v>SQ_REF_C_ESS_1</v>
      </c>
      <c r="B60" s="3" t="s">
        <v>15</v>
      </c>
      <c r="C60" s="3" t="s">
        <v>19</v>
      </c>
      <c r="D60" s="3" t="s">
        <v>18</v>
      </c>
      <c r="E60" s="3" t="s">
        <v>16</v>
      </c>
      <c r="F60" s="3" t="s">
        <v>78</v>
      </c>
      <c r="G60" s="3" t="s">
        <v>79</v>
      </c>
      <c r="H60" s="3" t="s">
        <v>56</v>
      </c>
      <c r="J60" s="472" t="str">
        <f>CONCATENATE("SQ_REF_",J57)</f>
        <v>SQ_REF_C_ESS_2</v>
      </c>
      <c r="K60" s="3" t="s">
        <v>15</v>
      </c>
      <c r="L60" s="3" t="s">
        <v>19</v>
      </c>
      <c r="M60" s="3" t="s">
        <v>18</v>
      </c>
      <c r="N60" s="3" t="s">
        <v>16</v>
      </c>
      <c r="O60" s="3" t="s">
        <v>78</v>
      </c>
      <c r="P60" s="3" t="s">
        <v>79</v>
      </c>
      <c r="Q60" s="3" t="s">
        <v>56</v>
      </c>
      <c r="S60" s="472" t="str">
        <f>CONCATENATE("SQ_REF_",S57)</f>
        <v>SQ_REF_C_ESS_3</v>
      </c>
      <c r="T60" s="3" t="s">
        <v>15</v>
      </c>
      <c r="U60" s="3" t="s">
        <v>19</v>
      </c>
      <c r="V60" s="3" t="s">
        <v>18</v>
      </c>
      <c r="W60" s="3" t="s">
        <v>16</v>
      </c>
      <c r="X60" s="3" t="s">
        <v>78</v>
      </c>
      <c r="Y60" s="3" t="s">
        <v>79</v>
      </c>
      <c r="Z60" s="3" t="s">
        <v>56</v>
      </c>
      <c r="AB60" s="472" t="str">
        <f>CONCATENATE("SQ_REF_",AB57)</f>
        <v>SQ_REF_C_ESS_4</v>
      </c>
      <c r="AC60" s="3" t="s">
        <v>15</v>
      </c>
      <c r="AD60" s="3" t="s">
        <v>19</v>
      </c>
      <c r="AE60" s="3" t="s">
        <v>18</v>
      </c>
      <c r="AF60" s="3" t="s">
        <v>16</v>
      </c>
      <c r="AG60" s="3" t="s">
        <v>78</v>
      </c>
      <c r="AH60" s="3" t="s">
        <v>79</v>
      </c>
      <c r="AI60" s="3" t="s">
        <v>56</v>
      </c>
      <c r="AK60" s="472"/>
      <c r="AL60" s="3" t="s">
        <v>28</v>
      </c>
      <c r="AM60" s="3" t="s">
        <v>121</v>
      </c>
      <c r="AN60" s="3" t="s">
        <v>123</v>
      </c>
      <c r="AO60" s="44" t="s">
        <v>124</v>
      </c>
      <c r="AP60" s="44"/>
      <c r="AQ60" s="472"/>
      <c r="AR60" s="3" t="s">
        <v>94</v>
      </c>
      <c r="AS60" s="3" t="s">
        <v>758</v>
      </c>
    </row>
    <row r="61" spans="1:52" ht="16" customHeight="1" x14ac:dyDescent="0.2">
      <c r="A61" s="472"/>
      <c r="B61" s="3">
        <v>1</v>
      </c>
      <c r="C61" s="45">
        <f>IF(OR(B58="",B58=0),0,VLOOKUP(B58,$G$4:$M$7,6,FALSE))</f>
        <v>0</v>
      </c>
      <c r="D61" s="45">
        <f>IF(OR(C61="",C61=0),0,IF(B61=1,INDEX($J$19:$M$38,MATCH(B61,$H$19:$H$38,0),MATCH(RIGHT(A$57,5),$J$18:$M$18,0)),INDEX($J$19:$M$38,MATCH(B61,$H$19:$H$38,0),MATCH(RIGHT(A$57,5),$J$18:$M$18,0))+C61-E60))</f>
        <v>0</v>
      </c>
      <c r="E61" s="45">
        <f>IF(D61="",0,C61-D61)</f>
        <v>0</v>
      </c>
      <c r="F61" s="45">
        <f>IF(E61=0,0,E61*C$58)</f>
        <v>0</v>
      </c>
      <c r="G61" s="45">
        <f t="shared" ref="G61:G80" si="4">IF(F61&gt;0,EXP(-1.0587+0.8836*LN(F61)+0.284),0)</f>
        <v>0</v>
      </c>
      <c r="H61" s="45">
        <f t="shared" ref="H61:H80" si="5">SUM(F61:G61)*0.475*44/12</f>
        <v>0</v>
      </c>
      <c r="I61" s="45"/>
      <c r="J61" s="472"/>
      <c r="K61" s="3">
        <v>1</v>
      </c>
      <c r="L61" s="45">
        <f>IF(OR(K58="",K58=0),0,VLOOKUP(K58,$G$4:$M$7,6,FALSE))</f>
        <v>0</v>
      </c>
      <c r="M61" s="45">
        <f>IF(OR(L61="",L61=0),0,IF(K61=1,INDEX($J$19:$M$38,MATCH(K61,$H$19:$H$38,0),MATCH(RIGHT(J$57,5),$J$18:$M$18,0)),INDEX($J$19:$M$38,MATCH(K61,$H$19:$H$38,0),MATCH(RIGHT(J$57,5),$J$18:$M$18,0))+L61-N60))</f>
        <v>0</v>
      </c>
      <c r="N61" s="45">
        <f>IF(M61="",0,L61-M61)</f>
        <v>0</v>
      </c>
      <c r="O61" s="45">
        <f t="shared" ref="O61:O80" si="6">IF(N61=0,0,N61*L$58)</f>
        <v>0</v>
      </c>
      <c r="P61" s="45">
        <f t="shared" ref="P61:P80" si="7">IF(O61&gt;0,EXP(-1.0587+0.8836*LN(O61)+0.284),0)</f>
        <v>0</v>
      </c>
      <c r="Q61" s="45">
        <f t="shared" ref="Q61:Q80" si="8">SUM(O61:P61)*0.475*44/12</f>
        <v>0</v>
      </c>
      <c r="R61" s="45"/>
      <c r="S61" s="472"/>
      <c r="T61" s="3">
        <v>1</v>
      </c>
      <c r="U61" s="45">
        <f>IF(OR(T58="",T58=0),0,VLOOKUP(T58,$G$4:$M$7,6,FALSE))</f>
        <v>0</v>
      </c>
      <c r="V61" s="45">
        <f>IF(OR(U61="",U61=0),0,IF(T61=1,INDEX($J$19:$M$38,MATCH(T61,$H$19:$H$38,0),MATCH(RIGHT(S$57,5),$J$18:$M$18,0)),INDEX($J$19:$M$38,MATCH(T61,$H$19:$H$38,0),MATCH(RIGHT(S$57,5),$J$18:$M$18,0))+U61-W60))</f>
        <v>0</v>
      </c>
      <c r="W61" s="45">
        <f>IF(V61="",0,U61-V61)</f>
        <v>0</v>
      </c>
      <c r="X61" s="45">
        <f t="shared" ref="X61:X80" si="9">IF(W61=0,0,W61*U$58)</f>
        <v>0</v>
      </c>
      <c r="Y61" s="45">
        <f t="shared" ref="Y61:Y80" si="10">IF(X61&gt;0,EXP(-1.0587+0.8836*LN(X61)+0.284),0)</f>
        <v>0</v>
      </c>
      <c r="Z61" s="45">
        <f t="shared" ref="Z61:Z80" si="11">SUM(X61:Y61)*0.475*44/12</f>
        <v>0</v>
      </c>
      <c r="AA61" s="45"/>
      <c r="AB61" s="472"/>
      <c r="AC61" s="3">
        <v>1</v>
      </c>
      <c r="AD61" s="45">
        <f>IF(OR(AC58="",AC58=0),0,VLOOKUP(AC58,$G$4:$M$7,6,FALSE))</f>
        <v>0</v>
      </c>
      <c r="AE61" s="45">
        <f>IF(OR(AD61="",AD61=0),0,IF(AC61=1,INDEX($J$19:$M$38,MATCH(AC61,$H$19:$H$38,0),MATCH(RIGHT(AB$57,5),$J$18:$M$18,0)),INDEX($J$19:$M$38,MATCH(AC61,$H$19:$H$38,0),MATCH(RIGHT(AB$57,5),$J$18:$M$18,0))+AD61-AF60))</f>
        <v>0</v>
      </c>
      <c r="AF61" s="45">
        <f>IF(AE61="",0,AD61-AE61)</f>
        <v>0</v>
      </c>
      <c r="AG61" s="45">
        <f t="shared" ref="AG61:AG80" si="12">IF(AF61=0,0,AF61*AD$58)</f>
        <v>0</v>
      </c>
      <c r="AH61" s="45">
        <f t="shared" ref="AH61:AH80" si="13">IF(AG61&gt;0,EXP(-1.0587+0.8836*LN(AG61)+0.284),0)</f>
        <v>0</v>
      </c>
      <c r="AI61" s="45">
        <f t="shared" ref="AI61:AI80" si="14">SUM(AG61:AH61)*0.475*44/12</f>
        <v>0</v>
      </c>
      <c r="AJ61" s="45"/>
      <c r="AK61" s="472"/>
      <c r="AL61" s="3">
        <v>1</v>
      </c>
      <c r="AM61" s="11">
        <f t="shared" ref="AM61:AM80" si="15">SUM(D61,M61,V61,AE61)</f>
        <v>0</v>
      </c>
      <c r="AN61" s="46">
        <f>IF(OR($C$6=0,SUM($M$4:$M$7)=0),0,AM61/SUM($M$4:$M$7))</f>
        <v>0</v>
      </c>
      <c r="AO61" s="47">
        <f t="shared" ref="AO61:AO80" si="16">AN61*50%</f>
        <v>0</v>
      </c>
      <c r="AP61" s="47"/>
      <c r="AQ61" s="472"/>
      <c r="AR61" s="108">
        <v>1</v>
      </c>
      <c r="AS61" s="110">
        <f>C61+L61+U61+AD61</f>
        <v>0</v>
      </c>
    </row>
    <row r="62" spans="1:52" x14ac:dyDescent="0.2">
      <c r="A62" s="472"/>
      <c r="B62" s="3">
        <v>2</v>
      </c>
      <c r="C62" s="45">
        <f>IF(E61=0,0,E61*(1+E$58))</f>
        <v>0</v>
      </c>
      <c r="D62" s="45">
        <f t="shared" ref="D62:D80" si="17">IF(OR(C62="",C62=0),0,IF(B62=1,INDEX($J$19:$M$38,MATCH(B62,$H$19:$H$38,0),MATCH(RIGHT(A$57,5),$J$18:$M$18,0)),INDEX($J$19:$M$38,MATCH(B62,$H$19:$H$38,0),MATCH(RIGHT(A$57,5),$J$18:$M$18,0))+C62-E61))</f>
        <v>0</v>
      </c>
      <c r="E62" s="11">
        <f>IF(D62="",0,C62-D62)</f>
        <v>0</v>
      </c>
      <c r="F62" s="45">
        <f>IF(E62=0,0,E62*C$58)</f>
        <v>0</v>
      </c>
      <c r="G62" s="45">
        <f t="shared" si="4"/>
        <v>0</v>
      </c>
      <c r="H62" s="11">
        <f t="shared" si="5"/>
        <v>0</v>
      </c>
      <c r="I62" s="11"/>
      <c r="J62" s="472"/>
      <c r="K62" s="3">
        <v>2</v>
      </c>
      <c r="L62" s="45">
        <f>IF(N61=0,0,N61*(1+N$58))</f>
        <v>0</v>
      </c>
      <c r="M62" s="45">
        <f t="shared" ref="M62:M80" si="18">IF(OR(L62="",L62=0),0,IF(K62=1,INDEX($J$19:$M$38,MATCH(K62,$H$19:$H$38,0),MATCH(RIGHT(J$57,5),$J$18:$M$18,0)),INDEX($J$19:$M$38,MATCH(K62,$H$19:$H$38,0),MATCH(RIGHT(J$57,5),$J$18:$M$18,0))+L62-N61))</f>
        <v>0</v>
      </c>
      <c r="N62" s="11">
        <f>IF(M62="",0,L62-M62)</f>
        <v>0</v>
      </c>
      <c r="O62" s="45">
        <f t="shared" si="6"/>
        <v>0</v>
      </c>
      <c r="P62" s="45">
        <f t="shared" si="7"/>
        <v>0</v>
      </c>
      <c r="Q62" s="11">
        <f t="shared" si="8"/>
        <v>0</v>
      </c>
      <c r="R62" s="11"/>
      <c r="S62" s="472"/>
      <c r="T62" s="3">
        <v>2</v>
      </c>
      <c r="U62" s="45">
        <f>IF(W61=0,0,W61*(1+W$58))</f>
        <v>0</v>
      </c>
      <c r="V62" s="45">
        <f t="shared" ref="V62:V80" si="19">IF(OR(U62="",U62=0),0,IF(T62=1,INDEX($J$19:$M$38,MATCH(T62,$H$19:$H$38,0),MATCH(RIGHT(S$57,5),$J$18:$M$18,0)),INDEX($J$19:$M$38,MATCH(T62,$H$19:$H$38,0),MATCH(RIGHT(S$57,5),$J$18:$M$18,0))+U62-W61))</f>
        <v>0</v>
      </c>
      <c r="W62" s="11">
        <f>IF(V62="",0,U62-V62)</f>
        <v>0</v>
      </c>
      <c r="X62" s="45">
        <f t="shared" si="9"/>
        <v>0</v>
      </c>
      <c r="Y62" s="45">
        <f t="shared" si="10"/>
        <v>0</v>
      </c>
      <c r="Z62" s="11">
        <f t="shared" si="11"/>
        <v>0</v>
      </c>
      <c r="AA62" s="11"/>
      <c r="AB62" s="472"/>
      <c r="AC62" s="3">
        <v>2</v>
      </c>
      <c r="AD62" s="45">
        <f>IF(AF61=0,0,AF61*(1+AF$58))</f>
        <v>0</v>
      </c>
      <c r="AE62" s="45">
        <f t="shared" ref="AE62:AE80" si="20">IF(OR(AD62="",AD62=0),0,IF(AC62=1,INDEX($J$19:$M$38,MATCH(AC62,$H$19:$H$38,0),MATCH(RIGHT(AB$57,5),$J$18:$M$18,0)),INDEX($J$19:$M$38,MATCH(AC62,$H$19:$H$38,0),MATCH(RIGHT(AB$57,5),$J$18:$M$18,0))+AD62-AF61))</f>
        <v>0</v>
      </c>
      <c r="AF62" s="11">
        <f>IF(AE62="",0,AD62-AE62)</f>
        <v>0</v>
      </c>
      <c r="AG62" s="45">
        <f t="shared" si="12"/>
        <v>0</v>
      </c>
      <c r="AH62" s="45">
        <f t="shared" si="13"/>
        <v>0</v>
      </c>
      <c r="AI62" s="11">
        <f t="shared" si="14"/>
        <v>0</v>
      </c>
      <c r="AJ62" s="11"/>
      <c r="AK62" s="472"/>
      <c r="AL62" s="3">
        <v>2</v>
      </c>
      <c r="AM62" s="11">
        <f t="shared" si="15"/>
        <v>0</v>
      </c>
      <c r="AN62" s="46">
        <f t="shared" ref="AN62:AN80" si="21">IF(OR($C$6=0,SUM($M$4:$M$7)=0),0,AM62/SUM($M$4:$M$7))</f>
        <v>0</v>
      </c>
      <c r="AO62" s="47">
        <f t="shared" si="16"/>
        <v>0</v>
      </c>
      <c r="AP62" s="47"/>
      <c r="AQ62" s="472"/>
      <c r="AR62" s="109">
        <v>2</v>
      </c>
      <c r="AS62" s="111">
        <f>E62+N62+W62+AF62</f>
        <v>0</v>
      </c>
    </row>
    <row r="63" spans="1:52" x14ac:dyDescent="0.2">
      <c r="A63" s="472"/>
      <c r="B63" s="3">
        <v>3</v>
      </c>
      <c r="C63" s="45">
        <f t="shared" ref="C63:C80" si="22">IF(E62=0,0,E62*(1+E$58))</f>
        <v>0</v>
      </c>
      <c r="D63" s="45">
        <f t="shared" si="17"/>
        <v>0</v>
      </c>
      <c r="E63" s="11">
        <f t="shared" ref="E63:E80" si="23">IF(D63="",0,C63-D63)</f>
        <v>0</v>
      </c>
      <c r="F63" s="45">
        <f t="shared" ref="F63:F80" si="24">IF(E63=0,0,E63*C$58)</f>
        <v>0</v>
      </c>
      <c r="G63" s="45">
        <f t="shared" si="4"/>
        <v>0</v>
      </c>
      <c r="H63" s="11">
        <f t="shared" si="5"/>
        <v>0</v>
      </c>
      <c r="I63" s="11"/>
      <c r="J63" s="472"/>
      <c r="K63" s="3">
        <v>3</v>
      </c>
      <c r="L63" s="45">
        <f t="shared" ref="L63:L80" si="25">IF(N62=0,0,N62*(1+N$58))</f>
        <v>0</v>
      </c>
      <c r="M63" s="45">
        <f t="shared" si="18"/>
        <v>0</v>
      </c>
      <c r="N63" s="11">
        <f t="shared" ref="N63:N80" si="26">IF(M63="",0,L63-M63)</f>
        <v>0</v>
      </c>
      <c r="O63" s="45">
        <f t="shared" si="6"/>
        <v>0</v>
      </c>
      <c r="P63" s="45">
        <f t="shared" si="7"/>
        <v>0</v>
      </c>
      <c r="Q63" s="11">
        <f t="shared" si="8"/>
        <v>0</v>
      </c>
      <c r="R63" s="11"/>
      <c r="S63" s="472"/>
      <c r="T63" s="3">
        <v>3</v>
      </c>
      <c r="U63" s="45">
        <f t="shared" ref="U63:U80" si="27">IF(W62=0,0,W62*(1+W$58))</f>
        <v>0</v>
      </c>
      <c r="V63" s="45">
        <f t="shared" si="19"/>
        <v>0</v>
      </c>
      <c r="W63" s="11">
        <f t="shared" ref="W63:W80" si="28">IF(V63="",0,U63-V63)</f>
        <v>0</v>
      </c>
      <c r="X63" s="45">
        <f t="shared" si="9"/>
        <v>0</v>
      </c>
      <c r="Y63" s="45">
        <f t="shared" si="10"/>
        <v>0</v>
      </c>
      <c r="Z63" s="11">
        <f t="shared" si="11"/>
        <v>0</v>
      </c>
      <c r="AA63" s="11"/>
      <c r="AB63" s="472"/>
      <c r="AC63" s="3">
        <v>3</v>
      </c>
      <c r="AD63" s="45">
        <f t="shared" ref="AD63:AD80" si="29">IF(AF62=0,0,AF62*(1+AF$58))</f>
        <v>0</v>
      </c>
      <c r="AE63" s="45">
        <f t="shared" si="20"/>
        <v>0</v>
      </c>
      <c r="AF63" s="11">
        <f t="shared" ref="AF63:AF80" si="30">IF(AE63="",0,AD63-AE63)</f>
        <v>0</v>
      </c>
      <c r="AG63" s="45">
        <f>IF(AF63=0,0,AF63*AD$58)</f>
        <v>0</v>
      </c>
      <c r="AH63" s="45">
        <f t="shared" si="13"/>
        <v>0</v>
      </c>
      <c r="AI63" s="11">
        <f t="shared" si="14"/>
        <v>0</v>
      </c>
      <c r="AJ63" s="11"/>
      <c r="AK63" s="472"/>
      <c r="AL63" s="3">
        <v>3</v>
      </c>
      <c r="AM63" s="11">
        <f t="shared" si="15"/>
        <v>0</v>
      </c>
      <c r="AN63" s="46">
        <f t="shared" si="21"/>
        <v>0</v>
      </c>
      <c r="AO63" s="47">
        <f t="shared" si="16"/>
        <v>0</v>
      </c>
      <c r="AP63" s="47"/>
      <c r="AQ63" s="472"/>
      <c r="AR63" s="108">
        <v>3</v>
      </c>
      <c r="AS63" s="111">
        <f t="shared" ref="AS63:AS80" si="31">E63+N63+W63+AF63</f>
        <v>0</v>
      </c>
    </row>
    <row r="64" spans="1:52" x14ac:dyDescent="0.2">
      <c r="A64" s="472"/>
      <c r="B64" s="3">
        <v>4</v>
      </c>
      <c r="C64" s="45">
        <f t="shared" si="22"/>
        <v>0</v>
      </c>
      <c r="D64" s="45">
        <f t="shared" si="17"/>
        <v>0</v>
      </c>
      <c r="E64" s="11">
        <f t="shared" si="23"/>
        <v>0</v>
      </c>
      <c r="F64" s="45">
        <f t="shared" si="24"/>
        <v>0</v>
      </c>
      <c r="G64" s="45">
        <f t="shared" si="4"/>
        <v>0</v>
      </c>
      <c r="H64" s="11">
        <f t="shared" si="5"/>
        <v>0</v>
      </c>
      <c r="I64" s="11"/>
      <c r="J64" s="472"/>
      <c r="K64" s="3">
        <v>4</v>
      </c>
      <c r="L64" s="45">
        <f t="shared" si="25"/>
        <v>0</v>
      </c>
      <c r="M64" s="45">
        <f t="shared" si="18"/>
        <v>0</v>
      </c>
      <c r="N64" s="11">
        <f t="shared" si="26"/>
        <v>0</v>
      </c>
      <c r="O64" s="45">
        <f>IF(N64=0,0,N64*L$58)</f>
        <v>0</v>
      </c>
      <c r="P64" s="45">
        <f t="shared" si="7"/>
        <v>0</v>
      </c>
      <c r="Q64" s="11">
        <f t="shared" si="8"/>
        <v>0</v>
      </c>
      <c r="R64" s="11"/>
      <c r="S64" s="472"/>
      <c r="T64" s="3">
        <v>4</v>
      </c>
      <c r="U64" s="45">
        <f t="shared" si="27"/>
        <v>0</v>
      </c>
      <c r="V64" s="45">
        <f t="shared" si="19"/>
        <v>0</v>
      </c>
      <c r="W64" s="11">
        <f t="shared" si="28"/>
        <v>0</v>
      </c>
      <c r="X64" s="45">
        <f t="shared" si="9"/>
        <v>0</v>
      </c>
      <c r="Y64" s="45">
        <f t="shared" si="10"/>
        <v>0</v>
      </c>
      <c r="Z64" s="11">
        <f t="shared" si="11"/>
        <v>0</v>
      </c>
      <c r="AA64" s="11"/>
      <c r="AB64" s="472"/>
      <c r="AC64" s="3">
        <v>4</v>
      </c>
      <c r="AD64" s="45">
        <f t="shared" si="29"/>
        <v>0</v>
      </c>
      <c r="AE64" s="45">
        <f t="shared" si="20"/>
        <v>0</v>
      </c>
      <c r="AF64" s="11">
        <f t="shared" si="30"/>
        <v>0</v>
      </c>
      <c r="AG64" s="45">
        <f t="shared" si="12"/>
        <v>0</v>
      </c>
      <c r="AH64" s="45">
        <f t="shared" si="13"/>
        <v>0</v>
      </c>
      <c r="AI64" s="11">
        <f t="shared" si="14"/>
        <v>0</v>
      </c>
      <c r="AJ64" s="11"/>
      <c r="AK64" s="472"/>
      <c r="AL64" s="3">
        <v>4</v>
      </c>
      <c r="AM64" s="11">
        <f t="shared" si="15"/>
        <v>0</v>
      </c>
      <c r="AN64" s="46">
        <f t="shared" si="21"/>
        <v>0</v>
      </c>
      <c r="AO64" s="47">
        <f t="shared" si="16"/>
        <v>0</v>
      </c>
      <c r="AP64" s="47"/>
      <c r="AQ64" s="472"/>
      <c r="AR64" s="109">
        <v>4</v>
      </c>
      <c r="AS64" s="111">
        <f t="shared" si="31"/>
        <v>0</v>
      </c>
    </row>
    <row r="65" spans="1:45" x14ac:dyDescent="0.2">
      <c r="A65" s="472"/>
      <c r="B65" s="3">
        <v>5</v>
      </c>
      <c r="C65" s="45">
        <f t="shared" si="22"/>
        <v>0</v>
      </c>
      <c r="D65" s="45">
        <f t="shared" si="17"/>
        <v>0</v>
      </c>
      <c r="E65" s="11">
        <f t="shared" si="23"/>
        <v>0</v>
      </c>
      <c r="F65" s="45">
        <f t="shared" si="24"/>
        <v>0</v>
      </c>
      <c r="G65" s="45">
        <f t="shared" si="4"/>
        <v>0</v>
      </c>
      <c r="H65" s="11">
        <f t="shared" si="5"/>
        <v>0</v>
      </c>
      <c r="I65" s="11"/>
      <c r="J65" s="472"/>
      <c r="K65" s="3">
        <v>5</v>
      </c>
      <c r="L65" s="45">
        <f t="shared" si="25"/>
        <v>0</v>
      </c>
      <c r="M65" s="45">
        <f t="shared" si="18"/>
        <v>0</v>
      </c>
      <c r="N65" s="11">
        <f t="shared" si="26"/>
        <v>0</v>
      </c>
      <c r="O65" s="45">
        <f t="shared" si="6"/>
        <v>0</v>
      </c>
      <c r="P65" s="45">
        <f t="shared" si="7"/>
        <v>0</v>
      </c>
      <c r="Q65" s="11">
        <f t="shared" si="8"/>
        <v>0</v>
      </c>
      <c r="R65" s="11"/>
      <c r="S65" s="472"/>
      <c r="T65" s="3">
        <v>5</v>
      </c>
      <c r="U65" s="45">
        <f t="shared" si="27"/>
        <v>0</v>
      </c>
      <c r="V65" s="45">
        <f t="shared" si="19"/>
        <v>0</v>
      </c>
      <c r="W65" s="11">
        <f t="shared" si="28"/>
        <v>0</v>
      </c>
      <c r="X65" s="45">
        <f t="shared" si="9"/>
        <v>0</v>
      </c>
      <c r="Y65" s="45">
        <f t="shared" si="10"/>
        <v>0</v>
      </c>
      <c r="Z65" s="11">
        <f t="shared" si="11"/>
        <v>0</v>
      </c>
      <c r="AA65" s="11"/>
      <c r="AB65" s="472"/>
      <c r="AC65" s="3">
        <v>5</v>
      </c>
      <c r="AD65" s="45">
        <f t="shared" si="29"/>
        <v>0</v>
      </c>
      <c r="AE65" s="45">
        <f t="shared" si="20"/>
        <v>0</v>
      </c>
      <c r="AF65" s="11">
        <f t="shared" si="30"/>
        <v>0</v>
      </c>
      <c r="AG65" s="45">
        <f t="shared" si="12"/>
        <v>0</v>
      </c>
      <c r="AH65" s="45">
        <f t="shared" si="13"/>
        <v>0</v>
      </c>
      <c r="AI65" s="11">
        <f t="shared" si="14"/>
        <v>0</v>
      </c>
      <c r="AJ65" s="11"/>
      <c r="AK65" s="472"/>
      <c r="AL65" s="3">
        <v>5</v>
      </c>
      <c r="AM65" s="11">
        <f t="shared" si="15"/>
        <v>0</v>
      </c>
      <c r="AN65" s="46">
        <f t="shared" si="21"/>
        <v>0</v>
      </c>
      <c r="AO65" s="47">
        <f t="shared" si="16"/>
        <v>0</v>
      </c>
      <c r="AP65" s="47"/>
      <c r="AQ65" s="472"/>
      <c r="AR65" s="108">
        <v>5</v>
      </c>
      <c r="AS65" s="111">
        <f t="shared" si="31"/>
        <v>0</v>
      </c>
    </row>
    <row r="66" spans="1:45" x14ac:dyDescent="0.2">
      <c r="A66" s="472"/>
      <c r="B66" s="3">
        <v>6</v>
      </c>
      <c r="C66" s="45">
        <f t="shared" si="22"/>
        <v>0</v>
      </c>
      <c r="D66" s="45">
        <f t="shared" si="17"/>
        <v>0</v>
      </c>
      <c r="E66" s="11">
        <f t="shared" si="23"/>
        <v>0</v>
      </c>
      <c r="F66" s="45">
        <f t="shared" si="24"/>
        <v>0</v>
      </c>
      <c r="G66" s="45">
        <f t="shared" si="4"/>
        <v>0</v>
      </c>
      <c r="H66" s="11">
        <f t="shared" si="5"/>
        <v>0</v>
      </c>
      <c r="I66" s="11"/>
      <c r="J66" s="472"/>
      <c r="K66" s="3">
        <v>6</v>
      </c>
      <c r="L66" s="45">
        <f t="shared" si="25"/>
        <v>0</v>
      </c>
      <c r="M66" s="45">
        <f t="shared" si="18"/>
        <v>0</v>
      </c>
      <c r="N66" s="11">
        <f t="shared" si="26"/>
        <v>0</v>
      </c>
      <c r="O66" s="45">
        <f t="shared" si="6"/>
        <v>0</v>
      </c>
      <c r="P66" s="45">
        <f t="shared" si="7"/>
        <v>0</v>
      </c>
      <c r="Q66" s="11">
        <f t="shared" si="8"/>
        <v>0</v>
      </c>
      <c r="R66" s="11"/>
      <c r="S66" s="472"/>
      <c r="T66" s="3">
        <v>6</v>
      </c>
      <c r="U66" s="45">
        <f t="shared" si="27"/>
        <v>0</v>
      </c>
      <c r="V66" s="45">
        <f t="shared" si="19"/>
        <v>0</v>
      </c>
      <c r="W66" s="11">
        <f t="shared" si="28"/>
        <v>0</v>
      </c>
      <c r="X66" s="45">
        <f t="shared" si="9"/>
        <v>0</v>
      </c>
      <c r="Y66" s="45">
        <f t="shared" si="10"/>
        <v>0</v>
      </c>
      <c r="Z66" s="11">
        <f t="shared" si="11"/>
        <v>0</v>
      </c>
      <c r="AA66" s="11"/>
      <c r="AB66" s="472"/>
      <c r="AC66" s="3">
        <v>6</v>
      </c>
      <c r="AD66" s="45">
        <f t="shared" si="29"/>
        <v>0</v>
      </c>
      <c r="AE66" s="45">
        <f t="shared" si="20"/>
        <v>0</v>
      </c>
      <c r="AF66" s="11">
        <f t="shared" si="30"/>
        <v>0</v>
      </c>
      <c r="AG66" s="45">
        <f t="shared" si="12"/>
        <v>0</v>
      </c>
      <c r="AH66" s="45">
        <f t="shared" si="13"/>
        <v>0</v>
      </c>
      <c r="AI66" s="11">
        <f t="shared" si="14"/>
        <v>0</v>
      </c>
      <c r="AJ66" s="11"/>
      <c r="AK66" s="472"/>
      <c r="AL66" s="3">
        <v>6</v>
      </c>
      <c r="AM66" s="11">
        <f t="shared" si="15"/>
        <v>0</v>
      </c>
      <c r="AN66" s="46">
        <f t="shared" si="21"/>
        <v>0</v>
      </c>
      <c r="AO66" s="47">
        <f t="shared" si="16"/>
        <v>0</v>
      </c>
      <c r="AP66" s="47"/>
      <c r="AQ66" s="472"/>
      <c r="AR66" s="109">
        <v>6</v>
      </c>
      <c r="AS66" s="111">
        <f t="shared" si="31"/>
        <v>0</v>
      </c>
    </row>
    <row r="67" spans="1:45" x14ac:dyDescent="0.2">
      <c r="A67" s="472"/>
      <c r="B67" s="3">
        <v>7</v>
      </c>
      <c r="C67" s="45">
        <f t="shared" si="22"/>
        <v>0</v>
      </c>
      <c r="D67" s="45">
        <f t="shared" si="17"/>
        <v>0</v>
      </c>
      <c r="E67" s="11">
        <f t="shared" si="23"/>
        <v>0</v>
      </c>
      <c r="F67" s="45">
        <f t="shared" si="24"/>
        <v>0</v>
      </c>
      <c r="G67" s="45">
        <f t="shared" si="4"/>
        <v>0</v>
      </c>
      <c r="H67" s="11">
        <f t="shared" si="5"/>
        <v>0</v>
      </c>
      <c r="I67" s="11"/>
      <c r="J67" s="472"/>
      <c r="K67" s="3">
        <v>7</v>
      </c>
      <c r="L67" s="45">
        <f t="shared" si="25"/>
        <v>0</v>
      </c>
      <c r="M67" s="45">
        <f t="shared" si="18"/>
        <v>0</v>
      </c>
      <c r="N67" s="11">
        <f t="shared" si="26"/>
        <v>0</v>
      </c>
      <c r="O67" s="45">
        <f t="shared" si="6"/>
        <v>0</v>
      </c>
      <c r="P67" s="45">
        <f t="shared" si="7"/>
        <v>0</v>
      </c>
      <c r="Q67" s="11">
        <f t="shared" si="8"/>
        <v>0</v>
      </c>
      <c r="R67" s="11"/>
      <c r="S67" s="472"/>
      <c r="T67" s="3">
        <v>7</v>
      </c>
      <c r="U67" s="45">
        <f t="shared" si="27"/>
        <v>0</v>
      </c>
      <c r="V67" s="45">
        <f t="shared" si="19"/>
        <v>0</v>
      </c>
      <c r="W67" s="11">
        <f t="shared" si="28"/>
        <v>0</v>
      </c>
      <c r="X67" s="45">
        <f t="shared" si="9"/>
        <v>0</v>
      </c>
      <c r="Y67" s="45">
        <f t="shared" si="10"/>
        <v>0</v>
      </c>
      <c r="Z67" s="11">
        <f t="shared" si="11"/>
        <v>0</v>
      </c>
      <c r="AA67" s="11"/>
      <c r="AB67" s="472"/>
      <c r="AC67" s="3">
        <v>7</v>
      </c>
      <c r="AD67" s="45">
        <f t="shared" si="29"/>
        <v>0</v>
      </c>
      <c r="AE67" s="45">
        <f t="shared" si="20"/>
        <v>0</v>
      </c>
      <c r="AF67" s="11">
        <f t="shared" si="30"/>
        <v>0</v>
      </c>
      <c r="AG67" s="45">
        <f t="shared" si="12"/>
        <v>0</v>
      </c>
      <c r="AH67" s="45">
        <f t="shared" si="13"/>
        <v>0</v>
      </c>
      <c r="AI67" s="11">
        <f t="shared" si="14"/>
        <v>0</v>
      </c>
      <c r="AJ67" s="11"/>
      <c r="AK67" s="472"/>
      <c r="AL67" s="3">
        <v>7</v>
      </c>
      <c r="AM67" s="11">
        <f t="shared" si="15"/>
        <v>0</v>
      </c>
      <c r="AN67" s="46">
        <f t="shared" si="21"/>
        <v>0</v>
      </c>
      <c r="AO67" s="47">
        <f t="shared" si="16"/>
        <v>0</v>
      </c>
      <c r="AP67" s="47"/>
      <c r="AQ67" s="472"/>
      <c r="AR67" s="108">
        <v>7</v>
      </c>
      <c r="AS67" s="111">
        <f t="shared" si="31"/>
        <v>0</v>
      </c>
    </row>
    <row r="68" spans="1:45" x14ac:dyDescent="0.2">
      <c r="A68" s="472"/>
      <c r="B68" s="3">
        <v>8</v>
      </c>
      <c r="C68" s="45">
        <f t="shared" si="22"/>
        <v>0</v>
      </c>
      <c r="D68" s="45">
        <f t="shared" si="17"/>
        <v>0</v>
      </c>
      <c r="E68" s="11">
        <f t="shared" si="23"/>
        <v>0</v>
      </c>
      <c r="F68" s="45">
        <f t="shared" si="24"/>
        <v>0</v>
      </c>
      <c r="G68" s="45">
        <f t="shared" si="4"/>
        <v>0</v>
      </c>
      <c r="H68" s="11">
        <f t="shared" si="5"/>
        <v>0</v>
      </c>
      <c r="I68" s="11"/>
      <c r="J68" s="472"/>
      <c r="K68" s="3">
        <v>8</v>
      </c>
      <c r="L68" s="45">
        <f t="shared" si="25"/>
        <v>0</v>
      </c>
      <c r="M68" s="45">
        <f t="shared" si="18"/>
        <v>0</v>
      </c>
      <c r="N68" s="11">
        <f t="shared" si="26"/>
        <v>0</v>
      </c>
      <c r="O68" s="45">
        <f t="shared" si="6"/>
        <v>0</v>
      </c>
      <c r="P68" s="45">
        <f t="shared" si="7"/>
        <v>0</v>
      </c>
      <c r="Q68" s="11">
        <f t="shared" si="8"/>
        <v>0</v>
      </c>
      <c r="R68" s="11"/>
      <c r="S68" s="472"/>
      <c r="T68" s="3">
        <v>8</v>
      </c>
      <c r="U68" s="45">
        <f t="shared" si="27"/>
        <v>0</v>
      </c>
      <c r="V68" s="45">
        <f t="shared" si="19"/>
        <v>0</v>
      </c>
      <c r="W68" s="11">
        <f t="shared" si="28"/>
        <v>0</v>
      </c>
      <c r="X68" s="45">
        <f t="shared" si="9"/>
        <v>0</v>
      </c>
      <c r="Y68" s="45">
        <f t="shared" si="10"/>
        <v>0</v>
      </c>
      <c r="Z68" s="11">
        <f t="shared" si="11"/>
        <v>0</v>
      </c>
      <c r="AA68" s="11"/>
      <c r="AB68" s="472"/>
      <c r="AC68" s="3">
        <v>8</v>
      </c>
      <c r="AD68" s="45">
        <f t="shared" si="29"/>
        <v>0</v>
      </c>
      <c r="AE68" s="45">
        <f t="shared" si="20"/>
        <v>0</v>
      </c>
      <c r="AF68" s="11">
        <f t="shared" si="30"/>
        <v>0</v>
      </c>
      <c r="AG68" s="45">
        <f t="shared" si="12"/>
        <v>0</v>
      </c>
      <c r="AH68" s="45">
        <f t="shared" si="13"/>
        <v>0</v>
      </c>
      <c r="AI68" s="11">
        <f t="shared" si="14"/>
        <v>0</v>
      </c>
      <c r="AJ68" s="11"/>
      <c r="AK68" s="472"/>
      <c r="AL68" s="3">
        <v>8</v>
      </c>
      <c r="AM68" s="11">
        <f t="shared" si="15"/>
        <v>0</v>
      </c>
      <c r="AN68" s="46">
        <f t="shared" si="21"/>
        <v>0</v>
      </c>
      <c r="AO68" s="47">
        <f t="shared" si="16"/>
        <v>0</v>
      </c>
      <c r="AP68" s="47"/>
      <c r="AQ68" s="472"/>
      <c r="AR68" s="109">
        <v>8</v>
      </c>
      <c r="AS68" s="111">
        <f t="shared" si="31"/>
        <v>0</v>
      </c>
    </row>
    <row r="69" spans="1:45" x14ac:dyDescent="0.2">
      <c r="A69" s="472"/>
      <c r="B69" s="3">
        <v>9</v>
      </c>
      <c r="C69" s="45">
        <f t="shared" si="22"/>
        <v>0</v>
      </c>
      <c r="D69" s="45">
        <f t="shared" si="17"/>
        <v>0</v>
      </c>
      <c r="E69" s="11">
        <f t="shared" si="23"/>
        <v>0</v>
      </c>
      <c r="F69" s="45">
        <f t="shared" si="24"/>
        <v>0</v>
      </c>
      <c r="G69" s="45">
        <f t="shared" si="4"/>
        <v>0</v>
      </c>
      <c r="H69" s="11">
        <f t="shared" si="5"/>
        <v>0</v>
      </c>
      <c r="I69" s="11"/>
      <c r="J69" s="472"/>
      <c r="K69" s="3">
        <v>9</v>
      </c>
      <c r="L69" s="45">
        <f t="shared" si="25"/>
        <v>0</v>
      </c>
      <c r="M69" s="45">
        <f t="shared" si="18"/>
        <v>0</v>
      </c>
      <c r="N69" s="11">
        <f t="shared" si="26"/>
        <v>0</v>
      </c>
      <c r="O69" s="45">
        <f t="shared" si="6"/>
        <v>0</v>
      </c>
      <c r="P69" s="45">
        <f t="shared" si="7"/>
        <v>0</v>
      </c>
      <c r="Q69" s="11">
        <f t="shared" si="8"/>
        <v>0</v>
      </c>
      <c r="R69" s="11"/>
      <c r="S69" s="472"/>
      <c r="T69" s="3">
        <v>9</v>
      </c>
      <c r="U69" s="45">
        <f t="shared" si="27"/>
        <v>0</v>
      </c>
      <c r="V69" s="45">
        <f t="shared" si="19"/>
        <v>0</v>
      </c>
      <c r="W69" s="11">
        <f t="shared" si="28"/>
        <v>0</v>
      </c>
      <c r="X69" s="45">
        <f t="shared" si="9"/>
        <v>0</v>
      </c>
      <c r="Y69" s="45">
        <f t="shared" si="10"/>
        <v>0</v>
      </c>
      <c r="Z69" s="11">
        <f t="shared" si="11"/>
        <v>0</v>
      </c>
      <c r="AA69" s="11"/>
      <c r="AB69" s="472"/>
      <c r="AC69" s="3">
        <v>9</v>
      </c>
      <c r="AD69" s="45">
        <f t="shared" si="29"/>
        <v>0</v>
      </c>
      <c r="AE69" s="45">
        <f t="shared" si="20"/>
        <v>0</v>
      </c>
      <c r="AF69" s="11">
        <f t="shared" si="30"/>
        <v>0</v>
      </c>
      <c r="AG69" s="45">
        <f t="shared" si="12"/>
        <v>0</v>
      </c>
      <c r="AH69" s="45">
        <f t="shared" si="13"/>
        <v>0</v>
      </c>
      <c r="AI69" s="11">
        <f t="shared" si="14"/>
        <v>0</v>
      </c>
      <c r="AJ69" s="11"/>
      <c r="AK69" s="472"/>
      <c r="AL69" s="3">
        <v>9</v>
      </c>
      <c r="AM69" s="11">
        <f t="shared" si="15"/>
        <v>0</v>
      </c>
      <c r="AN69" s="46">
        <f t="shared" si="21"/>
        <v>0</v>
      </c>
      <c r="AO69" s="47">
        <f t="shared" si="16"/>
        <v>0</v>
      </c>
      <c r="AP69" s="47"/>
      <c r="AQ69" s="472"/>
      <c r="AR69" s="108">
        <v>9</v>
      </c>
      <c r="AS69" s="111">
        <f t="shared" si="31"/>
        <v>0</v>
      </c>
    </row>
    <row r="70" spans="1:45" x14ac:dyDescent="0.2">
      <c r="A70" s="472"/>
      <c r="B70" s="3">
        <v>10</v>
      </c>
      <c r="C70" s="45">
        <f t="shared" si="22"/>
        <v>0</v>
      </c>
      <c r="D70" s="45">
        <f t="shared" si="17"/>
        <v>0</v>
      </c>
      <c r="E70" s="11">
        <f t="shared" si="23"/>
        <v>0</v>
      </c>
      <c r="F70" s="45">
        <f t="shared" si="24"/>
        <v>0</v>
      </c>
      <c r="G70" s="45">
        <f t="shared" si="4"/>
        <v>0</v>
      </c>
      <c r="H70" s="11">
        <f t="shared" si="5"/>
        <v>0</v>
      </c>
      <c r="I70" s="11"/>
      <c r="J70" s="472"/>
      <c r="K70" s="3">
        <v>10</v>
      </c>
      <c r="L70" s="45">
        <f t="shared" si="25"/>
        <v>0</v>
      </c>
      <c r="M70" s="45">
        <f t="shared" si="18"/>
        <v>0</v>
      </c>
      <c r="N70" s="11">
        <f t="shared" si="26"/>
        <v>0</v>
      </c>
      <c r="O70" s="45">
        <f t="shared" si="6"/>
        <v>0</v>
      </c>
      <c r="P70" s="45">
        <f t="shared" si="7"/>
        <v>0</v>
      </c>
      <c r="Q70" s="11">
        <f t="shared" si="8"/>
        <v>0</v>
      </c>
      <c r="R70" s="11"/>
      <c r="S70" s="472"/>
      <c r="T70" s="3">
        <v>10</v>
      </c>
      <c r="U70" s="45">
        <f t="shared" si="27"/>
        <v>0</v>
      </c>
      <c r="V70" s="45">
        <f t="shared" si="19"/>
        <v>0</v>
      </c>
      <c r="W70" s="11">
        <f t="shared" si="28"/>
        <v>0</v>
      </c>
      <c r="X70" s="45">
        <f t="shared" si="9"/>
        <v>0</v>
      </c>
      <c r="Y70" s="45">
        <f t="shared" si="10"/>
        <v>0</v>
      </c>
      <c r="Z70" s="11">
        <f t="shared" si="11"/>
        <v>0</v>
      </c>
      <c r="AA70" s="11"/>
      <c r="AB70" s="472"/>
      <c r="AC70" s="3">
        <v>10</v>
      </c>
      <c r="AD70" s="45">
        <f t="shared" si="29"/>
        <v>0</v>
      </c>
      <c r="AE70" s="45">
        <f t="shared" si="20"/>
        <v>0</v>
      </c>
      <c r="AF70" s="11">
        <f t="shared" si="30"/>
        <v>0</v>
      </c>
      <c r="AG70" s="45">
        <f t="shared" si="12"/>
        <v>0</v>
      </c>
      <c r="AH70" s="45">
        <f t="shared" si="13"/>
        <v>0</v>
      </c>
      <c r="AI70" s="11">
        <f t="shared" si="14"/>
        <v>0</v>
      </c>
      <c r="AJ70" s="11"/>
      <c r="AK70" s="472"/>
      <c r="AL70" s="3">
        <v>10</v>
      </c>
      <c r="AM70" s="11">
        <f t="shared" si="15"/>
        <v>0</v>
      </c>
      <c r="AN70" s="46">
        <f t="shared" si="21"/>
        <v>0</v>
      </c>
      <c r="AO70" s="47">
        <f t="shared" si="16"/>
        <v>0</v>
      </c>
      <c r="AP70" s="47"/>
      <c r="AQ70" s="472"/>
      <c r="AR70" s="109">
        <v>10</v>
      </c>
      <c r="AS70" s="111">
        <f t="shared" si="31"/>
        <v>0</v>
      </c>
    </row>
    <row r="71" spans="1:45" x14ac:dyDescent="0.2">
      <c r="A71" s="472"/>
      <c r="B71" s="3">
        <v>11</v>
      </c>
      <c r="C71" s="45">
        <f t="shared" si="22"/>
        <v>0</v>
      </c>
      <c r="D71" s="45">
        <f t="shared" si="17"/>
        <v>0</v>
      </c>
      <c r="E71" s="11">
        <f t="shared" si="23"/>
        <v>0</v>
      </c>
      <c r="F71" s="45">
        <f t="shared" si="24"/>
        <v>0</v>
      </c>
      <c r="G71" s="45">
        <f t="shared" si="4"/>
        <v>0</v>
      </c>
      <c r="H71" s="11">
        <f t="shared" si="5"/>
        <v>0</v>
      </c>
      <c r="I71" s="11"/>
      <c r="J71" s="472"/>
      <c r="K71" s="3">
        <v>11</v>
      </c>
      <c r="L71" s="45">
        <f t="shared" si="25"/>
        <v>0</v>
      </c>
      <c r="M71" s="45">
        <f t="shared" si="18"/>
        <v>0</v>
      </c>
      <c r="N71" s="11">
        <f t="shared" si="26"/>
        <v>0</v>
      </c>
      <c r="O71" s="45">
        <f t="shared" si="6"/>
        <v>0</v>
      </c>
      <c r="P71" s="45">
        <f t="shared" si="7"/>
        <v>0</v>
      </c>
      <c r="Q71" s="11">
        <f t="shared" si="8"/>
        <v>0</v>
      </c>
      <c r="R71" s="11"/>
      <c r="S71" s="472"/>
      <c r="T71" s="3">
        <v>11</v>
      </c>
      <c r="U71" s="45">
        <f t="shared" si="27"/>
        <v>0</v>
      </c>
      <c r="V71" s="45">
        <f t="shared" si="19"/>
        <v>0</v>
      </c>
      <c r="W71" s="11">
        <f t="shared" si="28"/>
        <v>0</v>
      </c>
      <c r="X71" s="45">
        <f t="shared" si="9"/>
        <v>0</v>
      </c>
      <c r="Y71" s="45">
        <f t="shared" si="10"/>
        <v>0</v>
      </c>
      <c r="Z71" s="11">
        <f t="shared" si="11"/>
        <v>0</v>
      </c>
      <c r="AA71" s="11"/>
      <c r="AB71" s="472"/>
      <c r="AC71" s="3">
        <v>11</v>
      </c>
      <c r="AD71" s="45">
        <f t="shared" si="29"/>
        <v>0</v>
      </c>
      <c r="AE71" s="45">
        <f t="shared" si="20"/>
        <v>0</v>
      </c>
      <c r="AF71" s="11">
        <f t="shared" si="30"/>
        <v>0</v>
      </c>
      <c r="AG71" s="45">
        <f t="shared" si="12"/>
        <v>0</v>
      </c>
      <c r="AH71" s="45">
        <f t="shared" si="13"/>
        <v>0</v>
      </c>
      <c r="AI71" s="11">
        <f t="shared" si="14"/>
        <v>0</v>
      </c>
      <c r="AJ71" s="11"/>
      <c r="AK71" s="472"/>
      <c r="AL71" s="3">
        <v>11</v>
      </c>
      <c r="AM71" s="11">
        <f t="shared" si="15"/>
        <v>0</v>
      </c>
      <c r="AN71" s="46">
        <f t="shared" si="21"/>
        <v>0</v>
      </c>
      <c r="AO71" s="47">
        <f t="shared" si="16"/>
        <v>0</v>
      </c>
      <c r="AP71" s="47"/>
      <c r="AQ71" s="472"/>
      <c r="AR71" s="108">
        <v>11</v>
      </c>
      <c r="AS71" s="111">
        <f t="shared" si="31"/>
        <v>0</v>
      </c>
    </row>
    <row r="72" spans="1:45" x14ac:dyDescent="0.2">
      <c r="A72" s="472"/>
      <c r="B72" s="3">
        <v>12</v>
      </c>
      <c r="C72" s="45">
        <f t="shared" si="22"/>
        <v>0</v>
      </c>
      <c r="D72" s="45">
        <f t="shared" si="17"/>
        <v>0</v>
      </c>
      <c r="E72" s="11">
        <f t="shared" si="23"/>
        <v>0</v>
      </c>
      <c r="F72" s="45">
        <f t="shared" si="24"/>
        <v>0</v>
      </c>
      <c r="G72" s="45">
        <f t="shared" si="4"/>
        <v>0</v>
      </c>
      <c r="H72" s="11">
        <f t="shared" si="5"/>
        <v>0</v>
      </c>
      <c r="I72" s="11"/>
      <c r="J72" s="472"/>
      <c r="K72" s="3">
        <v>12</v>
      </c>
      <c r="L72" s="45">
        <f t="shared" si="25"/>
        <v>0</v>
      </c>
      <c r="M72" s="45">
        <f t="shared" si="18"/>
        <v>0</v>
      </c>
      <c r="N72" s="11">
        <f t="shared" si="26"/>
        <v>0</v>
      </c>
      <c r="O72" s="45">
        <f t="shared" si="6"/>
        <v>0</v>
      </c>
      <c r="P72" s="45">
        <f t="shared" si="7"/>
        <v>0</v>
      </c>
      <c r="Q72" s="11">
        <f t="shared" si="8"/>
        <v>0</v>
      </c>
      <c r="R72" s="11"/>
      <c r="S72" s="472"/>
      <c r="T72" s="3">
        <v>12</v>
      </c>
      <c r="U72" s="45">
        <f t="shared" si="27"/>
        <v>0</v>
      </c>
      <c r="V72" s="45">
        <f t="shared" si="19"/>
        <v>0</v>
      </c>
      <c r="W72" s="11">
        <f t="shared" si="28"/>
        <v>0</v>
      </c>
      <c r="X72" s="45">
        <f t="shared" si="9"/>
        <v>0</v>
      </c>
      <c r="Y72" s="45">
        <f t="shared" si="10"/>
        <v>0</v>
      </c>
      <c r="Z72" s="11">
        <f t="shared" si="11"/>
        <v>0</v>
      </c>
      <c r="AA72" s="11"/>
      <c r="AB72" s="472"/>
      <c r="AC72" s="3">
        <v>12</v>
      </c>
      <c r="AD72" s="45">
        <f t="shared" si="29"/>
        <v>0</v>
      </c>
      <c r="AE72" s="45">
        <f t="shared" si="20"/>
        <v>0</v>
      </c>
      <c r="AF72" s="11">
        <f t="shared" si="30"/>
        <v>0</v>
      </c>
      <c r="AG72" s="45">
        <f t="shared" si="12"/>
        <v>0</v>
      </c>
      <c r="AH72" s="45">
        <f t="shared" si="13"/>
        <v>0</v>
      </c>
      <c r="AI72" s="11">
        <f t="shared" si="14"/>
        <v>0</v>
      </c>
      <c r="AJ72" s="11"/>
      <c r="AK72" s="472"/>
      <c r="AL72" s="3">
        <v>12</v>
      </c>
      <c r="AM72" s="11">
        <f t="shared" si="15"/>
        <v>0</v>
      </c>
      <c r="AN72" s="46">
        <f t="shared" si="21"/>
        <v>0</v>
      </c>
      <c r="AO72" s="47">
        <f t="shared" si="16"/>
        <v>0</v>
      </c>
      <c r="AP72" s="47"/>
      <c r="AQ72" s="472"/>
      <c r="AR72" s="109">
        <v>12</v>
      </c>
      <c r="AS72" s="111">
        <f t="shared" si="31"/>
        <v>0</v>
      </c>
    </row>
    <row r="73" spans="1:45" x14ac:dyDescent="0.2">
      <c r="A73" s="472"/>
      <c r="B73" s="3">
        <v>13</v>
      </c>
      <c r="C73" s="45">
        <f t="shared" si="22"/>
        <v>0</v>
      </c>
      <c r="D73" s="45">
        <f t="shared" si="17"/>
        <v>0</v>
      </c>
      <c r="E73" s="11">
        <f t="shared" si="23"/>
        <v>0</v>
      </c>
      <c r="F73" s="45">
        <f t="shared" si="24"/>
        <v>0</v>
      </c>
      <c r="G73" s="45">
        <f t="shared" si="4"/>
        <v>0</v>
      </c>
      <c r="H73" s="11">
        <f t="shared" si="5"/>
        <v>0</v>
      </c>
      <c r="I73" s="11"/>
      <c r="J73" s="472"/>
      <c r="K73" s="3">
        <v>13</v>
      </c>
      <c r="L73" s="45">
        <f t="shared" si="25"/>
        <v>0</v>
      </c>
      <c r="M73" s="45">
        <f t="shared" si="18"/>
        <v>0</v>
      </c>
      <c r="N73" s="11">
        <f t="shared" si="26"/>
        <v>0</v>
      </c>
      <c r="O73" s="45">
        <f t="shared" si="6"/>
        <v>0</v>
      </c>
      <c r="P73" s="45">
        <f t="shared" si="7"/>
        <v>0</v>
      </c>
      <c r="Q73" s="11">
        <f t="shared" si="8"/>
        <v>0</v>
      </c>
      <c r="R73" s="11"/>
      <c r="S73" s="472"/>
      <c r="T73" s="3">
        <v>13</v>
      </c>
      <c r="U73" s="45">
        <f t="shared" si="27"/>
        <v>0</v>
      </c>
      <c r="V73" s="45">
        <f t="shared" si="19"/>
        <v>0</v>
      </c>
      <c r="W73" s="11">
        <f t="shared" si="28"/>
        <v>0</v>
      </c>
      <c r="X73" s="45">
        <f t="shared" si="9"/>
        <v>0</v>
      </c>
      <c r="Y73" s="45">
        <f t="shared" si="10"/>
        <v>0</v>
      </c>
      <c r="Z73" s="11">
        <f t="shared" si="11"/>
        <v>0</v>
      </c>
      <c r="AA73" s="11"/>
      <c r="AB73" s="472"/>
      <c r="AC73" s="3">
        <v>13</v>
      </c>
      <c r="AD73" s="45">
        <f t="shared" si="29"/>
        <v>0</v>
      </c>
      <c r="AE73" s="45">
        <f t="shared" si="20"/>
        <v>0</v>
      </c>
      <c r="AF73" s="11">
        <f t="shared" si="30"/>
        <v>0</v>
      </c>
      <c r="AG73" s="45">
        <f t="shared" si="12"/>
        <v>0</v>
      </c>
      <c r="AH73" s="45">
        <f t="shared" si="13"/>
        <v>0</v>
      </c>
      <c r="AI73" s="11">
        <f t="shared" si="14"/>
        <v>0</v>
      </c>
      <c r="AJ73" s="11"/>
      <c r="AK73" s="472"/>
      <c r="AL73" s="3">
        <v>13</v>
      </c>
      <c r="AM73" s="11">
        <f t="shared" si="15"/>
        <v>0</v>
      </c>
      <c r="AN73" s="46">
        <f t="shared" si="21"/>
        <v>0</v>
      </c>
      <c r="AO73" s="47">
        <f t="shared" si="16"/>
        <v>0</v>
      </c>
      <c r="AP73" s="47"/>
      <c r="AQ73" s="472"/>
      <c r="AR73" s="108">
        <v>13</v>
      </c>
      <c r="AS73" s="111">
        <f t="shared" si="31"/>
        <v>0</v>
      </c>
    </row>
    <row r="74" spans="1:45" x14ac:dyDescent="0.2">
      <c r="A74" s="472"/>
      <c r="B74" s="3">
        <v>14</v>
      </c>
      <c r="C74" s="45">
        <f t="shared" si="22"/>
        <v>0</v>
      </c>
      <c r="D74" s="45">
        <f t="shared" si="17"/>
        <v>0</v>
      </c>
      <c r="E74" s="11">
        <f t="shared" si="23"/>
        <v>0</v>
      </c>
      <c r="F74" s="45">
        <f t="shared" si="24"/>
        <v>0</v>
      </c>
      <c r="G74" s="45">
        <f t="shared" si="4"/>
        <v>0</v>
      </c>
      <c r="H74" s="11">
        <f t="shared" si="5"/>
        <v>0</v>
      </c>
      <c r="I74" s="11"/>
      <c r="J74" s="472"/>
      <c r="K74" s="3">
        <v>14</v>
      </c>
      <c r="L74" s="45">
        <f t="shared" si="25"/>
        <v>0</v>
      </c>
      <c r="M74" s="45">
        <f t="shared" si="18"/>
        <v>0</v>
      </c>
      <c r="N74" s="11">
        <f t="shared" si="26"/>
        <v>0</v>
      </c>
      <c r="O74" s="45">
        <f t="shared" si="6"/>
        <v>0</v>
      </c>
      <c r="P74" s="45">
        <f t="shared" si="7"/>
        <v>0</v>
      </c>
      <c r="Q74" s="11">
        <f t="shared" si="8"/>
        <v>0</v>
      </c>
      <c r="R74" s="11"/>
      <c r="S74" s="472"/>
      <c r="T74" s="3">
        <v>14</v>
      </c>
      <c r="U74" s="45">
        <f t="shared" si="27"/>
        <v>0</v>
      </c>
      <c r="V74" s="45">
        <f t="shared" si="19"/>
        <v>0</v>
      </c>
      <c r="W74" s="11">
        <f t="shared" si="28"/>
        <v>0</v>
      </c>
      <c r="X74" s="45">
        <f t="shared" si="9"/>
        <v>0</v>
      </c>
      <c r="Y74" s="45">
        <f t="shared" si="10"/>
        <v>0</v>
      </c>
      <c r="Z74" s="11">
        <f t="shared" si="11"/>
        <v>0</v>
      </c>
      <c r="AA74" s="11"/>
      <c r="AB74" s="472"/>
      <c r="AC74" s="3">
        <v>14</v>
      </c>
      <c r="AD74" s="45">
        <f t="shared" si="29"/>
        <v>0</v>
      </c>
      <c r="AE74" s="45">
        <f t="shared" si="20"/>
        <v>0</v>
      </c>
      <c r="AF74" s="11">
        <f t="shared" si="30"/>
        <v>0</v>
      </c>
      <c r="AG74" s="45">
        <f t="shared" si="12"/>
        <v>0</v>
      </c>
      <c r="AH74" s="45">
        <f t="shared" si="13"/>
        <v>0</v>
      </c>
      <c r="AI74" s="11">
        <f t="shared" si="14"/>
        <v>0</v>
      </c>
      <c r="AJ74" s="11"/>
      <c r="AK74" s="472"/>
      <c r="AL74" s="3">
        <v>14</v>
      </c>
      <c r="AM74" s="11">
        <f t="shared" si="15"/>
        <v>0</v>
      </c>
      <c r="AN74" s="46">
        <f t="shared" si="21"/>
        <v>0</v>
      </c>
      <c r="AO74" s="47">
        <f t="shared" si="16"/>
        <v>0</v>
      </c>
      <c r="AP74" s="47"/>
      <c r="AQ74" s="472"/>
      <c r="AR74" s="109">
        <v>14</v>
      </c>
      <c r="AS74" s="111">
        <f t="shared" si="31"/>
        <v>0</v>
      </c>
    </row>
    <row r="75" spans="1:45" x14ac:dyDescent="0.2">
      <c r="A75" s="472"/>
      <c r="B75" s="3">
        <v>15</v>
      </c>
      <c r="C75" s="45">
        <f t="shared" si="22"/>
        <v>0</v>
      </c>
      <c r="D75" s="45">
        <f t="shared" si="17"/>
        <v>0</v>
      </c>
      <c r="E75" s="45">
        <f t="shared" si="23"/>
        <v>0</v>
      </c>
      <c r="F75" s="45">
        <f t="shared" si="24"/>
        <v>0</v>
      </c>
      <c r="G75" s="45">
        <f t="shared" si="4"/>
        <v>0</v>
      </c>
      <c r="H75" s="45">
        <f t="shared" si="5"/>
        <v>0</v>
      </c>
      <c r="I75" s="45"/>
      <c r="J75" s="472"/>
      <c r="K75" s="3">
        <v>15</v>
      </c>
      <c r="L75" s="45">
        <f t="shared" si="25"/>
        <v>0</v>
      </c>
      <c r="M75" s="45">
        <f t="shared" si="18"/>
        <v>0</v>
      </c>
      <c r="N75" s="11">
        <f t="shared" si="26"/>
        <v>0</v>
      </c>
      <c r="O75" s="45">
        <f t="shared" si="6"/>
        <v>0</v>
      </c>
      <c r="P75" s="45">
        <f t="shared" si="7"/>
        <v>0</v>
      </c>
      <c r="Q75" s="11">
        <f t="shared" si="8"/>
        <v>0</v>
      </c>
      <c r="R75" s="45"/>
      <c r="S75" s="472"/>
      <c r="T75" s="3">
        <v>15</v>
      </c>
      <c r="U75" s="45">
        <f t="shared" si="27"/>
        <v>0</v>
      </c>
      <c r="V75" s="45">
        <f t="shared" si="19"/>
        <v>0</v>
      </c>
      <c r="W75" s="11">
        <f t="shared" si="28"/>
        <v>0</v>
      </c>
      <c r="X75" s="45">
        <f t="shared" si="9"/>
        <v>0</v>
      </c>
      <c r="Y75" s="45">
        <f t="shared" si="10"/>
        <v>0</v>
      </c>
      <c r="Z75" s="11">
        <f t="shared" si="11"/>
        <v>0</v>
      </c>
      <c r="AA75" s="45"/>
      <c r="AB75" s="472"/>
      <c r="AC75" s="3">
        <v>15</v>
      </c>
      <c r="AD75" s="45">
        <f t="shared" si="29"/>
        <v>0</v>
      </c>
      <c r="AE75" s="45">
        <f t="shared" si="20"/>
        <v>0</v>
      </c>
      <c r="AF75" s="11">
        <f t="shared" si="30"/>
        <v>0</v>
      </c>
      <c r="AG75" s="45">
        <f t="shared" si="12"/>
        <v>0</v>
      </c>
      <c r="AH75" s="45">
        <f t="shared" si="13"/>
        <v>0</v>
      </c>
      <c r="AI75" s="11">
        <f t="shared" si="14"/>
        <v>0</v>
      </c>
      <c r="AJ75" s="45"/>
      <c r="AK75" s="472"/>
      <c r="AL75" s="3">
        <v>15</v>
      </c>
      <c r="AM75" s="11">
        <f t="shared" si="15"/>
        <v>0</v>
      </c>
      <c r="AN75" s="46">
        <f t="shared" si="21"/>
        <v>0</v>
      </c>
      <c r="AO75" s="47">
        <f t="shared" si="16"/>
        <v>0</v>
      </c>
      <c r="AP75" s="47"/>
      <c r="AQ75" s="472"/>
      <c r="AR75" s="108">
        <v>15</v>
      </c>
      <c r="AS75" s="111">
        <f t="shared" si="31"/>
        <v>0</v>
      </c>
    </row>
    <row r="76" spans="1:45" x14ac:dyDescent="0.2">
      <c r="A76" s="472"/>
      <c r="B76" s="3">
        <v>16</v>
      </c>
      <c r="C76" s="45">
        <f t="shared" si="22"/>
        <v>0</v>
      </c>
      <c r="D76" s="45">
        <f t="shared" si="17"/>
        <v>0</v>
      </c>
      <c r="E76" s="45">
        <f t="shared" si="23"/>
        <v>0</v>
      </c>
      <c r="F76" s="45">
        <f t="shared" si="24"/>
        <v>0</v>
      </c>
      <c r="G76" s="45">
        <f t="shared" si="4"/>
        <v>0</v>
      </c>
      <c r="H76" s="11">
        <f t="shared" si="5"/>
        <v>0</v>
      </c>
      <c r="I76" s="11"/>
      <c r="J76" s="472"/>
      <c r="K76" s="3">
        <v>16</v>
      </c>
      <c r="L76" s="45">
        <f t="shared" si="25"/>
        <v>0</v>
      </c>
      <c r="M76" s="45">
        <f t="shared" si="18"/>
        <v>0</v>
      </c>
      <c r="N76" s="11">
        <f t="shared" si="26"/>
        <v>0</v>
      </c>
      <c r="O76" s="45">
        <f t="shared" si="6"/>
        <v>0</v>
      </c>
      <c r="P76" s="45">
        <f t="shared" si="7"/>
        <v>0</v>
      </c>
      <c r="Q76" s="11">
        <f t="shared" si="8"/>
        <v>0</v>
      </c>
      <c r="R76" s="11"/>
      <c r="S76" s="472"/>
      <c r="T76" s="3">
        <v>16</v>
      </c>
      <c r="U76" s="45">
        <f t="shared" si="27"/>
        <v>0</v>
      </c>
      <c r="V76" s="45">
        <f t="shared" si="19"/>
        <v>0</v>
      </c>
      <c r="W76" s="11">
        <f t="shared" si="28"/>
        <v>0</v>
      </c>
      <c r="X76" s="45">
        <f t="shared" si="9"/>
        <v>0</v>
      </c>
      <c r="Y76" s="45">
        <f t="shared" si="10"/>
        <v>0</v>
      </c>
      <c r="Z76" s="11">
        <f t="shared" si="11"/>
        <v>0</v>
      </c>
      <c r="AA76" s="11"/>
      <c r="AB76" s="472"/>
      <c r="AC76" s="3">
        <v>16</v>
      </c>
      <c r="AD76" s="45">
        <f t="shared" si="29"/>
        <v>0</v>
      </c>
      <c r="AE76" s="45">
        <f t="shared" si="20"/>
        <v>0</v>
      </c>
      <c r="AF76" s="11">
        <f t="shared" si="30"/>
        <v>0</v>
      </c>
      <c r="AG76" s="45">
        <f t="shared" si="12"/>
        <v>0</v>
      </c>
      <c r="AH76" s="45">
        <f t="shared" si="13"/>
        <v>0</v>
      </c>
      <c r="AI76" s="11">
        <f t="shared" si="14"/>
        <v>0</v>
      </c>
      <c r="AJ76" s="11"/>
      <c r="AK76" s="472"/>
      <c r="AL76" s="3">
        <v>16</v>
      </c>
      <c r="AM76" s="11">
        <f t="shared" si="15"/>
        <v>0</v>
      </c>
      <c r="AN76" s="46">
        <f t="shared" si="21"/>
        <v>0</v>
      </c>
      <c r="AO76" s="47">
        <f t="shared" si="16"/>
        <v>0</v>
      </c>
      <c r="AP76" s="47"/>
      <c r="AQ76" s="472"/>
      <c r="AR76" s="109">
        <v>16</v>
      </c>
      <c r="AS76" s="111">
        <f t="shared" si="31"/>
        <v>0</v>
      </c>
    </row>
    <row r="77" spans="1:45" x14ac:dyDescent="0.2">
      <c r="A77" s="472"/>
      <c r="B77" s="3">
        <v>17</v>
      </c>
      <c r="C77" s="45">
        <f t="shared" si="22"/>
        <v>0</v>
      </c>
      <c r="D77" s="45">
        <f t="shared" si="17"/>
        <v>0</v>
      </c>
      <c r="E77" s="11">
        <f t="shared" si="23"/>
        <v>0</v>
      </c>
      <c r="F77" s="45">
        <f t="shared" si="24"/>
        <v>0</v>
      </c>
      <c r="G77" s="11">
        <f t="shared" si="4"/>
        <v>0</v>
      </c>
      <c r="H77" s="11">
        <f t="shared" si="5"/>
        <v>0</v>
      </c>
      <c r="I77" s="11"/>
      <c r="J77" s="472"/>
      <c r="K77" s="3">
        <v>17</v>
      </c>
      <c r="L77" s="45">
        <f t="shared" si="25"/>
        <v>0</v>
      </c>
      <c r="M77" s="45">
        <f t="shared" si="18"/>
        <v>0</v>
      </c>
      <c r="N77" s="11">
        <f t="shared" si="26"/>
        <v>0</v>
      </c>
      <c r="O77" s="45">
        <f t="shared" si="6"/>
        <v>0</v>
      </c>
      <c r="P77" s="45">
        <f t="shared" si="7"/>
        <v>0</v>
      </c>
      <c r="Q77" s="11">
        <f t="shared" si="8"/>
        <v>0</v>
      </c>
      <c r="R77" s="11"/>
      <c r="S77" s="472"/>
      <c r="T77" s="3">
        <v>17</v>
      </c>
      <c r="U77" s="45">
        <f t="shared" si="27"/>
        <v>0</v>
      </c>
      <c r="V77" s="45">
        <f t="shared" si="19"/>
        <v>0</v>
      </c>
      <c r="W77" s="11">
        <f t="shared" si="28"/>
        <v>0</v>
      </c>
      <c r="X77" s="45">
        <f t="shared" si="9"/>
        <v>0</v>
      </c>
      <c r="Y77" s="45">
        <f t="shared" si="10"/>
        <v>0</v>
      </c>
      <c r="Z77" s="11">
        <f t="shared" si="11"/>
        <v>0</v>
      </c>
      <c r="AA77" s="11"/>
      <c r="AB77" s="472"/>
      <c r="AC77" s="3">
        <v>17</v>
      </c>
      <c r="AD77" s="45">
        <f t="shared" si="29"/>
        <v>0</v>
      </c>
      <c r="AE77" s="45">
        <f t="shared" si="20"/>
        <v>0</v>
      </c>
      <c r="AF77" s="11">
        <f t="shared" si="30"/>
        <v>0</v>
      </c>
      <c r="AG77" s="45">
        <f t="shared" si="12"/>
        <v>0</v>
      </c>
      <c r="AH77" s="45">
        <f t="shared" si="13"/>
        <v>0</v>
      </c>
      <c r="AI77" s="11">
        <f t="shared" si="14"/>
        <v>0</v>
      </c>
      <c r="AJ77" s="11"/>
      <c r="AK77" s="472"/>
      <c r="AL77" s="3">
        <v>17</v>
      </c>
      <c r="AM77" s="11">
        <f t="shared" si="15"/>
        <v>0</v>
      </c>
      <c r="AN77" s="46">
        <f t="shared" si="21"/>
        <v>0</v>
      </c>
      <c r="AO77" s="47">
        <f t="shared" si="16"/>
        <v>0</v>
      </c>
      <c r="AP77" s="47"/>
      <c r="AQ77" s="472"/>
      <c r="AR77" s="108">
        <v>17</v>
      </c>
      <c r="AS77" s="111">
        <f t="shared" si="31"/>
        <v>0</v>
      </c>
    </row>
    <row r="78" spans="1:45" x14ac:dyDescent="0.2">
      <c r="A78" s="472"/>
      <c r="B78" s="3">
        <v>18</v>
      </c>
      <c r="C78" s="45">
        <f t="shared" si="22"/>
        <v>0</v>
      </c>
      <c r="D78" s="45">
        <f t="shared" si="17"/>
        <v>0</v>
      </c>
      <c r="E78" s="11">
        <f t="shared" si="23"/>
        <v>0</v>
      </c>
      <c r="F78" s="45">
        <f t="shared" si="24"/>
        <v>0</v>
      </c>
      <c r="G78" s="11">
        <f t="shared" si="4"/>
        <v>0</v>
      </c>
      <c r="H78" s="11">
        <f t="shared" si="5"/>
        <v>0</v>
      </c>
      <c r="I78" s="11"/>
      <c r="J78" s="472"/>
      <c r="K78" s="3">
        <v>18</v>
      </c>
      <c r="L78" s="45">
        <f t="shared" si="25"/>
        <v>0</v>
      </c>
      <c r="M78" s="45">
        <f t="shared" si="18"/>
        <v>0</v>
      </c>
      <c r="N78" s="11">
        <f t="shared" si="26"/>
        <v>0</v>
      </c>
      <c r="O78" s="45">
        <f t="shared" si="6"/>
        <v>0</v>
      </c>
      <c r="P78" s="45">
        <f t="shared" si="7"/>
        <v>0</v>
      </c>
      <c r="Q78" s="11">
        <f t="shared" si="8"/>
        <v>0</v>
      </c>
      <c r="R78" s="11"/>
      <c r="S78" s="472"/>
      <c r="T78" s="3">
        <v>18</v>
      </c>
      <c r="U78" s="45">
        <f t="shared" si="27"/>
        <v>0</v>
      </c>
      <c r="V78" s="45">
        <f t="shared" si="19"/>
        <v>0</v>
      </c>
      <c r="W78" s="11">
        <f t="shared" si="28"/>
        <v>0</v>
      </c>
      <c r="X78" s="45">
        <f t="shared" si="9"/>
        <v>0</v>
      </c>
      <c r="Y78" s="45">
        <f t="shared" si="10"/>
        <v>0</v>
      </c>
      <c r="Z78" s="11">
        <f t="shared" si="11"/>
        <v>0</v>
      </c>
      <c r="AA78" s="11"/>
      <c r="AB78" s="472"/>
      <c r="AC78" s="3">
        <v>18</v>
      </c>
      <c r="AD78" s="45">
        <f t="shared" si="29"/>
        <v>0</v>
      </c>
      <c r="AE78" s="45">
        <f t="shared" si="20"/>
        <v>0</v>
      </c>
      <c r="AF78" s="11">
        <f t="shared" si="30"/>
        <v>0</v>
      </c>
      <c r="AG78" s="45">
        <f t="shared" si="12"/>
        <v>0</v>
      </c>
      <c r="AH78" s="45">
        <f t="shared" si="13"/>
        <v>0</v>
      </c>
      <c r="AI78" s="11">
        <f t="shared" si="14"/>
        <v>0</v>
      </c>
      <c r="AJ78" s="11"/>
      <c r="AK78" s="472"/>
      <c r="AL78" s="3">
        <v>18</v>
      </c>
      <c r="AM78" s="11">
        <f t="shared" si="15"/>
        <v>0</v>
      </c>
      <c r="AN78" s="46">
        <f t="shared" si="21"/>
        <v>0</v>
      </c>
      <c r="AO78" s="47">
        <f t="shared" si="16"/>
        <v>0</v>
      </c>
      <c r="AP78" s="47"/>
      <c r="AQ78" s="472"/>
      <c r="AR78" s="109">
        <v>18</v>
      </c>
      <c r="AS78" s="111">
        <f t="shared" si="31"/>
        <v>0</v>
      </c>
    </row>
    <row r="79" spans="1:45" x14ac:dyDescent="0.2">
      <c r="A79" s="472"/>
      <c r="B79" s="3">
        <v>19</v>
      </c>
      <c r="C79" s="45">
        <f t="shared" si="22"/>
        <v>0</v>
      </c>
      <c r="D79" s="45">
        <f t="shared" si="17"/>
        <v>0</v>
      </c>
      <c r="E79" s="11">
        <f t="shared" si="23"/>
        <v>0</v>
      </c>
      <c r="F79" s="45">
        <f t="shared" si="24"/>
        <v>0</v>
      </c>
      <c r="G79" s="11">
        <f t="shared" si="4"/>
        <v>0</v>
      </c>
      <c r="H79" s="11">
        <f t="shared" si="5"/>
        <v>0</v>
      </c>
      <c r="I79" s="11"/>
      <c r="J79" s="472"/>
      <c r="K79" s="3">
        <v>19</v>
      </c>
      <c r="L79" s="45">
        <f t="shared" si="25"/>
        <v>0</v>
      </c>
      <c r="M79" s="45">
        <f t="shared" si="18"/>
        <v>0</v>
      </c>
      <c r="N79" s="11">
        <f t="shared" si="26"/>
        <v>0</v>
      </c>
      <c r="O79" s="45">
        <f t="shared" si="6"/>
        <v>0</v>
      </c>
      <c r="P79" s="45">
        <f t="shared" si="7"/>
        <v>0</v>
      </c>
      <c r="Q79" s="11">
        <f t="shared" si="8"/>
        <v>0</v>
      </c>
      <c r="R79" s="11"/>
      <c r="S79" s="472"/>
      <c r="T79" s="3">
        <v>19</v>
      </c>
      <c r="U79" s="45">
        <f t="shared" si="27"/>
        <v>0</v>
      </c>
      <c r="V79" s="45">
        <f t="shared" si="19"/>
        <v>0</v>
      </c>
      <c r="W79" s="11">
        <f t="shared" si="28"/>
        <v>0</v>
      </c>
      <c r="X79" s="45">
        <f t="shared" si="9"/>
        <v>0</v>
      </c>
      <c r="Y79" s="45">
        <f t="shared" si="10"/>
        <v>0</v>
      </c>
      <c r="Z79" s="11">
        <f t="shared" si="11"/>
        <v>0</v>
      </c>
      <c r="AA79" s="11"/>
      <c r="AB79" s="472"/>
      <c r="AC79" s="3">
        <v>19</v>
      </c>
      <c r="AD79" s="45">
        <f t="shared" si="29"/>
        <v>0</v>
      </c>
      <c r="AE79" s="45">
        <f t="shared" si="20"/>
        <v>0</v>
      </c>
      <c r="AF79" s="11">
        <f t="shared" si="30"/>
        <v>0</v>
      </c>
      <c r="AG79" s="45">
        <f t="shared" si="12"/>
        <v>0</v>
      </c>
      <c r="AH79" s="45">
        <f t="shared" si="13"/>
        <v>0</v>
      </c>
      <c r="AI79" s="11">
        <f t="shared" si="14"/>
        <v>0</v>
      </c>
      <c r="AJ79" s="11"/>
      <c r="AK79" s="472"/>
      <c r="AL79" s="3">
        <v>19</v>
      </c>
      <c r="AM79" s="11">
        <f t="shared" si="15"/>
        <v>0</v>
      </c>
      <c r="AN79" s="46">
        <f t="shared" si="21"/>
        <v>0</v>
      </c>
      <c r="AO79" s="47">
        <f t="shared" si="16"/>
        <v>0</v>
      </c>
      <c r="AP79" s="47"/>
      <c r="AQ79" s="472"/>
      <c r="AR79" s="108">
        <v>19</v>
      </c>
      <c r="AS79" s="111">
        <f t="shared" si="31"/>
        <v>0</v>
      </c>
    </row>
    <row r="80" spans="1:45" x14ac:dyDescent="0.2">
      <c r="A80" s="472"/>
      <c r="B80" s="3">
        <v>20</v>
      </c>
      <c r="C80" s="45">
        <f t="shared" si="22"/>
        <v>0</v>
      </c>
      <c r="D80" s="45">
        <f t="shared" si="17"/>
        <v>0</v>
      </c>
      <c r="E80" s="11">
        <f t="shared" si="23"/>
        <v>0</v>
      </c>
      <c r="F80" s="45">
        <f t="shared" si="24"/>
        <v>0</v>
      </c>
      <c r="G80" s="11">
        <f t="shared" si="4"/>
        <v>0</v>
      </c>
      <c r="H80" s="11">
        <f t="shared" si="5"/>
        <v>0</v>
      </c>
      <c r="I80" s="11"/>
      <c r="J80" s="472"/>
      <c r="K80" s="3">
        <v>20</v>
      </c>
      <c r="L80" s="45">
        <f t="shared" si="25"/>
        <v>0</v>
      </c>
      <c r="M80" s="45">
        <f t="shared" si="18"/>
        <v>0</v>
      </c>
      <c r="N80" s="11">
        <f t="shared" si="26"/>
        <v>0</v>
      </c>
      <c r="O80" s="45">
        <f t="shared" si="6"/>
        <v>0</v>
      </c>
      <c r="P80" s="45">
        <f t="shared" si="7"/>
        <v>0</v>
      </c>
      <c r="Q80" s="11">
        <f t="shared" si="8"/>
        <v>0</v>
      </c>
      <c r="R80" s="11"/>
      <c r="S80" s="472"/>
      <c r="T80" s="3">
        <v>20</v>
      </c>
      <c r="U80" s="45">
        <f t="shared" si="27"/>
        <v>0</v>
      </c>
      <c r="V80" s="45">
        <f t="shared" si="19"/>
        <v>0</v>
      </c>
      <c r="W80" s="11">
        <f t="shared" si="28"/>
        <v>0</v>
      </c>
      <c r="X80" s="45">
        <f t="shared" si="9"/>
        <v>0</v>
      </c>
      <c r="Y80" s="45">
        <f t="shared" si="10"/>
        <v>0</v>
      </c>
      <c r="Z80" s="11">
        <f t="shared" si="11"/>
        <v>0</v>
      </c>
      <c r="AA80" s="11"/>
      <c r="AB80" s="472"/>
      <c r="AC80" s="3">
        <v>20</v>
      </c>
      <c r="AD80" s="45">
        <f t="shared" si="29"/>
        <v>0</v>
      </c>
      <c r="AE80" s="45">
        <f t="shared" si="20"/>
        <v>0</v>
      </c>
      <c r="AF80" s="11">
        <f t="shared" si="30"/>
        <v>0</v>
      </c>
      <c r="AG80" s="45">
        <f t="shared" si="12"/>
        <v>0</v>
      </c>
      <c r="AH80" s="45">
        <f t="shared" si="13"/>
        <v>0</v>
      </c>
      <c r="AI80" s="11">
        <f t="shared" si="14"/>
        <v>0</v>
      </c>
      <c r="AJ80" s="11"/>
      <c r="AK80" s="472"/>
      <c r="AL80" s="3">
        <v>20</v>
      </c>
      <c r="AM80" s="11">
        <f t="shared" si="15"/>
        <v>0</v>
      </c>
      <c r="AN80" s="46">
        <f t="shared" si="21"/>
        <v>0</v>
      </c>
      <c r="AO80" s="47">
        <f t="shared" si="16"/>
        <v>0</v>
      </c>
      <c r="AP80" s="47"/>
      <c r="AQ80" s="472"/>
      <c r="AR80" s="109">
        <v>20</v>
      </c>
      <c r="AS80" s="111">
        <f t="shared" si="31"/>
        <v>0</v>
      </c>
    </row>
    <row r="82" spans="1:52" x14ac:dyDescent="0.2">
      <c r="A82" s="134" t="s">
        <v>627</v>
      </c>
      <c r="B82" s="134"/>
      <c r="C82" s="134"/>
      <c r="D82" s="134"/>
      <c r="E82" s="134"/>
      <c r="F82" s="134"/>
      <c r="G82" s="134"/>
      <c r="H82" s="134"/>
      <c r="I82" s="134"/>
      <c r="J82" s="134"/>
      <c r="K82" s="134"/>
      <c r="L82" s="134"/>
      <c r="M82" s="133"/>
      <c r="N82" s="133"/>
      <c r="O82" s="133"/>
      <c r="P82" s="133"/>
      <c r="Q82" s="133"/>
      <c r="R82" s="133"/>
      <c r="S82" s="133"/>
      <c r="T82" s="133"/>
      <c r="U82" s="133"/>
      <c r="V82" s="133"/>
      <c r="W82" s="133"/>
      <c r="X82" s="133"/>
      <c r="Y82" s="133"/>
      <c r="Z82" s="133"/>
      <c r="AA82" s="133"/>
      <c r="AB82" s="133"/>
      <c r="AC82" s="133"/>
      <c r="AD82" s="133"/>
      <c r="AE82" s="133"/>
      <c r="AF82" s="133"/>
      <c r="AG82" s="133"/>
      <c r="AH82" s="133"/>
      <c r="AI82" s="133"/>
      <c r="AJ82" s="133"/>
      <c r="AK82" s="133"/>
      <c r="AL82" s="133"/>
      <c r="AM82" s="133"/>
      <c r="AN82" s="133"/>
      <c r="AO82" s="133"/>
      <c r="AP82" s="133"/>
      <c r="AQ82" s="133"/>
      <c r="AR82" s="133"/>
      <c r="AS82" s="133"/>
      <c r="AT82" s="133"/>
      <c r="AU82" s="133"/>
      <c r="AV82" s="133"/>
      <c r="AW82" s="133"/>
      <c r="AX82" s="133"/>
      <c r="AY82" s="133"/>
      <c r="AZ82" s="133"/>
    </row>
    <row r="84" spans="1:52" customFormat="1" x14ac:dyDescent="0.2">
      <c r="A84" s="472" t="s">
        <v>182</v>
      </c>
      <c r="B84" s="4" t="s">
        <v>94</v>
      </c>
      <c r="C84" s="4">
        <v>1</v>
      </c>
      <c r="D84" s="4">
        <v>2</v>
      </c>
      <c r="E84" s="4">
        <v>3</v>
      </c>
      <c r="F84" s="4">
        <v>4</v>
      </c>
      <c r="G84" s="4">
        <v>5</v>
      </c>
      <c r="H84" s="4">
        <v>6</v>
      </c>
      <c r="I84" s="4">
        <v>7</v>
      </c>
      <c r="J84" s="4">
        <v>8</v>
      </c>
      <c r="K84" s="4">
        <v>9</v>
      </c>
      <c r="L84" s="4">
        <v>10</v>
      </c>
      <c r="M84" s="4">
        <v>11</v>
      </c>
      <c r="N84" s="4">
        <v>12</v>
      </c>
      <c r="O84" s="4">
        <v>13</v>
      </c>
      <c r="P84" s="4">
        <v>14</v>
      </c>
      <c r="Q84" s="4">
        <v>15</v>
      </c>
      <c r="R84" s="4">
        <v>16</v>
      </c>
      <c r="S84" s="4">
        <v>17</v>
      </c>
      <c r="T84" s="4">
        <v>18</v>
      </c>
      <c r="U84" s="4">
        <v>19</v>
      </c>
      <c r="V84" s="4">
        <v>20</v>
      </c>
      <c r="W84" s="4"/>
      <c r="X84" s="4"/>
      <c r="Y84" s="4"/>
      <c r="Z84" s="4"/>
      <c r="AA84" s="4"/>
      <c r="AB84" s="4"/>
      <c r="AC84" s="4"/>
      <c r="AD84" s="4"/>
      <c r="AE84" s="4"/>
      <c r="AF84" s="4"/>
    </row>
    <row r="85" spans="1:52" customFormat="1" x14ac:dyDescent="0.2">
      <c r="A85" s="472"/>
      <c r="B85" s="3" t="s">
        <v>629</v>
      </c>
      <c r="C85" s="50">
        <f>IF(C84=1,$C$6,B88)</f>
        <v>0</v>
      </c>
      <c r="D85" s="50">
        <f>IF(D84=1,$C$6,C88)</f>
        <v>0</v>
      </c>
      <c r="E85" s="50">
        <f t="shared" ref="E85:V85" si="32">IF(E84=1,$C$6,D88)</f>
        <v>0</v>
      </c>
      <c r="F85" s="50">
        <f t="shared" si="32"/>
        <v>0</v>
      </c>
      <c r="G85" s="50">
        <f t="shared" si="32"/>
        <v>0</v>
      </c>
      <c r="H85" s="50">
        <f t="shared" si="32"/>
        <v>0</v>
      </c>
      <c r="I85" s="50">
        <f t="shared" si="32"/>
        <v>0</v>
      </c>
      <c r="J85" s="50">
        <f t="shared" si="32"/>
        <v>0</v>
      </c>
      <c r="K85" s="50">
        <f t="shared" si="32"/>
        <v>0</v>
      </c>
      <c r="L85" s="50">
        <f t="shared" si="32"/>
        <v>0</v>
      </c>
      <c r="M85" s="50">
        <f t="shared" si="32"/>
        <v>0</v>
      </c>
      <c r="N85" s="50">
        <f t="shared" si="32"/>
        <v>0</v>
      </c>
      <c r="O85" s="50">
        <f t="shared" si="32"/>
        <v>0</v>
      </c>
      <c r="P85" s="50">
        <f t="shared" si="32"/>
        <v>0</v>
      </c>
      <c r="Q85" s="50">
        <f t="shared" si="32"/>
        <v>0</v>
      </c>
      <c r="R85" s="50">
        <f t="shared" si="32"/>
        <v>0</v>
      </c>
      <c r="S85" s="50">
        <f t="shared" si="32"/>
        <v>0</v>
      </c>
      <c r="T85" s="50">
        <f t="shared" si="32"/>
        <v>0</v>
      </c>
      <c r="U85" s="50">
        <f t="shared" si="32"/>
        <v>0</v>
      </c>
      <c r="V85" s="50">
        <f t="shared" si="32"/>
        <v>0</v>
      </c>
      <c r="W85" s="50"/>
      <c r="X85" s="50"/>
      <c r="Y85" s="50"/>
      <c r="Z85" s="50"/>
      <c r="AA85" s="50"/>
      <c r="AB85" s="50"/>
      <c r="AC85" s="50"/>
      <c r="AD85" s="50"/>
      <c r="AE85" s="50"/>
      <c r="AF85" s="50"/>
    </row>
    <row r="86" spans="1:52" customFormat="1" x14ac:dyDescent="0.2">
      <c r="A86" s="472"/>
      <c r="B86" s="3" t="s">
        <v>630</v>
      </c>
      <c r="C86" s="50">
        <f>IF(SUM($M$4:$M$7)=0,0,IF(ROUND(C85,2)&lt;=0,0,IF(OR($C$4="RASE",$C$4="REG"),INDEX($H$19:$I$38,MATCH(C$84,$H$19:$H$38,0),2)*$D$13,VLOOKUP(C84,$AL$61:$AO$80,4,FALSE)*C85)))</f>
        <v>0</v>
      </c>
      <c r="D86" s="50">
        <f t="shared" ref="D86:V86" si="33">IF(SUM($M$4:$M$7)=0,0,IF(ROUND(D85,2)&lt;=0,0,IF(OR($C$4="RASE",$C$4="REG"),INDEX($H$19:$I$38,MATCH(D$84,$H$19:$H$38,0),2)*$D$13,VLOOKUP(D84,$AL$61:$AO$80,4,FALSE)*D85)))</f>
        <v>0</v>
      </c>
      <c r="E86" s="50">
        <f t="shared" si="33"/>
        <v>0</v>
      </c>
      <c r="F86" s="50">
        <f t="shared" si="33"/>
        <v>0</v>
      </c>
      <c r="G86" s="50">
        <f t="shared" si="33"/>
        <v>0</v>
      </c>
      <c r="H86" s="50">
        <f t="shared" si="33"/>
        <v>0</v>
      </c>
      <c r="I86" s="50">
        <f t="shared" si="33"/>
        <v>0</v>
      </c>
      <c r="J86" s="50">
        <f t="shared" si="33"/>
        <v>0</v>
      </c>
      <c r="K86" s="50">
        <f t="shared" si="33"/>
        <v>0</v>
      </c>
      <c r="L86" s="50">
        <f t="shared" si="33"/>
        <v>0</v>
      </c>
      <c r="M86" s="50">
        <f t="shared" si="33"/>
        <v>0</v>
      </c>
      <c r="N86" s="50">
        <f t="shared" si="33"/>
        <v>0</v>
      </c>
      <c r="O86" s="50">
        <f t="shared" si="33"/>
        <v>0</v>
      </c>
      <c r="P86" s="50">
        <f t="shared" si="33"/>
        <v>0</v>
      </c>
      <c r="Q86" s="50">
        <f t="shared" si="33"/>
        <v>0</v>
      </c>
      <c r="R86" s="50">
        <f t="shared" si="33"/>
        <v>0</v>
      </c>
      <c r="S86" s="50">
        <f t="shared" si="33"/>
        <v>0</v>
      </c>
      <c r="T86" s="50">
        <f t="shared" si="33"/>
        <v>0</v>
      </c>
      <c r="U86" s="50">
        <f t="shared" si="33"/>
        <v>0</v>
      </c>
      <c r="V86" s="50">
        <f t="shared" si="33"/>
        <v>0</v>
      </c>
      <c r="W86" s="50"/>
      <c r="X86" s="50"/>
      <c r="Y86" s="50"/>
      <c r="Z86" s="50"/>
      <c r="AA86" s="50"/>
      <c r="AB86" s="50"/>
      <c r="AC86" s="50"/>
      <c r="AD86" s="50"/>
      <c r="AE86" s="50"/>
      <c r="AF86" s="50"/>
      <c r="AG86" s="50"/>
      <c r="AH86" s="50"/>
      <c r="AI86" s="50"/>
      <c r="AJ86" s="50"/>
      <c r="AK86" s="50"/>
      <c r="AL86" s="50"/>
      <c r="AM86" s="50"/>
      <c r="AN86" s="50"/>
      <c r="AO86" s="50"/>
      <c r="AP86" s="50"/>
      <c r="AQ86" s="50"/>
      <c r="AR86" s="50"/>
      <c r="AS86" s="50"/>
    </row>
    <row r="87" spans="1:52" customFormat="1" x14ac:dyDescent="0.2">
      <c r="A87" s="472"/>
      <c r="B87" s="3" t="s">
        <v>631</v>
      </c>
      <c r="C87" s="50">
        <f>IF(C84=1,C86,C86+B87)</f>
        <v>0</v>
      </c>
      <c r="D87" s="50">
        <f>IF(D84=1,D86,D86+C87)</f>
        <v>0</v>
      </c>
      <c r="E87" s="50">
        <f t="shared" ref="E87:V87" si="34">IF(E84=1,E86,E86+D87)</f>
        <v>0</v>
      </c>
      <c r="F87" s="50">
        <f t="shared" si="34"/>
        <v>0</v>
      </c>
      <c r="G87" s="50">
        <f t="shared" si="34"/>
        <v>0</v>
      </c>
      <c r="H87" s="50">
        <f t="shared" si="34"/>
        <v>0</v>
      </c>
      <c r="I87" s="50">
        <f t="shared" si="34"/>
        <v>0</v>
      </c>
      <c r="J87" s="50">
        <f t="shared" si="34"/>
        <v>0</v>
      </c>
      <c r="K87" s="50">
        <f t="shared" si="34"/>
        <v>0</v>
      </c>
      <c r="L87" s="50">
        <f t="shared" si="34"/>
        <v>0</v>
      </c>
      <c r="M87" s="50">
        <f t="shared" si="34"/>
        <v>0</v>
      </c>
      <c r="N87" s="50">
        <f t="shared" si="34"/>
        <v>0</v>
      </c>
      <c r="O87" s="50">
        <f t="shared" si="34"/>
        <v>0</v>
      </c>
      <c r="P87" s="50">
        <f t="shared" si="34"/>
        <v>0</v>
      </c>
      <c r="Q87" s="50">
        <f t="shared" si="34"/>
        <v>0</v>
      </c>
      <c r="R87" s="50">
        <f t="shared" si="34"/>
        <v>0</v>
      </c>
      <c r="S87" s="50">
        <f t="shared" si="34"/>
        <v>0</v>
      </c>
      <c r="T87" s="50">
        <f t="shared" si="34"/>
        <v>0</v>
      </c>
      <c r="U87" s="50">
        <f t="shared" si="34"/>
        <v>0</v>
      </c>
      <c r="V87" s="50">
        <f t="shared" si="34"/>
        <v>0</v>
      </c>
      <c r="W87" s="50"/>
      <c r="X87" s="50"/>
      <c r="Y87" s="50"/>
      <c r="Z87" s="50"/>
      <c r="AA87" s="50"/>
      <c r="AB87" s="50"/>
      <c r="AC87" s="50"/>
      <c r="AD87" s="50"/>
      <c r="AE87" s="50"/>
      <c r="AF87" s="50"/>
      <c r="AG87" s="50"/>
      <c r="AH87" s="50"/>
      <c r="AI87" s="50"/>
      <c r="AJ87" s="50"/>
      <c r="AK87" s="50"/>
      <c r="AL87" s="50"/>
      <c r="AM87" s="50"/>
      <c r="AN87" s="50"/>
      <c r="AO87" s="50"/>
      <c r="AP87" s="50"/>
      <c r="AQ87" s="50"/>
      <c r="AR87" s="50"/>
      <c r="AS87" s="50"/>
    </row>
    <row r="88" spans="1:52" s="4" customFormat="1" ht="17" x14ac:dyDescent="0.2">
      <c r="A88" s="472"/>
      <c r="B88" s="38" t="s">
        <v>632</v>
      </c>
      <c r="C88" s="50">
        <f>C85-C86</f>
        <v>0</v>
      </c>
      <c r="D88" s="50">
        <f t="shared" ref="D88:V88" si="35">D85-D86</f>
        <v>0</v>
      </c>
      <c r="E88" s="50">
        <f t="shared" si="35"/>
        <v>0</v>
      </c>
      <c r="F88" s="50">
        <f t="shared" si="35"/>
        <v>0</v>
      </c>
      <c r="G88" s="50">
        <f t="shared" si="35"/>
        <v>0</v>
      </c>
      <c r="H88" s="50">
        <f t="shared" si="35"/>
        <v>0</v>
      </c>
      <c r="I88" s="50">
        <f t="shared" si="35"/>
        <v>0</v>
      </c>
      <c r="J88" s="50">
        <f t="shared" si="35"/>
        <v>0</v>
      </c>
      <c r="K88" s="50">
        <f t="shared" si="35"/>
        <v>0</v>
      </c>
      <c r="L88" s="50">
        <f t="shared" si="35"/>
        <v>0</v>
      </c>
      <c r="M88" s="50">
        <f t="shared" si="35"/>
        <v>0</v>
      </c>
      <c r="N88" s="50">
        <f t="shared" si="35"/>
        <v>0</v>
      </c>
      <c r="O88" s="50">
        <f t="shared" si="35"/>
        <v>0</v>
      </c>
      <c r="P88" s="50">
        <f t="shared" si="35"/>
        <v>0</v>
      </c>
      <c r="Q88" s="50">
        <f t="shared" si="35"/>
        <v>0</v>
      </c>
      <c r="R88" s="50">
        <f t="shared" si="35"/>
        <v>0</v>
      </c>
      <c r="S88" s="50">
        <f t="shared" si="35"/>
        <v>0</v>
      </c>
      <c r="T88" s="50">
        <f t="shared" si="35"/>
        <v>0</v>
      </c>
      <c r="U88" s="50">
        <f t="shared" si="35"/>
        <v>0</v>
      </c>
      <c r="V88" s="50">
        <f t="shared" si="35"/>
        <v>0</v>
      </c>
      <c r="W88" s="50"/>
      <c r="X88" s="50"/>
      <c r="Y88" s="50"/>
      <c r="Z88" s="50"/>
      <c r="AA88" s="50"/>
      <c r="AB88" s="50"/>
      <c r="AC88" s="50"/>
      <c r="AD88" s="50"/>
      <c r="AE88" s="50"/>
      <c r="AF88" s="50"/>
    </row>
    <row r="89" spans="1:52" s="55" customFormat="1" x14ac:dyDescent="0.2">
      <c r="A89" s="472"/>
      <c r="B89" s="53" t="s">
        <v>189</v>
      </c>
      <c r="C89" s="54">
        <f>SUM(C88,C87)</f>
        <v>0</v>
      </c>
      <c r="D89" s="54">
        <f t="shared" ref="D89:V89" si="36">SUM(D88,D87)</f>
        <v>0</v>
      </c>
      <c r="E89" s="54">
        <f t="shared" si="36"/>
        <v>0</v>
      </c>
      <c r="F89" s="54">
        <f t="shared" si="36"/>
        <v>0</v>
      </c>
      <c r="G89" s="54">
        <f t="shared" si="36"/>
        <v>0</v>
      </c>
      <c r="H89" s="54">
        <f t="shared" si="36"/>
        <v>0</v>
      </c>
      <c r="I89" s="54">
        <f t="shared" si="36"/>
        <v>0</v>
      </c>
      <c r="J89" s="54">
        <f t="shared" si="36"/>
        <v>0</v>
      </c>
      <c r="K89" s="54">
        <f t="shared" si="36"/>
        <v>0</v>
      </c>
      <c r="L89" s="54">
        <f t="shared" si="36"/>
        <v>0</v>
      </c>
      <c r="M89" s="54">
        <f t="shared" si="36"/>
        <v>0</v>
      </c>
      <c r="N89" s="54">
        <f t="shared" si="36"/>
        <v>0</v>
      </c>
      <c r="O89" s="54">
        <f t="shared" si="36"/>
        <v>0</v>
      </c>
      <c r="P89" s="54">
        <f t="shared" si="36"/>
        <v>0</v>
      </c>
      <c r="Q89" s="54">
        <f t="shared" si="36"/>
        <v>0</v>
      </c>
      <c r="R89" s="54">
        <f t="shared" si="36"/>
        <v>0</v>
      </c>
      <c r="S89" s="54">
        <f t="shared" si="36"/>
        <v>0</v>
      </c>
      <c r="T89" s="54">
        <f t="shared" si="36"/>
        <v>0</v>
      </c>
      <c r="U89" s="54">
        <f t="shared" si="36"/>
        <v>0</v>
      </c>
      <c r="V89" s="54">
        <f t="shared" si="36"/>
        <v>0</v>
      </c>
      <c r="W89" s="54"/>
      <c r="X89" s="54"/>
      <c r="Y89" s="54"/>
      <c r="Z89" s="54"/>
      <c r="AA89" s="54"/>
      <c r="AB89" s="54"/>
      <c r="AC89" s="54"/>
      <c r="AD89" s="54"/>
      <c r="AE89" s="54"/>
      <c r="AF89" s="54"/>
    </row>
    <row r="91" spans="1:52" ht="16" customHeight="1" x14ac:dyDescent="0.2">
      <c r="A91" s="472" t="str">
        <f>CONCATENATE("SQ_REF_",C1,"_JP_",B11)</f>
        <v>SQ_REF_C_JP_</v>
      </c>
      <c r="B91" s="3" t="s">
        <v>94</v>
      </c>
      <c r="C91" s="3" t="s">
        <v>95</v>
      </c>
      <c r="D91" s="3" t="s">
        <v>96</v>
      </c>
      <c r="E91" s="3" t="s">
        <v>97</v>
      </c>
      <c r="F91" s="3" t="s">
        <v>98</v>
      </c>
      <c r="G91" s="3" t="s">
        <v>99</v>
      </c>
      <c r="H91" s="3" t="s">
        <v>100</v>
      </c>
      <c r="I91" s="3" t="s">
        <v>101</v>
      </c>
      <c r="J91" s="3" t="s">
        <v>102</v>
      </c>
      <c r="K91" s="3" t="s">
        <v>103</v>
      </c>
      <c r="L91" s="3" t="s">
        <v>104</v>
      </c>
      <c r="M91" s="3" t="s">
        <v>105</v>
      </c>
      <c r="N91" s="3" t="s">
        <v>106</v>
      </c>
      <c r="O91" s="3" t="s">
        <v>107</v>
      </c>
      <c r="P91" s="3" t="s">
        <v>108</v>
      </c>
      <c r="Q91" s="3" t="s">
        <v>109</v>
      </c>
      <c r="R91" s="3" t="s">
        <v>110</v>
      </c>
      <c r="S91" s="3" t="s">
        <v>111</v>
      </c>
      <c r="T91" s="3" t="s">
        <v>112</v>
      </c>
      <c r="U91" s="3" t="s">
        <v>113</v>
      </c>
      <c r="V91" s="3" t="s">
        <v>114</v>
      </c>
      <c r="W91" s="3" t="s">
        <v>117</v>
      </c>
      <c r="X91" s="3" t="s">
        <v>116</v>
      </c>
      <c r="Y91" s="3" t="s">
        <v>115</v>
      </c>
      <c r="Z91" s="3" t="s">
        <v>229</v>
      </c>
      <c r="AB91" s="474" t="s">
        <v>118</v>
      </c>
      <c r="AC91" s="474"/>
      <c r="AD91" s="474"/>
      <c r="AE91" s="474"/>
    </row>
    <row r="92" spans="1:52" x14ac:dyDescent="0.2">
      <c r="A92" s="472"/>
      <c r="B92" s="3">
        <v>1</v>
      </c>
      <c r="C92" s="11">
        <f t="shared" ref="C92:R107" si="37">(C$86)*IF($B92&gt;=C$84,IF($B92=C$84,$E$19,VLOOKUP($B92-C$84,$B$19:$E$49,4,FALSE)),0)</f>
        <v>0</v>
      </c>
      <c r="D92" s="11">
        <f t="shared" si="37"/>
        <v>0</v>
      </c>
      <c r="E92" s="11">
        <f t="shared" si="37"/>
        <v>0</v>
      </c>
      <c r="F92" s="11">
        <f t="shared" si="37"/>
        <v>0</v>
      </c>
      <c r="G92" s="11">
        <f t="shared" si="37"/>
        <v>0</v>
      </c>
      <c r="H92" s="11">
        <f t="shared" si="37"/>
        <v>0</v>
      </c>
      <c r="I92" s="11">
        <f t="shared" si="37"/>
        <v>0</v>
      </c>
      <c r="J92" s="11">
        <f t="shared" si="37"/>
        <v>0</v>
      </c>
      <c r="K92" s="11">
        <f t="shared" si="37"/>
        <v>0</v>
      </c>
      <c r="L92" s="11">
        <f t="shared" si="37"/>
        <v>0</v>
      </c>
      <c r="M92" s="11">
        <f t="shared" si="37"/>
        <v>0</v>
      </c>
      <c r="N92" s="11">
        <f t="shared" si="37"/>
        <v>0</v>
      </c>
      <c r="O92" s="11">
        <f t="shared" si="37"/>
        <v>0</v>
      </c>
      <c r="P92" s="11">
        <f t="shared" si="37"/>
        <v>0</v>
      </c>
      <c r="Q92" s="11">
        <f t="shared" si="37"/>
        <v>0</v>
      </c>
      <c r="R92" s="11">
        <f t="shared" si="37"/>
        <v>0</v>
      </c>
      <c r="S92" s="11">
        <f t="shared" ref="S92:V111" si="38">(S$86)*IF($B92&gt;=S$84,IF($B92=S$84,$E$19,VLOOKUP($B92-S$84,$B$19:$E$49,4,FALSE)),0)</f>
        <v>0</v>
      </c>
      <c r="T92" s="11">
        <f t="shared" si="38"/>
        <v>0</v>
      </c>
      <c r="U92" s="11">
        <f t="shared" si="38"/>
        <v>0</v>
      </c>
      <c r="V92" s="11">
        <f t="shared" si="38"/>
        <v>0</v>
      </c>
      <c r="W92" s="11">
        <f>SUM(C92:V92)*D$11*C$11</f>
        <v>0</v>
      </c>
      <c r="X92" s="11">
        <f t="shared" ref="X92:X111" si="39">IF(W92&gt;0,EXP(-1.0587+0.8836*LN(W92)+0.284),0)</f>
        <v>0</v>
      </c>
      <c r="Y92" s="11">
        <f t="shared" ref="Y92:Y111" si="40">SUM(W92:X92)*0.475*44/12</f>
        <v>0</v>
      </c>
      <c r="Z92" s="11">
        <f>SUM(C92:V92)</f>
        <v>0</v>
      </c>
      <c r="AB92" s="474"/>
      <c r="AC92" s="474"/>
      <c r="AD92" s="474"/>
      <c r="AE92" s="474"/>
      <c r="AH92" s="11"/>
    </row>
    <row r="93" spans="1:52" x14ac:dyDescent="0.2">
      <c r="A93" s="472"/>
      <c r="B93" s="3">
        <v>2</v>
      </c>
      <c r="C93" s="11">
        <f t="shared" si="37"/>
        <v>0</v>
      </c>
      <c r="D93" s="11">
        <f t="shared" si="37"/>
        <v>0</v>
      </c>
      <c r="E93" s="11">
        <f t="shared" si="37"/>
        <v>0</v>
      </c>
      <c r="F93" s="11">
        <f t="shared" si="37"/>
        <v>0</v>
      </c>
      <c r="G93" s="11">
        <f t="shared" si="37"/>
        <v>0</v>
      </c>
      <c r="H93" s="11">
        <f t="shared" si="37"/>
        <v>0</v>
      </c>
      <c r="I93" s="11">
        <f t="shared" si="37"/>
        <v>0</v>
      </c>
      <c r="J93" s="11">
        <f t="shared" si="37"/>
        <v>0</v>
      </c>
      <c r="K93" s="11">
        <f t="shared" si="37"/>
        <v>0</v>
      </c>
      <c r="L93" s="11">
        <f t="shared" si="37"/>
        <v>0</v>
      </c>
      <c r="M93" s="11">
        <f t="shared" si="37"/>
        <v>0</v>
      </c>
      <c r="N93" s="11">
        <f t="shared" si="37"/>
        <v>0</v>
      </c>
      <c r="O93" s="11">
        <f t="shared" si="37"/>
        <v>0</v>
      </c>
      <c r="P93" s="11">
        <f t="shared" si="37"/>
        <v>0</v>
      </c>
      <c r="Q93" s="11">
        <f t="shared" si="37"/>
        <v>0</v>
      </c>
      <c r="R93" s="11">
        <f t="shared" si="37"/>
        <v>0</v>
      </c>
      <c r="S93" s="11">
        <f t="shared" si="38"/>
        <v>0</v>
      </c>
      <c r="T93" s="11">
        <f t="shared" si="38"/>
        <v>0</v>
      </c>
      <c r="U93" s="11">
        <f t="shared" si="38"/>
        <v>0</v>
      </c>
      <c r="V93" s="11">
        <f t="shared" si="38"/>
        <v>0</v>
      </c>
      <c r="W93" s="11">
        <f t="shared" ref="W93:W111" si="41">SUM(C93:V93)*D$11*C$11</f>
        <v>0</v>
      </c>
      <c r="X93" s="11">
        <f t="shared" si="39"/>
        <v>0</v>
      </c>
      <c r="Y93" s="11">
        <f t="shared" si="40"/>
        <v>0</v>
      </c>
      <c r="Z93" s="11">
        <f t="shared" ref="Z93:Z111" si="42">SUM(C93:V93)</f>
        <v>0</v>
      </c>
      <c r="AB93" s="474"/>
      <c r="AC93" s="474"/>
      <c r="AD93" s="474"/>
      <c r="AE93" s="474"/>
      <c r="AH93" s="11"/>
    </row>
    <row r="94" spans="1:52" x14ac:dyDescent="0.2">
      <c r="A94" s="472"/>
      <c r="B94" s="3">
        <v>3</v>
      </c>
      <c r="C94" s="11">
        <f t="shared" si="37"/>
        <v>0</v>
      </c>
      <c r="D94" s="11">
        <f t="shared" si="37"/>
        <v>0</v>
      </c>
      <c r="E94" s="11">
        <f t="shared" si="37"/>
        <v>0</v>
      </c>
      <c r="F94" s="11">
        <f t="shared" si="37"/>
        <v>0</v>
      </c>
      <c r="G94" s="11">
        <f t="shared" si="37"/>
        <v>0</v>
      </c>
      <c r="H94" s="11">
        <f t="shared" si="37"/>
        <v>0</v>
      </c>
      <c r="I94" s="11">
        <f t="shared" si="37"/>
        <v>0</v>
      </c>
      <c r="J94" s="11">
        <f t="shared" si="37"/>
        <v>0</v>
      </c>
      <c r="K94" s="11">
        <f t="shared" si="37"/>
        <v>0</v>
      </c>
      <c r="L94" s="11">
        <f t="shared" si="37"/>
        <v>0</v>
      </c>
      <c r="M94" s="11">
        <f t="shared" si="37"/>
        <v>0</v>
      </c>
      <c r="N94" s="11">
        <f t="shared" si="37"/>
        <v>0</v>
      </c>
      <c r="O94" s="11">
        <f t="shared" si="37"/>
        <v>0</v>
      </c>
      <c r="P94" s="11">
        <f t="shared" si="37"/>
        <v>0</v>
      </c>
      <c r="Q94" s="11">
        <f t="shared" si="37"/>
        <v>0</v>
      </c>
      <c r="R94" s="11">
        <f t="shared" si="37"/>
        <v>0</v>
      </c>
      <c r="S94" s="11">
        <f t="shared" si="38"/>
        <v>0</v>
      </c>
      <c r="T94" s="11">
        <f t="shared" si="38"/>
        <v>0</v>
      </c>
      <c r="U94" s="11">
        <f t="shared" si="38"/>
        <v>0</v>
      </c>
      <c r="V94" s="11">
        <f t="shared" si="38"/>
        <v>0</v>
      </c>
      <c r="W94" s="11">
        <f t="shared" si="41"/>
        <v>0</v>
      </c>
      <c r="X94" s="11">
        <f t="shared" si="39"/>
        <v>0</v>
      </c>
      <c r="Y94" s="11">
        <f t="shared" si="40"/>
        <v>0</v>
      </c>
      <c r="Z94" s="11">
        <f t="shared" si="42"/>
        <v>0</v>
      </c>
      <c r="AB94" s="474"/>
      <c r="AC94" s="474"/>
      <c r="AD94" s="474"/>
      <c r="AE94" s="474"/>
      <c r="AH94" s="11"/>
    </row>
    <row r="95" spans="1:52" x14ac:dyDescent="0.2">
      <c r="A95" s="472"/>
      <c r="B95" s="3">
        <v>4</v>
      </c>
      <c r="C95" s="11">
        <f t="shared" si="37"/>
        <v>0</v>
      </c>
      <c r="D95" s="11">
        <f t="shared" si="37"/>
        <v>0</v>
      </c>
      <c r="E95" s="11">
        <f t="shared" si="37"/>
        <v>0</v>
      </c>
      <c r="F95" s="11">
        <f t="shared" si="37"/>
        <v>0</v>
      </c>
      <c r="G95" s="11">
        <f t="shared" si="37"/>
        <v>0</v>
      </c>
      <c r="H95" s="11">
        <f t="shared" si="37"/>
        <v>0</v>
      </c>
      <c r="I95" s="11">
        <f t="shared" si="37"/>
        <v>0</v>
      </c>
      <c r="J95" s="11">
        <f t="shared" si="37"/>
        <v>0</v>
      </c>
      <c r="K95" s="11">
        <f t="shared" si="37"/>
        <v>0</v>
      </c>
      <c r="L95" s="11">
        <f t="shared" si="37"/>
        <v>0</v>
      </c>
      <c r="M95" s="11">
        <f t="shared" si="37"/>
        <v>0</v>
      </c>
      <c r="N95" s="11">
        <f t="shared" si="37"/>
        <v>0</v>
      </c>
      <c r="O95" s="11">
        <f t="shared" si="37"/>
        <v>0</v>
      </c>
      <c r="P95" s="11">
        <f t="shared" si="37"/>
        <v>0</v>
      </c>
      <c r="Q95" s="11">
        <f t="shared" si="37"/>
        <v>0</v>
      </c>
      <c r="R95" s="11">
        <f t="shared" si="37"/>
        <v>0</v>
      </c>
      <c r="S95" s="11">
        <f t="shared" si="38"/>
        <v>0</v>
      </c>
      <c r="T95" s="11">
        <f t="shared" si="38"/>
        <v>0</v>
      </c>
      <c r="U95" s="11">
        <f t="shared" si="38"/>
        <v>0</v>
      </c>
      <c r="V95" s="11">
        <f t="shared" si="38"/>
        <v>0</v>
      </c>
      <c r="W95" s="11">
        <f t="shared" si="41"/>
        <v>0</v>
      </c>
      <c r="X95" s="11">
        <f t="shared" si="39"/>
        <v>0</v>
      </c>
      <c r="Y95" s="11">
        <f t="shared" si="40"/>
        <v>0</v>
      </c>
      <c r="Z95" s="11">
        <f t="shared" si="42"/>
        <v>0</v>
      </c>
      <c r="AB95" s="474"/>
      <c r="AC95" s="474"/>
      <c r="AD95" s="474"/>
      <c r="AE95" s="474"/>
      <c r="AH95" s="11"/>
    </row>
    <row r="96" spans="1:52" x14ac:dyDescent="0.2">
      <c r="A96" s="472"/>
      <c r="B96" s="3">
        <v>5</v>
      </c>
      <c r="C96" s="11">
        <f t="shared" si="37"/>
        <v>0</v>
      </c>
      <c r="D96" s="11">
        <f t="shared" si="37"/>
        <v>0</v>
      </c>
      <c r="E96" s="11">
        <f t="shared" si="37"/>
        <v>0</v>
      </c>
      <c r="F96" s="11">
        <f t="shared" si="37"/>
        <v>0</v>
      </c>
      <c r="G96" s="11">
        <f t="shared" si="37"/>
        <v>0</v>
      </c>
      <c r="H96" s="11">
        <f t="shared" si="37"/>
        <v>0</v>
      </c>
      <c r="I96" s="11">
        <f t="shared" si="37"/>
        <v>0</v>
      </c>
      <c r="J96" s="11">
        <f t="shared" si="37"/>
        <v>0</v>
      </c>
      <c r="K96" s="11">
        <f t="shared" si="37"/>
        <v>0</v>
      </c>
      <c r="L96" s="11">
        <f t="shared" si="37"/>
        <v>0</v>
      </c>
      <c r="M96" s="11">
        <f t="shared" si="37"/>
        <v>0</v>
      </c>
      <c r="N96" s="11">
        <f t="shared" si="37"/>
        <v>0</v>
      </c>
      <c r="O96" s="11">
        <f t="shared" si="37"/>
        <v>0</v>
      </c>
      <c r="P96" s="11">
        <f t="shared" si="37"/>
        <v>0</v>
      </c>
      <c r="Q96" s="11">
        <f t="shared" si="37"/>
        <v>0</v>
      </c>
      <c r="R96" s="11">
        <f t="shared" si="37"/>
        <v>0</v>
      </c>
      <c r="S96" s="11">
        <f t="shared" si="38"/>
        <v>0</v>
      </c>
      <c r="T96" s="11">
        <f t="shared" si="38"/>
        <v>0</v>
      </c>
      <c r="U96" s="11">
        <f t="shared" si="38"/>
        <v>0</v>
      </c>
      <c r="V96" s="11">
        <f t="shared" si="38"/>
        <v>0</v>
      </c>
      <c r="W96" s="11">
        <f t="shared" si="41"/>
        <v>0</v>
      </c>
      <c r="X96" s="11">
        <f t="shared" si="39"/>
        <v>0</v>
      </c>
      <c r="Y96" s="11">
        <f t="shared" si="40"/>
        <v>0</v>
      </c>
      <c r="Z96" s="11">
        <f t="shared" si="42"/>
        <v>0</v>
      </c>
      <c r="AB96" s="474"/>
      <c r="AC96" s="474"/>
      <c r="AD96" s="474"/>
      <c r="AE96" s="474"/>
      <c r="AH96" s="11"/>
    </row>
    <row r="97" spans="1:34" x14ac:dyDescent="0.2">
      <c r="A97" s="472"/>
      <c r="B97" s="3">
        <v>6</v>
      </c>
      <c r="C97" s="11">
        <f t="shared" si="37"/>
        <v>0</v>
      </c>
      <c r="D97" s="11">
        <f t="shared" si="37"/>
        <v>0</v>
      </c>
      <c r="E97" s="11">
        <f t="shared" si="37"/>
        <v>0</v>
      </c>
      <c r="F97" s="11">
        <f t="shared" si="37"/>
        <v>0</v>
      </c>
      <c r="G97" s="11">
        <f t="shared" si="37"/>
        <v>0</v>
      </c>
      <c r="H97" s="11">
        <f t="shared" si="37"/>
        <v>0</v>
      </c>
      <c r="I97" s="11">
        <f t="shared" si="37"/>
        <v>0</v>
      </c>
      <c r="J97" s="11">
        <f t="shared" si="37"/>
        <v>0</v>
      </c>
      <c r="K97" s="11">
        <f t="shared" si="37"/>
        <v>0</v>
      </c>
      <c r="L97" s="11">
        <f t="shared" si="37"/>
        <v>0</v>
      </c>
      <c r="M97" s="11">
        <f t="shared" si="37"/>
        <v>0</v>
      </c>
      <c r="N97" s="11">
        <f t="shared" si="37"/>
        <v>0</v>
      </c>
      <c r="O97" s="11">
        <f t="shared" si="37"/>
        <v>0</v>
      </c>
      <c r="P97" s="11">
        <f t="shared" si="37"/>
        <v>0</v>
      </c>
      <c r="Q97" s="11">
        <f t="shared" si="37"/>
        <v>0</v>
      </c>
      <c r="R97" s="11">
        <f t="shared" si="37"/>
        <v>0</v>
      </c>
      <c r="S97" s="11">
        <f t="shared" si="38"/>
        <v>0</v>
      </c>
      <c r="T97" s="11">
        <f t="shared" si="38"/>
        <v>0</v>
      </c>
      <c r="U97" s="11">
        <f t="shared" si="38"/>
        <v>0</v>
      </c>
      <c r="V97" s="11">
        <f t="shared" si="38"/>
        <v>0</v>
      </c>
      <c r="W97" s="11">
        <f t="shared" si="41"/>
        <v>0</v>
      </c>
      <c r="X97" s="11">
        <f t="shared" si="39"/>
        <v>0</v>
      </c>
      <c r="Y97" s="11">
        <f t="shared" si="40"/>
        <v>0</v>
      </c>
      <c r="Z97" s="11">
        <f t="shared" si="42"/>
        <v>0</v>
      </c>
      <c r="AB97" s="474"/>
      <c r="AC97" s="474"/>
      <c r="AD97" s="474"/>
      <c r="AE97" s="474"/>
      <c r="AH97" s="11"/>
    </row>
    <row r="98" spans="1:34" x14ac:dyDescent="0.2">
      <c r="A98" s="472"/>
      <c r="B98" s="3">
        <v>7</v>
      </c>
      <c r="C98" s="11">
        <f t="shared" si="37"/>
        <v>0</v>
      </c>
      <c r="D98" s="11">
        <f t="shared" si="37"/>
        <v>0</v>
      </c>
      <c r="E98" s="11">
        <f t="shared" si="37"/>
        <v>0</v>
      </c>
      <c r="F98" s="11">
        <f t="shared" si="37"/>
        <v>0</v>
      </c>
      <c r="G98" s="11">
        <f t="shared" si="37"/>
        <v>0</v>
      </c>
      <c r="H98" s="11">
        <f t="shared" si="37"/>
        <v>0</v>
      </c>
      <c r="I98" s="11">
        <f t="shared" si="37"/>
        <v>0</v>
      </c>
      <c r="J98" s="11">
        <f t="shared" si="37"/>
        <v>0</v>
      </c>
      <c r="K98" s="11">
        <f t="shared" si="37"/>
        <v>0</v>
      </c>
      <c r="L98" s="11">
        <f t="shared" si="37"/>
        <v>0</v>
      </c>
      <c r="M98" s="11">
        <f t="shared" si="37"/>
        <v>0</v>
      </c>
      <c r="N98" s="11">
        <f t="shared" si="37"/>
        <v>0</v>
      </c>
      <c r="O98" s="11">
        <f t="shared" si="37"/>
        <v>0</v>
      </c>
      <c r="P98" s="11">
        <f t="shared" si="37"/>
        <v>0</v>
      </c>
      <c r="Q98" s="11">
        <f t="shared" si="37"/>
        <v>0</v>
      </c>
      <c r="R98" s="11">
        <f t="shared" si="37"/>
        <v>0</v>
      </c>
      <c r="S98" s="11">
        <f t="shared" si="38"/>
        <v>0</v>
      </c>
      <c r="T98" s="11">
        <f t="shared" si="38"/>
        <v>0</v>
      </c>
      <c r="U98" s="11">
        <f t="shared" si="38"/>
        <v>0</v>
      </c>
      <c r="V98" s="11">
        <f t="shared" si="38"/>
        <v>0</v>
      </c>
      <c r="W98" s="11">
        <f t="shared" si="41"/>
        <v>0</v>
      </c>
      <c r="X98" s="11">
        <f t="shared" si="39"/>
        <v>0</v>
      </c>
      <c r="Y98" s="11">
        <f t="shared" si="40"/>
        <v>0</v>
      </c>
      <c r="Z98" s="11">
        <f t="shared" si="42"/>
        <v>0</v>
      </c>
      <c r="AH98" s="11"/>
    </row>
    <row r="99" spans="1:34" x14ac:dyDescent="0.2">
      <c r="A99" s="472"/>
      <c r="B99" s="3">
        <v>8</v>
      </c>
      <c r="C99" s="11">
        <f t="shared" si="37"/>
        <v>0</v>
      </c>
      <c r="D99" s="11">
        <f t="shared" si="37"/>
        <v>0</v>
      </c>
      <c r="E99" s="11">
        <f t="shared" si="37"/>
        <v>0</v>
      </c>
      <c r="F99" s="11">
        <f t="shared" si="37"/>
        <v>0</v>
      </c>
      <c r="G99" s="11">
        <f t="shared" si="37"/>
        <v>0</v>
      </c>
      <c r="H99" s="11">
        <f t="shared" si="37"/>
        <v>0</v>
      </c>
      <c r="I99" s="11">
        <f t="shared" si="37"/>
        <v>0</v>
      </c>
      <c r="J99" s="11">
        <f t="shared" si="37"/>
        <v>0</v>
      </c>
      <c r="K99" s="11">
        <f t="shared" si="37"/>
        <v>0</v>
      </c>
      <c r="L99" s="11">
        <f t="shared" si="37"/>
        <v>0</v>
      </c>
      <c r="M99" s="11">
        <f t="shared" si="37"/>
        <v>0</v>
      </c>
      <c r="N99" s="11">
        <f t="shared" si="37"/>
        <v>0</v>
      </c>
      <c r="O99" s="11">
        <f t="shared" si="37"/>
        <v>0</v>
      </c>
      <c r="P99" s="11">
        <f t="shared" si="37"/>
        <v>0</v>
      </c>
      <c r="Q99" s="11">
        <f t="shared" si="37"/>
        <v>0</v>
      </c>
      <c r="R99" s="11">
        <f t="shared" si="37"/>
        <v>0</v>
      </c>
      <c r="S99" s="11">
        <f t="shared" si="38"/>
        <v>0</v>
      </c>
      <c r="T99" s="11">
        <f t="shared" si="38"/>
        <v>0</v>
      </c>
      <c r="U99" s="11">
        <f t="shared" si="38"/>
        <v>0</v>
      </c>
      <c r="V99" s="11">
        <f t="shared" si="38"/>
        <v>0</v>
      </c>
      <c r="W99" s="11">
        <f t="shared" si="41"/>
        <v>0</v>
      </c>
      <c r="X99" s="11">
        <f t="shared" si="39"/>
        <v>0</v>
      </c>
      <c r="Y99" s="11">
        <f t="shared" si="40"/>
        <v>0</v>
      </c>
      <c r="Z99" s="11">
        <f t="shared" si="42"/>
        <v>0</v>
      </c>
      <c r="AB99" s="86"/>
      <c r="AC99" s="86"/>
      <c r="AD99" s="86"/>
      <c r="AE99" s="86"/>
      <c r="AH99" s="11"/>
    </row>
    <row r="100" spans="1:34" x14ac:dyDescent="0.2">
      <c r="A100" s="472"/>
      <c r="B100" s="3">
        <v>9</v>
      </c>
      <c r="C100" s="11">
        <f t="shared" si="37"/>
        <v>0</v>
      </c>
      <c r="D100" s="11">
        <f t="shared" si="37"/>
        <v>0</v>
      </c>
      <c r="E100" s="11">
        <f t="shared" si="37"/>
        <v>0</v>
      </c>
      <c r="F100" s="11">
        <f t="shared" si="37"/>
        <v>0</v>
      </c>
      <c r="G100" s="11">
        <f t="shared" si="37"/>
        <v>0</v>
      </c>
      <c r="H100" s="11">
        <f t="shared" si="37"/>
        <v>0</v>
      </c>
      <c r="I100" s="11">
        <f t="shared" si="37"/>
        <v>0</v>
      </c>
      <c r="J100" s="11">
        <f t="shared" si="37"/>
        <v>0</v>
      </c>
      <c r="K100" s="11">
        <f t="shared" si="37"/>
        <v>0</v>
      </c>
      <c r="L100" s="11">
        <f t="shared" si="37"/>
        <v>0</v>
      </c>
      <c r="M100" s="11">
        <f t="shared" si="37"/>
        <v>0</v>
      </c>
      <c r="N100" s="11">
        <f t="shared" si="37"/>
        <v>0</v>
      </c>
      <c r="O100" s="11">
        <f t="shared" si="37"/>
        <v>0</v>
      </c>
      <c r="P100" s="11">
        <f t="shared" si="37"/>
        <v>0</v>
      </c>
      <c r="Q100" s="11">
        <f t="shared" si="37"/>
        <v>0</v>
      </c>
      <c r="R100" s="11">
        <f t="shared" si="37"/>
        <v>0</v>
      </c>
      <c r="S100" s="11">
        <f t="shared" si="38"/>
        <v>0</v>
      </c>
      <c r="T100" s="11">
        <f t="shared" si="38"/>
        <v>0</v>
      </c>
      <c r="U100" s="11">
        <f t="shared" si="38"/>
        <v>0</v>
      </c>
      <c r="V100" s="11">
        <f t="shared" si="38"/>
        <v>0</v>
      </c>
      <c r="W100" s="11">
        <f t="shared" si="41"/>
        <v>0</v>
      </c>
      <c r="X100" s="11">
        <f t="shared" si="39"/>
        <v>0</v>
      </c>
      <c r="Y100" s="11">
        <f t="shared" si="40"/>
        <v>0</v>
      </c>
      <c r="Z100" s="11">
        <f t="shared" si="42"/>
        <v>0</v>
      </c>
      <c r="AB100" s="86"/>
      <c r="AC100" s="86"/>
      <c r="AD100" s="86"/>
      <c r="AE100" s="86"/>
      <c r="AH100" s="11"/>
    </row>
    <row r="101" spans="1:34" x14ac:dyDescent="0.2">
      <c r="A101" s="472"/>
      <c r="B101" s="3">
        <v>10</v>
      </c>
      <c r="C101" s="11">
        <f t="shared" si="37"/>
        <v>0</v>
      </c>
      <c r="D101" s="11">
        <f t="shared" si="37"/>
        <v>0</v>
      </c>
      <c r="E101" s="11">
        <f t="shared" si="37"/>
        <v>0</v>
      </c>
      <c r="F101" s="11">
        <f t="shared" si="37"/>
        <v>0</v>
      </c>
      <c r="G101" s="11">
        <f t="shared" si="37"/>
        <v>0</v>
      </c>
      <c r="H101" s="11">
        <f t="shared" si="37"/>
        <v>0</v>
      </c>
      <c r="I101" s="11">
        <f t="shared" si="37"/>
        <v>0</v>
      </c>
      <c r="J101" s="11">
        <f t="shared" si="37"/>
        <v>0</v>
      </c>
      <c r="K101" s="11">
        <f t="shared" si="37"/>
        <v>0</v>
      </c>
      <c r="L101" s="11">
        <f t="shared" si="37"/>
        <v>0</v>
      </c>
      <c r="M101" s="11">
        <f t="shared" si="37"/>
        <v>0</v>
      </c>
      <c r="N101" s="11">
        <f t="shared" si="37"/>
        <v>0</v>
      </c>
      <c r="O101" s="11">
        <f t="shared" si="37"/>
        <v>0</v>
      </c>
      <c r="P101" s="11">
        <f t="shared" si="37"/>
        <v>0</v>
      </c>
      <c r="Q101" s="11">
        <f t="shared" si="37"/>
        <v>0</v>
      </c>
      <c r="R101" s="11">
        <f t="shared" si="37"/>
        <v>0</v>
      </c>
      <c r="S101" s="11">
        <f t="shared" si="38"/>
        <v>0</v>
      </c>
      <c r="T101" s="11">
        <f t="shared" si="38"/>
        <v>0</v>
      </c>
      <c r="U101" s="11">
        <f t="shared" si="38"/>
        <v>0</v>
      </c>
      <c r="V101" s="11">
        <f t="shared" si="38"/>
        <v>0</v>
      </c>
      <c r="W101" s="11">
        <f t="shared" si="41"/>
        <v>0</v>
      </c>
      <c r="X101" s="11">
        <f t="shared" si="39"/>
        <v>0</v>
      </c>
      <c r="Y101" s="11">
        <f t="shared" si="40"/>
        <v>0</v>
      </c>
      <c r="Z101" s="11">
        <f t="shared" si="42"/>
        <v>0</v>
      </c>
      <c r="AB101" s="86"/>
      <c r="AC101" s="86"/>
      <c r="AD101" s="86"/>
      <c r="AE101" s="86"/>
      <c r="AH101" s="11"/>
    </row>
    <row r="102" spans="1:34" x14ac:dyDescent="0.2">
      <c r="A102" s="472"/>
      <c r="B102" s="3">
        <v>11</v>
      </c>
      <c r="C102" s="11">
        <f t="shared" si="37"/>
        <v>0</v>
      </c>
      <c r="D102" s="11">
        <f t="shared" si="37"/>
        <v>0</v>
      </c>
      <c r="E102" s="11">
        <f t="shared" si="37"/>
        <v>0</v>
      </c>
      <c r="F102" s="11">
        <f t="shared" si="37"/>
        <v>0</v>
      </c>
      <c r="G102" s="11">
        <f t="shared" si="37"/>
        <v>0</v>
      </c>
      <c r="H102" s="11">
        <f t="shared" si="37"/>
        <v>0</v>
      </c>
      <c r="I102" s="11">
        <f t="shared" si="37"/>
        <v>0</v>
      </c>
      <c r="J102" s="11">
        <f t="shared" si="37"/>
        <v>0</v>
      </c>
      <c r="K102" s="11">
        <f t="shared" si="37"/>
        <v>0</v>
      </c>
      <c r="L102" s="11">
        <f t="shared" si="37"/>
        <v>0</v>
      </c>
      <c r="M102" s="11">
        <f t="shared" si="37"/>
        <v>0</v>
      </c>
      <c r="N102" s="11">
        <f t="shared" si="37"/>
        <v>0</v>
      </c>
      <c r="O102" s="11">
        <f t="shared" si="37"/>
        <v>0</v>
      </c>
      <c r="P102" s="11">
        <f t="shared" si="37"/>
        <v>0</v>
      </c>
      <c r="Q102" s="11">
        <f t="shared" si="37"/>
        <v>0</v>
      </c>
      <c r="R102" s="11">
        <f t="shared" si="37"/>
        <v>0</v>
      </c>
      <c r="S102" s="11">
        <f t="shared" si="38"/>
        <v>0</v>
      </c>
      <c r="T102" s="11">
        <f t="shared" si="38"/>
        <v>0</v>
      </c>
      <c r="U102" s="11">
        <f t="shared" si="38"/>
        <v>0</v>
      </c>
      <c r="V102" s="11">
        <f t="shared" si="38"/>
        <v>0</v>
      </c>
      <c r="W102" s="11">
        <f t="shared" si="41"/>
        <v>0</v>
      </c>
      <c r="X102" s="11">
        <f t="shared" si="39"/>
        <v>0</v>
      </c>
      <c r="Y102" s="11">
        <f t="shared" si="40"/>
        <v>0</v>
      </c>
      <c r="Z102" s="11">
        <f t="shared" si="42"/>
        <v>0</v>
      </c>
      <c r="AB102" s="86"/>
      <c r="AC102" s="86"/>
      <c r="AD102" s="86"/>
      <c r="AE102" s="86"/>
      <c r="AH102" s="11"/>
    </row>
    <row r="103" spans="1:34" x14ac:dyDescent="0.2">
      <c r="A103" s="472"/>
      <c r="B103" s="3">
        <v>12</v>
      </c>
      <c r="C103" s="11">
        <f t="shared" si="37"/>
        <v>0</v>
      </c>
      <c r="D103" s="11">
        <f t="shared" si="37"/>
        <v>0</v>
      </c>
      <c r="E103" s="11">
        <f t="shared" si="37"/>
        <v>0</v>
      </c>
      <c r="F103" s="11">
        <f t="shared" si="37"/>
        <v>0</v>
      </c>
      <c r="G103" s="11">
        <f t="shared" si="37"/>
        <v>0</v>
      </c>
      <c r="H103" s="11">
        <f t="shared" si="37"/>
        <v>0</v>
      </c>
      <c r="I103" s="11">
        <f t="shared" si="37"/>
        <v>0</v>
      </c>
      <c r="J103" s="11">
        <f t="shared" si="37"/>
        <v>0</v>
      </c>
      <c r="K103" s="11">
        <f t="shared" si="37"/>
        <v>0</v>
      </c>
      <c r="L103" s="11">
        <f t="shared" si="37"/>
        <v>0</v>
      </c>
      <c r="M103" s="11">
        <f t="shared" si="37"/>
        <v>0</v>
      </c>
      <c r="N103" s="11">
        <f t="shared" si="37"/>
        <v>0</v>
      </c>
      <c r="O103" s="11">
        <f t="shared" si="37"/>
        <v>0</v>
      </c>
      <c r="P103" s="11">
        <f t="shared" si="37"/>
        <v>0</v>
      </c>
      <c r="Q103" s="11">
        <f t="shared" si="37"/>
        <v>0</v>
      </c>
      <c r="R103" s="11">
        <f t="shared" si="37"/>
        <v>0</v>
      </c>
      <c r="S103" s="11">
        <f t="shared" si="38"/>
        <v>0</v>
      </c>
      <c r="T103" s="11">
        <f t="shared" si="38"/>
        <v>0</v>
      </c>
      <c r="U103" s="11">
        <f t="shared" si="38"/>
        <v>0</v>
      </c>
      <c r="V103" s="11">
        <f t="shared" si="38"/>
        <v>0</v>
      </c>
      <c r="W103" s="11">
        <f t="shared" si="41"/>
        <v>0</v>
      </c>
      <c r="X103" s="11">
        <f t="shared" si="39"/>
        <v>0</v>
      </c>
      <c r="Y103" s="11">
        <f t="shared" si="40"/>
        <v>0</v>
      </c>
      <c r="Z103" s="11">
        <f t="shared" si="42"/>
        <v>0</v>
      </c>
      <c r="AB103" s="86"/>
      <c r="AC103" s="86"/>
      <c r="AD103" s="86"/>
      <c r="AE103" s="86"/>
      <c r="AH103" s="11"/>
    </row>
    <row r="104" spans="1:34" x14ac:dyDescent="0.2">
      <c r="A104" s="472"/>
      <c r="B104" s="3">
        <v>13</v>
      </c>
      <c r="C104" s="11">
        <f t="shared" si="37"/>
        <v>0</v>
      </c>
      <c r="D104" s="11">
        <f t="shared" si="37"/>
        <v>0</v>
      </c>
      <c r="E104" s="11">
        <f t="shared" si="37"/>
        <v>0</v>
      </c>
      <c r="F104" s="11">
        <f t="shared" si="37"/>
        <v>0</v>
      </c>
      <c r="G104" s="11">
        <f t="shared" si="37"/>
        <v>0</v>
      </c>
      <c r="H104" s="11">
        <f t="shared" si="37"/>
        <v>0</v>
      </c>
      <c r="I104" s="11">
        <f t="shared" si="37"/>
        <v>0</v>
      </c>
      <c r="J104" s="11">
        <f t="shared" si="37"/>
        <v>0</v>
      </c>
      <c r="K104" s="11">
        <f t="shared" si="37"/>
        <v>0</v>
      </c>
      <c r="L104" s="11">
        <f t="shared" si="37"/>
        <v>0</v>
      </c>
      <c r="M104" s="11">
        <f t="shared" si="37"/>
        <v>0</v>
      </c>
      <c r="N104" s="11">
        <f t="shared" si="37"/>
        <v>0</v>
      </c>
      <c r="O104" s="11">
        <f t="shared" si="37"/>
        <v>0</v>
      </c>
      <c r="P104" s="11">
        <f t="shared" si="37"/>
        <v>0</v>
      </c>
      <c r="Q104" s="11">
        <f t="shared" si="37"/>
        <v>0</v>
      </c>
      <c r="R104" s="11">
        <f t="shared" si="37"/>
        <v>0</v>
      </c>
      <c r="S104" s="11">
        <f t="shared" si="38"/>
        <v>0</v>
      </c>
      <c r="T104" s="11">
        <f t="shared" si="38"/>
        <v>0</v>
      </c>
      <c r="U104" s="11">
        <f t="shared" si="38"/>
        <v>0</v>
      </c>
      <c r="V104" s="11">
        <f t="shared" si="38"/>
        <v>0</v>
      </c>
      <c r="W104" s="11">
        <f t="shared" si="41"/>
        <v>0</v>
      </c>
      <c r="X104" s="11">
        <f t="shared" si="39"/>
        <v>0</v>
      </c>
      <c r="Y104" s="11">
        <f t="shared" si="40"/>
        <v>0</v>
      </c>
      <c r="Z104" s="11">
        <f t="shared" si="42"/>
        <v>0</v>
      </c>
      <c r="AB104" s="86"/>
      <c r="AC104" s="86"/>
      <c r="AD104" s="86"/>
      <c r="AE104" s="86"/>
      <c r="AH104" s="11"/>
    </row>
    <row r="105" spans="1:34" x14ac:dyDescent="0.2">
      <c r="A105" s="472"/>
      <c r="B105" s="3">
        <v>14</v>
      </c>
      <c r="C105" s="11">
        <f t="shared" si="37"/>
        <v>0</v>
      </c>
      <c r="D105" s="11">
        <f t="shared" si="37"/>
        <v>0</v>
      </c>
      <c r="E105" s="11">
        <f t="shared" si="37"/>
        <v>0</v>
      </c>
      <c r="F105" s="11">
        <f t="shared" si="37"/>
        <v>0</v>
      </c>
      <c r="G105" s="11">
        <f t="shared" si="37"/>
        <v>0</v>
      </c>
      <c r="H105" s="11">
        <f t="shared" si="37"/>
        <v>0</v>
      </c>
      <c r="I105" s="11">
        <f t="shared" si="37"/>
        <v>0</v>
      </c>
      <c r="J105" s="11">
        <f t="shared" si="37"/>
        <v>0</v>
      </c>
      <c r="K105" s="11">
        <f t="shared" si="37"/>
        <v>0</v>
      </c>
      <c r="L105" s="11">
        <f t="shared" si="37"/>
        <v>0</v>
      </c>
      <c r="M105" s="11">
        <f t="shared" si="37"/>
        <v>0</v>
      </c>
      <c r="N105" s="11">
        <f t="shared" si="37"/>
        <v>0</v>
      </c>
      <c r="O105" s="11">
        <f t="shared" si="37"/>
        <v>0</v>
      </c>
      <c r="P105" s="11">
        <f t="shared" si="37"/>
        <v>0</v>
      </c>
      <c r="Q105" s="11">
        <f t="shared" si="37"/>
        <v>0</v>
      </c>
      <c r="R105" s="11">
        <f t="shared" si="37"/>
        <v>0</v>
      </c>
      <c r="S105" s="11">
        <f t="shared" si="38"/>
        <v>0</v>
      </c>
      <c r="T105" s="11">
        <f t="shared" si="38"/>
        <v>0</v>
      </c>
      <c r="U105" s="11">
        <f t="shared" si="38"/>
        <v>0</v>
      </c>
      <c r="V105" s="11">
        <f t="shared" si="38"/>
        <v>0</v>
      </c>
      <c r="W105" s="11">
        <f t="shared" si="41"/>
        <v>0</v>
      </c>
      <c r="X105" s="11">
        <f t="shared" si="39"/>
        <v>0</v>
      </c>
      <c r="Y105" s="11">
        <f t="shared" si="40"/>
        <v>0</v>
      </c>
      <c r="Z105" s="11">
        <f t="shared" si="42"/>
        <v>0</v>
      </c>
      <c r="AB105" s="86"/>
      <c r="AC105" s="86"/>
      <c r="AD105" s="86"/>
      <c r="AE105" s="86"/>
      <c r="AH105" s="11"/>
    </row>
    <row r="106" spans="1:34" x14ac:dyDescent="0.2">
      <c r="A106" s="472"/>
      <c r="B106" s="3">
        <v>15</v>
      </c>
      <c r="C106" s="11">
        <f t="shared" si="37"/>
        <v>0</v>
      </c>
      <c r="D106" s="11">
        <f t="shared" si="37"/>
        <v>0</v>
      </c>
      <c r="E106" s="11">
        <f t="shared" si="37"/>
        <v>0</v>
      </c>
      <c r="F106" s="11">
        <f t="shared" si="37"/>
        <v>0</v>
      </c>
      <c r="G106" s="11">
        <f t="shared" si="37"/>
        <v>0</v>
      </c>
      <c r="H106" s="11">
        <f t="shared" si="37"/>
        <v>0</v>
      </c>
      <c r="I106" s="11">
        <f t="shared" si="37"/>
        <v>0</v>
      </c>
      <c r="J106" s="11">
        <f t="shared" si="37"/>
        <v>0</v>
      </c>
      <c r="K106" s="11">
        <f t="shared" si="37"/>
        <v>0</v>
      </c>
      <c r="L106" s="11">
        <f t="shared" si="37"/>
        <v>0</v>
      </c>
      <c r="M106" s="11">
        <f t="shared" si="37"/>
        <v>0</v>
      </c>
      <c r="N106" s="11">
        <f t="shared" si="37"/>
        <v>0</v>
      </c>
      <c r="O106" s="11">
        <f t="shared" si="37"/>
        <v>0</v>
      </c>
      <c r="P106" s="11">
        <f t="shared" si="37"/>
        <v>0</v>
      </c>
      <c r="Q106" s="11">
        <f t="shared" si="37"/>
        <v>0</v>
      </c>
      <c r="R106" s="11">
        <f t="shared" si="37"/>
        <v>0</v>
      </c>
      <c r="S106" s="11">
        <f t="shared" si="38"/>
        <v>0</v>
      </c>
      <c r="T106" s="11">
        <f t="shared" si="38"/>
        <v>0</v>
      </c>
      <c r="U106" s="11">
        <f t="shared" si="38"/>
        <v>0</v>
      </c>
      <c r="V106" s="11">
        <f t="shared" si="38"/>
        <v>0</v>
      </c>
      <c r="W106" s="11">
        <f t="shared" si="41"/>
        <v>0</v>
      </c>
      <c r="X106" s="11">
        <f t="shared" si="39"/>
        <v>0</v>
      </c>
      <c r="Y106" s="11">
        <f t="shared" si="40"/>
        <v>0</v>
      </c>
      <c r="Z106" s="11">
        <f t="shared" si="42"/>
        <v>0</v>
      </c>
      <c r="AH106" s="11"/>
    </row>
    <row r="107" spans="1:34" x14ac:dyDescent="0.2">
      <c r="A107" s="472"/>
      <c r="B107" s="3">
        <v>16</v>
      </c>
      <c r="C107" s="11">
        <f t="shared" si="37"/>
        <v>0</v>
      </c>
      <c r="D107" s="11">
        <f t="shared" si="37"/>
        <v>0</v>
      </c>
      <c r="E107" s="11">
        <f t="shared" si="37"/>
        <v>0</v>
      </c>
      <c r="F107" s="11">
        <f t="shared" si="37"/>
        <v>0</v>
      </c>
      <c r="G107" s="11">
        <f t="shared" si="37"/>
        <v>0</v>
      </c>
      <c r="H107" s="11">
        <f t="shared" si="37"/>
        <v>0</v>
      </c>
      <c r="I107" s="11">
        <f t="shared" si="37"/>
        <v>0</v>
      </c>
      <c r="J107" s="11">
        <f t="shared" si="37"/>
        <v>0</v>
      </c>
      <c r="K107" s="11">
        <f t="shared" si="37"/>
        <v>0</v>
      </c>
      <c r="L107" s="11">
        <f t="shared" si="37"/>
        <v>0</v>
      </c>
      <c r="M107" s="11">
        <f t="shared" si="37"/>
        <v>0</v>
      </c>
      <c r="N107" s="11">
        <f t="shared" si="37"/>
        <v>0</v>
      </c>
      <c r="O107" s="11">
        <f t="shared" si="37"/>
        <v>0</v>
      </c>
      <c r="P107" s="11">
        <f t="shared" si="37"/>
        <v>0</v>
      </c>
      <c r="Q107" s="11">
        <f t="shared" si="37"/>
        <v>0</v>
      </c>
      <c r="R107" s="11">
        <f t="shared" ref="R107:R111" si="43">(R$86)*IF($B107&gt;=R$84,IF($B107=R$84,$E$19,VLOOKUP($B107-R$84,$B$19:$E$49,4,FALSE)),0)</f>
        <v>0</v>
      </c>
      <c r="S107" s="11">
        <f t="shared" si="38"/>
        <v>0</v>
      </c>
      <c r="T107" s="11">
        <f t="shared" si="38"/>
        <v>0</v>
      </c>
      <c r="U107" s="11">
        <f t="shared" si="38"/>
        <v>0</v>
      </c>
      <c r="V107" s="11">
        <f t="shared" si="38"/>
        <v>0</v>
      </c>
      <c r="W107" s="11">
        <f t="shared" si="41"/>
        <v>0</v>
      </c>
      <c r="X107" s="11">
        <f t="shared" si="39"/>
        <v>0</v>
      </c>
      <c r="Y107" s="11">
        <f t="shared" si="40"/>
        <v>0</v>
      </c>
      <c r="Z107" s="11">
        <f t="shared" si="42"/>
        <v>0</v>
      </c>
      <c r="AH107" s="11"/>
    </row>
    <row r="108" spans="1:34" x14ac:dyDescent="0.2">
      <c r="A108" s="472"/>
      <c r="B108" s="3">
        <v>17</v>
      </c>
      <c r="C108" s="11">
        <f t="shared" ref="C108:Q111" si="44">(C$86)*IF($B108&gt;=C$84,IF($B108=C$84,$E$19,VLOOKUP($B108-C$84,$B$19:$E$49,4,FALSE)),0)</f>
        <v>0</v>
      </c>
      <c r="D108" s="11">
        <f t="shared" si="44"/>
        <v>0</v>
      </c>
      <c r="E108" s="11">
        <f t="shared" si="44"/>
        <v>0</v>
      </c>
      <c r="F108" s="11">
        <f t="shared" si="44"/>
        <v>0</v>
      </c>
      <c r="G108" s="11">
        <f t="shared" si="44"/>
        <v>0</v>
      </c>
      <c r="H108" s="11">
        <f t="shared" si="44"/>
        <v>0</v>
      </c>
      <c r="I108" s="11">
        <f t="shared" si="44"/>
        <v>0</v>
      </c>
      <c r="J108" s="11">
        <f t="shared" si="44"/>
        <v>0</v>
      </c>
      <c r="K108" s="11">
        <f t="shared" si="44"/>
        <v>0</v>
      </c>
      <c r="L108" s="11">
        <f t="shared" si="44"/>
        <v>0</v>
      </c>
      <c r="M108" s="11">
        <f t="shared" si="44"/>
        <v>0</v>
      </c>
      <c r="N108" s="11">
        <f t="shared" si="44"/>
        <v>0</v>
      </c>
      <c r="O108" s="11">
        <f t="shared" si="44"/>
        <v>0</v>
      </c>
      <c r="P108" s="11">
        <f t="shared" si="44"/>
        <v>0</v>
      </c>
      <c r="Q108" s="11">
        <f t="shared" si="44"/>
        <v>0</v>
      </c>
      <c r="R108" s="11">
        <f t="shared" si="43"/>
        <v>0</v>
      </c>
      <c r="S108" s="11">
        <f t="shared" si="38"/>
        <v>0</v>
      </c>
      <c r="T108" s="11">
        <f t="shared" si="38"/>
        <v>0</v>
      </c>
      <c r="U108" s="11">
        <f t="shared" si="38"/>
        <v>0</v>
      </c>
      <c r="V108" s="11">
        <f t="shared" si="38"/>
        <v>0</v>
      </c>
      <c r="W108" s="11">
        <f t="shared" si="41"/>
        <v>0</v>
      </c>
      <c r="X108" s="11">
        <f t="shared" si="39"/>
        <v>0</v>
      </c>
      <c r="Y108" s="11">
        <f t="shared" si="40"/>
        <v>0</v>
      </c>
      <c r="Z108" s="11">
        <f t="shared" si="42"/>
        <v>0</v>
      </c>
      <c r="AH108" s="11"/>
    </row>
    <row r="109" spans="1:34" x14ac:dyDescent="0.2">
      <c r="A109" s="472"/>
      <c r="B109" s="3">
        <v>18</v>
      </c>
      <c r="C109" s="11">
        <f t="shared" si="44"/>
        <v>0</v>
      </c>
      <c r="D109" s="11">
        <f t="shared" si="44"/>
        <v>0</v>
      </c>
      <c r="E109" s="11">
        <f t="shared" si="44"/>
        <v>0</v>
      </c>
      <c r="F109" s="11">
        <f t="shared" si="44"/>
        <v>0</v>
      </c>
      <c r="G109" s="11">
        <f t="shared" si="44"/>
        <v>0</v>
      </c>
      <c r="H109" s="11">
        <f t="shared" si="44"/>
        <v>0</v>
      </c>
      <c r="I109" s="11">
        <f t="shared" si="44"/>
        <v>0</v>
      </c>
      <c r="J109" s="11">
        <f t="shared" si="44"/>
        <v>0</v>
      </c>
      <c r="K109" s="11">
        <f t="shared" si="44"/>
        <v>0</v>
      </c>
      <c r="L109" s="11">
        <f t="shared" si="44"/>
        <v>0</v>
      </c>
      <c r="M109" s="11">
        <f t="shared" si="44"/>
        <v>0</v>
      </c>
      <c r="N109" s="11">
        <f t="shared" si="44"/>
        <v>0</v>
      </c>
      <c r="O109" s="11">
        <f t="shared" si="44"/>
        <v>0</v>
      </c>
      <c r="P109" s="11">
        <f t="shared" si="44"/>
        <v>0</v>
      </c>
      <c r="Q109" s="11">
        <f t="shared" si="44"/>
        <v>0</v>
      </c>
      <c r="R109" s="11">
        <f t="shared" si="43"/>
        <v>0</v>
      </c>
      <c r="S109" s="11">
        <f t="shared" si="38"/>
        <v>0</v>
      </c>
      <c r="T109" s="11">
        <f t="shared" si="38"/>
        <v>0</v>
      </c>
      <c r="U109" s="11">
        <f t="shared" si="38"/>
        <v>0</v>
      </c>
      <c r="V109" s="11">
        <f t="shared" si="38"/>
        <v>0</v>
      </c>
      <c r="W109" s="11">
        <f t="shared" si="41"/>
        <v>0</v>
      </c>
      <c r="X109" s="11">
        <f t="shared" si="39"/>
        <v>0</v>
      </c>
      <c r="Y109" s="11">
        <f t="shared" si="40"/>
        <v>0</v>
      </c>
      <c r="Z109" s="11">
        <f t="shared" si="42"/>
        <v>0</v>
      </c>
      <c r="AH109" s="11"/>
    </row>
    <row r="110" spans="1:34" x14ac:dyDescent="0.2">
      <c r="A110" s="472"/>
      <c r="B110" s="3">
        <v>19</v>
      </c>
      <c r="C110" s="11">
        <f t="shared" si="44"/>
        <v>0</v>
      </c>
      <c r="D110" s="11">
        <f t="shared" si="44"/>
        <v>0</v>
      </c>
      <c r="E110" s="11">
        <f t="shared" si="44"/>
        <v>0</v>
      </c>
      <c r="F110" s="11">
        <f t="shared" si="44"/>
        <v>0</v>
      </c>
      <c r="G110" s="11">
        <f t="shared" si="44"/>
        <v>0</v>
      </c>
      <c r="H110" s="11">
        <f t="shared" si="44"/>
        <v>0</v>
      </c>
      <c r="I110" s="11">
        <f t="shared" si="44"/>
        <v>0</v>
      </c>
      <c r="J110" s="11">
        <f t="shared" si="44"/>
        <v>0</v>
      </c>
      <c r="K110" s="11">
        <f t="shared" si="44"/>
        <v>0</v>
      </c>
      <c r="L110" s="11">
        <f t="shared" si="44"/>
        <v>0</v>
      </c>
      <c r="M110" s="11">
        <f t="shared" si="44"/>
        <v>0</v>
      </c>
      <c r="N110" s="11">
        <f t="shared" si="44"/>
        <v>0</v>
      </c>
      <c r="O110" s="11">
        <f t="shared" si="44"/>
        <v>0</v>
      </c>
      <c r="P110" s="11">
        <f t="shared" si="44"/>
        <v>0</v>
      </c>
      <c r="Q110" s="11">
        <f t="shared" si="44"/>
        <v>0</v>
      </c>
      <c r="R110" s="11">
        <f t="shared" si="43"/>
        <v>0</v>
      </c>
      <c r="S110" s="11">
        <f t="shared" si="38"/>
        <v>0</v>
      </c>
      <c r="T110" s="11">
        <f t="shared" si="38"/>
        <v>0</v>
      </c>
      <c r="U110" s="11">
        <f t="shared" si="38"/>
        <v>0</v>
      </c>
      <c r="V110" s="11">
        <f t="shared" si="38"/>
        <v>0</v>
      </c>
      <c r="W110" s="11">
        <f t="shared" si="41"/>
        <v>0</v>
      </c>
      <c r="X110" s="11">
        <f t="shared" si="39"/>
        <v>0</v>
      </c>
      <c r="Y110" s="11">
        <f t="shared" si="40"/>
        <v>0</v>
      </c>
      <c r="Z110" s="11">
        <f t="shared" si="42"/>
        <v>0</v>
      </c>
      <c r="AH110" s="11"/>
    </row>
    <row r="111" spans="1:34" x14ac:dyDescent="0.2">
      <c r="A111" s="472"/>
      <c r="B111" s="3">
        <v>20</v>
      </c>
      <c r="C111" s="11">
        <f t="shared" si="44"/>
        <v>0</v>
      </c>
      <c r="D111" s="11">
        <f t="shared" si="44"/>
        <v>0</v>
      </c>
      <c r="E111" s="11">
        <f t="shared" si="44"/>
        <v>0</v>
      </c>
      <c r="F111" s="11">
        <f t="shared" si="44"/>
        <v>0</v>
      </c>
      <c r="G111" s="11">
        <f t="shared" si="44"/>
        <v>0</v>
      </c>
      <c r="H111" s="11">
        <f t="shared" si="44"/>
        <v>0</v>
      </c>
      <c r="I111" s="11">
        <f t="shared" si="44"/>
        <v>0</v>
      </c>
      <c r="J111" s="11">
        <f t="shared" si="44"/>
        <v>0</v>
      </c>
      <c r="K111" s="11">
        <f t="shared" si="44"/>
        <v>0</v>
      </c>
      <c r="L111" s="11">
        <f t="shared" si="44"/>
        <v>0</v>
      </c>
      <c r="M111" s="11">
        <f t="shared" si="44"/>
        <v>0</v>
      </c>
      <c r="N111" s="11">
        <f t="shared" si="44"/>
        <v>0</v>
      </c>
      <c r="O111" s="11">
        <f t="shared" si="44"/>
        <v>0</v>
      </c>
      <c r="P111" s="11">
        <f t="shared" si="44"/>
        <v>0</v>
      </c>
      <c r="Q111" s="11">
        <f t="shared" si="44"/>
        <v>0</v>
      </c>
      <c r="R111" s="11">
        <f t="shared" si="43"/>
        <v>0</v>
      </c>
      <c r="S111" s="11">
        <f t="shared" si="38"/>
        <v>0</v>
      </c>
      <c r="T111" s="11">
        <f t="shared" si="38"/>
        <v>0</v>
      </c>
      <c r="U111" s="11">
        <f t="shared" si="38"/>
        <v>0</v>
      </c>
      <c r="V111" s="11">
        <f t="shared" si="38"/>
        <v>0</v>
      </c>
      <c r="W111" s="11">
        <f t="shared" si="41"/>
        <v>0</v>
      </c>
      <c r="X111" s="11">
        <f t="shared" si="39"/>
        <v>0</v>
      </c>
      <c r="Y111" s="11">
        <f t="shared" si="40"/>
        <v>0</v>
      </c>
      <c r="Z111" s="11">
        <f t="shared" si="42"/>
        <v>0</v>
      </c>
      <c r="AH111" s="11"/>
    </row>
    <row r="112" spans="1:34" x14ac:dyDescent="0.2">
      <c r="A112" s="215"/>
      <c r="C112" s="11"/>
      <c r="D112" s="11"/>
      <c r="E112" s="11"/>
      <c r="F112" s="11"/>
      <c r="G112" s="11"/>
      <c r="H112" s="11"/>
      <c r="I112" s="11"/>
      <c r="J112" s="11"/>
      <c r="K112" s="11"/>
      <c r="L112" s="11"/>
      <c r="M112" s="11"/>
      <c r="N112" s="11"/>
      <c r="O112" s="11"/>
      <c r="P112" s="11"/>
      <c r="Q112" s="11"/>
      <c r="R112" s="11"/>
      <c r="S112" s="11"/>
      <c r="T112" s="11"/>
      <c r="U112" s="11"/>
      <c r="V112" s="11"/>
      <c r="W112" s="11"/>
      <c r="X112" s="11"/>
      <c r="Y112" s="11"/>
      <c r="Z112" s="11"/>
      <c r="AH112" s="11"/>
    </row>
    <row r="114" spans="1:52" x14ac:dyDescent="0.2">
      <c r="A114" s="134" t="s">
        <v>628</v>
      </c>
      <c r="B114" s="134"/>
      <c r="C114" s="134"/>
      <c r="D114" s="134"/>
      <c r="E114" s="134"/>
      <c r="F114" s="134"/>
      <c r="G114" s="134"/>
      <c r="H114" s="134"/>
      <c r="I114" s="134"/>
      <c r="J114" s="134"/>
      <c r="K114" s="134"/>
      <c r="L114" s="134"/>
      <c r="M114" s="133"/>
      <c r="N114" s="133"/>
      <c r="O114" s="133"/>
      <c r="P114" s="133"/>
      <c r="Q114" s="133"/>
      <c r="R114" s="133"/>
      <c r="S114" s="133"/>
      <c r="T114" s="133"/>
      <c r="U114" s="133"/>
      <c r="V114" s="133"/>
      <c r="W114" s="133"/>
      <c r="X114" s="133"/>
      <c r="Y114" s="133"/>
      <c r="Z114" s="133"/>
      <c r="AA114" s="133"/>
      <c r="AB114" s="133"/>
      <c r="AC114" s="133"/>
      <c r="AD114" s="133"/>
      <c r="AE114" s="133"/>
      <c r="AF114" s="133"/>
      <c r="AG114" s="133"/>
      <c r="AH114" s="133"/>
      <c r="AI114" s="133"/>
      <c r="AJ114" s="133"/>
      <c r="AK114" s="133"/>
      <c r="AL114" s="133"/>
      <c r="AM114" s="133"/>
      <c r="AN114" s="133"/>
      <c r="AO114" s="133"/>
      <c r="AP114" s="133"/>
      <c r="AQ114" s="133"/>
      <c r="AR114" s="133"/>
      <c r="AS114" s="133"/>
      <c r="AT114" s="133"/>
      <c r="AU114" s="133"/>
      <c r="AV114" s="133"/>
      <c r="AW114" s="133"/>
      <c r="AX114" s="133"/>
      <c r="AY114" s="133"/>
      <c r="AZ114" s="133"/>
    </row>
    <row r="115" spans="1:52" x14ac:dyDescent="0.2">
      <c r="A115" s="37"/>
      <c r="C115" s="11"/>
      <c r="D115" s="11"/>
      <c r="E115" s="11"/>
      <c r="F115" s="11"/>
      <c r="G115" s="11"/>
      <c r="H115" s="11"/>
      <c r="I115" s="11"/>
      <c r="J115" s="11"/>
      <c r="K115" s="11"/>
      <c r="L115" s="11"/>
      <c r="M115" s="11"/>
      <c r="N115" s="11"/>
      <c r="O115" s="11"/>
      <c r="P115" s="11"/>
      <c r="Q115" s="11"/>
      <c r="R115" s="11"/>
      <c r="S115" s="11"/>
      <c r="T115" s="11"/>
      <c r="U115" s="11"/>
      <c r="V115" s="11"/>
      <c r="W115" s="11"/>
      <c r="X115" s="11"/>
      <c r="Y115" s="11"/>
      <c r="Z115" s="11"/>
      <c r="AA115" s="11"/>
      <c r="AB115" s="11"/>
      <c r="AC115" s="11"/>
      <c r="AD115" s="11"/>
      <c r="AE115" s="11"/>
      <c r="AF115" s="11"/>
      <c r="AG115" s="11"/>
      <c r="AH115" s="11"/>
      <c r="AI115" s="11"/>
    </row>
    <row r="116" spans="1:52" ht="17" x14ac:dyDescent="0.2">
      <c r="A116" s="40" t="s">
        <v>159</v>
      </c>
      <c r="B116" s="3" t="str">
        <f>B58</f>
        <v/>
      </c>
      <c r="C116" s="3" t="e">
        <f>IF(B116=0,0,VLOOKUP(B116,Listes!$C$7:$E$36,3,FALSE))</f>
        <v>#N/A</v>
      </c>
      <c r="L116" s="3" t="str">
        <f>K58</f>
        <v/>
      </c>
      <c r="M116" s="3" t="e">
        <f>IF(L116=0,0,VLOOKUP(L116,Listes!$C$7:$E$36,3,FALSE))</f>
        <v>#N/A</v>
      </c>
      <c r="V116" s="3" t="str">
        <f>T58</f>
        <v/>
      </c>
      <c r="W116" s="3" t="e">
        <f>IF(V116=0,0,VLOOKUP(V116,Listes!$C$7:$E$36,3,FALSE))</f>
        <v>#N/A</v>
      </c>
      <c r="AF116" s="3" t="str">
        <f>AC58</f>
        <v/>
      </c>
      <c r="AG116" s="3" t="e">
        <f>IF(AF116=0,0,VLOOKUP(AF116,Listes!$C$7:$E$36,3,FALSE))</f>
        <v>#N/A</v>
      </c>
    </row>
    <row r="117" spans="1:52" ht="16" customHeight="1" x14ac:dyDescent="0.2">
      <c r="A117" s="472" t="str">
        <f>CONCATENATE("ST_REF_",A57)</f>
        <v>ST_REF_C_ESS_1</v>
      </c>
      <c r="B117" s="3" t="s">
        <v>15</v>
      </c>
      <c r="C117" s="3" t="s">
        <v>127</v>
      </c>
      <c r="D117" s="3" t="s">
        <v>161</v>
      </c>
      <c r="E117" s="3" t="s">
        <v>162</v>
      </c>
      <c r="F117" s="3" t="s">
        <v>163</v>
      </c>
      <c r="G117" s="3" t="s">
        <v>81</v>
      </c>
      <c r="H117" s="3" t="s">
        <v>84</v>
      </c>
      <c r="I117" s="3" t="s">
        <v>83</v>
      </c>
      <c r="K117" s="472" t="str">
        <f>CONCATENATE("ST_REF_",J57)</f>
        <v>ST_REF_C_ESS_2</v>
      </c>
      <c r="L117" s="3" t="s">
        <v>15</v>
      </c>
      <c r="M117" s="3" t="s">
        <v>127</v>
      </c>
      <c r="N117" s="3" t="s">
        <v>161</v>
      </c>
      <c r="O117" s="3" t="s">
        <v>162</v>
      </c>
      <c r="P117" s="3" t="s">
        <v>163</v>
      </c>
      <c r="Q117" s="3" t="s">
        <v>81</v>
      </c>
      <c r="R117" s="3" t="s">
        <v>84</v>
      </c>
      <c r="S117" s="3" t="s">
        <v>83</v>
      </c>
      <c r="U117" s="472" t="str">
        <f>CONCATENATE("ST_REF_",S57)</f>
        <v>ST_REF_C_ESS_3</v>
      </c>
      <c r="V117" s="3" t="s">
        <v>15</v>
      </c>
      <c r="W117" s="3" t="s">
        <v>127</v>
      </c>
      <c r="X117" s="3" t="s">
        <v>161</v>
      </c>
      <c r="Y117" s="3" t="s">
        <v>162</v>
      </c>
      <c r="Z117" s="3" t="s">
        <v>163</v>
      </c>
      <c r="AA117" s="3" t="s">
        <v>81</v>
      </c>
      <c r="AB117" s="3" t="s">
        <v>84</v>
      </c>
      <c r="AC117" s="3" t="s">
        <v>83</v>
      </c>
      <c r="AE117" s="472" t="str">
        <f>CONCATENATE("ST_REF_",AB57)</f>
        <v>ST_REF_C_ESS_4</v>
      </c>
      <c r="AF117" s="3" t="s">
        <v>15</v>
      </c>
      <c r="AG117" s="3" t="s">
        <v>127</v>
      </c>
      <c r="AH117" s="3" t="s">
        <v>161</v>
      </c>
      <c r="AI117" s="3" t="s">
        <v>162</v>
      </c>
      <c r="AJ117" s="3" t="s">
        <v>163</v>
      </c>
      <c r="AK117" s="3" t="s">
        <v>81</v>
      </c>
      <c r="AL117" s="3" t="s">
        <v>84</v>
      </c>
      <c r="AM117" s="3" t="s">
        <v>83</v>
      </c>
      <c r="AO117" s="472" t="str">
        <f>CONCATENATE("RECAP_ST_REF_",C1)</f>
        <v>RECAP_ST_REF_C</v>
      </c>
      <c r="AP117" s="3" t="s">
        <v>15</v>
      </c>
      <c r="AQ117" s="3" t="s">
        <v>81</v>
      </c>
      <c r="AR117" s="3" t="s">
        <v>84</v>
      </c>
      <c r="AS117" s="3" t="s">
        <v>83</v>
      </c>
      <c r="AT117" s="3" t="s">
        <v>27</v>
      </c>
      <c r="AU117" s="3" t="s">
        <v>85</v>
      </c>
    </row>
    <row r="118" spans="1:52" x14ac:dyDescent="0.2">
      <c r="A118" s="472"/>
      <c r="B118" s="3">
        <v>1</v>
      </c>
      <c r="C118" s="45">
        <f t="shared" ref="C118:C137" si="45">D61</f>
        <v>0</v>
      </c>
      <c r="D118" s="45">
        <f>IF(OR(C118=0,C118=""),0,C118*C$58*0.475)</f>
        <v>0</v>
      </c>
      <c r="E118" s="45">
        <f>IF(OR(D118=0,D118="",B$116=0),0,D118*INDEX(Listes!$K$1:$Q$12,MATCH(B$116,Listes!$K$1:$K$12,0),MATCH(E$117,Listes!$K$1:$Q$1,0)))</f>
        <v>0</v>
      </c>
      <c r="F118" s="45">
        <f t="shared" ref="F118:F137" si="46">D118-E118</f>
        <v>0</v>
      </c>
      <c r="G118" s="45">
        <f>IF(OR(B$116=0,B$116=""),0,F118*INDEX(Listes!$K$15:$P$26,MATCH(B$116,Listes!$K$15:$K$26,0),MATCH(G$117,Listes!$K$15:$P$15,0))*INDEX(Listes!$K$29:$O$31,MATCH(C$116,Listes!$K$29:$K$31,0),MATCH(G$117,Listes!$K$29:$O$29,0)))</f>
        <v>0</v>
      </c>
      <c r="H118" s="45">
        <f>IF(OR(B$116=0,B$116=""),0,F118*INDEX(Listes!$K$15:$P$26,MATCH(B$116,Listes!$K$15:$K$26,0),MATCH(H$117,Listes!$K$15:$P$15,0))*INDEX(Listes!$K$29:$O$31,MATCH(C$116,Listes!$K$29:$K$31,0),MATCH(H$117,Listes!$K$29:$O$29,0)))</f>
        <v>0</v>
      </c>
      <c r="I118" s="45">
        <f>IF(OR(B$116=0,B$116=""),0,F118*INDEX(Listes!$K$15:$P$26,MATCH(B$116,Listes!$K$15:$K$26,0),MATCH(I$117,Listes!$K$15:$P$15,0))*INDEX(Listes!$K$29:$O$31,MATCH(C$116,Listes!$K$29:$K$31,0),MATCH(I$117,Listes!$K$29:$O$29,0)))</f>
        <v>0</v>
      </c>
      <c r="K118" s="472"/>
      <c r="L118" s="3">
        <v>1</v>
      </c>
      <c r="M118" s="45">
        <f t="shared" ref="M118:M137" si="47">M61</f>
        <v>0</v>
      </c>
      <c r="N118" s="45">
        <f t="shared" ref="N118:N137" si="48">IF(OR(M118=0,M118=""),0,M118*L$58*0.475)</f>
        <v>0</v>
      </c>
      <c r="O118" s="45">
        <f>IF(OR(N118=0,N118="",L$116=0),0,N118*INDEX(Listes!$K$1:$Q$12,MATCH(L$116,Listes!$K$1:$K$12,0),MATCH(O$117,Listes!$K$1:$Q$1,0)))</f>
        <v>0</v>
      </c>
      <c r="P118" s="45">
        <f t="shared" ref="P118:P137" si="49">N118-O118</f>
        <v>0</v>
      </c>
      <c r="Q118" s="45">
        <f>IF(OR(L$116=0,L$116=""),0,P118*INDEX(Listes!$K$15:$P$26,MATCH(L$116,Listes!$K$15:$K$26,0),MATCH(Q$117,Listes!$K$15:$P$15,0))*INDEX(Listes!$K$29:$O$31,MATCH(M$116,Listes!$K$29:$K$31,0),MATCH(Q$117,Listes!$K$29:$O$29,0)))</f>
        <v>0</v>
      </c>
      <c r="R118" s="45">
        <f>IF(OR(L$116=0,L$116=""),0,P118*INDEX(Listes!$K$15:$P$26,MATCH(L$116,Listes!$K$15:$K$26,0),MATCH(R$117,Listes!$K$15:$P$15,0))*INDEX(Listes!$K$29:$O$31,MATCH(M$116,Listes!$K$29:$K$31,0),MATCH(R$117,Listes!$K$29:$O$29,0)))</f>
        <v>0</v>
      </c>
      <c r="S118" s="45">
        <f>IF(OR(L$116=0,L$116=""),0,P118*INDEX(Listes!$K$15:$P$26,MATCH(L$116,Listes!$K$15:$K$26,0),MATCH(S$117,Listes!$K$15:$P$15,0))*INDEX(Listes!$K$29:$O$31,MATCH(M$116,Listes!$K$29:$K$31,0),MATCH(S$117,Listes!$K$29:$O$29,0)))</f>
        <v>0</v>
      </c>
      <c r="U118" s="472"/>
      <c r="V118" s="3">
        <v>1</v>
      </c>
      <c r="W118" s="45">
        <f t="shared" ref="W118:W137" si="50">V61</f>
        <v>0</v>
      </c>
      <c r="X118" s="45">
        <f t="shared" ref="X118:X137" si="51">IF(OR(W118=0,W118=""),0,W118*U$58*0.475)</f>
        <v>0</v>
      </c>
      <c r="Y118" s="45">
        <f>IF(OR(X118=0,X118="",V$116=0),0,X118*INDEX(Listes!$K$1:$Q$12,MATCH(V$116,Listes!$K$1:$K$12,0),MATCH(Y$117,Listes!$K$1:$Q$1,0)))</f>
        <v>0</v>
      </c>
      <c r="Z118" s="45">
        <f t="shared" ref="Z118:Z137" si="52">X118-Y118</f>
        <v>0</v>
      </c>
      <c r="AA118" s="45">
        <f>IF(OR(V$116=0,V$116=""),0,Z118*INDEX(Listes!$K$15:$P$26,MATCH(V$116,Listes!$K$15:$K$26,0),MATCH(AA$117,Listes!$K$15:$P$15,0))*INDEX(Listes!$K$29:$O$31,MATCH(W$116,Listes!$K$29:$K$31,0),MATCH(AA$117,Listes!$K$29:$O$29,0)))</f>
        <v>0</v>
      </c>
      <c r="AB118" s="45">
        <f>IF(OR(V$116=0,V$116=""),0,Z118*INDEX(Listes!$K$15:$P$26,MATCH(V$116,Listes!$K$15:$K$26,0),MATCH(AB$117,Listes!$K$15:$P$15,0))*INDEX(Listes!$K$29:$O$31,MATCH(W$116,Listes!$K$29:$K$31,0),MATCH(AB$117,Listes!$K$29:$O$29,0)))</f>
        <v>0</v>
      </c>
      <c r="AC118" s="45">
        <f>IF(OR(V$116=0,V$116=""),0,Z118*INDEX(Listes!$K$15:$P$26,MATCH(V$116,Listes!$K$15:$K$26,0),MATCH(AC$117,Listes!$K$15:$P$15,0))*INDEX(Listes!$K$29:$O$31,MATCH(W$116,Listes!$K$29:$K$31,0),MATCH(AC$117,Listes!$K$29:$O$29,0)))</f>
        <v>0</v>
      </c>
      <c r="AE118" s="472"/>
      <c r="AF118" s="3">
        <v>1</v>
      </c>
      <c r="AG118" s="45">
        <f t="shared" ref="AG118:AG137" si="53">AE61</f>
        <v>0</v>
      </c>
      <c r="AH118" s="45">
        <f t="shared" ref="AH118:AH137" si="54">IF(OR(AG118=0,AG118=""),0,AG118*AD$58*0.475)</f>
        <v>0</v>
      </c>
      <c r="AI118" s="45">
        <f>IF(OR(AH118=0,AH118="",AF$116=0),0,AH118*INDEX(Listes!$K$1:$Q$12,MATCH(AF$116,Listes!$K$1:$K$12,0),MATCH(AI$117,Listes!$K$1:$Q$1,0)))</f>
        <v>0</v>
      </c>
      <c r="AJ118" s="45">
        <f t="shared" ref="AJ118:AJ137" si="55">AH118-AI118</f>
        <v>0</v>
      </c>
      <c r="AK118" s="45">
        <f>IF(OR(AF$116=0,AF$116=""),0,AJ118*INDEX(Listes!$K$15:$P$26,MATCH(AF$116,Listes!$K$15:$K$26,0),MATCH(AK$117,Listes!$K$15:$P$15,0))*INDEX(Listes!$K$29:$O$31,MATCH(AG$116,Listes!$K$29:$K$31,0),MATCH(AK$117,Listes!$K$29:$O$29,0)))</f>
        <v>0</v>
      </c>
      <c r="AL118" s="45">
        <f>IF(OR(AF$116=0,AF$116=""),0,AJ118*INDEX(Listes!$K$15:$P$26,MATCH(AF$116,Listes!$K$15:$K$26,0),MATCH(AL$117,Listes!$K$15:$P$15,0))*INDEX(Listes!$K$29:$O$31,MATCH(AG$116,Listes!$K$29:$K$31,0),MATCH(AL$117,Listes!$K$29:$O$29,0)))</f>
        <v>0</v>
      </c>
      <c r="AM118" s="45">
        <f>IF(OR(AF$116=0,AF$116=""),0,AJ118*INDEX(Listes!$K$15:$P$26,MATCH(AF$116,Listes!$K$15:$K$26,0),MATCH(AM$117,Listes!$K$15:$P$15,0))*INDEX(Listes!$K$29:$O$31,MATCH(AG$116,Listes!$K$29:$K$31,0),MATCH(AM$117,Listes!$K$29:$O$29,0)))</f>
        <v>0</v>
      </c>
      <c r="AN118" s="45"/>
      <c r="AO118" s="472"/>
      <c r="AP118" s="3">
        <v>1</v>
      </c>
      <c r="AQ118" s="11">
        <f t="shared" ref="AQ118:AS137" si="56">SUM(G118,Q118,AA118,AK118)</f>
        <v>0</v>
      </c>
      <c r="AR118" s="11">
        <f t="shared" si="56"/>
        <v>0</v>
      </c>
      <c r="AS118" s="11">
        <f t="shared" si="56"/>
        <v>0</v>
      </c>
      <c r="AT118" s="11">
        <f>AQ118*VLOOKUP(AQ$117,Tableau17[],4,FALSE)+AR118*VLOOKUP(AR$117,Tableau17[],4,FALSE)+AS118*VLOOKUP(AS$117,Tableau17[],4,FALSE)</f>
        <v>0</v>
      </c>
      <c r="AU118" s="11">
        <f>AQ118*VLOOKUP(AQ$117,Tableau17[],3,FALSE)+AR118*VLOOKUP(AR$117,Tableau17[],3,FALSE)+AS118*VLOOKUP(AS$117,Tableau17[],3,FALSE)</f>
        <v>0</v>
      </c>
      <c r="AW118" s="11"/>
      <c r="AX118" s="113"/>
    </row>
    <row r="119" spans="1:52" x14ac:dyDescent="0.2">
      <c r="A119" s="472"/>
      <c r="B119" s="3">
        <v>2</v>
      </c>
      <c r="C119" s="45">
        <f t="shared" si="45"/>
        <v>0</v>
      </c>
      <c r="D119" s="45">
        <f t="shared" ref="D119:D137" si="57">IF(OR(C119=0,C119=""),0,C119*C$58*0.475)</f>
        <v>0</v>
      </c>
      <c r="E119" s="45">
        <f>IF(OR(D119=0,D119="",B$116=0),0,D119*INDEX(Listes!$K$1:$Q$12,MATCH(B$116,Listes!$K$1:$K$12,0),MATCH(E$117,Listes!$K$1:$Q$1,0)))</f>
        <v>0</v>
      </c>
      <c r="F119" s="45">
        <f t="shared" si="46"/>
        <v>0</v>
      </c>
      <c r="G119" s="11">
        <f>IF(OR(B$116=0,B$116=""),0,F119*INDEX(Listes!$K$15:$P$26,MATCH(B$116,Listes!$K$15:$K$26,0),MATCH(G$117,Listes!$K$15:$P$15,0))*INDEX(Listes!$K$29:$O$31,MATCH(C$116,Listes!$K$29:$K$31,0),MATCH(G$117,Listes!$K$29:$O$29,0)))</f>
        <v>0</v>
      </c>
      <c r="H119" s="45">
        <f>IF(OR(B$116=0,B$116=""),0,F119*INDEX(Listes!$K$15:$P$26,MATCH(B$116,Listes!$K$15:$K$26,0),MATCH(H$117,Listes!$K$15:$P$15,0))*INDEX(Listes!$K$29:$O$31,MATCH(C$116,Listes!$K$29:$K$31,0),MATCH(H$117,Listes!$K$29:$O$29,0)))</f>
        <v>0</v>
      </c>
      <c r="I119" s="45">
        <f>IF(OR(B$116=0,B$116=""),0,F119*INDEX(Listes!$K$15:$P$26,MATCH(B$116,Listes!$K$15:$K$26,0),MATCH(I$117,Listes!$K$15:$P$15,0))*INDEX(Listes!$K$29:$O$31,MATCH(C$116,Listes!$K$29:$K$31,0),MATCH(I$117,Listes!$K$29:$O$29,0)))</f>
        <v>0</v>
      </c>
      <c r="K119" s="472"/>
      <c r="L119" s="3">
        <v>2</v>
      </c>
      <c r="M119" s="45">
        <f t="shared" si="47"/>
        <v>0</v>
      </c>
      <c r="N119" s="45">
        <f t="shared" si="48"/>
        <v>0</v>
      </c>
      <c r="O119" s="45">
        <f>IF(OR(N119=0,N119="",L$116=0),0,N119*INDEX(Listes!$K$1:$Q$12,MATCH(L$116,Listes!$K$1:$K$12,0),MATCH(O$117,Listes!$K$1:$Q$1,0)))</f>
        <v>0</v>
      </c>
      <c r="P119" s="45">
        <f t="shared" si="49"/>
        <v>0</v>
      </c>
      <c r="Q119" s="11">
        <f>IF(OR(L$116=0,L$116=""),0,P119*INDEX(Listes!$K$15:$P$26,MATCH(L$116,Listes!$K$15:$K$26,0),MATCH(Q$117,Listes!$K$15:$P$15,0))*INDEX(Listes!$K$29:$O$31,MATCH(M$116,Listes!$K$29:$K$31,0),MATCH(Q$117,Listes!$K$29:$O$29,0)))</f>
        <v>0</v>
      </c>
      <c r="R119" s="45">
        <f>IF(OR(L$116=0,L$116=""),0,P119*INDEX(Listes!$K$15:$P$26,MATCH(L$116,Listes!$K$15:$K$26,0),MATCH(R$117,Listes!$K$15:$P$15,0))*INDEX(Listes!$K$29:$O$31,MATCH(M$116,Listes!$K$29:$K$31,0),MATCH(R$117,Listes!$K$29:$O$29,0)))</f>
        <v>0</v>
      </c>
      <c r="S119" s="45">
        <f>IF(OR(L$116=0,L$116=""),0,P119*INDEX(Listes!$K$15:$P$26,MATCH(L$116,Listes!$K$15:$K$26,0),MATCH(S$117,Listes!$K$15:$P$15,0))*INDEX(Listes!$K$29:$O$31,MATCH(M$116,Listes!$K$29:$K$31,0),MATCH(S$117,Listes!$K$29:$O$29,0)))</f>
        <v>0</v>
      </c>
      <c r="U119" s="472"/>
      <c r="V119" s="3">
        <v>2</v>
      </c>
      <c r="W119" s="45">
        <f t="shared" si="50"/>
        <v>0</v>
      </c>
      <c r="X119" s="45">
        <f t="shared" si="51"/>
        <v>0</v>
      </c>
      <c r="Y119" s="45">
        <f>IF(OR(X119=0,X119="",V$116=0),0,X119*INDEX(Listes!$K$1:$Q$12,MATCH(V$116,Listes!$K$1:$K$12,0),MATCH(Y$117,Listes!$K$1:$Q$1,0)))</f>
        <v>0</v>
      </c>
      <c r="Z119" s="45">
        <f t="shared" si="52"/>
        <v>0</v>
      </c>
      <c r="AA119" s="11">
        <f>IF(OR(V$116=0,V$116=""),0,Z119*INDEX(Listes!$K$15:$P$26,MATCH(V$116,Listes!$K$15:$K$26,0),MATCH(AA$117,Listes!$K$15:$P$15,0))*INDEX(Listes!$K$29:$O$31,MATCH(W$116,Listes!$K$29:$K$31,0),MATCH(AA$117,Listes!$K$29:$O$29,0)))</f>
        <v>0</v>
      </c>
      <c r="AB119" s="45">
        <f>IF(OR(V$116=0,V$116=""),0,Z119*INDEX(Listes!$K$15:$P$26,MATCH(V$116,Listes!$K$15:$K$26,0),MATCH(AB$117,Listes!$K$15:$P$15,0))*INDEX(Listes!$K$29:$O$31,MATCH(W$116,Listes!$K$29:$K$31,0),MATCH(AB$117,Listes!$K$29:$O$29,0)))</f>
        <v>0</v>
      </c>
      <c r="AC119" s="45">
        <f>IF(OR(V$116=0,V$116=""),0,Z119*INDEX(Listes!$K$15:$P$26,MATCH(V$116,Listes!$K$15:$K$26,0),MATCH(AC$117,Listes!$K$15:$P$15,0))*INDEX(Listes!$K$29:$O$31,MATCH(W$116,Listes!$K$29:$K$31,0),MATCH(AC$117,Listes!$K$29:$O$29,0)))</f>
        <v>0</v>
      </c>
      <c r="AE119" s="472"/>
      <c r="AF119" s="3">
        <v>2</v>
      </c>
      <c r="AG119" s="45">
        <f t="shared" si="53"/>
        <v>0</v>
      </c>
      <c r="AH119" s="45">
        <f t="shared" si="54"/>
        <v>0</v>
      </c>
      <c r="AI119" s="45">
        <f>IF(OR(AH119=0,AH119="",AF$116=0),0,AH119*INDEX(Listes!$K$1:$Q$12,MATCH(AF$116,Listes!$K$1:$K$12,0),MATCH(AI$117,Listes!$K$1:$Q$1,0)))</f>
        <v>0</v>
      </c>
      <c r="AJ119" s="45">
        <f t="shared" si="55"/>
        <v>0</v>
      </c>
      <c r="AK119" s="11">
        <f>IF(OR(AF$116=0,AF$116=""),0,AJ119*INDEX(Listes!$K$15:$P$26,MATCH(AF$116,Listes!$K$15:$K$26,0),MATCH(AK$117,Listes!$K$15:$P$15,0))*INDEX(Listes!$K$29:$O$31,MATCH(AG$116,Listes!$K$29:$K$31,0),MATCH(AK$117,Listes!$K$29:$O$29,0)))</f>
        <v>0</v>
      </c>
      <c r="AL119" s="45">
        <f>IF(OR(AF$116=0,AF$116=""),0,AJ119*INDEX(Listes!$K$15:$P$26,MATCH(AF$116,Listes!$K$15:$K$26,0),MATCH(AL$117,Listes!$K$15:$P$15,0))*INDEX(Listes!$K$29:$O$31,MATCH(AG$116,Listes!$K$29:$K$31,0),MATCH(AL$117,Listes!$K$29:$O$29,0)))</f>
        <v>0</v>
      </c>
      <c r="AM119" s="45">
        <f>IF(OR(AF$116=0,AF$116=""),0,AJ119*INDEX(Listes!$K$15:$P$26,MATCH(AF$116,Listes!$K$15:$K$26,0),MATCH(AM$117,Listes!$K$15:$P$15,0))*INDEX(Listes!$K$29:$O$31,MATCH(AG$116,Listes!$K$29:$K$31,0),MATCH(AM$117,Listes!$K$29:$O$29,0)))</f>
        <v>0</v>
      </c>
      <c r="AN119" s="45"/>
      <c r="AO119" s="472"/>
      <c r="AP119" s="3">
        <v>2</v>
      </c>
      <c r="AQ119" s="11">
        <f t="shared" si="56"/>
        <v>0</v>
      </c>
      <c r="AR119" s="11">
        <f t="shared" si="56"/>
        <v>0</v>
      </c>
      <c r="AS119" s="11">
        <f t="shared" si="56"/>
        <v>0</v>
      </c>
      <c r="AT119" s="11">
        <f>AQ119*VLOOKUP(AQ$117,Tableau17[],4,FALSE)+AR119*VLOOKUP(AR$117,Tableau17[],4,FALSE)+AS119*VLOOKUP(AS$117,Tableau17[],4,FALSE)</f>
        <v>0</v>
      </c>
      <c r="AU119" s="11">
        <f>AQ119*VLOOKUP(AQ$117,Tableau17[],3,FALSE)+AR119*VLOOKUP(AR$117,Tableau17[],3,FALSE)+AS119*VLOOKUP(AS$117,Tableau17[],3,FALSE)</f>
        <v>0</v>
      </c>
      <c r="AW119" s="11"/>
      <c r="AX119" s="113"/>
    </row>
    <row r="120" spans="1:52" x14ac:dyDescent="0.2">
      <c r="A120" s="472"/>
      <c r="B120" s="3">
        <v>3</v>
      </c>
      <c r="C120" s="45">
        <f t="shared" si="45"/>
        <v>0</v>
      </c>
      <c r="D120" s="11">
        <f t="shared" si="57"/>
        <v>0</v>
      </c>
      <c r="E120" s="45">
        <f>IF(OR(D120=0,D120="",B$116=0),0,D120*INDEX(Listes!$K$1:$Q$12,MATCH(B$116,Listes!$K$1:$K$12,0),MATCH(E$117,Listes!$K$1:$Q$1,0)))</f>
        <v>0</v>
      </c>
      <c r="F120" s="45">
        <f t="shared" si="46"/>
        <v>0</v>
      </c>
      <c r="G120" s="11">
        <f>IF(OR(B$116=0,B$116=""),0,F120*INDEX(Listes!$K$15:$P$26,MATCH(B$116,Listes!$K$15:$K$26,0),MATCH(G$117,Listes!$K$15:$P$15,0))*INDEX(Listes!$K$29:$O$31,MATCH(C$116,Listes!$K$29:$K$31,0),MATCH(G$117,Listes!$K$29:$O$29,0)))</f>
        <v>0</v>
      </c>
      <c r="H120" s="45">
        <f>IF(OR(B$116=0,B$116=""),0,F120*INDEX(Listes!$K$15:$P$26,MATCH(B$116,Listes!$K$15:$K$26,0),MATCH(H$117,Listes!$K$15:$P$15,0))*INDEX(Listes!$K$29:$O$31,MATCH(C$116,Listes!$K$29:$K$31,0),MATCH(H$117,Listes!$K$29:$O$29,0)))</f>
        <v>0</v>
      </c>
      <c r="I120" s="45">
        <f>IF(OR(B$116=0,B$116=""),0,F120*INDEX(Listes!$K$15:$P$26,MATCH(B$116,Listes!$K$15:$K$26,0),MATCH(I$117,Listes!$K$15:$P$15,0))*INDEX(Listes!$K$29:$O$31,MATCH(C$116,Listes!$K$29:$K$31,0),MATCH(I$117,Listes!$K$29:$O$29,0)))</f>
        <v>0</v>
      </c>
      <c r="K120" s="472"/>
      <c r="L120" s="3">
        <v>3</v>
      </c>
      <c r="M120" s="45">
        <f t="shared" si="47"/>
        <v>0</v>
      </c>
      <c r="N120" s="11">
        <f t="shared" si="48"/>
        <v>0</v>
      </c>
      <c r="O120" s="45">
        <f>IF(OR(N120=0,N120="",L$116=0),0,N120*INDEX(Listes!$K$1:$Q$12,MATCH(L$116,Listes!$K$1:$K$12,0),MATCH(O$117,Listes!$K$1:$Q$1,0)))</f>
        <v>0</v>
      </c>
      <c r="P120" s="45">
        <f t="shared" si="49"/>
        <v>0</v>
      </c>
      <c r="Q120" s="11">
        <f>IF(OR(L$116=0,L$116=""),0,P120*INDEX(Listes!$K$15:$P$26,MATCH(L$116,Listes!$K$15:$K$26,0),MATCH(Q$117,Listes!$K$15:$P$15,0))*INDEX(Listes!$K$29:$O$31,MATCH(M$116,Listes!$K$29:$K$31,0),MATCH(Q$117,Listes!$K$29:$O$29,0)))</f>
        <v>0</v>
      </c>
      <c r="R120" s="45">
        <f>IF(OR(L$116=0,L$116=""),0,P120*INDEX(Listes!$K$15:$P$26,MATCH(L$116,Listes!$K$15:$K$26,0),MATCH(R$117,Listes!$K$15:$P$15,0))*INDEX(Listes!$K$29:$O$31,MATCH(M$116,Listes!$K$29:$K$31,0),MATCH(R$117,Listes!$K$29:$O$29,0)))</f>
        <v>0</v>
      </c>
      <c r="S120" s="45">
        <f>IF(OR(L$116=0,L$116=""),0,P120*INDEX(Listes!$K$15:$P$26,MATCH(L$116,Listes!$K$15:$K$26,0),MATCH(S$117,Listes!$K$15:$P$15,0))*INDEX(Listes!$K$29:$O$31,MATCH(M$116,Listes!$K$29:$K$31,0),MATCH(S$117,Listes!$K$29:$O$29,0)))</f>
        <v>0</v>
      </c>
      <c r="U120" s="472"/>
      <c r="V120" s="3">
        <v>3</v>
      </c>
      <c r="W120" s="45">
        <f t="shared" si="50"/>
        <v>0</v>
      </c>
      <c r="X120" s="11">
        <f t="shared" si="51"/>
        <v>0</v>
      </c>
      <c r="Y120" s="45">
        <f>IF(OR(X120=0,X120="",V$116=0),0,X120*INDEX(Listes!$K$1:$Q$12,MATCH(V$116,Listes!$K$1:$K$12,0),MATCH(Y$117,Listes!$K$1:$Q$1,0)))</f>
        <v>0</v>
      </c>
      <c r="Z120" s="45">
        <f t="shared" si="52"/>
        <v>0</v>
      </c>
      <c r="AA120" s="11">
        <f>IF(OR(V$116=0,V$116=""),0,Z120*INDEX(Listes!$K$15:$P$26,MATCH(V$116,Listes!$K$15:$K$26,0),MATCH(AA$117,Listes!$K$15:$P$15,0))*INDEX(Listes!$K$29:$O$31,MATCH(W$116,Listes!$K$29:$K$31,0),MATCH(AA$117,Listes!$K$29:$O$29,0)))</f>
        <v>0</v>
      </c>
      <c r="AB120" s="45">
        <f>IF(OR(V$116=0,V$116=""),0,Z120*INDEX(Listes!$K$15:$P$26,MATCH(V$116,Listes!$K$15:$K$26,0),MATCH(AB$117,Listes!$K$15:$P$15,0))*INDEX(Listes!$K$29:$O$31,MATCH(W$116,Listes!$K$29:$K$31,0),MATCH(AB$117,Listes!$K$29:$O$29,0)))</f>
        <v>0</v>
      </c>
      <c r="AC120" s="45">
        <f>IF(OR(V$116=0,V$116=""),0,Z120*INDEX(Listes!$K$15:$P$26,MATCH(V$116,Listes!$K$15:$K$26,0),MATCH(AC$117,Listes!$K$15:$P$15,0))*INDEX(Listes!$K$29:$O$31,MATCH(W$116,Listes!$K$29:$K$31,0),MATCH(AC$117,Listes!$K$29:$O$29,0)))</f>
        <v>0</v>
      </c>
      <c r="AE120" s="472"/>
      <c r="AF120" s="3">
        <v>3</v>
      </c>
      <c r="AG120" s="45">
        <f t="shared" si="53"/>
        <v>0</v>
      </c>
      <c r="AH120" s="11">
        <f t="shared" si="54"/>
        <v>0</v>
      </c>
      <c r="AI120" s="45">
        <f>IF(OR(AH120=0,AH120="",AF$116=0),0,AH120*INDEX(Listes!$K$1:$Q$12,MATCH(AF$116,Listes!$K$1:$K$12,0),MATCH(AI$117,Listes!$K$1:$Q$1,0)))</f>
        <v>0</v>
      </c>
      <c r="AJ120" s="45">
        <f t="shared" si="55"/>
        <v>0</v>
      </c>
      <c r="AK120" s="11">
        <f>IF(OR(AF$116=0,AF$116=""),0,AJ120*INDEX(Listes!$K$15:$P$26,MATCH(AF$116,Listes!$K$15:$K$26,0),MATCH(AK$117,Listes!$K$15:$P$15,0))*INDEX(Listes!$K$29:$O$31,MATCH(AG$116,Listes!$K$29:$K$31,0),MATCH(AK$117,Listes!$K$29:$O$29,0)))</f>
        <v>0</v>
      </c>
      <c r="AL120" s="45">
        <f>IF(OR(AF$116=0,AF$116=""),0,AJ120*INDEX(Listes!$K$15:$P$26,MATCH(AF$116,Listes!$K$15:$K$26,0),MATCH(AL$117,Listes!$K$15:$P$15,0))*INDEX(Listes!$K$29:$O$31,MATCH(AG$116,Listes!$K$29:$K$31,0),MATCH(AL$117,Listes!$K$29:$O$29,0)))</f>
        <v>0</v>
      </c>
      <c r="AM120" s="45">
        <f>IF(OR(AF$116=0,AF$116=""),0,AJ120*INDEX(Listes!$K$15:$P$26,MATCH(AF$116,Listes!$K$15:$K$26,0),MATCH(AM$117,Listes!$K$15:$P$15,0))*INDEX(Listes!$K$29:$O$31,MATCH(AG$116,Listes!$K$29:$K$31,0),MATCH(AM$117,Listes!$K$29:$O$29,0)))</f>
        <v>0</v>
      </c>
      <c r="AN120" s="45"/>
      <c r="AO120" s="472"/>
      <c r="AP120" s="3">
        <v>3</v>
      </c>
      <c r="AQ120" s="11">
        <f t="shared" si="56"/>
        <v>0</v>
      </c>
      <c r="AR120" s="11">
        <f t="shared" si="56"/>
        <v>0</v>
      </c>
      <c r="AS120" s="11">
        <f t="shared" si="56"/>
        <v>0</v>
      </c>
      <c r="AT120" s="11">
        <f>AQ120*VLOOKUP(AQ$117,Tableau17[],4,FALSE)+AR120*VLOOKUP(AR$117,Tableau17[],4,FALSE)+AS120*VLOOKUP(AS$117,Tableau17[],4,FALSE)</f>
        <v>0</v>
      </c>
      <c r="AU120" s="11">
        <f>AQ120*VLOOKUP(AQ$117,Tableau17[],3,FALSE)+AR120*VLOOKUP(AR$117,Tableau17[],3,FALSE)+AS120*VLOOKUP(AS$117,Tableau17[],3,FALSE)</f>
        <v>0</v>
      </c>
      <c r="AW120" s="11"/>
      <c r="AX120" s="113"/>
    </row>
    <row r="121" spans="1:52" x14ac:dyDescent="0.2">
      <c r="A121" s="472"/>
      <c r="B121" s="3">
        <v>4</v>
      </c>
      <c r="C121" s="45">
        <f t="shared" si="45"/>
        <v>0</v>
      </c>
      <c r="D121" s="11">
        <f t="shared" si="57"/>
        <v>0</v>
      </c>
      <c r="E121" s="45">
        <f>IF(OR(D121=0,D121="",B$116=0),0,D121*INDEX(Listes!$K$1:$Q$12,MATCH(B$116,Listes!$K$1:$K$12,0),MATCH(E$117,Listes!$K$1:$Q$1,0)))</f>
        <v>0</v>
      </c>
      <c r="F121" s="45">
        <f t="shared" si="46"/>
        <v>0</v>
      </c>
      <c r="G121" s="11">
        <f>IF(OR(B$116=0,B$116=""),0,F121*INDEX(Listes!$K$15:$P$26,MATCH(B$116,Listes!$K$15:$K$26,0),MATCH(G$117,Listes!$K$15:$P$15,0))*INDEX(Listes!$K$29:$O$31,MATCH(C$116,Listes!$K$29:$K$31,0),MATCH(G$117,Listes!$K$29:$O$29,0)))</f>
        <v>0</v>
      </c>
      <c r="H121" s="45">
        <f>IF(OR(B$116=0,B$116=""),0,F121*INDEX(Listes!$K$15:$P$26,MATCH(B$116,Listes!$K$15:$K$26,0),MATCH(H$117,Listes!$K$15:$P$15,0))*INDEX(Listes!$K$29:$O$31,MATCH(C$116,Listes!$K$29:$K$31,0),MATCH(H$117,Listes!$K$29:$O$29,0)))</f>
        <v>0</v>
      </c>
      <c r="I121" s="45">
        <f>IF(OR(B$116=0,B$116=""),0,F121*INDEX(Listes!$K$15:$P$26,MATCH(B$116,Listes!$K$15:$K$26,0),MATCH(I$117,Listes!$K$15:$P$15,0))*INDEX(Listes!$K$29:$O$31,MATCH(C$116,Listes!$K$29:$K$31,0),MATCH(I$117,Listes!$K$29:$O$29,0)))</f>
        <v>0</v>
      </c>
      <c r="K121" s="472"/>
      <c r="L121" s="3">
        <v>4</v>
      </c>
      <c r="M121" s="45">
        <f t="shared" si="47"/>
        <v>0</v>
      </c>
      <c r="N121" s="11">
        <f t="shared" si="48"/>
        <v>0</v>
      </c>
      <c r="O121" s="45">
        <f>IF(OR(N121=0,N121="",L$116=0),0,N121*INDEX(Listes!$K$1:$Q$12,MATCH(L$116,Listes!$K$1:$K$12,0),MATCH(O$117,Listes!$K$1:$Q$1,0)))</f>
        <v>0</v>
      </c>
      <c r="P121" s="45">
        <f t="shared" si="49"/>
        <v>0</v>
      </c>
      <c r="Q121" s="11">
        <f>IF(OR(L$116=0,L$116=""),0,P121*INDEX(Listes!$K$15:$P$26,MATCH(L$116,Listes!$K$15:$K$26,0),MATCH(Q$117,Listes!$K$15:$P$15,0))*INDEX(Listes!$K$29:$O$31,MATCH(M$116,Listes!$K$29:$K$31,0),MATCH(Q$117,Listes!$K$29:$O$29,0)))</f>
        <v>0</v>
      </c>
      <c r="R121" s="45">
        <f>IF(OR(L$116=0,L$116=""),0,P121*INDEX(Listes!$K$15:$P$26,MATCH(L$116,Listes!$K$15:$K$26,0),MATCH(R$117,Listes!$K$15:$P$15,0))*INDEX(Listes!$K$29:$O$31,MATCH(M$116,Listes!$K$29:$K$31,0),MATCH(R$117,Listes!$K$29:$O$29,0)))</f>
        <v>0</v>
      </c>
      <c r="S121" s="45">
        <f>IF(OR(L$116=0,L$116=""),0,P121*INDEX(Listes!$K$15:$P$26,MATCH(L$116,Listes!$K$15:$K$26,0),MATCH(S$117,Listes!$K$15:$P$15,0))*INDEX(Listes!$K$29:$O$31,MATCH(M$116,Listes!$K$29:$K$31,0),MATCH(S$117,Listes!$K$29:$O$29,0)))</f>
        <v>0</v>
      </c>
      <c r="U121" s="472"/>
      <c r="V121" s="3">
        <v>4</v>
      </c>
      <c r="W121" s="45">
        <f t="shared" si="50"/>
        <v>0</v>
      </c>
      <c r="X121" s="11">
        <f t="shared" si="51"/>
        <v>0</v>
      </c>
      <c r="Y121" s="45">
        <f>IF(OR(X121=0,X121="",V$116=0),0,X121*INDEX(Listes!$K$1:$Q$12,MATCH(V$116,Listes!$K$1:$K$12,0),MATCH(Y$117,Listes!$K$1:$Q$1,0)))</f>
        <v>0</v>
      </c>
      <c r="Z121" s="45">
        <f t="shared" si="52"/>
        <v>0</v>
      </c>
      <c r="AA121" s="11">
        <f>IF(OR(V$116=0,V$116=""),0,Z121*INDEX(Listes!$K$15:$P$26,MATCH(V$116,Listes!$K$15:$K$26,0),MATCH(AA$117,Listes!$K$15:$P$15,0))*INDEX(Listes!$K$29:$O$31,MATCH(W$116,Listes!$K$29:$K$31,0),MATCH(AA$117,Listes!$K$29:$O$29,0)))</f>
        <v>0</v>
      </c>
      <c r="AB121" s="45">
        <f>IF(OR(V$116=0,V$116=""),0,Z121*INDEX(Listes!$K$15:$P$26,MATCH(V$116,Listes!$K$15:$K$26,0),MATCH(AB$117,Listes!$K$15:$P$15,0))*INDEX(Listes!$K$29:$O$31,MATCH(W$116,Listes!$K$29:$K$31,0),MATCH(AB$117,Listes!$K$29:$O$29,0)))</f>
        <v>0</v>
      </c>
      <c r="AC121" s="45">
        <f>IF(OR(V$116=0,V$116=""),0,Z121*INDEX(Listes!$K$15:$P$26,MATCH(V$116,Listes!$K$15:$K$26,0),MATCH(AC$117,Listes!$K$15:$P$15,0))*INDEX(Listes!$K$29:$O$31,MATCH(W$116,Listes!$K$29:$K$31,0),MATCH(AC$117,Listes!$K$29:$O$29,0)))</f>
        <v>0</v>
      </c>
      <c r="AE121" s="472"/>
      <c r="AF121" s="3">
        <v>4</v>
      </c>
      <c r="AG121" s="45">
        <f t="shared" si="53"/>
        <v>0</v>
      </c>
      <c r="AH121" s="11">
        <f t="shared" si="54"/>
        <v>0</v>
      </c>
      <c r="AI121" s="45">
        <f>IF(OR(AH121=0,AH121="",AF$116=0),0,AH121*INDEX(Listes!$K$1:$Q$12,MATCH(AF$116,Listes!$K$1:$K$12,0),MATCH(AI$117,Listes!$K$1:$Q$1,0)))</f>
        <v>0</v>
      </c>
      <c r="AJ121" s="45">
        <f t="shared" si="55"/>
        <v>0</v>
      </c>
      <c r="AK121" s="11">
        <f>IF(OR(AF$116=0,AF$116=""),0,AJ121*INDEX(Listes!$K$15:$P$26,MATCH(AF$116,Listes!$K$15:$K$26,0),MATCH(AK$117,Listes!$K$15:$P$15,0))*INDEX(Listes!$K$29:$O$31,MATCH(AG$116,Listes!$K$29:$K$31,0),MATCH(AK$117,Listes!$K$29:$O$29,0)))</f>
        <v>0</v>
      </c>
      <c r="AL121" s="45">
        <f>IF(OR(AF$116=0,AF$116=""),0,AJ121*INDEX(Listes!$K$15:$P$26,MATCH(AF$116,Listes!$K$15:$K$26,0),MATCH(AL$117,Listes!$K$15:$P$15,0))*INDEX(Listes!$K$29:$O$31,MATCH(AG$116,Listes!$K$29:$K$31,0),MATCH(AL$117,Listes!$K$29:$O$29,0)))</f>
        <v>0</v>
      </c>
      <c r="AM121" s="45">
        <f>IF(OR(AF$116=0,AF$116=""),0,AJ121*INDEX(Listes!$K$15:$P$26,MATCH(AF$116,Listes!$K$15:$K$26,0),MATCH(AM$117,Listes!$K$15:$P$15,0))*INDEX(Listes!$K$29:$O$31,MATCH(AG$116,Listes!$K$29:$K$31,0),MATCH(AM$117,Listes!$K$29:$O$29,0)))</f>
        <v>0</v>
      </c>
      <c r="AN121" s="45"/>
      <c r="AO121" s="472"/>
      <c r="AP121" s="3">
        <v>4</v>
      </c>
      <c r="AQ121" s="11">
        <f t="shared" si="56"/>
        <v>0</v>
      </c>
      <c r="AR121" s="11">
        <f t="shared" si="56"/>
        <v>0</v>
      </c>
      <c r="AS121" s="11">
        <f t="shared" si="56"/>
        <v>0</v>
      </c>
      <c r="AT121" s="11">
        <f>AQ121*VLOOKUP(AQ$117,Tableau17[],4,FALSE)+AR121*VLOOKUP(AR$117,Tableau17[],4,FALSE)+AS121*VLOOKUP(AS$117,Tableau17[],4,FALSE)</f>
        <v>0</v>
      </c>
      <c r="AU121" s="11">
        <f>AQ121*VLOOKUP(AQ$117,Tableau17[],3,FALSE)+AR121*VLOOKUP(AR$117,Tableau17[],3,FALSE)+AS121*VLOOKUP(AS$117,Tableau17[],3,FALSE)</f>
        <v>0</v>
      </c>
      <c r="AW121" s="11"/>
      <c r="AX121" s="113"/>
    </row>
    <row r="122" spans="1:52" x14ac:dyDescent="0.2">
      <c r="A122" s="472"/>
      <c r="B122" s="3">
        <v>5</v>
      </c>
      <c r="C122" s="45">
        <f t="shared" si="45"/>
        <v>0</v>
      </c>
      <c r="D122" s="11">
        <f t="shared" si="57"/>
        <v>0</v>
      </c>
      <c r="E122" s="45">
        <f>IF(OR(D122=0,D122="",B$116=0),0,D122*INDEX(Listes!$K$1:$Q$12,MATCH(B$116,Listes!$K$1:$K$12,0),MATCH(E$117,Listes!$K$1:$Q$1,0)))</f>
        <v>0</v>
      </c>
      <c r="F122" s="45">
        <f t="shared" si="46"/>
        <v>0</v>
      </c>
      <c r="G122" s="11">
        <f>IF(OR(B$116=0,B$116=""),0,F122*INDEX(Listes!$K$15:$P$26,MATCH(B$116,Listes!$K$15:$K$26,0),MATCH(G$117,Listes!$K$15:$P$15,0))*INDEX(Listes!$K$29:$O$31,MATCH(C$116,Listes!$K$29:$K$31,0),MATCH(G$117,Listes!$K$29:$O$29,0)))</f>
        <v>0</v>
      </c>
      <c r="H122" s="45">
        <f>IF(OR(B$116=0,B$116=""),0,F122*INDEX(Listes!$K$15:$P$26,MATCH(B$116,Listes!$K$15:$K$26,0),MATCH(H$117,Listes!$K$15:$P$15,0))*INDEX(Listes!$K$29:$O$31,MATCH(C$116,Listes!$K$29:$K$31,0),MATCH(H$117,Listes!$K$29:$O$29,0)))</f>
        <v>0</v>
      </c>
      <c r="I122" s="45">
        <f>IF(OR(B$116=0,B$116=""),0,F122*INDEX(Listes!$K$15:$P$26,MATCH(B$116,Listes!$K$15:$K$26,0),MATCH(I$117,Listes!$K$15:$P$15,0))*INDEX(Listes!$K$29:$O$31,MATCH(C$116,Listes!$K$29:$K$31,0),MATCH(I$117,Listes!$K$29:$O$29,0)))</f>
        <v>0</v>
      </c>
      <c r="K122" s="472"/>
      <c r="L122" s="3">
        <v>5</v>
      </c>
      <c r="M122" s="45">
        <f t="shared" si="47"/>
        <v>0</v>
      </c>
      <c r="N122" s="11">
        <f t="shared" si="48"/>
        <v>0</v>
      </c>
      <c r="O122" s="45">
        <f>IF(OR(N122=0,N122="",L$116=0),0,N122*INDEX(Listes!$K$1:$Q$12,MATCH(L$116,Listes!$K$1:$K$12,0),MATCH(O$117,Listes!$K$1:$Q$1,0)))</f>
        <v>0</v>
      </c>
      <c r="P122" s="45">
        <f t="shared" si="49"/>
        <v>0</v>
      </c>
      <c r="Q122" s="11">
        <f>IF(OR(L$116=0,L$116=""),0,P122*INDEX(Listes!$K$15:$P$26,MATCH(L$116,Listes!$K$15:$K$26,0),MATCH(Q$117,Listes!$K$15:$P$15,0))*INDEX(Listes!$K$29:$O$31,MATCH(M$116,Listes!$K$29:$K$31,0),MATCH(Q$117,Listes!$K$29:$O$29,0)))</f>
        <v>0</v>
      </c>
      <c r="R122" s="45">
        <f>IF(OR(L$116=0,L$116=""),0,P122*INDEX(Listes!$K$15:$P$26,MATCH(L$116,Listes!$K$15:$K$26,0),MATCH(R$117,Listes!$K$15:$P$15,0))*INDEX(Listes!$K$29:$O$31,MATCH(M$116,Listes!$K$29:$K$31,0),MATCH(R$117,Listes!$K$29:$O$29,0)))</f>
        <v>0</v>
      </c>
      <c r="S122" s="45">
        <f>IF(OR(L$116=0,L$116=""),0,P122*INDEX(Listes!$K$15:$P$26,MATCH(L$116,Listes!$K$15:$K$26,0),MATCH(S$117,Listes!$K$15:$P$15,0))*INDEX(Listes!$K$29:$O$31,MATCH(M$116,Listes!$K$29:$K$31,0),MATCH(S$117,Listes!$K$29:$O$29,0)))</f>
        <v>0</v>
      </c>
      <c r="U122" s="472"/>
      <c r="V122" s="3">
        <v>5</v>
      </c>
      <c r="W122" s="45">
        <f t="shared" si="50"/>
        <v>0</v>
      </c>
      <c r="X122" s="11">
        <f t="shared" si="51"/>
        <v>0</v>
      </c>
      <c r="Y122" s="45">
        <f>IF(OR(X122=0,X122="",V$116=0),0,X122*INDEX(Listes!$K$1:$Q$12,MATCH(V$116,Listes!$K$1:$K$12,0),MATCH(Y$117,Listes!$K$1:$Q$1,0)))</f>
        <v>0</v>
      </c>
      <c r="Z122" s="45">
        <f t="shared" si="52"/>
        <v>0</v>
      </c>
      <c r="AA122" s="11">
        <f>IF(OR(V$116=0,V$116=""),0,Z122*INDEX(Listes!$K$15:$P$26,MATCH(V$116,Listes!$K$15:$K$26,0),MATCH(AA$117,Listes!$K$15:$P$15,0))*INDEX(Listes!$K$29:$O$31,MATCH(W$116,Listes!$K$29:$K$31,0),MATCH(AA$117,Listes!$K$29:$O$29,0)))</f>
        <v>0</v>
      </c>
      <c r="AB122" s="45">
        <f>IF(OR(V$116=0,V$116=""),0,Z122*INDEX(Listes!$K$15:$P$26,MATCH(V$116,Listes!$K$15:$K$26,0),MATCH(AB$117,Listes!$K$15:$P$15,0))*INDEX(Listes!$K$29:$O$31,MATCH(W$116,Listes!$K$29:$K$31,0),MATCH(AB$117,Listes!$K$29:$O$29,0)))</f>
        <v>0</v>
      </c>
      <c r="AC122" s="45">
        <f>IF(OR(V$116=0,V$116=""),0,Z122*INDEX(Listes!$K$15:$P$26,MATCH(V$116,Listes!$K$15:$K$26,0),MATCH(AC$117,Listes!$K$15:$P$15,0))*INDEX(Listes!$K$29:$O$31,MATCH(W$116,Listes!$K$29:$K$31,0),MATCH(AC$117,Listes!$K$29:$O$29,0)))</f>
        <v>0</v>
      </c>
      <c r="AE122" s="472"/>
      <c r="AF122" s="3">
        <v>5</v>
      </c>
      <c r="AG122" s="45">
        <f t="shared" si="53"/>
        <v>0</v>
      </c>
      <c r="AH122" s="11">
        <f t="shared" si="54"/>
        <v>0</v>
      </c>
      <c r="AI122" s="45">
        <f>IF(OR(AH122=0,AH122="",AF$116=0),0,AH122*INDEX(Listes!$K$1:$Q$12,MATCH(AF$116,Listes!$K$1:$K$12,0),MATCH(AI$117,Listes!$K$1:$Q$1,0)))</f>
        <v>0</v>
      </c>
      <c r="AJ122" s="45">
        <f t="shared" si="55"/>
        <v>0</v>
      </c>
      <c r="AK122" s="11">
        <f>IF(OR(AF$116=0,AF$116=""),0,AJ122*INDEX(Listes!$K$15:$P$26,MATCH(AF$116,Listes!$K$15:$K$26,0),MATCH(AK$117,Listes!$K$15:$P$15,0))*INDEX(Listes!$K$29:$O$31,MATCH(AG$116,Listes!$K$29:$K$31,0),MATCH(AK$117,Listes!$K$29:$O$29,0)))</f>
        <v>0</v>
      </c>
      <c r="AL122" s="45">
        <f>IF(OR(AF$116=0,AF$116=""),0,AJ122*INDEX(Listes!$K$15:$P$26,MATCH(AF$116,Listes!$K$15:$K$26,0),MATCH(AL$117,Listes!$K$15:$P$15,0))*INDEX(Listes!$K$29:$O$31,MATCH(AG$116,Listes!$K$29:$K$31,0),MATCH(AL$117,Listes!$K$29:$O$29,0)))</f>
        <v>0</v>
      </c>
      <c r="AM122" s="45">
        <f>IF(OR(AF$116=0,AF$116=""),0,AJ122*INDEX(Listes!$K$15:$P$26,MATCH(AF$116,Listes!$K$15:$K$26,0),MATCH(AM$117,Listes!$K$15:$P$15,0))*INDEX(Listes!$K$29:$O$31,MATCH(AG$116,Listes!$K$29:$K$31,0),MATCH(AM$117,Listes!$K$29:$O$29,0)))</f>
        <v>0</v>
      </c>
      <c r="AN122" s="45"/>
      <c r="AO122" s="472"/>
      <c r="AP122" s="3">
        <v>5</v>
      </c>
      <c r="AQ122" s="11">
        <f t="shared" si="56"/>
        <v>0</v>
      </c>
      <c r="AR122" s="11">
        <f t="shared" si="56"/>
        <v>0</v>
      </c>
      <c r="AS122" s="11">
        <f t="shared" si="56"/>
        <v>0</v>
      </c>
      <c r="AT122" s="11">
        <f>AQ122*VLOOKUP(AQ$117,Tableau17[],4,FALSE)+AR122*VLOOKUP(AR$117,Tableau17[],4,FALSE)+AS122*VLOOKUP(AS$117,Tableau17[],4,FALSE)</f>
        <v>0</v>
      </c>
      <c r="AU122" s="11">
        <f>AQ122*VLOOKUP(AQ$117,Tableau17[],3,FALSE)+AR122*VLOOKUP(AR$117,Tableau17[],3,FALSE)+AS122*VLOOKUP(AS$117,Tableau17[],3,FALSE)</f>
        <v>0</v>
      </c>
      <c r="AW122" s="11"/>
      <c r="AX122" s="113"/>
    </row>
    <row r="123" spans="1:52" x14ac:dyDescent="0.2">
      <c r="A123" s="472"/>
      <c r="B123" s="3">
        <v>6</v>
      </c>
      <c r="C123" s="45">
        <f t="shared" si="45"/>
        <v>0</v>
      </c>
      <c r="D123" s="11">
        <f t="shared" si="57"/>
        <v>0</v>
      </c>
      <c r="E123" s="45">
        <f>IF(OR(D123=0,D123="",B$116=0),0,D123*INDEX(Listes!$K$1:$Q$12,MATCH(B$116,Listes!$K$1:$K$12,0),MATCH(E$117,Listes!$K$1:$Q$1,0)))</f>
        <v>0</v>
      </c>
      <c r="F123" s="45">
        <f t="shared" si="46"/>
        <v>0</v>
      </c>
      <c r="G123" s="11">
        <f>IF(OR(B$116=0,B$116=""),0,F123*INDEX(Listes!$K$15:$P$26,MATCH(B$116,Listes!$K$15:$K$26,0),MATCH(G$117,Listes!$K$15:$P$15,0))*INDEX(Listes!$K$29:$O$31,MATCH(C$116,Listes!$K$29:$K$31,0),MATCH(G$117,Listes!$K$29:$O$29,0)))</f>
        <v>0</v>
      </c>
      <c r="H123" s="45">
        <f>IF(OR(B$116=0,B$116=""),0,F123*INDEX(Listes!$K$15:$P$26,MATCH(B$116,Listes!$K$15:$K$26,0),MATCH(H$117,Listes!$K$15:$P$15,0))*INDEX(Listes!$K$29:$O$31,MATCH(C$116,Listes!$K$29:$K$31,0),MATCH(H$117,Listes!$K$29:$O$29,0)))</f>
        <v>0</v>
      </c>
      <c r="I123" s="45">
        <f>IF(OR(B$116=0,B$116=""),0,F123*INDEX(Listes!$K$15:$P$26,MATCH(B$116,Listes!$K$15:$K$26,0),MATCH(I$117,Listes!$K$15:$P$15,0))*INDEX(Listes!$K$29:$O$31,MATCH(C$116,Listes!$K$29:$K$31,0),MATCH(I$117,Listes!$K$29:$O$29,0)))</f>
        <v>0</v>
      </c>
      <c r="K123" s="472"/>
      <c r="L123" s="3">
        <v>6</v>
      </c>
      <c r="M123" s="45">
        <f t="shared" si="47"/>
        <v>0</v>
      </c>
      <c r="N123" s="11">
        <f t="shared" si="48"/>
        <v>0</v>
      </c>
      <c r="O123" s="45">
        <f>IF(OR(N123=0,N123="",L$116=0),0,N123*INDEX(Listes!$K$1:$Q$12,MATCH(L$116,Listes!$K$1:$K$12,0),MATCH(O$117,Listes!$K$1:$Q$1,0)))</f>
        <v>0</v>
      </c>
      <c r="P123" s="45">
        <f t="shared" si="49"/>
        <v>0</v>
      </c>
      <c r="Q123" s="11">
        <f>IF(OR(L$116=0,L$116=""),0,P123*INDEX(Listes!$K$15:$P$26,MATCH(L$116,Listes!$K$15:$K$26,0),MATCH(Q$117,Listes!$K$15:$P$15,0))*INDEX(Listes!$K$29:$O$31,MATCH(M$116,Listes!$K$29:$K$31,0),MATCH(Q$117,Listes!$K$29:$O$29,0)))</f>
        <v>0</v>
      </c>
      <c r="R123" s="45">
        <f>IF(OR(L$116=0,L$116=""),0,P123*INDEX(Listes!$K$15:$P$26,MATCH(L$116,Listes!$K$15:$K$26,0),MATCH(R$117,Listes!$K$15:$P$15,0))*INDEX(Listes!$K$29:$O$31,MATCH(M$116,Listes!$K$29:$K$31,0),MATCH(R$117,Listes!$K$29:$O$29,0)))</f>
        <v>0</v>
      </c>
      <c r="S123" s="45">
        <f>IF(OR(L$116=0,L$116=""),0,P123*INDEX(Listes!$K$15:$P$26,MATCH(L$116,Listes!$K$15:$K$26,0),MATCH(S$117,Listes!$K$15:$P$15,0))*INDEX(Listes!$K$29:$O$31,MATCH(M$116,Listes!$K$29:$K$31,0),MATCH(S$117,Listes!$K$29:$O$29,0)))</f>
        <v>0</v>
      </c>
      <c r="U123" s="472"/>
      <c r="V123" s="3">
        <v>6</v>
      </c>
      <c r="W123" s="45">
        <f t="shared" si="50"/>
        <v>0</v>
      </c>
      <c r="X123" s="11">
        <f t="shared" si="51"/>
        <v>0</v>
      </c>
      <c r="Y123" s="45">
        <f>IF(OR(X123=0,X123="",V$116=0),0,X123*INDEX(Listes!$K$1:$Q$12,MATCH(V$116,Listes!$K$1:$K$12,0),MATCH(Y$117,Listes!$K$1:$Q$1,0)))</f>
        <v>0</v>
      </c>
      <c r="Z123" s="45">
        <f t="shared" si="52"/>
        <v>0</v>
      </c>
      <c r="AA123" s="11">
        <f>IF(OR(V$116=0,V$116=""),0,Z123*INDEX(Listes!$K$15:$P$26,MATCH(V$116,Listes!$K$15:$K$26,0),MATCH(AA$117,Listes!$K$15:$P$15,0))*INDEX(Listes!$K$29:$O$31,MATCH(W$116,Listes!$K$29:$K$31,0),MATCH(AA$117,Listes!$K$29:$O$29,0)))</f>
        <v>0</v>
      </c>
      <c r="AB123" s="45">
        <f>IF(OR(V$116=0,V$116=""),0,Z123*INDEX(Listes!$K$15:$P$26,MATCH(V$116,Listes!$K$15:$K$26,0),MATCH(AB$117,Listes!$K$15:$P$15,0))*INDEX(Listes!$K$29:$O$31,MATCH(W$116,Listes!$K$29:$K$31,0),MATCH(AB$117,Listes!$K$29:$O$29,0)))</f>
        <v>0</v>
      </c>
      <c r="AC123" s="45">
        <f>IF(OR(V$116=0,V$116=""),0,Z123*INDEX(Listes!$K$15:$P$26,MATCH(V$116,Listes!$K$15:$K$26,0),MATCH(AC$117,Listes!$K$15:$P$15,0))*INDEX(Listes!$K$29:$O$31,MATCH(W$116,Listes!$K$29:$K$31,0),MATCH(AC$117,Listes!$K$29:$O$29,0)))</f>
        <v>0</v>
      </c>
      <c r="AE123" s="472"/>
      <c r="AF123" s="3">
        <v>6</v>
      </c>
      <c r="AG123" s="45">
        <f t="shared" si="53"/>
        <v>0</v>
      </c>
      <c r="AH123" s="11">
        <f t="shared" si="54"/>
        <v>0</v>
      </c>
      <c r="AI123" s="45">
        <f>IF(OR(AH123=0,AH123="",AF$116=0),0,AH123*INDEX(Listes!$K$1:$Q$12,MATCH(AF$116,Listes!$K$1:$K$12,0),MATCH(AI$117,Listes!$K$1:$Q$1,0)))</f>
        <v>0</v>
      </c>
      <c r="AJ123" s="45">
        <f t="shared" si="55"/>
        <v>0</v>
      </c>
      <c r="AK123" s="11">
        <f>IF(OR(AF$116=0,AF$116=""),0,AJ123*INDEX(Listes!$K$15:$P$26,MATCH(AF$116,Listes!$K$15:$K$26,0),MATCH(AK$117,Listes!$K$15:$P$15,0))*INDEX(Listes!$K$29:$O$31,MATCH(AG$116,Listes!$K$29:$K$31,0),MATCH(AK$117,Listes!$K$29:$O$29,0)))</f>
        <v>0</v>
      </c>
      <c r="AL123" s="45">
        <f>IF(OR(AF$116=0,AF$116=""),0,AJ123*INDEX(Listes!$K$15:$P$26,MATCH(AF$116,Listes!$K$15:$K$26,0),MATCH(AL$117,Listes!$K$15:$P$15,0))*INDEX(Listes!$K$29:$O$31,MATCH(AG$116,Listes!$K$29:$K$31,0),MATCH(AL$117,Listes!$K$29:$O$29,0)))</f>
        <v>0</v>
      </c>
      <c r="AM123" s="45">
        <f>IF(OR(AF$116=0,AF$116=""),0,AJ123*INDEX(Listes!$K$15:$P$26,MATCH(AF$116,Listes!$K$15:$K$26,0),MATCH(AM$117,Listes!$K$15:$P$15,0))*INDEX(Listes!$K$29:$O$31,MATCH(AG$116,Listes!$K$29:$K$31,0),MATCH(AM$117,Listes!$K$29:$O$29,0)))</f>
        <v>0</v>
      </c>
      <c r="AN123" s="45"/>
      <c r="AO123" s="472"/>
      <c r="AP123" s="3">
        <v>6</v>
      </c>
      <c r="AQ123" s="11">
        <f t="shared" si="56"/>
        <v>0</v>
      </c>
      <c r="AR123" s="11">
        <f t="shared" si="56"/>
        <v>0</v>
      </c>
      <c r="AS123" s="11">
        <f t="shared" si="56"/>
        <v>0</v>
      </c>
      <c r="AT123" s="11">
        <f>AQ123*VLOOKUP(AQ$117,Tableau17[],4,FALSE)+AR123*VLOOKUP(AR$117,Tableau17[],4,FALSE)+AS123*VLOOKUP(AS$117,Tableau17[],4,FALSE)</f>
        <v>0</v>
      </c>
      <c r="AU123" s="11">
        <f>AQ123*VLOOKUP(AQ$117,Tableau17[],3,FALSE)+AR123*VLOOKUP(AR$117,Tableau17[],3,FALSE)+AS123*VLOOKUP(AS$117,Tableau17[],3,FALSE)</f>
        <v>0</v>
      </c>
      <c r="AW123" s="11"/>
      <c r="AX123" s="113"/>
    </row>
    <row r="124" spans="1:52" x14ac:dyDescent="0.2">
      <c r="A124" s="472"/>
      <c r="B124" s="3">
        <v>7</v>
      </c>
      <c r="C124" s="45">
        <f t="shared" si="45"/>
        <v>0</v>
      </c>
      <c r="D124" s="11">
        <f t="shared" si="57"/>
        <v>0</v>
      </c>
      <c r="E124" s="45">
        <f>IF(OR(D124=0,D124="",B$116=0),0,D124*INDEX(Listes!$K$1:$Q$12,MATCH(B$116,Listes!$K$1:$K$12,0),MATCH(E$117,Listes!$K$1:$Q$1,0)))</f>
        <v>0</v>
      </c>
      <c r="F124" s="45">
        <f t="shared" si="46"/>
        <v>0</v>
      </c>
      <c r="G124" s="11">
        <f>IF(OR(B$116=0,B$116=""),0,F124*INDEX(Listes!$K$15:$P$26,MATCH(B$116,Listes!$K$15:$K$26,0),MATCH(G$117,Listes!$K$15:$P$15,0))*INDEX(Listes!$K$29:$O$31,MATCH(C$116,Listes!$K$29:$K$31,0),MATCH(G$117,Listes!$K$29:$O$29,0)))</f>
        <v>0</v>
      </c>
      <c r="H124" s="45">
        <f>IF(OR(B$116=0,B$116=""),0,F124*INDEX(Listes!$K$15:$P$26,MATCH(B$116,Listes!$K$15:$K$26,0),MATCH(H$117,Listes!$K$15:$P$15,0))*INDEX(Listes!$K$29:$O$31,MATCH(C$116,Listes!$K$29:$K$31,0),MATCH(H$117,Listes!$K$29:$O$29,0)))</f>
        <v>0</v>
      </c>
      <c r="I124" s="45">
        <f>IF(OR(B$116=0,B$116=""),0,F124*INDEX(Listes!$K$15:$P$26,MATCH(B$116,Listes!$K$15:$K$26,0),MATCH(I$117,Listes!$K$15:$P$15,0))*INDEX(Listes!$K$29:$O$31,MATCH(C$116,Listes!$K$29:$K$31,0),MATCH(I$117,Listes!$K$29:$O$29,0)))</f>
        <v>0</v>
      </c>
      <c r="K124" s="472"/>
      <c r="L124" s="3">
        <v>7</v>
      </c>
      <c r="M124" s="45">
        <f t="shared" si="47"/>
        <v>0</v>
      </c>
      <c r="N124" s="11">
        <f t="shared" si="48"/>
        <v>0</v>
      </c>
      <c r="O124" s="45">
        <f>IF(OR(N124=0,N124="",L$116=0),0,N124*INDEX(Listes!$K$1:$Q$12,MATCH(L$116,Listes!$K$1:$K$12,0),MATCH(O$117,Listes!$K$1:$Q$1,0)))</f>
        <v>0</v>
      </c>
      <c r="P124" s="45">
        <f t="shared" si="49"/>
        <v>0</v>
      </c>
      <c r="Q124" s="11">
        <f>IF(OR(L$116=0,L$116=""),0,P124*INDEX(Listes!$K$15:$P$26,MATCH(L$116,Listes!$K$15:$K$26,0),MATCH(Q$117,Listes!$K$15:$P$15,0))*INDEX(Listes!$K$29:$O$31,MATCH(M$116,Listes!$K$29:$K$31,0),MATCH(Q$117,Listes!$K$29:$O$29,0)))</f>
        <v>0</v>
      </c>
      <c r="R124" s="45">
        <f>IF(OR(L$116=0,L$116=""),0,P124*INDEX(Listes!$K$15:$P$26,MATCH(L$116,Listes!$K$15:$K$26,0),MATCH(R$117,Listes!$K$15:$P$15,0))*INDEX(Listes!$K$29:$O$31,MATCH(M$116,Listes!$K$29:$K$31,0),MATCH(R$117,Listes!$K$29:$O$29,0)))</f>
        <v>0</v>
      </c>
      <c r="S124" s="45">
        <f>IF(OR(L$116=0,L$116=""),0,P124*INDEX(Listes!$K$15:$P$26,MATCH(L$116,Listes!$K$15:$K$26,0),MATCH(S$117,Listes!$K$15:$P$15,0))*INDEX(Listes!$K$29:$O$31,MATCH(M$116,Listes!$K$29:$K$31,0),MATCH(S$117,Listes!$K$29:$O$29,0)))</f>
        <v>0</v>
      </c>
      <c r="U124" s="472"/>
      <c r="V124" s="3">
        <v>7</v>
      </c>
      <c r="W124" s="45">
        <f t="shared" si="50"/>
        <v>0</v>
      </c>
      <c r="X124" s="11">
        <f t="shared" si="51"/>
        <v>0</v>
      </c>
      <c r="Y124" s="45">
        <f>IF(OR(X124=0,X124="",V$116=0),0,X124*INDEX(Listes!$K$1:$Q$12,MATCH(V$116,Listes!$K$1:$K$12,0),MATCH(Y$117,Listes!$K$1:$Q$1,0)))</f>
        <v>0</v>
      </c>
      <c r="Z124" s="45">
        <f t="shared" si="52"/>
        <v>0</v>
      </c>
      <c r="AA124" s="11">
        <f>IF(OR(V$116=0,V$116=""),0,Z124*INDEX(Listes!$K$15:$P$26,MATCH(V$116,Listes!$K$15:$K$26,0),MATCH(AA$117,Listes!$K$15:$P$15,0))*INDEX(Listes!$K$29:$O$31,MATCH(W$116,Listes!$K$29:$K$31,0),MATCH(AA$117,Listes!$K$29:$O$29,0)))</f>
        <v>0</v>
      </c>
      <c r="AB124" s="45">
        <f>IF(OR(V$116=0,V$116=""),0,Z124*INDEX(Listes!$K$15:$P$26,MATCH(V$116,Listes!$K$15:$K$26,0),MATCH(AB$117,Listes!$K$15:$P$15,0))*INDEX(Listes!$K$29:$O$31,MATCH(W$116,Listes!$K$29:$K$31,0),MATCH(AB$117,Listes!$K$29:$O$29,0)))</f>
        <v>0</v>
      </c>
      <c r="AC124" s="45">
        <f>IF(OR(V$116=0,V$116=""),0,Z124*INDEX(Listes!$K$15:$P$26,MATCH(V$116,Listes!$K$15:$K$26,0),MATCH(AC$117,Listes!$K$15:$P$15,0))*INDEX(Listes!$K$29:$O$31,MATCH(W$116,Listes!$K$29:$K$31,0),MATCH(AC$117,Listes!$K$29:$O$29,0)))</f>
        <v>0</v>
      </c>
      <c r="AE124" s="472"/>
      <c r="AF124" s="3">
        <v>7</v>
      </c>
      <c r="AG124" s="45">
        <f t="shared" si="53"/>
        <v>0</v>
      </c>
      <c r="AH124" s="11">
        <f t="shared" si="54"/>
        <v>0</v>
      </c>
      <c r="AI124" s="45">
        <f>IF(OR(AH124=0,AH124="",AF$116=0),0,AH124*INDEX(Listes!$K$1:$Q$12,MATCH(AF$116,Listes!$K$1:$K$12,0),MATCH(AI$117,Listes!$K$1:$Q$1,0)))</f>
        <v>0</v>
      </c>
      <c r="AJ124" s="45">
        <f t="shared" si="55"/>
        <v>0</v>
      </c>
      <c r="AK124" s="11">
        <f>IF(OR(AF$116=0,AF$116=""),0,AJ124*INDEX(Listes!$K$15:$P$26,MATCH(AF$116,Listes!$K$15:$K$26,0),MATCH(AK$117,Listes!$K$15:$P$15,0))*INDEX(Listes!$K$29:$O$31,MATCH(AG$116,Listes!$K$29:$K$31,0),MATCH(AK$117,Listes!$K$29:$O$29,0)))</f>
        <v>0</v>
      </c>
      <c r="AL124" s="45">
        <f>IF(OR(AF$116=0,AF$116=""),0,AJ124*INDEX(Listes!$K$15:$P$26,MATCH(AF$116,Listes!$K$15:$K$26,0),MATCH(AL$117,Listes!$K$15:$P$15,0))*INDEX(Listes!$K$29:$O$31,MATCH(AG$116,Listes!$K$29:$K$31,0),MATCH(AL$117,Listes!$K$29:$O$29,0)))</f>
        <v>0</v>
      </c>
      <c r="AM124" s="45">
        <f>IF(OR(AF$116=0,AF$116=""),0,AJ124*INDEX(Listes!$K$15:$P$26,MATCH(AF$116,Listes!$K$15:$K$26,0),MATCH(AM$117,Listes!$K$15:$P$15,0))*INDEX(Listes!$K$29:$O$31,MATCH(AG$116,Listes!$K$29:$K$31,0),MATCH(AM$117,Listes!$K$29:$O$29,0)))</f>
        <v>0</v>
      </c>
      <c r="AN124" s="45"/>
      <c r="AO124" s="472"/>
      <c r="AP124" s="3">
        <v>7</v>
      </c>
      <c r="AQ124" s="11">
        <f t="shared" si="56"/>
        <v>0</v>
      </c>
      <c r="AR124" s="11">
        <f t="shared" si="56"/>
        <v>0</v>
      </c>
      <c r="AS124" s="11">
        <f t="shared" si="56"/>
        <v>0</v>
      </c>
      <c r="AT124" s="11">
        <f>AQ124*VLOOKUP(AQ$117,Tableau17[],4,FALSE)+AR124*VLOOKUP(AR$117,Tableau17[],4,FALSE)+AS124*VLOOKUP(AS$117,Tableau17[],4,FALSE)</f>
        <v>0</v>
      </c>
      <c r="AU124" s="11">
        <f>AQ124*VLOOKUP(AQ$117,Tableau17[],3,FALSE)+AR124*VLOOKUP(AR$117,Tableau17[],3,FALSE)+AS124*VLOOKUP(AS$117,Tableau17[],3,FALSE)</f>
        <v>0</v>
      </c>
      <c r="AW124" s="11"/>
      <c r="AX124" s="113"/>
    </row>
    <row r="125" spans="1:52" x14ac:dyDescent="0.2">
      <c r="A125" s="472"/>
      <c r="B125" s="3">
        <v>8</v>
      </c>
      <c r="C125" s="45">
        <f t="shared" si="45"/>
        <v>0</v>
      </c>
      <c r="D125" s="11">
        <f t="shared" si="57"/>
        <v>0</v>
      </c>
      <c r="E125" s="45">
        <f>IF(OR(D125=0,D125="",B$116=0),0,D125*INDEX(Listes!$K$1:$Q$12,MATCH(B$116,Listes!$K$1:$K$12,0),MATCH(E$117,Listes!$K$1:$Q$1,0)))</f>
        <v>0</v>
      </c>
      <c r="F125" s="45">
        <f t="shared" si="46"/>
        <v>0</v>
      </c>
      <c r="G125" s="11">
        <f>IF(OR(B$116=0,B$116=""),0,F125*INDEX(Listes!$K$15:$P$26,MATCH(B$116,Listes!$K$15:$K$26,0),MATCH(G$117,Listes!$K$15:$P$15,0))*INDEX(Listes!$K$29:$O$31,MATCH(C$116,Listes!$K$29:$K$31,0),MATCH(G$117,Listes!$K$29:$O$29,0)))</f>
        <v>0</v>
      </c>
      <c r="H125" s="45">
        <f>IF(OR(B$116=0,B$116=""),0,F125*INDEX(Listes!$K$15:$P$26,MATCH(B$116,Listes!$K$15:$K$26,0),MATCH(H$117,Listes!$K$15:$P$15,0))*INDEX(Listes!$K$29:$O$31,MATCH(C$116,Listes!$K$29:$K$31,0),MATCH(H$117,Listes!$K$29:$O$29,0)))</f>
        <v>0</v>
      </c>
      <c r="I125" s="45">
        <f>IF(OR(B$116=0,B$116=""),0,F125*INDEX(Listes!$K$15:$P$26,MATCH(B$116,Listes!$K$15:$K$26,0),MATCH(I$117,Listes!$K$15:$P$15,0))*INDEX(Listes!$K$29:$O$31,MATCH(C$116,Listes!$K$29:$K$31,0),MATCH(I$117,Listes!$K$29:$O$29,0)))</f>
        <v>0</v>
      </c>
      <c r="K125" s="472"/>
      <c r="L125" s="3">
        <v>8</v>
      </c>
      <c r="M125" s="45">
        <f t="shared" si="47"/>
        <v>0</v>
      </c>
      <c r="N125" s="11">
        <f t="shared" si="48"/>
        <v>0</v>
      </c>
      <c r="O125" s="45">
        <f>IF(OR(N125=0,N125="",L$116=0),0,N125*INDEX(Listes!$K$1:$Q$12,MATCH(L$116,Listes!$K$1:$K$12,0),MATCH(O$117,Listes!$K$1:$Q$1,0)))</f>
        <v>0</v>
      </c>
      <c r="P125" s="45">
        <f t="shared" si="49"/>
        <v>0</v>
      </c>
      <c r="Q125" s="11">
        <f>IF(OR(L$116=0,L$116=""),0,P125*INDEX(Listes!$K$15:$P$26,MATCH(L$116,Listes!$K$15:$K$26,0),MATCH(Q$117,Listes!$K$15:$P$15,0))*INDEX(Listes!$K$29:$O$31,MATCH(M$116,Listes!$K$29:$K$31,0),MATCH(Q$117,Listes!$K$29:$O$29,0)))</f>
        <v>0</v>
      </c>
      <c r="R125" s="45">
        <f>IF(OR(L$116=0,L$116=""),0,P125*INDEX(Listes!$K$15:$P$26,MATCH(L$116,Listes!$K$15:$K$26,0),MATCH(R$117,Listes!$K$15:$P$15,0))*INDEX(Listes!$K$29:$O$31,MATCH(M$116,Listes!$K$29:$K$31,0),MATCH(R$117,Listes!$K$29:$O$29,0)))</f>
        <v>0</v>
      </c>
      <c r="S125" s="45">
        <f>IF(OR(L$116=0,L$116=""),0,P125*INDEX(Listes!$K$15:$P$26,MATCH(L$116,Listes!$K$15:$K$26,0),MATCH(S$117,Listes!$K$15:$P$15,0))*INDEX(Listes!$K$29:$O$31,MATCH(M$116,Listes!$K$29:$K$31,0),MATCH(S$117,Listes!$K$29:$O$29,0)))</f>
        <v>0</v>
      </c>
      <c r="U125" s="472"/>
      <c r="V125" s="3">
        <v>8</v>
      </c>
      <c r="W125" s="45">
        <f t="shared" si="50"/>
        <v>0</v>
      </c>
      <c r="X125" s="11">
        <f t="shared" si="51"/>
        <v>0</v>
      </c>
      <c r="Y125" s="45">
        <f>IF(OR(X125=0,X125="",V$116=0),0,X125*INDEX(Listes!$K$1:$Q$12,MATCH(V$116,Listes!$K$1:$K$12,0),MATCH(Y$117,Listes!$K$1:$Q$1,0)))</f>
        <v>0</v>
      </c>
      <c r="Z125" s="45">
        <f t="shared" si="52"/>
        <v>0</v>
      </c>
      <c r="AA125" s="11">
        <f>IF(OR(V$116=0,V$116=""),0,Z125*INDEX(Listes!$K$15:$P$26,MATCH(V$116,Listes!$K$15:$K$26,0),MATCH(AA$117,Listes!$K$15:$P$15,0))*INDEX(Listes!$K$29:$O$31,MATCH(W$116,Listes!$K$29:$K$31,0),MATCH(AA$117,Listes!$K$29:$O$29,0)))</f>
        <v>0</v>
      </c>
      <c r="AB125" s="45">
        <f>IF(OR(V$116=0,V$116=""),0,Z125*INDEX(Listes!$K$15:$P$26,MATCH(V$116,Listes!$K$15:$K$26,0),MATCH(AB$117,Listes!$K$15:$P$15,0))*INDEX(Listes!$K$29:$O$31,MATCH(W$116,Listes!$K$29:$K$31,0),MATCH(AB$117,Listes!$K$29:$O$29,0)))</f>
        <v>0</v>
      </c>
      <c r="AC125" s="45">
        <f>IF(OR(V$116=0,V$116=""),0,Z125*INDEX(Listes!$K$15:$P$26,MATCH(V$116,Listes!$K$15:$K$26,0),MATCH(AC$117,Listes!$K$15:$P$15,0))*INDEX(Listes!$K$29:$O$31,MATCH(W$116,Listes!$K$29:$K$31,0),MATCH(AC$117,Listes!$K$29:$O$29,0)))</f>
        <v>0</v>
      </c>
      <c r="AE125" s="472"/>
      <c r="AF125" s="3">
        <v>8</v>
      </c>
      <c r="AG125" s="45">
        <f t="shared" si="53"/>
        <v>0</v>
      </c>
      <c r="AH125" s="11">
        <f t="shared" si="54"/>
        <v>0</v>
      </c>
      <c r="AI125" s="45">
        <f>IF(OR(AH125=0,AH125="",AF$116=0),0,AH125*INDEX(Listes!$K$1:$Q$12,MATCH(AF$116,Listes!$K$1:$K$12,0),MATCH(AI$117,Listes!$K$1:$Q$1,0)))</f>
        <v>0</v>
      </c>
      <c r="AJ125" s="45">
        <f t="shared" si="55"/>
        <v>0</v>
      </c>
      <c r="AK125" s="11">
        <f>IF(OR(AF$116=0,AF$116=""),0,AJ125*INDEX(Listes!$K$15:$P$26,MATCH(AF$116,Listes!$K$15:$K$26,0),MATCH(AK$117,Listes!$K$15:$P$15,0))*INDEX(Listes!$K$29:$O$31,MATCH(AG$116,Listes!$K$29:$K$31,0),MATCH(AK$117,Listes!$K$29:$O$29,0)))</f>
        <v>0</v>
      </c>
      <c r="AL125" s="45">
        <f>IF(OR(AF$116=0,AF$116=""),0,AJ125*INDEX(Listes!$K$15:$P$26,MATCH(AF$116,Listes!$K$15:$K$26,0),MATCH(AL$117,Listes!$K$15:$P$15,0))*INDEX(Listes!$K$29:$O$31,MATCH(AG$116,Listes!$K$29:$K$31,0),MATCH(AL$117,Listes!$K$29:$O$29,0)))</f>
        <v>0</v>
      </c>
      <c r="AM125" s="45">
        <f>IF(OR(AF$116=0,AF$116=""),0,AJ125*INDEX(Listes!$K$15:$P$26,MATCH(AF$116,Listes!$K$15:$K$26,0),MATCH(AM$117,Listes!$K$15:$P$15,0))*INDEX(Listes!$K$29:$O$31,MATCH(AG$116,Listes!$K$29:$K$31,0),MATCH(AM$117,Listes!$K$29:$O$29,0)))</f>
        <v>0</v>
      </c>
      <c r="AN125" s="45"/>
      <c r="AO125" s="472"/>
      <c r="AP125" s="3">
        <v>8</v>
      </c>
      <c r="AQ125" s="11">
        <f t="shared" si="56"/>
        <v>0</v>
      </c>
      <c r="AR125" s="11">
        <f t="shared" si="56"/>
        <v>0</v>
      </c>
      <c r="AS125" s="11">
        <f t="shared" si="56"/>
        <v>0</v>
      </c>
      <c r="AT125" s="11">
        <f>AQ125*VLOOKUP(AQ$117,Tableau17[],4,FALSE)+AR125*VLOOKUP(AR$117,Tableau17[],4,FALSE)+AS125*VLOOKUP(AS$117,Tableau17[],4,FALSE)</f>
        <v>0</v>
      </c>
      <c r="AU125" s="11">
        <f>AQ125*VLOOKUP(AQ$117,Tableau17[],3,FALSE)+AR125*VLOOKUP(AR$117,Tableau17[],3,FALSE)+AS125*VLOOKUP(AS$117,Tableau17[],3,FALSE)</f>
        <v>0</v>
      </c>
      <c r="AW125" s="11"/>
      <c r="AX125" s="113"/>
    </row>
    <row r="126" spans="1:52" x14ac:dyDescent="0.2">
      <c r="A126" s="472"/>
      <c r="B126" s="3">
        <v>9</v>
      </c>
      <c r="C126" s="45">
        <f t="shared" si="45"/>
        <v>0</v>
      </c>
      <c r="D126" s="11">
        <f t="shared" si="57"/>
        <v>0</v>
      </c>
      <c r="E126" s="45">
        <f>IF(OR(D126=0,D126="",B$116=0),0,D126*INDEX(Listes!$K$1:$Q$12,MATCH(B$116,Listes!$K$1:$K$12,0),MATCH(E$117,Listes!$K$1:$Q$1,0)))</f>
        <v>0</v>
      </c>
      <c r="F126" s="45">
        <f t="shared" si="46"/>
        <v>0</v>
      </c>
      <c r="G126" s="11">
        <f>IF(OR(B$116=0,B$116=""),0,F126*INDEX(Listes!$K$15:$P$26,MATCH(B$116,Listes!$K$15:$K$26,0),MATCH(G$117,Listes!$K$15:$P$15,0))*INDEX(Listes!$K$29:$O$31,MATCH(C$116,Listes!$K$29:$K$31,0),MATCH(G$117,Listes!$K$29:$O$29,0)))</f>
        <v>0</v>
      </c>
      <c r="H126" s="45">
        <f>IF(OR(B$116=0,B$116=""),0,F126*INDEX(Listes!$K$15:$P$26,MATCH(B$116,Listes!$K$15:$K$26,0),MATCH(H$117,Listes!$K$15:$P$15,0))*INDEX(Listes!$K$29:$O$31,MATCH(C$116,Listes!$K$29:$K$31,0),MATCH(H$117,Listes!$K$29:$O$29,0)))</f>
        <v>0</v>
      </c>
      <c r="I126" s="45">
        <f>IF(OR(B$116=0,B$116=""),0,F126*INDEX(Listes!$K$15:$P$26,MATCH(B$116,Listes!$K$15:$K$26,0),MATCH(I$117,Listes!$K$15:$P$15,0))*INDEX(Listes!$K$29:$O$31,MATCH(C$116,Listes!$K$29:$K$31,0),MATCH(I$117,Listes!$K$29:$O$29,0)))</f>
        <v>0</v>
      </c>
      <c r="K126" s="472"/>
      <c r="L126" s="3">
        <v>9</v>
      </c>
      <c r="M126" s="45">
        <f t="shared" si="47"/>
        <v>0</v>
      </c>
      <c r="N126" s="11">
        <f t="shared" si="48"/>
        <v>0</v>
      </c>
      <c r="O126" s="45">
        <f>IF(OR(N126=0,N126="",L$116=0),0,N126*INDEX(Listes!$K$1:$Q$12,MATCH(L$116,Listes!$K$1:$K$12,0),MATCH(O$117,Listes!$K$1:$Q$1,0)))</f>
        <v>0</v>
      </c>
      <c r="P126" s="45">
        <f t="shared" si="49"/>
        <v>0</v>
      </c>
      <c r="Q126" s="11">
        <f>IF(OR(L$116=0,L$116=""),0,P126*INDEX(Listes!$K$15:$P$26,MATCH(L$116,Listes!$K$15:$K$26,0),MATCH(Q$117,Listes!$K$15:$P$15,0))*INDEX(Listes!$K$29:$O$31,MATCH(M$116,Listes!$K$29:$K$31,0),MATCH(Q$117,Listes!$K$29:$O$29,0)))</f>
        <v>0</v>
      </c>
      <c r="R126" s="45">
        <f>IF(OR(L$116=0,L$116=""),0,P126*INDEX(Listes!$K$15:$P$26,MATCH(L$116,Listes!$K$15:$K$26,0),MATCH(R$117,Listes!$K$15:$P$15,0))*INDEX(Listes!$K$29:$O$31,MATCH(M$116,Listes!$K$29:$K$31,0),MATCH(R$117,Listes!$K$29:$O$29,0)))</f>
        <v>0</v>
      </c>
      <c r="S126" s="45">
        <f>IF(OR(L$116=0,L$116=""),0,P126*INDEX(Listes!$K$15:$P$26,MATCH(L$116,Listes!$K$15:$K$26,0),MATCH(S$117,Listes!$K$15:$P$15,0))*INDEX(Listes!$K$29:$O$31,MATCH(M$116,Listes!$K$29:$K$31,0),MATCH(S$117,Listes!$K$29:$O$29,0)))</f>
        <v>0</v>
      </c>
      <c r="U126" s="472"/>
      <c r="V126" s="3">
        <v>9</v>
      </c>
      <c r="W126" s="45">
        <f t="shared" si="50"/>
        <v>0</v>
      </c>
      <c r="X126" s="11">
        <f t="shared" si="51"/>
        <v>0</v>
      </c>
      <c r="Y126" s="45">
        <f>IF(OR(X126=0,X126="",V$116=0),0,X126*INDEX(Listes!$K$1:$Q$12,MATCH(V$116,Listes!$K$1:$K$12,0),MATCH(Y$117,Listes!$K$1:$Q$1,0)))</f>
        <v>0</v>
      </c>
      <c r="Z126" s="45">
        <f t="shared" si="52"/>
        <v>0</v>
      </c>
      <c r="AA126" s="11">
        <f>IF(OR(V$116=0,V$116=""),0,Z126*INDEX(Listes!$K$15:$P$26,MATCH(V$116,Listes!$K$15:$K$26,0),MATCH(AA$117,Listes!$K$15:$P$15,0))*INDEX(Listes!$K$29:$O$31,MATCH(W$116,Listes!$K$29:$K$31,0),MATCH(AA$117,Listes!$K$29:$O$29,0)))</f>
        <v>0</v>
      </c>
      <c r="AB126" s="45">
        <f>IF(OR(V$116=0,V$116=""),0,Z126*INDEX(Listes!$K$15:$P$26,MATCH(V$116,Listes!$K$15:$K$26,0),MATCH(AB$117,Listes!$K$15:$P$15,0))*INDEX(Listes!$K$29:$O$31,MATCH(W$116,Listes!$K$29:$K$31,0),MATCH(AB$117,Listes!$K$29:$O$29,0)))</f>
        <v>0</v>
      </c>
      <c r="AC126" s="45">
        <f>IF(OR(V$116=0,V$116=""),0,Z126*INDEX(Listes!$K$15:$P$26,MATCH(V$116,Listes!$K$15:$K$26,0),MATCH(AC$117,Listes!$K$15:$P$15,0))*INDEX(Listes!$K$29:$O$31,MATCH(W$116,Listes!$K$29:$K$31,0),MATCH(AC$117,Listes!$K$29:$O$29,0)))</f>
        <v>0</v>
      </c>
      <c r="AE126" s="472"/>
      <c r="AF126" s="3">
        <v>9</v>
      </c>
      <c r="AG126" s="45">
        <f t="shared" si="53"/>
        <v>0</v>
      </c>
      <c r="AH126" s="11">
        <f t="shared" si="54"/>
        <v>0</v>
      </c>
      <c r="AI126" s="45">
        <f>IF(OR(AH126=0,AH126="",AF$116=0),0,AH126*INDEX(Listes!$K$1:$Q$12,MATCH(AF$116,Listes!$K$1:$K$12,0),MATCH(AI$117,Listes!$K$1:$Q$1,0)))</f>
        <v>0</v>
      </c>
      <c r="AJ126" s="45">
        <f t="shared" si="55"/>
        <v>0</v>
      </c>
      <c r="AK126" s="11">
        <f>IF(OR(AF$116=0,AF$116=""),0,AJ126*INDEX(Listes!$K$15:$P$26,MATCH(AF$116,Listes!$K$15:$K$26,0),MATCH(AK$117,Listes!$K$15:$P$15,0))*INDEX(Listes!$K$29:$O$31,MATCH(AG$116,Listes!$K$29:$K$31,0),MATCH(AK$117,Listes!$K$29:$O$29,0)))</f>
        <v>0</v>
      </c>
      <c r="AL126" s="45">
        <f>IF(OR(AF$116=0,AF$116=""),0,AJ126*INDEX(Listes!$K$15:$P$26,MATCH(AF$116,Listes!$K$15:$K$26,0),MATCH(AL$117,Listes!$K$15:$P$15,0))*INDEX(Listes!$K$29:$O$31,MATCH(AG$116,Listes!$K$29:$K$31,0),MATCH(AL$117,Listes!$K$29:$O$29,0)))</f>
        <v>0</v>
      </c>
      <c r="AM126" s="45">
        <f>IF(OR(AF$116=0,AF$116=""),0,AJ126*INDEX(Listes!$K$15:$P$26,MATCH(AF$116,Listes!$K$15:$K$26,0),MATCH(AM$117,Listes!$K$15:$P$15,0))*INDEX(Listes!$K$29:$O$31,MATCH(AG$116,Listes!$K$29:$K$31,0),MATCH(AM$117,Listes!$K$29:$O$29,0)))</f>
        <v>0</v>
      </c>
      <c r="AN126" s="45"/>
      <c r="AO126" s="472"/>
      <c r="AP126" s="3">
        <v>9</v>
      </c>
      <c r="AQ126" s="11">
        <f t="shared" si="56"/>
        <v>0</v>
      </c>
      <c r="AR126" s="11">
        <f t="shared" si="56"/>
        <v>0</v>
      </c>
      <c r="AS126" s="11">
        <f t="shared" si="56"/>
        <v>0</v>
      </c>
      <c r="AT126" s="11">
        <f>AQ126*VLOOKUP(AQ$117,Tableau17[],4,FALSE)+AR126*VLOOKUP(AR$117,Tableau17[],4,FALSE)+AS126*VLOOKUP(AS$117,Tableau17[],4,FALSE)</f>
        <v>0</v>
      </c>
      <c r="AU126" s="11">
        <f>AQ126*VLOOKUP(AQ$117,Tableau17[],3,FALSE)+AR126*VLOOKUP(AR$117,Tableau17[],3,FALSE)+AS126*VLOOKUP(AS$117,Tableau17[],3,FALSE)</f>
        <v>0</v>
      </c>
      <c r="AW126" s="11"/>
      <c r="AX126" s="113"/>
    </row>
    <row r="127" spans="1:52" x14ac:dyDescent="0.2">
      <c r="A127" s="472"/>
      <c r="B127" s="3">
        <v>10</v>
      </c>
      <c r="C127" s="45">
        <f t="shared" si="45"/>
        <v>0</v>
      </c>
      <c r="D127" s="11">
        <f t="shared" si="57"/>
        <v>0</v>
      </c>
      <c r="E127" s="45">
        <f>IF(OR(D127=0,D127="",B$116=0),0,D127*INDEX(Listes!$K$1:$Q$12,MATCH(B$116,Listes!$K$1:$K$12,0),MATCH(E$117,Listes!$K$1:$Q$1,0)))</f>
        <v>0</v>
      </c>
      <c r="F127" s="45">
        <f t="shared" si="46"/>
        <v>0</v>
      </c>
      <c r="G127" s="11">
        <f>IF(OR(B$116=0,B$116=""),0,F127*INDEX(Listes!$K$15:$P$26,MATCH(B$116,Listes!$K$15:$K$26,0),MATCH(G$117,Listes!$K$15:$P$15,0))*INDEX(Listes!$K$29:$O$31,MATCH(C$116,Listes!$K$29:$K$31,0),MATCH(G$117,Listes!$K$29:$O$29,0)))</f>
        <v>0</v>
      </c>
      <c r="H127" s="45">
        <f>IF(OR(B$116=0,B$116=""),0,F127*INDEX(Listes!$K$15:$P$26,MATCH(B$116,Listes!$K$15:$K$26,0),MATCH(H$117,Listes!$K$15:$P$15,0))*INDEX(Listes!$K$29:$O$31,MATCH(C$116,Listes!$K$29:$K$31,0),MATCH(H$117,Listes!$K$29:$O$29,0)))</f>
        <v>0</v>
      </c>
      <c r="I127" s="45">
        <f>IF(OR(B$116=0,B$116=""),0,F127*INDEX(Listes!$K$15:$P$26,MATCH(B$116,Listes!$K$15:$K$26,0),MATCH(I$117,Listes!$K$15:$P$15,0))*INDEX(Listes!$K$29:$O$31,MATCH(C$116,Listes!$K$29:$K$31,0),MATCH(I$117,Listes!$K$29:$O$29,0)))</f>
        <v>0</v>
      </c>
      <c r="K127" s="472"/>
      <c r="L127" s="3">
        <v>10</v>
      </c>
      <c r="M127" s="45">
        <f t="shared" si="47"/>
        <v>0</v>
      </c>
      <c r="N127" s="11">
        <f t="shared" si="48"/>
        <v>0</v>
      </c>
      <c r="O127" s="45">
        <f>IF(OR(N127=0,N127="",L$116=0),0,N127*INDEX(Listes!$K$1:$Q$12,MATCH(L$116,Listes!$K$1:$K$12,0),MATCH(O$117,Listes!$K$1:$Q$1,0)))</f>
        <v>0</v>
      </c>
      <c r="P127" s="45">
        <f t="shared" si="49"/>
        <v>0</v>
      </c>
      <c r="Q127" s="11">
        <f>IF(OR(L$116=0,L$116=""),0,P127*INDEX(Listes!$K$15:$P$26,MATCH(L$116,Listes!$K$15:$K$26,0),MATCH(Q$117,Listes!$K$15:$P$15,0))*INDEX(Listes!$K$29:$O$31,MATCH(M$116,Listes!$K$29:$K$31,0),MATCH(Q$117,Listes!$K$29:$O$29,0)))</f>
        <v>0</v>
      </c>
      <c r="R127" s="45">
        <f>IF(OR(L$116=0,L$116=""),0,P127*INDEX(Listes!$K$15:$P$26,MATCH(L$116,Listes!$K$15:$K$26,0),MATCH(R$117,Listes!$K$15:$P$15,0))*INDEX(Listes!$K$29:$O$31,MATCH(M$116,Listes!$K$29:$K$31,0),MATCH(R$117,Listes!$K$29:$O$29,0)))</f>
        <v>0</v>
      </c>
      <c r="S127" s="45">
        <f>IF(OR(L$116=0,L$116=""),0,P127*INDEX(Listes!$K$15:$P$26,MATCH(L$116,Listes!$K$15:$K$26,0),MATCH(S$117,Listes!$K$15:$P$15,0))*INDEX(Listes!$K$29:$O$31,MATCH(M$116,Listes!$K$29:$K$31,0),MATCH(S$117,Listes!$K$29:$O$29,0)))</f>
        <v>0</v>
      </c>
      <c r="U127" s="472"/>
      <c r="V127" s="3">
        <v>10</v>
      </c>
      <c r="W127" s="45">
        <f t="shared" si="50"/>
        <v>0</v>
      </c>
      <c r="X127" s="11">
        <f t="shared" si="51"/>
        <v>0</v>
      </c>
      <c r="Y127" s="45">
        <f>IF(OR(X127=0,X127="",V$116=0),0,X127*INDEX(Listes!$K$1:$Q$12,MATCH(V$116,Listes!$K$1:$K$12,0),MATCH(Y$117,Listes!$K$1:$Q$1,0)))</f>
        <v>0</v>
      </c>
      <c r="Z127" s="45">
        <f t="shared" si="52"/>
        <v>0</v>
      </c>
      <c r="AA127" s="11">
        <f>IF(OR(V$116=0,V$116=""),0,Z127*INDEX(Listes!$K$15:$P$26,MATCH(V$116,Listes!$K$15:$K$26,0),MATCH(AA$117,Listes!$K$15:$P$15,0))*INDEX(Listes!$K$29:$O$31,MATCH(W$116,Listes!$K$29:$K$31,0),MATCH(AA$117,Listes!$K$29:$O$29,0)))</f>
        <v>0</v>
      </c>
      <c r="AB127" s="45">
        <f>IF(OR(V$116=0,V$116=""),0,Z127*INDEX(Listes!$K$15:$P$26,MATCH(V$116,Listes!$K$15:$K$26,0),MATCH(AB$117,Listes!$K$15:$P$15,0))*INDEX(Listes!$K$29:$O$31,MATCH(W$116,Listes!$K$29:$K$31,0),MATCH(AB$117,Listes!$K$29:$O$29,0)))</f>
        <v>0</v>
      </c>
      <c r="AC127" s="45">
        <f>IF(OR(V$116=0,V$116=""),0,Z127*INDEX(Listes!$K$15:$P$26,MATCH(V$116,Listes!$K$15:$K$26,0),MATCH(AC$117,Listes!$K$15:$P$15,0))*INDEX(Listes!$K$29:$O$31,MATCH(W$116,Listes!$K$29:$K$31,0),MATCH(AC$117,Listes!$K$29:$O$29,0)))</f>
        <v>0</v>
      </c>
      <c r="AE127" s="472"/>
      <c r="AF127" s="3">
        <v>10</v>
      </c>
      <c r="AG127" s="45">
        <f t="shared" si="53"/>
        <v>0</v>
      </c>
      <c r="AH127" s="11">
        <f t="shared" si="54"/>
        <v>0</v>
      </c>
      <c r="AI127" s="45">
        <f>IF(OR(AH127=0,AH127="",AF$116=0),0,AH127*INDEX(Listes!$K$1:$Q$12,MATCH(AF$116,Listes!$K$1:$K$12,0),MATCH(AI$117,Listes!$K$1:$Q$1,0)))</f>
        <v>0</v>
      </c>
      <c r="AJ127" s="45">
        <f t="shared" si="55"/>
        <v>0</v>
      </c>
      <c r="AK127" s="11">
        <f>IF(OR(AF$116=0,AF$116=""),0,AJ127*INDEX(Listes!$K$15:$P$26,MATCH(AF$116,Listes!$K$15:$K$26,0),MATCH(AK$117,Listes!$K$15:$P$15,0))*INDEX(Listes!$K$29:$O$31,MATCH(AG$116,Listes!$K$29:$K$31,0),MATCH(AK$117,Listes!$K$29:$O$29,0)))</f>
        <v>0</v>
      </c>
      <c r="AL127" s="45">
        <f>IF(OR(AF$116=0,AF$116=""),0,AJ127*INDEX(Listes!$K$15:$P$26,MATCH(AF$116,Listes!$K$15:$K$26,0),MATCH(AL$117,Listes!$K$15:$P$15,0))*INDEX(Listes!$K$29:$O$31,MATCH(AG$116,Listes!$K$29:$K$31,0),MATCH(AL$117,Listes!$K$29:$O$29,0)))</f>
        <v>0</v>
      </c>
      <c r="AM127" s="45">
        <f>IF(OR(AF$116=0,AF$116=""),0,AJ127*INDEX(Listes!$K$15:$P$26,MATCH(AF$116,Listes!$K$15:$K$26,0),MATCH(AM$117,Listes!$K$15:$P$15,0))*INDEX(Listes!$K$29:$O$31,MATCH(AG$116,Listes!$K$29:$K$31,0),MATCH(AM$117,Listes!$K$29:$O$29,0)))</f>
        <v>0</v>
      </c>
      <c r="AN127" s="45"/>
      <c r="AO127" s="472"/>
      <c r="AP127" s="3">
        <v>10</v>
      </c>
      <c r="AQ127" s="11">
        <f t="shared" si="56"/>
        <v>0</v>
      </c>
      <c r="AR127" s="11">
        <f t="shared" si="56"/>
        <v>0</v>
      </c>
      <c r="AS127" s="11">
        <f t="shared" si="56"/>
        <v>0</v>
      </c>
      <c r="AT127" s="11">
        <f>AQ127*VLOOKUP(AQ$117,Tableau17[],4,FALSE)+AR127*VLOOKUP(AR$117,Tableau17[],4,FALSE)+AS127*VLOOKUP(AS$117,Tableau17[],4,FALSE)</f>
        <v>0</v>
      </c>
      <c r="AU127" s="11">
        <f>AQ127*VLOOKUP(AQ$117,Tableau17[],3,FALSE)+AR127*VLOOKUP(AR$117,Tableau17[],3,FALSE)+AS127*VLOOKUP(AS$117,Tableau17[],3,FALSE)</f>
        <v>0</v>
      </c>
      <c r="AW127" s="11"/>
      <c r="AX127" s="113"/>
    </row>
    <row r="128" spans="1:52" x14ac:dyDescent="0.2">
      <c r="A128" s="472"/>
      <c r="B128" s="3">
        <v>11</v>
      </c>
      <c r="C128" s="45">
        <f t="shared" si="45"/>
        <v>0</v>
      </c>
      <c r="D128" s="11">
        <f t="shared" si="57"/>
        <v>0</v>
      </c>
      <c r="E128" s="45">
        <f>IF(OR(D128=0,D128="",B$116=0),0,D128*INDEX(Listes!$K$1:$Q$12,MATCH(B$116,Listes!$K$1:$K$12,0),MATCH(E$117,Listes!$K$1:$Q$1,0)))</f>
        <v>0</v>
      </c>
      <c r="F128" s="45">
        <f t="shared" si="46"/>
        <v>0</v>
      </c>
      <c r="G128" s="11">
        <f>IF(OR(B$116=0,B$116=""),0,F128*INDEX(Listes!$K$15:$P$26,MATCH(B$116,Listes!$K$15:$K$26,0),MATCH(G$117,Listes!$K$15:$P$15,0))*INDEX(Listes!$K$29:$O$31,MATCH(C$116,Listes!$K$29:$K$31,0),MATCH(G$117,Listes!$K$29:$O$29,0)))</f>
        <v>0</v>
      </c>
      <c r="H128" s="45">
        <f>IF(OR(B$116=0,B$116=""),0,F128*INDEX(Listes!$K$15:$P$26,MATCH(B$116,Listes!$K$15:$K$26,0),MATCH(H$117,Listes!$K$15:$P$15,0))*INDEX(Listes!$K$29:$O$31,MATCH(C$116,Listes!$K$29:$K$31,0),MATCH(H$117,Listes!$K$29:$O$29,0)))</f>
        <v>0</v>
      </c>
      <c r="I128" s="45">
        <f>IF(OR(B$116=0,B$116=""),0,F128*INDEX(Listes!$K$15:$P$26,MATCH(B$116,Listes!$K$15:$K$26,0),MATCH(I$117,Listes!$K$15:$P$15,0))*INDEX(Listes!$K$29:$O$31,MATCH(C$116,Listes!$K$29:$K$31,0),MATCH(I$117,Listes!$K$29:$O$29,0)))</f>
        <v>0</v>
      </c>
      <c r="K128" s="472"/>
      <c r="L128" s="3">
        <v>11</v>
      </c>
      <c r="M128" s="45">
        <f t="shared" si="47"/>
        <v>0</v>
      </c>
      <c r="N128" s="11">
        <f t="shared" si="48"/>
        <v>0</v>
      </c>
      <c r="O128" s="45">
        <f>IF(OR(N128=0,N128="",L$116=0),0,N128*INDEX(Listes!$K$1:$Q$12,MATCH(L$116,Listes!$K$1:$K$12,0),MATCH(O$117,Listes!$K$1:$Q$1,0)))</f>
        <v>0</v>
      </c>
      <c r="P128" s="45">
        <f t="shared" si="49"/>
        <v>0</v>
      </c>
      <c r="Q128" s="11">
        <f>IF(OR(L$116=0,L$116=""),0,P128*INDEX(Listes!$K$15:$P$26,MATCH(L$116,Listes!$K$15:$K$26,0),MATCH(Q$117,Listes!$K$15:$P$15,0))*INDEX(Listes!$K$29:$O$31,MATCH(M$116,Listes!$K$29:$K$31,0),MATCH(Q$117,Listes!$K$29:$O$29,0)))</f>
        <v>0</v>
      </c>
      <c r="R128" s="45">
        <f>IF(OR(L$116=0,L$116=""),0,P128*INDEX(Listes!$K$15:$P$26,MATCH(L$116,Listes!$K$15:$K$26,0),MATCH(R$117,Listes!$K$15:$P$15,0))*INDEX(Listes!$K$29:$O$31,MATCH(M$116,Listes!$K$29:$K$31,0),MATCH(R$117,Listes!$K$29:$O$29,0)))</f>
        <v>0</v>
      </c>
      <c r="S128" s="45">
        <f>IF(OR(L$116=0,L$116=""),0,P128*INDEX(Listes!$K$15:$P$26,MATCH(L$116,Listes!$K$15:$K$26,0),MATCH(S$117,Listes!$K$15:$P$15,0))*INDEX(Listes!$K$29:$O$31,MATCH(M$116,Listes!$K$29:$K$31,0),MATCH(S$117,Listes!$K$29:$O$29,0)))</f>
        <v>0</v>
      </c>
      <c r="U128" s="472"/>
      <c r="V128" s="3">
        <v>11</v>
      </c>
      <c r="W128" s="45">
        <f t="shared" si="50"/>
        <v>0</v>
      </c>
      <c r="X128" s="11">
        <f t="shared" si="51"/>
        <v>0</v>
      </c>
      <c r="Y128" s="45">
        <f>IF(OR(X128=0,X128="",V$116=0),0,X128*INDEX(Listes!$K$1:$Q$12,MATCH(V$116,Listes!$K$1:$K$12,0),MATCH(Y$117,Listes!$K$1:$Q$1,0)))</f>
        <v>0</v>
      </c>
      <c r="Z128" s="45">
        <f t="shared" si="52"/>
        <v>0</v>
      </c>
      <c r="AA128" s="11">
        <f>IF(OR(V$116=0,V$116=""),0,Z128*INDEX(Listes!$K$15:$P$26,MATCH(V$116,Listes!$K$15:$K$26,0),MATCH(AA$117,Listes!$K$15:$P$15,0))*INDEX(Listes!$K$29:$O$31,MATCH(W$116,Listes!$K$29:$K$31,0),MATCH(AA$117,Listes!$K$29:$O$29,0)))</f>
        <v>0</v>
      </c>
      <c r="AB128" s="45">
        <f>IF(OR(V$116=0,V$116=""),0,Z128*INDEX(Listes!$K$15:$P$26,MATCH(V$116,Listes!$K$15:$K$26,0),MATCH(AB$117,Listes!$K$15:$P$15,0))*INDEX(Listes!$K$29:$O$31,MATCH(W$116,Listes!$K$29:$K$31,0),MATCH(AB$117,Listes!$K$29:$O$29,0)))</f>
        <v>0</v>
      </c>
      <c r="AC128" s="45">
        <f>IF(OR(V$116=0,V$116=""),0,Z128*INDEX(Listes!$K$15:$P$26,MATCH(V$116,Listes!$K$15:$K$26,0),MATCH(AC$117,Listes!$K$15:$P$15,0))*INDEX(Listes!$K$29:$O$31,MATCH(W$116,Listes!$K$29:$K$31,0),MATCH(AC$117,Listes!$K$29:$O$29,0)))</f>
        <v>0</v>
      </c>
      <c r="AE128" s="472"/>
      <c r="AF128" s="3">
        <v>11</v>
      </c>
      <c r="AG128" s="45">
        <f t="shared" si="53"/>
        <v>0</v>
      </c>
      <c r="AH128" s="11">
        <f t="shared" si="54"/>
        <v>0</v>
      </c>
      <c r="AI128" s="45">
        <f>IF(OR(AH128=0,AH128="",AF$116=0),0,AH128*INDEX(Listes!$K$1:$Q$12,MATCH(AF$116,Listes!$K$1:$K$12,0),MATCH(AI$117,Listes!$K$1:$Q$1,0)))</f>
        <v>0</v>
      </c>
      <c r="AJ128" s="45">
        <f t="shared" si="55"/>
        <v>0</v>
      </c>
      <c r="AK128" s="11">
        <f>IF(OR(AF$116=0,AF$116=""),0,AJ128*INDEX(Listes!$K$15:$P$26,MATCH(AF$116,Listes!$K$15:$K$26,0),MATCH(AK$117,Listes!$K$15:$P$15,0))*INDEX(Listes!$K$29:$O$31,MATCH(AG$116,Listes!$K$29:$K$31,0),MATCH(AK$117,Listes!$K$29:$O$29,0)))</f>
        <v>0</v>
      </c>
      <c r="AL128" s="45">
        <f>IF(OR(AF$116=0,AF$116=""),0,AJ128*INDEX(Listes!$K$15:$P$26,MATCH(AF$116,Listes!$K$15:$K$26,0),MATCH(AL$117,Listes!$K$15:$P$15,0))*INDEX(Listes!$K$29:$O$31,MATCH(AG$116,Listes!$K$29:$K$31,0),MATCH(AL$117,Listes!$K$29:$O$29,0)))</f>
        <v>0</v>
      </c>
      <c r="AM128" s="45">
        <f>IF(OR(AF$116=0,AF$116=""),0,AJ128*INDEX(Listes!$K$15:$P$26,MATCH(AF$116,Listes!$K$15:$K$26,0),MATCH(AM$117,Listes!$K$15:$P$15,0))*INDEX(Listes!$K$29:$O$31,MATCH(AG$116,Listes!$K$29:$K$31,0),MATCH(AM$117,Listes!$K$29:$O$29,0)))</f>
        <v>0</v>
      </c>
      <c r="AN128" s="45"/>
      <c r="AO128" s="472"/>
      <c r="AP128" s="3">
        <v>11</v>
      </c>
      <c r="AQ128" s="11">
        <f t="shared" si="56"/>
        <v>0</v>
      </c>
      <c r="AR128" s="11">
        <f t="shared" si="56"/>
        <v>0</v>
      </c>
      <c r="AS128" s="11">
        <f t="shared" si="56"/>
        <v>0</v>
      </c>
      <c r="AT128" s="11">
        <f>AQ128*VLOOKUP(AQ$117,Tableau17[],4,FALSE)+AR128*VLOOKUP(AR$117,Tableau17[],4,FALSE)+AS128*VLOOKUP(AS$117,Tableau17[],4,FALSE)</f>
        <v>0</v>
      </c>
      <c r="AU128" s="11">
        <f>AQ128*VLOOKUP(AQ$117,Tableau17[],3,FALSE)+AR128*VLOOKUP(AR$117,Tableau17[],3,FALSE)+AS128*VLOOKUP(AS$117,Tableau17[],3,FALSE)</f>
        <v>0</v>
      </c>
      <c r="AW128" s="11"/>
      <c r="AX128" s="113"/>
    </row>
    <row r="129" spans="1:52" x14ac:dyDescent="0.2">
      <c r="A129" s="472"/>
      <c r="B129" s="3">
        <v>12</v>
      </c>
      <c r="C129" s="45">
        <f t="shared" si="45"/>
        <v>0</v>
      </c>
      <c r="D129" s="11">
        <f t="shared" si="57"/>
        <v>0</v>
      </c>
      <c r="E129" s="45">
        <f>IF(OR(D129=0,D129="",B$116=0),0,D129*INDEX(Listes!$K$1:$Q$12,MATCH(B$116,Listes!$K$1:$K$12,0),MATCH(E$117,Listes!$K$1:$Q$1,0)))</f>
        <v>0</v>
      </c>
      <c r="F129" s="45">
        <f t="shared" si="46"/>
        <v>0</v>
      </c>
      <c r="G129" s="11">
        <f>IF(OR(B$116=0,B$116=""),0,F129*INDEX(Listes!$K$15:$P$26,MATCH(B$116,Listes!$K$15:$K$26,0),MATCH(G$117,Listes!$K$15:$P$15,0))*INDEX(Listes!$K$29:$O$31,MATCH(C$116,Listes!$K$29:$K$31,0),MATCH(G$117,Listes!$K$29:$O$29,0)))</f>
        <v>0</v>
      </c>
      <c r="H129" s="45">
        <f>IF(OR(B$116=0,B$116=""),0,F129*INDEX(Listes!$K$15:$P$26,MATCH(B$116,Listes!$K$15:$K$26,0),MATCH(H$117,Listes!$K$15:$P$15,0))*INDEX(Listes!$K$29:$O$31,MATCH(C$116,Listes!$K$29:$K$31,0),MATCH(H$117,Listes!$K$29:$O$29,0)))</f>
        <v>0</v>
      </c>
      <c r="I129" s="45">
        <f>IF(OR(B$116=0,B$116=""),0,F129*INDEX(Listes!$K$15:$P$26,MATCH(B$116,Listes!$K$15:$K$26,0),MATCH(I$117,Listes!$K$15:$P$15,0))*INDEX(Listes!$K$29:$O$31,MATCH(C$116,Listes!$K$29:$K$31,0),MATCH(I$117,Listes!$K$29:$O$29,0)))</f>
        <v>0</v>
      </c>
      <c r="K129" s="472"/>
      <c r="L129" s="3">
        <v>12</v>
      </c>
      <c r="M129" s="45">
        <f t="shared" si="47"/>
        <v>0</v>
      </c>
      <c r="N129" s="11">
        <f t="shared" si="48"/>
        <v>0</v>
      </c>
      <c r="O129" s="45">
        <f>IF(OR(N129=0,N129="",L$116=0),0,N129*INDEX(Listes!$K$1:$Q$12,MATCH(L$116,Listes!$K$1:$K$12,0),MATCH(O$117,Listes!$K$1:$Q$1,0)))</f>
        <v>0</v>
      </c>
      <c r="P129" s="45">
        <f t="shared" si="49"/>
        <v>0</v>
      </c>
      <c r="Q129" s="11">
        <f>IF(OR(L$116=0,L$116=""),0,P129*INDEX(Listes!$K$15:$P$26,MATCH(L$116,Listes!$K$15:$K$26,0),MATCH(Q$117,Listes!$K$15:$P$15,0))*INDEX(Listes!$K$29:$O$31,MATCH(M$116,Listes!$K$29:$K$31,0),MATCH(Q$117,Listes!$K$29:$O$29,0)))</f>
        <v>0</v>
      </c>
      <c r="R129" s="45">
        <f>IF(OR(L$116=0,L$116=""),0,P129*INDEX(Listes!$K$15:$P$26,MATCH(L$116,Listes!$K$15:$K$26,0),MATCH(R$117,Listes!$K$15:$P$15,0))*INDEX(Listes!$K$29:$O$31,MATCH(M$116,Listes!$K$29:$K$31,0),MATCH(R$117,Listes!$K$29:$O$29,0)))</f>
        <v>0</v>
      </c>
      <c r="S129" s="45">
        <f>IF(OR(L$116=0,L$116=""),0,P129*INDEX(Listes!$K$15:$P$26,MATCH(L$116,Listes!$K$15:$K$26,0),MATCH(S$117,Listes!$K$15:$P$15,0))*INDEX(Listes!$K$29:$O$31,MATCH(M$116,Listes!$K$29:$K$31,0),MATCH(S$117,Listes!$K$29:$O$29,0)))</f>
        <v>0</v>
      </c>
      <c r="U129" s="472"/>
      <c r="V129" s="3">
        <v>12</v>
      </c>
      <c r="W129" s="45">
        <f t="shared" si="50"/>
        <v>0</v>
      </c>
      <c r="X129" s="11">
        <f t="shared" si="51"/>
        <v>0</v>
      </c>
      <c r="Y129" s="45">
        <f>IF(OR(X129=0,X129="",V$116=0),0,X129*INDEX(Listes!$K$1:$Q$12,MATCH(V$116,Listes!$K$1:$K$12,0),MATCH(Y$117,Listes!$K$1:$Q$1,0)))</f>
        <v>0</v>
      </c>
      <c r="Z129" s="45">
        <f t="shared" si="52"/>
        <v>0</v>
      </c>
      <c r="AA129" s="11">
        <f>IF(OR(V$116=0,V$116=""),0,Z129*INDEX(Listes!$K$15:$P$26,MATCH(V$116,Listes!$K$15:$K$26,0),MATCH(AA$117,Listes!$K$15:$P$15,0))*INDEX(Listes!$K$29:$O$31,MATCH(W$116,Listes!$K$29:$K$31,0),MATCH(AA$117,Listes!$K$29:$O$29,0)))</f>
        <v>0</v>
      </c>
      <c r="AB129" s="45">
        <f>IF(OR(V$116=0,V$116=""),0,Z129*INDEX(Listes!$K$15:$P$26,MATCH(V$116,Listes!$K$15:$K$26,0),MATCH(AB$117,Listes!$K$15:$P$15,0))*INDEX(Listes!$K$29:$O$31,MATCH(W$116,Listes!$K$29:$K$31,0),MATCH(AB$117,Listes!$K$29:$O$29,0)))</f>
        <v>0</v>
      </c>
      <c r="AC129" s="45">
        <f>IF(OR(V$116=0,V$116=""),0,Z129*INDEX(Listes!$K$15:$P$26,MATCH(V$116,Listes!$K$15:$K$26,0),MATCH(AC$117,Listes!$K$15:$P$15,0))*INDEX(Listes!$K$29:$O$31,MATCH(W$116,Listes!$K$29:$K$31,0),MATCH(AC$117,Listes!$K$29:$O$29,0)))</f>
        <v>0</v>
      </c>
      <c r="AE129" s="472"/>
      <c r="AF129" s="3">
        <v>12</v>
      </c>
      <c r="AG129" s="45">
        <f t="shared" si="53"/>
        <v>0</v>
      </c>
      <c r="AH129" s="11">
        <f t="shared" si="54"/>
        <v>0</v>
      </c>
      <c r="AI129" s="45">
        <f>IF(OR(AH129=0,AH129="",AF$116=0),0,AH129*INDEX(Listes!$K$1:$Q$12,MATCH(AF$116,Listes!$K$1:$K$12,0),MATCH(AI$117,Listes!$K$1:$Q$1,0)))</f>
        <v>0</v>
      </c>
      <c r="AJ129" s="45">
        <f t="shared" si="55"/>
        <v>0</v>
      </c>
      <c r="AK129" s="11">
        <f>IF(OR(AF$116=0,AF$116=""),0,AJ129*INDEX(Listes!$K$15:$P$26,MATCH(AF$116,Listes!$K$15:$K$26,0),MATCH(AK$117,Listes!$K$15:$P$15,0))*INDEX(Listes!$K$29:$O$31,MATCH(AG$116,Listes!$K$29:$K$31,0),MATCH(AK$117,Listes!$K$29:$O$29,0)))</f>
        <v>0</v>
      </c>
      <c r="AL129" s="45">
        <f>IF(OR(AF$116=0,AF$116=""),0,AJ129*INDEX(Listes!$K$15:$P$26,MATCH(AF$116,Listes!$K$15:$K$26,0),MATCH(AL$117,Listes!$K$15:$P$15,0))*INDEX(Listes!$K$29:$O$31,MATCH(AG$116,Listes!$K$29:$K$31,0),MATCH(AL$117,Listes!$K$29:$O$29,0)))</f>
        <v>0</v>
      </c>
      <c r="AM129" s="45">
        <f>IF(OR(AF$116=0,AF$116=""),0,AJ129*INDEX(Listes!$K$15:$P$26,MATCH(AF$116,Listes!$K$15:$K$26,0),MATCH(AM$117,Listes!$K$15:$P$15,0))*INDEX(Listes!$K$29:$O$31,MATCH(AG$116,Listes!$K$29:$K$31,0),MATCH(AM$117,Listes!$K$29:$O$29,0)))</f>
        <v>0</v>
      </c>
      <c r="AN129" s="45"/>
      <c r="AO129" s="472"/>
      <c r="AP129" s="3">
        <v>12</v>
      </c>
      <c r="AQ129" s="11">
        <f t="shared" si="56"/>
        <v>0</v>
      </c>
      <c r="AR129" s="11">
        <f t="shared" si="56"/>
        <v>0</v>
      </c>
      <c r="AS129" s="11">
        <f t="shared" si="56"/>
        <v>0</v>
      </c>
      <c r="AT129" s="11">
        <f>AQ129*VLOOKUP(AQ$117,Tableau17[],4,FALSE)+AR129*VLOOKUP(AR$117,Tableau17[],4,FALSE)+AS129*VLOOKUP(AS$117,Tableau17[],4,FALSE)</f>
        <v>0</v>
      </c>
      <c r="AU129" s="11">
        <f>AQ129*VLOOKUP(AQ$117,Tableau17[],3,FALSE)+AR129*VLOOKUP(AR$117,Tableau17[],3,FALSE)+AS129*VLOOKUP(AS$117,Tableau17[],3,FALSE)</f>
        <v>0</v>
      </c>
      <c r="AW129" s="11"/>
      <c r="AX129" s="113"/>
    </row>
    <row r="130" spans="1:52" x14ac:dyDescent="0.2">
      <c r="A130" s="472"/>
      <c r="B130" s="3">
        <v>13</v>
      </c>
      <c r="C130" s="45">
        <f t="shared" si="45"/>
        <v>0</v>
      </c>
      <c r="D130" s="11">
        <f t="shared" si="57"/>
        <v>0</v>
      </c>
      <c r="E130" s="45">
        <f>IF(OR(D130=0,D130="",B$116=0),0,D130*INDEX(Listes!$K$1:$Q$12,MATCH(B$116,Listes!$K$1:$K$12,0),MATCH(E$117,Listes!$K$1:$Q$1,0)))</f>
        <v>0</v>
      </c>
      <c r="F130" s="45">
        <f t="shared" si="46"/>
        <v>0</v>
      </c>
      <c r="G130" s="11">
        <f>IF(OR(B$116=0,B$116=""),0,F130*INDEX(Listes!$K$15:$P$26,MATCH(B$116,Listes!$K$15:$K$26,0),MATCH(G$117,Listes!$K$15:$P$15,0))*INDEX(Listes!$K$29:$O$31,MATCH(C$116,Listes!$K$29:$K$31,0),MATCH(G$117,Listes!$K$29:$O$29,0)))</f>
        <v>0</v>
      </c>
      <c r="H130" s="45">
        <f>IF(OR(B$116=0,B$116=""),0,F130*INDEX(Listes!$K$15:$P$26,MATCH(B$116,Listes!$K$15:$K$26,0),MATCH(H$117,Listes!$K$15:$P$15,0))*INDEX(Listes!$K$29:$O$31,MATCH(C$116,Listes!$K$29:$K$31,0),MATCH(H$117,Listes!$K$29:$O$29,0)))</f>
        <v>0</v>
      </c>
      <c r="I130" s="45">
        <f>IF(OR(B$116=0,B$116=""),0,F130*INDEX(Listes!$K$15:$P$26,MATCH(B$116,Listes!$K$15:$K$26,0),MATCH(I$117,Listes!$K$15:$P$15,0))*INDEX(Listes!$K$29:$O$31,MATCH(C$116,Listes!$K$29:$K$31,0),MATCH(I$117,Listes!$K$29:$O$29,0)))</f>
        <v>0</v>
      </c>
      <c r="K130" s="472"/>
      <c r="L130" s="3">
        <v>13</v>
      </c>
      <c r="M130" s="45">
        <f t="shared" si="47"/>
        <v>0</v>
      </c>
      <c r="N130" s="11">
        <f t="shared" si="48"/>
        <v>0</v>
      </c>
      <c r="O130" s="45">
        <f>IF(OR(N130=0,N130="",L$116=0),0,N130*INDEX(Listes!$K$1:$Q$12,MATCH(L$116,Listes!$K$1:$K$12,0),MATCH(O$117,Listes!$K$1:$Q$1,0)))</f>
        <v>0</v>
      </c>
      <c r="P130" s="45">
        <f t="shared" si="49"/>
        <v>0</v>
      </c>
      <c r="Q130" s="11">
        <f>IF(OR(L$116=0,L$116=""),0,P130*INDEX(Listes!$K$15:$P$26,MATCH(L$116,Listes!$K$15:$K$26,0),MATCH(Q$117,Listes!$K$15:$P$15,0))*INDEX(Listes!$K$29:$O$31,MATCH(M$116,Listes!$K$29:$K$31,0),MATCH(Q$117,Listes!$K$29:$O$29,0)))</f>
        <v>0</v>
      </c>
      <c r="R130" s="45">
        <f>IF(OR(L$116=0,L$116=""),0,P130*INDEX(Listes!$K$15:$P$26,MATCH(L$116,Listes!$K$15:$K$26,0),MATCH(R$117,Listes!$K$15:$P$15,0))*INDEX(Listes!$K$29:$O$31,MATCH(M$116,Listes!$K$29:$K$31,0),MATCH(R$117,Listes!$K$29:$O$29,0)))</f>
        <v>0</v>
      </c>
      <c r="S130" s="45">
        <f>IF(OR(L$116=0,L$116=""),0,P130*INDEX(Listes!$K$15:$P$26,MATCH(L$116,Listes!$K$15:$K$26,0),MATCH(S$117,Listes!$K$15:$P$15,0))*INDEX(Listes!$K$29:$O$31,MATCH(M$116,Listes!$K$29:$K$31,0),MATCH(S$117,Listes!$K$29:$O$29,0)))</f>
        <v>0</v>
      </c>
      <c r="U130" s="472"/>
      <c r="V130" s="3">
        <v>13</v>
      </c>
      <c r="W130" s="45">
        <f t="shared" si="50"/>
        <v>0</v>
      </c>
      <c r="X130" s="11">
        <f t="shared" si="51"/>
        <v>0</v>
      </c>
      <c r="Y130" s="45">
        <f>IF(OR(X130=0,X130="",V$116=0),0,X130*INDEX(Listes!$K$1:$Q$12,MATCH(V$116,Listes!$K$1:$K$12,0),MATCH(Y$117,Listes!$K$1:$Q$1,0)))</f>
        <v>0</v>
      </c>
      <c r="Z130" s="45">
        <f t="shared" si="52"/>
        <v>0</v>
      </c>
      <c r="AA130" s="11">
        <f>IF(OR(V$116=0,V$116=""),0,Z130*INDEX(Listes!$K$15:$P$26,MATCH(V$116,Listes!$K$15:$K$26,0),MATCH(AA$117,Listes!$K$15:$P$15,0))*INDEX(Listes!$K$29:$O$31,MATCH(W$116,Listes!$K$29:$K$31,0),MATCH(AA$117,Listes!$K$29:$O$29,0)))</f>
        <v>0</v>
      </c>
      <c r="AB130" s="45">
        <f>IF(OR(V$116=0,V$116=""),0,Z130*INDEX(Listes!$K$15:$P$26,MATCH(V$116,Listes!$K$15:$K$26,0),MATCH(AB$117,Listes!$K$15:$P$15,0))*INDEX(Listes!$K$29:$O$31,MATCH(W$116,Listes!$K$29:$K$31,0),MATCH(AB$117,Listes!$K$29:$O$29,0)))</f>
        <v>0</v>
      </c>
      <c r="AC130" s="45">
        <f>IF(OR(V$116=0,V$116=""),0,Z130*INDEX(Listes!$K$15:$P$26,MATCH(V$116,Listes!$K$15:$K$26,0),MATCH(AC$117,Listes!$K$15:$P$15,0))*INDEX(Listes!$K$29:$O$31,MATCH(W$116,Listes!$K$29:$K$31,0),MATCH(AC$117,Listes!$K$29:$O$29,0)))</f>
        <v>0</v>
      </c>
      <c r="AE130" s="472"/>
      <c r="AF130" s="3">
        <v>13</v>
      </c>
      <c r="AG130" s="45">
        <f t="shared" si="53"/>
        <v>0</v>
      </c>
      <c r="AH130" s="11">
        <f t="shared" si="54"/>
        <v>0</v>
      </c>
      <c r="AI130" s="45">
        <f>IF(OR(AH130=0,AH130="",AF$116=0),0,AH130*INDEX(Listes!$K$1:$Q$12,MATCH(AF$116,Listes!$K$1:$K$12,0),MATCH(AI$117,Listes!$K$1:$Q$1,0)))</f>
        <v>0</v>
      </c>
      <c r="AJ130" s="45">
        <f t="shared" si="55"/>
        <v>0</v>
      </c>
      <c r="AK130" s="11">
        <f>IF(OR(AF$116=0,AF$116=""),0,AJ130*INDEX(Listes!$K$15:$P$26,MATCH(AF$116,Listes!$K$15:$K$26,0),MATCH(AK$117,Listes!$K$15:$P$15,0))*INDEX(Listes!$K$29:$O$31,MATCH(AG$116,Listes!$K$29:$K$31,0),MATCH(AK$117,Listes!$K$29:$O$29,0)))</f>
        <v>0</v>
      </c>
      <c r="AL130" s="45">
        <f>IF(OR(AF$116=0,AF$116=""),0,AJ130*INDEX(Listes!$K$15:$P$26,MATCH(AF$116,Listes!$K$15:$K$26,0),MATCH(AL$117,Listes!$K$15:$P$15,0))*INDEX(Listes!$K$29:$O$31,MATCH(AG$116,Listes!$K$29:$K$31,0),MATCH(AL$117,Listes!$K$29:$O$29,0)))</f>
        <v>0</v>
      </c>
      <c r="AM130" s="45">
        <f>IF(OR(AF$116=0,AF$116=""),0,AJ130*INDEX(Listes!$K$15:$P$26,MATCH(AF$116,Listes!$K$15:$K$26,0),MATCH(AM$117,Listes!$K$15:$P$15,0))*INDEX(Listes!$K$29:$O$31,MATCH(AG$116,Listes!$K$29:$K$31,0),MATCH(AM$117,Listes!$K$29:$O$29,0)))</f>
        <v>0</v>
      </c>
      <c r="AN130" s="45"/>
      <c r="AO130" s="472"/>
      <c r="AP130" s="3">
        <v>13</v>
      </c>
      <c r="AQ130" s="11">
        <f t="shared" si="56"/>
        <v>0</v>
      </c>
      <c r="AR130" s="11">
        <f t="shared" si="56"/>
        <v>0</v>
      </c>
      <c r="AS130" s="11">
        <f t="shared" si="56"/>
        <v>0</v>
      </c>
      <c r="AT130" s="11">
        <f>AQ130*VLOOKUP(AQ$117,Tableau17[],4,FALSE)+AR130*VLOOKUP(AR$117,Tableau17[],4,FALSE)+AS130*VLOOKUP(AS$117,Tableau17[],4,FALSE)</f>
        <v>0</v>
      </c>
      <c r="AU130" s="11">
        <f>AQ130*VLOOKUP(AQ$117,Tableau17[],3,FALSE)+AR130*VLOOKUP(AR$117,Tableau17[],3,FALSE)+AS130*VLOOKUP(AS$117,Tableau17[],3,FALSE)</f>
        <v>0</v>
      </c>
      <c r="AW130" s="11"/>
      <c r="AX130" s="113"/>
    </row>
    <row r="131" spans="1:52" x14ac:dyDescent="0.2">
      <c r="A131" s="472"/>
      <c r="B131" s="3">
        <v>14</v>
      </c>
      <c r="C131" s="45">
        <f t="shared" si="45"/>
        <v>0</v>
      </c>
      <c r="D131" s="11">
        <f t="shared" si="57"/>
        <v>0</v>
      </c>
      <c r="E131" s="45">
        <f>IF(OR(D131=0,D131="",B$116=0),0,D131*INDEX(Listes!$K$1:$Q$12,MATCH(B$116,Listes!$K$1:$K$12,0),MATCH(E$117,Listes!$K$1:$Q$1,0)))</f>
        <v>0</v>
      </c>
      <c r="F131" s="45">
        <f t="shared" si="46"/>
        <v>0</v>
      </c>
      <c r="G131" s="11">
        <f>IF(OR(B$116=0,B$116=""),0,F131*INDEX(Listes!$K$15:$P$26,MATCH(B$116,Listes!$K$15:$K$26,0),MATCH(G$117,Listes!$K$15:$P$15,0))*INDEX(Listes!$K$29:$O$31,MATCH(C$116,Listes!$K$29:$K$31,0),MATCH(G$117,Listes!$K$29:$O$29,0)))</f>
        <v>0</v>
      </c>
      <c r="H131" s="45">
        <f>IF(OR(B$116=0,B$116=""),0,F131*INDEX(Listes!$K$15:$P$26,MATCH(B$116,Listes!$K$15:$K$26,0),MATCH(H$117,Listes!$K$15:$P$15,0))*INDEX(Listes!$K$29:$O$31,MATCH(C$116,Listes!$K$29:$K$31,0),MATCH(H$117,Listes!$K$29:$O$29,0)))</f>
        <v>0</v>
      </c>
      <c r="I131" s="45">
        <f>IF(OR(B$116=0,B$116=""),0,F131*INDEX(Listes!$K$15:$P$26,MATCH(B$116,Listes!$K$15:$K$26,0),MATCH(I$117,Listes!$K$15:$P$15,0))*INDEX(Listes!$K$29:$O$31,MATCH(C$116,Listes!$K$29:$K$31,0),MATCH(I$117,Listes!$K$29:$O$29,0)))</f>
        <v>0</v>
      </c>
      <c r="K131" s="472"/>
      <c r="L131" s="3">
        <v>14</v>
      </c>
      <c r="M131" s="45">
        <f t="shared" si="47"/>
        <v>0</v>
      </c>
      <c r="N131" s="11">
        <f t="shared" si="48"/>
        <v>0</v>
      </c>
      <c r="O131" s="45">
        <f>IF(OR(N131=0,N131="",L$116=0),0,N131*INDEX(Listes!$K$1:$Q$12,MATCH(L$116,Listes!$K$1:$K$12,0),MATCH(O$117,Listes!$K$1:$Q$1,0)))</f>
        <v>0</v>
      </c>
      <c r="P131" s="45">
        <f t="shared" si="49"/>
        <v>0</v>
      </c>
      <c r="Q131" s="11">
        <f>IF(OR(L$116=0,L$116=""),0,P131*INDEX(Listes!$K$15:$P$26,MATCH(L$116,Listes!$K$15:$K$26,0),MATCH(Q$117,Listes!$K$15:$P$15,0))*INDEX(Listes!$K$29:$O$31,MATCH(M$116,Listes!$K$29:$K$31,0),MATCH(Q$117,Listes!$K$29:$O$29,0)))</f>
        <v>0</v>
      </c>
      <c r="R131" s="45">
        <f>IF(OR(L$116=0,L$116=""),0,P131*INDEX(Listes!$K$15:$P$26,MATCH(L$116,Listes!$K$15:$K$26,0),MATCH(R$117,Listes!$K$15:$P$15,0))*INDEX(Listes!$K$29:$O$31,MATCH(M$116,Listes!$K$29:$K$31,0),MATCH(R$117,Listes!$K$29:$O$29,0)))</f>
        <v>0</v>
      </c>
      <c r="S131" s="45">
        <f>IF(OR(L$116=0,L$116=""),0,P131*INDEX(Listes!$K$15:$P$26,MATCH(L$116,Listes!$K$15:$K$26,0),MATCH(S$117,Listes!$K$15:$P$15,0))*INDEX(Listes!$K$29:$O$31,MATCH(M$116,Listes!$K$29:$K$31,0),MATCH(S$117,Listes!$K$29:$O$29,0)))</f>
        <v>0</v>
      </c>
      <c r="U131" s="472"/>
      <c r="V131" s="3">
        <v>14</v>
      </c>
      <c r="W131" s="45">
        <f t="shared" si="50"/>
        <v>0</v>
      </c>
      <c r="X131" s="11">
        <f t="shared" si="51"/>
        <v>0</v>
      </c>
      <c r="Y131" s="45">
        <f>IF(OR(X131=0,X131="",V$116=0),0,X131*INDEX(Listes!$K$1:$Q$12,MATCH(V$116,Listes!$K$1:$K$12,0),MATCH(Y$117,Listes!$K$1:$Q$1,0)))</f>
        <v>0</v>
      </c>
      <c r="Z131" s="45">
        <f t="shared" si="52"/>
        <v>0</v>
      </c>
      <c r="AA131" s="11">
        <f>IF(OR(V$116=0,V$116=""),0,Z131*INDEX(Listes!$K$15:$P$26,MATCH(V$116,Listes!$K$15:$K$26,0),MATCH(AA$117,Listes!$K$15:$P$15,0))*INDEX(Listes!$K$29:$O$31,MATCH(W$116,Listes!$K$29:$K$31,0),MATCH(AA$117,Listes!$K$29:$O$29,0)))</f>
        <v>0</v>
      </c>
      <c r="AB131" s="45">
        <f>IF(OR(V$116=0,V$116=""),0,Z131*INDEX(Listes!$K$15:$P$26,MATCH(V$116,Listes!$K$15:$K$26,0),MATCH(AB$117,Listes!$K$15:$P$15,0))*INDEX(Listes!$K$29:$O$31,MATCH(W$116,Listes!$K$29:$K$31,0),MATCH(AB$117,Listes!$K$29:$O$29,0)))</f>
        <v>0</v>
      </c>
      <c r="AC131" s="45">
        <f>IF(OR(V$116=0,V$116=""),0,Z131*INDEX(Listes!$K$15:$P$26,MATCH(V$116,Listes!$K$15:$K$26,0),MATCH(AC$117,Listes!$K$15:$P$15,0))*INDEX(Listes!$K$29:$O$31,MATCH(W$116,Listes!$K$29:$K$31,0),MATCH(AC$117,Listes!$K$29:$O$29,0)))</f>
        <v>0</v>
      </c>
      <c r="AE131" s="472"/>
      <c r="AF131" s="3">
        <v>14</v>
      </c>
      <c r="AG131" s="45">
        <f t="shared" si="53"/>
        <v>0</v>
      </c>
      <c r="AH131" s="11">
        <f t="shared" si="54"/>
        <v>0</v>
      </c>
      <c r="AI131" s="45">
        <f>IF(OR(AH131=0,AH131="",AF$116=0),0,AH131*INDEX(Listes!$K$1:$Q$12,MATCH(AF$116,Listes!$K$1:$K$12,0),MATCH(AI$117,Listes!$K$1:$Q$1,0)))</f>
        <v>0</v>
      </c>
      <c r="AJ131" s="45">
        <f t="shared" si="55"/>
        <v>0</v>
      </c>
      <c r="AK131" s="11">
        <f>IF(OR(AF$116=0,AF$116=""),0,AJ131*INDEX(Listes!$K$15:$P$26,MATCH(AF$116,Listes!$K$15:$K$26,0),MATCH(AK$117,Listes!$K$15:$P$15,0))*INDEX(Listes!$K$29:$O$31,MATCH(AG$116,Listes!$K$29:$K$31,0),MATCH(AK$117,Listes!$K$29:$O$29,0)))</f>
        <v>0</v>
      </c>
      <c r="AL131" s="45">
        <f>IF(OR(AF$116=0,AF$116=""),0,AJ131*INDEX(Listes!$K$15:$P$26,MATCH(AF$116,Listes!$K$15:$K$26,0),MATCH(AL$117,Listes!$K$15:$P$15,0))*INDEX(Listes!$K$29:$O$31,MATCH(AG$116,Listes!$K$29:$K$31,0),MATCH(AL$117,Listes!$K$29:$O$29,0)))</f>
        <v>0</v>
      </c>
      <c r="AM131" s="45">
        <f>IF(OR(AF$116=0,AF$116=""),0,AJ131*INDEX(Listes!$K$15:$P$26,MATCH(AF$116,Listes!$K$15:$K$26,0),MATCH(AM$117,Listes!$K$15:$P$15,0))*INDEX(Listes!$K$29:$O$31,MATCH(AG$116,Listes!$K$29:$K$31,0),MATCH(AM$117,Listes!$K$29:$O$29,0)))</f>
        <v>0</v>
      </c>
      <c r="AN131" s="45"/>
      <c r="AO131" s="472"/>
      <c r="AP131" s="3">
        <v>14</v>
      </c>
      <c r="AQ131" s="11">
        <f t="shared" si="56"/>
        <v>0</v>
      </c>
      <c r="AR131" s="11">
        <f t="shared" si="56"/>
        <v>0</v>
      </c>
      <c r="AS131" s="11">
        <f t="shared" si="56"/>
        <v>0</v>
      </c>
      <c r="AT131" s="11">
        <f>AQ131*VLOOKUP(AQ$117,Tableau17[],4,FALSE)+AR131*VLOOKUP(AR$117,Tableau17[],4,FALSE)+AS131*VLOOKUP(AS$117,Tableau17[],4,FALSE)</f>
        <v>0</v>
      </c>
      <c r="AU131" s="11">
        <f>AQ131*VLOOKUP(AQ$117,Tableau17[],3,FALSE)+AR131*VLOOKUP(AR$117,Tableau17[],3,FALSE)+AS131*VLOOKUP(AS$117,Tableau17[],3,FALSE)</f>
        <v>0</v>
      </c>
      <c r="AW131" s="11"/>
      <c r="AX131" s="113"/>
    </row>
    <row r="132" spans="1:52" x14ac:dyDescent="0.2">
      <c r="A132" s="472"/>
      <c r="B132" s="3">
        <v>15</v>
      </c>
      <c r="C132" s="45">
        <f t="shared" si="45"/>
        <v>0</v>
      </c>
      <c r="D132" s="11">
        <f t="shared" si="57"/>
        <v>0</v>
      </c>
      <c r="E132" s="45">
        <f>IF(OR(D132=0,D132="",B$116=0),0,D132*INDEX(Listes!$K$1:$Q$12,MATCH(B$116,Listes!$K$1:$K$12,0),MATCH(E$117,Listes!$K$1:$Q$1,0)))</f>
        <v>0</v>
      </c>
      <c r="F132" s="45">
        <f t="shared" si="46"/>
        <v>0</v>
      </c>
      <c r="G132" s="45">
        <f>IF(OR(B$116=0,B$116=""),0,F132*INDEX(Listes!$K$15:$P$26,MATCH(B$116,Listes!$K$15:$K$26,0),MATCH(G$117,Listes!$K$15:$P$15,0))*INDEX(Listes!$K$29:$O$31,MATCH(C$116,Listes!$K$29:$K$31,0),MATCH(G$117,Listes!$K$29:$O$29,0)))</f>
        <v>0</v>
      </c>
      <c r="H132" s="45">
        <f>IF(OR(B$116=0,B$116=""),0,F132*INDEX(Listes!$K$15:$P$26,MATCH(B$116,Listes!$K$15:$K$26,0),MATCH(H$117,Listes!$K$15:$P$15,0))*INDEX(Listes!$K$29:$O$31,MATCH(C$116,Listes!$K$29:$K$31,0),MATCH(H$117,Listes!$K$29:$O$29,0)))</f>
        <v>0</v>
      </c>
      <c r="I132" s="45">
        <f>IF(OR(B$116=0,B$116=""),0,F132*INDEX(Listes!$K$15:$P$26,MATCH(B$116,Listes!$K$15:$K$26,0),MATCH(I$117,Listes!$K$15:$P$15,0))*INDEX(Listes!$K$29:$O$31,MATCH(C$116,Listes!$K$29:$K$31,0),MATCH(I$117,Listes!$K$29:$O$29,0)))</f>
        <v>0</v>
      </c>
      <c r="K132" s="472"/>
      <c r="L132" s="3">
        <v>15</v>
      </c>
      <c r="M132" s="45">
        <f t="shared" si="47"/>
        <v>0</v>
      </c>
      <c r="N132" s="11">
        <f t="shared" si="48"/>
        <v>0</v>
      </c>
      <c r="O132" s="45">
        <f>IF(OR(N132=0,N132="",L$116=0),0,N132*INDEX(Listes!$K$1:$Q$12,MATCH(L$116,Listes!$K$1:$K$12,0),MATCH(O$117,Listes!$K$1:$Q$1,0)))</f>
        <v>0</v>
      </c>
      <c r="P132" s="45">
        <f t="shared" si="49"/>
        <v>0</v>
      </c>
      <c r="Q132" s="45">
        <f>IF(OR(L$116=0,L$116=""),0,P132*INDEX(Listes!$K$15:$P$26,MATCH(L$116,Listes!$K$15:$K$26,0),MATCH(Q$117,Listes!$K$15:$P$15,0))*INDEX(Listes!$K$29:$O$31,MATCH(M$116,Listes!$K$29:$K$31,0),MATCH(Q$117,Listes!$K$29:$O$29,0)))</f>
        <v>0</v>
      </c>
      <c r="R132" s="45">
        <f>IF(OR(L$116=0,L$116=""),0,P132*INDEX(Listes!$K$15:$P$26,MATCH(L$116,Listes!$K$15:$K$26,0),MATCH(R$117,Listes!$K$15:$P$15,0))*INDEX(Listes!$K$29:$O$31,MATCH(M$116,Listes!$K$29:$K$31,0),MATCH(R$117,Listes!$K$29:$O$29,0)))</f>
        <v>0</v>
      </c>
      <c r="S132" s="45">
        <f>IF(OR(L$116=0,L$116=""),0,P132*INDEX(Listes!$K$15:$P$26,MATCH(L$116,Listes!$K$15:$K$26,0),MATCH(S$117,Listes!$K$15:$P$15,0))*INDEX(Listes!$K$29:$O$31,MATCH(M$116,Listes!$K$29:$K$31,0),MATCH(S$117,Listes!$K$29:$O$29,0)))</f>
        <v>0</v>
      </c>
      <c r="U132" s="472"/>
      <c r="V132" s="3">
        <v>15</v>
      </c>
      <c r="W132" s="45">
        <f t="shared" si="50"/>
        <v>0</v>
      </c>
      <c r="X132" s="11">
        <f t="shared" si="51"/>
        <v>0</v>
      </c>
      <c r="Y132" s="45">
        <f>IF(OR(X132=0,X132="",V$116=0),0,X132*INDEX(Listes!$K$1:$Q$12,MATCH(V$116,Listes!$K$1:$K$12,0),MATCH(Y$117,Listes!$K$1:$Q$1,0)))</f>
        <v>0</v>
      </c>
      <c r="Z132" s="45">
        <f t="shared" si="52"/>
        <v>0</v>
      </c>
      <c r="AA132" s="45">
        <f>IF(OR(V$116=0,V$116=""),0,Z132*INDEX(Listes!$K$15:$P$26,MATCH(V$116,Listes!$K$15:$K$26,0),MATCH(AA$117,Listes!$K$15:$P$15,0))*INDEX(Listes!$K$29:$O$31,MATCH(W$116,Listes!$K$29:$K$31,0),MATCH(AA$117,Listes!$K$29:$O$29,0)))</f>
        <v>0</v>
      </c>
      <c r="AB132" s="45">
        <f>IF(OR(V$116=0,V$116=""),0,Z132*INDEX(Listes!$K$15:$P$26,MATCH(V$116,Listes!$K$15:$K$26,0),MATCH(AB$117,Listes!$K$15:$P$15,0))*INDEX(Listes!$K$29:$O$31,MATCH(W$116,Listes!$K$29:$K$31,0),MATCH(AB$117,Listes!$K$29:$O$29,0)))</f>
        <v>0</v>
      </c>
      <c r="AC132" s="45">
        <f>IF(OR(V$116=0,V$116=""),0,Z132*INDEX(Listes!$K$15:$P$26,MATCH(V$116,Listes!$K$15:$K$26,0),MATCH(AC$117,Listes!$K$15:$P$15,0))*INDEX(Listes!$K$29:$O$31,MATCH(W$116,Listes!$K$29:$K$31,0),MATCH(AC$117,Listes!$K$29:$O$29,0)))</f>
        <v>0</v>
      </c>
      <c r="AE132" s="472"/>
      <c r="AF132" s="3">
        <v>15</v>
      </c>
      <c r="AG132" s="45">
        <f t="shared" si="53"/>
        <v>0</v>
      </c>
      <c r="AH132" s="11">
        <f t="shared" si="54"/>
        <v>0</v>
      </c>
      <c r="AI132" s="45">
        <f>IF(OR(AH132=0,AH132="",AF$116=0),0,AH132*INDEX(Listes!$K$1:$Q$12,MATCH(AF$116,Listes!$K$1:$K$12,0),MATCH(AI$117,Listes!$K$1:$Q$1,0)))</f>
        <v>0</v>
      </c>
      <c r="AJ132" s="45">
        <f t="shared" si="55"/>
        <v>0</v>
      </c>
      <c r="AK132" s="45">
        <f>IF(OR(AF$116=0,AF$116=""),0,AJ132*INDEX(Listes!$K$15:$P$26,MATCH(AF$116,Listes!$K$15:$K$26,0),MATCH(AK$117,Listes!$K$15:$P$15,0))*INDEX(Listes!$K$29:$O$31,MATCH(AG$116,Listes!$K$29:$K$31,0),MATCH(AK$117,Listes!$K$29:$O$29,0)))</f>
        <v>0</v>
      </c>
      <c r="AL132" s="45">
        <f>IF(OR(AF$116=0,AF$116=""),0,AJ132*INDEX(Listes!$K$15:$P$26,MATCH(AF$116,Listes!$K$15:$K$26,0),MATCH(AL$117,Listes!$K$15:$P$15,0))*INDEX(Listes!$K$29:$O$31,MATCH(AG$116,Listes!$K$29:$K$31,0),MATCH(AL$117,Listes!$K$29:$O$29,0)))</f>
        <v>0</v>
      </c>
      <c r="AM132" s="45">
        <f>IF(OR(AF$116=0,AF$116=""),0,AJ132*INDEX(Listes!$K$15:$P$26,MATCH(AF$116,Listes!$K$15:$K$26,0),MATCH(AM$117,Listes!$K$15:$P$15,0))*INDEX(Listes!$K$29:$O$31,MATCH(AG$116,Listes!$K$29:$K$31,0),MATCH(AM$117,Listes!$K$29:$O$29,0)))</f>
        <v>0</v>
      </c>
      <c r="AN132" s="45"/>
      <c r="AO132" s="472"/>
      <c r="AP132" s="3">
        <v>15</v>
      </c>
      <c r="AQ132" s="11">
        <f t="shared" si="56"/>
        <v>0</v>
      </c>
      <c r="AR132" s="11">
        <f t="shared" si="56"/>
        <v>0</v>
      </c>
      <c r="AS132" s="11">
        <f t="shared" si="56"/>
        <v>0</v>
      </c>
      <c r="AT132" s="11">
        <f>AQ132*VLOOKUP(AQ$117,Tableau17[],4,FALSE)+AR132*VLOOKUP(AR$117,Tableau17[],4,FALSE)+AS132*VLOOKUP(AS$117,Tableau17[],4,FALSE)</f>
        <v>0</v>
      </c>
      <c r="AU132" s="11">
        <f>AQ132*VLOOKUP(AQ$117,Tableau17[],3,FALSE)+AR132*VLOOKUP(AR$117,Tableau17[],3,FALSE)+AS132*VLOOKUP(AS$117,Tableau17[],3,FALSE)</f>
        <v>0</v>
      </c>
      <c r="AW132" s="11"/>
      <c r="AX132" s="113"/>
    </row>
    <row r="133" spans="1:52" x14ac:dyDescent="0.2">
      <c r="A133" s="472"/>
      <c r="B133" s="3">
        <v>16</v>
      </c>
      <c r="C133" s="45">
        <f t="shared" si="45"/>
        <v>0</v>
      </c>
      <c r="D133" s="11">
        <f t="shared" si="57"/>
        <v>0</v>
      </c>
      <c r="E133" s="45">
        <f>IF(OR(D133=0,D133="",B$116=0),0,D133*INDEX(Listes!$K$1:$Q$12,MATCH(B$116,Listes!$K$1:$K$12,0),MATCH(E$117,Listes!$K$1:$Q$1,0)))</f>
        <v>0</v>
      </c>
      <c r="F133" s="45">
        <f t="shared" si="46"/>
        <v>0</v>
      </c>
      <c r="G133" s="11">
        <f>IF(OR(B$116=0,B$116=""),0,F133*INDEX(Listes!$K$15:$P$26,MATCH(B$116,Listes!$K$15:$K$26,0),MATCH(G$117,Listes!$K$15:$P$15,0))*INDEX(Listes!$K$29:$O$31,MATCH(C$116,Listes!$K$29:$K$31,0),MATCH(G$117,Listes!$K$29:$O$29,0)))</f>
        <v>0</v>
      </c>
      <c r="H133" s="45">
        <f>IF(OR(B$116=0,B$116=""),0,F133*INDEX(Listes!$K$15:$P$26,MATCH(B$116,Listes!$K$15:$K$26,0),MATCH(H$117,Listes!$K$15:$P$15,0))*INDEX(Listes!$K$29:$O$31,MATCH(C$116,Listes!$K$29:$K$31,0),MATCH(H$117,Listes!$K$29:$O$29,0)))</f>
        <v>0</v>
      </c>
      <c r="I133" s="45">
        <f>IF(OR(B$116=0,B$116=""),0,F133*INDEX(Listes!$K$15:$P$26,MATCH(B$116,Listes!$K$15:$K$26,0),MATCH(I$117,Listes!$K$15:$P$15,0))*INDEX(Listes!$K$29:$O$31,MATCH(C$116,Listes!$K$29:$K$31,0),MATCH(I$117,Listes!$K$29:$O$29,0)))</f>
        <v>0</v>
      </c>
      <c r="K133" s="472"/>
      <c r="L133" s="3">
        <v>16</v>
      </c>
      <c r="M133" s="45">
        <f t="shared" si="47"/>
        <v>0</v>
      </c>
      <c r="N133" s="11">
        <f t="shared" si="48"/>
        <v>0</v>
      </c>
      <c r="O133" s="45">
        <f>IF(OR(N133=0,N133="",L$116=0),0,N133*INDEX(Listes!$K$1:$Q$12,MATCH(L$116,Listes!$K$1:$K$12,0),MATCH(O$117,Listes!$K$1:$Q$1,0)))</f>
        <v>0</v>
      </c>
      <c r="P133" s="45">
        <f t="shared" si="49"/>
        <v>0</v>
      </c>
      <c r="Q133" s="11">
        <f>IF(OR(L$116=0,L$116=""),0,P133*INDEX(Listes!$K$15:$P$26,MATCH(L$116,Listes!$K$15:$K$26,0),MATCH(Q$117,Listes!$K$15:$P$15,0))*INDEX(Listes!$K$29:$O$31,MATCH(M$116,Listes!$K$29:$K$31,0),MATCH(Q$117,Listes!$K$29:$O$29,0)))</f>
        <v>0</v>
      </c>
      <c r="R133" s="45">
        <f>IF(OR(L$116=0,L$116=""),0,P133*INDEX(Listes!$K$15:$P$26,MATCH(L$116,Listes!$K$15:$K$26,0),MATCH(R$117,Listes!$K$15:$P$15,0))*INDEX(Listes!$K$29:$O$31,MATCH(M$116,Listes!$K$29:$K$31,0),MATCH(R$117,Listes!$K$29:$O$29,0)))</f>
        <v>0</v>
      </c>
      <c r="S133" s="45">
        <f>IF(OR(L$116=0,L$116=""),0,P133*INDEX(Listes!$K$15:$P$26,MATCH(L$116,Listes!$K$15:$K$26,0),MATCH(S$117,Listes!$K$15:$P$15,0))*INDEX(Listes!$K$29:$O$31,MATCH(M$116,Listes!$K$29:$K$31,0),MATCH(S$117,Listes!$K$29:$O$29,0)))</f>
        <v>0</v>
      </c>
      <c r="U133" s="472"/>
      <c r="V133" s="3">
        <v>16</v>
      </c>
      <c r="W133" s="45">
        <f t="shared" si="50"/>
        <v>0</v>
      </c>
      <c r="X133" s="11">
        <f t="shared" si="51"/>
        <v>0</v>
      </c>
      <c r="Y133" s="45">
        <f>IF(OR(X133=0,X133="",V$116=0),0,X133*INDEX(Listes!$K$1:$Q$12,MATCH(V$116,Listes!$K$1:$K$12,0),MATCH(Y$117,Listes!$K$1:$Q$1,0)))</f>
        <v>0</v>
      </c>
      <c r="Z133" s="45">
        <f t="shared" si="52"/>
        <v>0</v>
      </c>
      <c r="AA133" s="11">
        <f>IF(OR(V$116=0,V$116=""),0,Z133*INDEX(Listes!$K$15:$P$26,MATCH(V$116,Listes!$K$15:$K$26,0),MATCH(AA$117,Listes!$K$15:$P$15,0))*INDEX(Listes!$K$29:$O$31,MATCH(W$116,Listes!$K$29:$K$31,0),MATCH(AA$117,Listes!$K$29:$O$29,0)))</f>
        <v>0</v>
      </c>
      <c r="AB133" s="45">
        <f>IF(OR(V$116=0,V$116=""),0,Z133*INDEX(Listes!$K$15:$P$26,MATCH(V$116,Listes!$K$15:$K$26,0),MATCH(AB$117,Listes!$K$15:$P$15,0))*INDEX(Listes!$K$29:$O$31,MATCH(W$116,Listes!$K$29:$K$31,0),MATCH(AB$117,Listes!$K$29:$O$29,0)))</f>
        <v>0</v>
      </c>
      <c r="AC133" s="45">
        <f>IF(OR(V$116=0,V$116=""),0,Z133*INDEX(Listes!$K$15:$P$26,MATCH(V$116,Listes!$K$15:$K$26,0),MATCH(AC$117,Listes!$K$15:$P$15,0))*INDEX(Listes!$K$29:$O$31,MATCH(W$116,Listes!$K$29:$K$31,0),MATCH(AC$117,Listes!$K$29:$O$29,0)))</f>
        <v>0</v>
      </c>
      <c r="AE133" s="472"/>
      <c r="AF133" s="3">
        <v>16</v>
      </c>
      <c r="AG133" s="45">
        <f t="shared" si="53"/>
        <v>0</v>
      </c>
      <c r="AH133" s="11">
        <f t="shared" si="54"/>
        <v>0</v>
      </c>
      <c r="AI133" s="45">
        <f>IF(OR(AH133=0,AH133="",AF$116=0),0,AH133*INDEX(Listes!$K$1:$Q$12,MATCH(AF$116,Listes!$K$1:$K$12,0),MATCH(AI$117,Listes!$K$1:$Q$1,0)))</f>
        <v>0</v>
      </c>
      <c r="AJ133" s="45">
        <f t="shared" si="55"/>
        <v>0</v>
      </c>
      <c r="AK133" s="11">
        <f>IF(OR(AF$116=0,AF$116=""),0,AJ133*INDEX(Listes!$K$15:$P$26,MATCH(AF$116,Listes!$K$15:$K$26,0),MATCH(AK$117,Listes!$K$15:$P$15,0))*INDEX(Listes!$K$29:$O$31,MATCH(AG$116,Listes!$K$29:$K$31,0),MATCH(AK$117,Listes!$K$29:$O$29,0)))</f>
        <v>0</v>
      </c>
      <c r="AL133" s="45">
        <f>IF(OR(AF$116=0,AF$116=""),0,AJ133*INDEX(Listes!$K$15:$P$26,MATCH(AF$116,Listes!$K$15:$K$26,0),MATCH(AL$117,Listes!$K$15:$P$15,0))*INDEX(Listes!$K$29:$O$31,MATCH(AG$116,Listes!$K$29:$K$31,0),MATCH(AL$117,Listes!$K$29:$O$29,0)))</f>
        <v>0</v>
      </c>
      <c r="AM133" s="45">
        <f>IF(OR(AF$116=0,AF$116=""),0,AJ133*INDEX(Listes!$K$15:$P$26,MATCH(AF$116,Listes!$K$15:$K$26,0),MATCH(AM$117,Listes!$K$15:$P$15,0))*INDEX(Listes!$K$29:$O$31,MATCH(AG$116,Listes!$K$29:$K$31,0),MATCH(AM$117,Listes!$K$29:$O$29,0)))</f>
        <v>0</v>
      </c>
      <c r="AN133" s="45"/>
      <c r="AO133" s="472"/>
      <c r="AP133" s="3">
        <v>16</v>
      </c>
      <c r="AQ133" s="11">
        <f t="shared" si="56"/>
        <v>0</v>
      </c>
      <c r="AR133" s="11">
        <f t="shared" si="56"/>
        <v>0</v>
      </c>
      <c r="AS133" s="11">
        <f t="shared" si="56"/>
        <v>0</v>
      </c>
      <c r="AT133" s="11">
        <f>AQ133*VLOOKUP(AQ$117,Tableau17[],4,FALSE)+AR133*VLOOKUP(AR$117,Tableau17[],4,FALSE)+AS133*VLOOKUP(AS$117,Tableau17[],4,FALSE)</f>
        <v>0</v>
      </c>
      <c r="AU133" s="11">
        <f>AQ133*VLOOKUP(AQ$117,Tableau17[],3,FALSE)+AR133*VLOOKUP(AR$117,Tableau17[],3,FALSE)+AS133*VLOOKUP(AS$117,Tableau17[],3,FALSE)</f>
        <v>0</v>
      </c>
      <c r="AW133" s="11"/>
      <c r="AX133" s="113"/>
    </row>
    <row r="134" spans="1:52" x14ac:dyDescent="0.2">
      <c r="A134" s="472"/>
      <c r="B134" s="3">
        <v>17</v>
      </c>
      <c r="C134" s="45">
        <f t="shared" si="45"/>
        <v>0</v>
      </c>
      <c r="D134" s="11">
        <f t="shared" si="57"/>
        <v>0</v>
      </c>
      <c r="E134" s="45">
        <f>IF(OR(D134=0,D134="",B$116=0),0,D134*INDEX(Listes!$K$1:$Q$12,MATCH(B$116,Listes!$K$1:$K$12,0),MATCH(E$117,Listes!$K$1:$Q$1,0)))</f>
        <v>0</v>
      </c>
      <c r="F134" s="45">
        <f t="shared" si="46"/>
        <v>0</v>
      </c>
      <c r="G134" s="11">
        <f>IF(OR(B$116=0,B$116=""),0,F134*INDEX(Listes!$K$15:$P$26,MATCH(B$116,Listes!$K$15:$K$26,0),MATCH(G$117,Listes!$K$15:$P$15,0))*INDEX(Listes!$K$29:$O$31,MATCH(C$116,Listes!$K$29:$K$31,0),MATCH(G$117,Listes!$K$29:$O$29,0)))</f>
        <v>0</v>
      </c>
      <c r="H134" s="45">
        <f>IF(OR(B$116=0,B$116=""),0,F134*INDEX(Listes!$K$15:$P$26,MATCH(B$116,Listes!$K$15:$K$26,0),MATCH(H$117,Listes!$K$15:$P$15,0))*INDEX(Listes!$K$29:$O$31,MATCH(C$116,Listes!$K$29:$K$31,0),MATCH(H$117,Listes!$K$29:$O$29,0)))</f>
        <v>0</v>
      </c>
      <c r="I134" s="45">
        <f>IF(OR(B$116=0,B$116=""),0,F134*INDEX(Listes!$K$15:$P$26,MATCH(B$116,Listes!$K$15:$K$26,0),MATCH(I$117,Listes!$K$15:$P$15,0))*INDEX(Listes!$K$29:$O$31,MATCH(C$116,Listes!$K$29:$K$31,0),MATCH(I$117,Listes!$K$29:$O$29,0)))</f>
        <v>0</v>
      </c>
      <c r="K134" s="472"/>
      <c r="L134" s="3">
        <v>17</v>
      </c>
      <c r="M134" s="45">
        <f t="shared" si="47"/>
        <v>0</v>
      </c>
      <c r="N134" s="11">
        <f t="shared" si="48"/>
        <v>0</v>
      </c>
      <c r="O134" s="45">
        <f>IF(OR(N134=0,N134="",L$116=0),0,N134*INDEX(Listes!$K$1:$Q$12,MATCH(L$116,Listes!$K$1:$K$12,0),MATCH(O$117,Listes!$K$1:$Q$1,0)))</f>
        <v>0</v>
      </c>
      <c r="P134" s="45">
        <f t="shared" si="49"/>
        <v>0</v>
      </c>
      <c r="Q134" s="11">
        <f>IF(OR(L$116=0,L$116=""),0,P134*INDEX(Listes!$K$15:$P$26,MATCH(L$116,Listes!$K$15:$K$26,0),MATCH(Q$117,Listes!$K$15:$P$15,0))*INDEX(Listes!$K$29:$O$31,MATCH(M$116,Listes!$K$29:$K$31,0),MATCH(Q$117,Listes!$K$29:$O$29,0)))</f>
        <v>0</v>
      </c>
      <c r="R134" s="45">
        <f>IF(OR(L$116=0,L$116=""),0,P134*INDEX(Listes!$K$15:$P$26,MATCH(L$116,Listes!$K$15:$K$26,0),MATCH(R$117,Listes!$K$15:$P$15,0))*INDEX(Listes!$K$29:$O$31,MATCH(M$116,Listes!$K$29:$K$31,0),MATCH(R$117,Listes!$K$29:$O$29,0)))</f>
        <v>0</v>
      </c>
      <c r="S134" s="45">
        <f>IF(OR(L$116=0,L$116=""),0,P134*INDEX(Listes!$K$15:$P$26,MATCH(L$116,Listes!$K$15:$K$26,0),MATCH(S$117,Listes!$K$15:$P$15,0))*INDEX(Listes!$K$29:$O$31,MATCH(M$116,Listes!$K$29:$K$31,0),MATCH(S$117,Listes!$K$29:$O$29,0)))</f>
        <v>0</v>
      </c>
      <c r="U134" s="472"/>
      <c r="V134" s="3">
        <v>17</v>
      </c>
      <c r="W134" s="45">
        <f t="shared" si="50"/>
        <v>0</v>
      </c>
      <c r="X134" s="11">
        <f t="shared" si="51"/>
        <v>0</v>
      </c>
      <c r="Y134" s="45">
        <f>IF(OR(X134=0,X134="",V$116=0),0,X134*INDEX(Listes!$K$1:$Q$12,MATCH(V$116,Listes!$K$1:$K$12,0),MATCH(Y$117,Listes!$K$1:$Q$1,0)))</f>
        <v>0</v>
      </c>
      <c r="Z134" s="45">
        <f t="shared" si="52"/>
        <v>0</v>
      </c>
      <c r="AA134" s="11">
        <f>IF(OR(V$116=0,V$116=""),0,Z134*INDEX(Listes!$K$15:$P$26,MATCH(V$116,Listes!$K$15:$K$26,0),MATCH(AA$117,Listes!$K$15:$P$15,0))*INDEX(Listes!$K$29:$O$31,MATCH(W$116,Listes!$K$29:$K$31,0),MATCH(AA$117,Listes!$K$29:$O$29,0)))</f>
        <v>0</v>
      </c>
      <c r="AB134" s="45">
        <f>IF(OR(V$116=0,V$116=""),0,Z134*INDEX(Listes!$K$15:$P$26,MATCH(V$116,Listes!$K$15:$K$26,0),MATCH(AB$117,Listes!$K$15:$P$15,0))*INDEX(Listes!$K$29:$O$31,MATCH(W$116,Listes!$K$29:$K$31,0),MATCH(AB$117,Listes!$K$29:$O$29,0)))</f>
        <v>0</v>
      </c>
      <c r="AC134" s="45">
        <f>IF(OR(V$116=0,V$116=""),0,Z134*INDEX(Listes!$K$15:$P$26,MATCH(V$116,Listes!$K$15:$K$26,0),MATCH(AC$117,Listes!$K$15:$P$15,0))*INDEX(Listes!$K$29:$O$31,MATCH(W$116,Listes!$K$29:$K$31,0),MATCH(AC$117,Listes!$K$29:$O$29,0)))</f>
        <v>0</v>
      </c>
      <c r="AE134" s="472"/>
      <c r="AF134" s="3">
        <v>17</v>
      </c>
      <c r="AG134" s="45">
        <f t="shared" si="53"/>
        <v>0</v>
      </c>
      <c r="AH134" s="11">
        <f t="shared" si="54"/>
        <v>0</v>
      </c>
      <c r="AI134" s="45">
        <f>IF(OR(AH134=0,AH134="",AF$116=0),0,AH134*INDEX(Listes!$K$1:$Q$12,MATCH(AF$116,Listes!$K$1:$K$12,0),MATCH(AI$117,Listes!$K$1:$Q$1,0)))</f>
        <v>0</v>
      </c>
      <c r="AJ134" s="45">
        <f t="shared" si="55"/>
        <v>0</v>
      </c>
      <c r="AK134" s="11">
        <f>IF(OR(AF$116=0,AF$116=""),0,AJ134*INDEX(Listes!$K$15:$P$26,MATCH(AF$116,Listes!$K$15:$K$26,0),MATCH(AK$117,Listes!$K$15:$P$15,0))*INDEX(Listes!$K$29:$O$31,MATCH(AG$116,Listes!$K$29:$K$31,0),MATCH(AK$117,Listes!$K$29:$O$29,0)))</f>
        <v>0</v>
      </c>
      <c r="AL134" s="45">
        <f>IF(OR(AF$116=0,AF$116=""),0,AJ134*INDEX(Listes!$K$15:$P$26,MATCH(AF$116,Listes!$K$15:$K$26,0),MATCH(AL$117,Listes!$K$15:$P$15,0))*INDEX(Listes!$K$29:$O$31,MATCH(AG$116,Listes!$K$29:$K$31,0),MATCH(AL$117,Listes!$K$29:$O$29,0)))</f>
        <v>0</v>
      </c>
      <c r="AM134" s="45">
        <f>IF(OR(AF$116=0,AF$116=""),0,AJ134*INDEX(Listes!$K$15:$P$26,MATCH(AF$116,Listes!$K$15:$K$26,0),MATCH(AM$117,Listes!$K$15:$P$15,0))*INDEX(Listes!$K$29:$O$31,MATCH(AG$116,Listes!$K$29:$K$31,0),MATCH(AM$117,Listes!$K$29:$O$29,0)))</f>
        <v>0</v>
      </c>
      <c r="AN134" s="45"/>
      <c r="AO134" s="472"/>
      <c r="AP134" s="3">
        <v>17</v>
      </c>
      <c r="AQ134" s="11">
        <f t="shared" si="56"/>
        <v>0</v>
      </c>
      <c r="AR134" s="11">
        <f t="shared" si="56"/>
        <v>0</v>
      </c>
      <c r="AS134" s="11">
        <f t="shared" si="56"/>
        <v>0</v>
      </c>
      <c r="AT134" s="11">
        <f>AQ134*VLOOKUP(AQ$117,Tableau17[],4,FALSE)+AR134*VLOOKUP(AR$117,Tableau17[],4,FALSE)+AS134*VLOOKUP(AS$117,Tableau17[],4,FALSE)</f>
        <v>0</v>
      </c>
      <c r="AU134" s="11">
        <f>AQ134*VLOOKUP(AQ$117,Tableau17[],3,FALSE)+AR134*VLOOKUP(AR$117,Tableau17[],3,FALSE)+AS134*VLOOKUP(AS$117,Tableau17[],3,FALSE)</f>
        <v>0</v>
      </c>
      <c r="AW134" s="11"/>
      <c r="AX134" s="113"/>
    </row>
    <row r="135" spans="1:52" x14ac:dyDescent="0.2">
      <c r="A135" s="472"/>
      <c r="B135" s="3">
        <v>18</v>
      </c>
      <c r="C135" s="45">
        <f t="shared" si="45"/>
        <v>0</v>
      </c>
      <c r="D135" s="11">
        <f t="shared" si="57"/>
        <v>0</v>
      </c>
      <c r="E135" s="45">
        <f>IF(OR(D135=0,D135="",B$116=0),0,D135*INDEX(Listes!$K$1:$Q$12,MATCH(B$116,Listes!$K$1:$K$12,0),MATCH(E$117,Listes!$K$1:$Q$1,0)))</f>
        <v>0</v>
      </c>
      <c r="F135" s="45">
        <f t="shared" si="46"/>
        <v>0</v>
      </c>
      <c r="G135" s="11">
        <f>IF(OR(B$116=0,B$116=""),0,F135*INDEX(Listes!$K$15:$P$26,MATCH(B$116,Listes!$K$15:$K$26,0),MATCH(G$117,Listes!$K$15:$P$15,0))*INDEX(Listes!$K$29:$O$31,MATCH(C$116,Listes!$K$29:$K$31,0),MATCH(G$117,Listes!$K$29:$O$29,0)))</f>
        <v>0</v>
      </c>
      <c r="H135" s="45">
        <f>IF(OR(B$116=0,B$116=""),0,F135*INDEX(Listes!$K$15:$P$26,MATCH(B$116,Listes!$K$15:$K$26,0),MATCH(H$117,Listes!$K$15:$P$15,0))*INDEX(Listes!$K$29:$O$31,MATCH(C$116,Listes!$K$29:$K$31,0),MATCH(H$117,Listes!$K$29:$O$29,0)))</f>
        <v>0</v>
      </c>
      <c r="I135" s="45">
        <f>IF(OR(B$116=0,B$116=""),0,F135*INDEX(Listes!$K$15:$P$26,MATCH(B$116,Listes!$K$15:$K$26,0),MATCH(I$117,Listes!$K$15:$P$15,0))*INDEX(Listes!$K$29:$O$31,MATCH(C$116,Listes!$K$29:$K$31,0),MATCH(I$117,Listes!$K$29:$O$29,0)))</f>
        <v>0</v>
      </c>
      <c r="K135" s="472"/>
      <c r="L135" s="3">
        <v>18</v>
      </c>
      <c r="M135" s="45">
        <f t="shared" si="47"/>
        <v>0</v>
      </c>
      <c r="N135" s="11">
        <f t="shared" si="48"/>
        <v>0</v>
      </c>
      <c r="O135" s="45">
        <f>IF(OR(N135=0,N135="",L$116=0),0,N135*INDEX(Listes!$K$1:$Q$12,MATCH(L$116,Listes!$K$1:$K$12,0),MATCH(O$117,Listes!$K$1:$Q$1,0)))</f>
        <v>0</v>
      </c>
      <c r="P135" s="45">
        <f t="shared" si="49"/>
        <v>0</v>
      </c>
      <c r="Q135" s="11">
        <f>IF(OR(L$116=0,L$116=""),0,P135*INDEX(Listes!$K$15:$P$26,MATCH(L$116,Listes!$K$15:$K$26,0),MATCH(Q$117,Listes!$K$15:$P$15,0))*INDEX(Listes!$K$29:$O$31,MATCH(M$116,Listes!$K$29:$K$31,0),MATCH(Q$117,Listes!$K$29:$O$29,0)))</f>
        <v>0</v>
      </c>
      <c r="R135" s="45">
        <f>IF(OR(L$116=0,L$116=""),0,P135*INDEX(Listes!$K$15:$P$26,MATCH(L$116,Listes!$K$15:$K$26,0),MATCH(R$117,Listes!$K$15:$P$15,0))*INDEX(Listes!$K$29:$O$31,MATCH(M$116,Listes!$K$29:$K$31,0),MATCH(R$117,Listes!$K$29:$O$29,0)))</f>
        <v>0</v>
      </c>
      <c r="S135" s="45">
        <f>IF(OR(L$116=0,L$116=""),0,P135*INDEX(Listes!$K$15:$P$26,MATCH(L$116,Listes!$K$15:$K$26,0),MATCH(S$117,Listes!$K$15:$P$15,0))*INDEX(Listes!$K$29:$O$31,MATCH(M$116,Listes!$K$29:$K$31,0),MATCH(S$117,Listes!$K$29:$O$29,0)))</f>
        <v>0</v>
      </c>
      <c r="U135" s="472"/>
      <c r="V135" s="3">
        <v>18</v>
      </c>
      <c r="W135" s="45">
        <f t="shared" si="50"/>
        <v>0</v>
      </c>
      <c r="X135" s="11">
        <f t="shared" si="51"/>
        <v>0</v>
      </c>
      <c r="Y135" s="45">
        <f>IF(OR(X135=0,X135="",V$116=0),0,X135*INDEX(Listes!$K$1:$Q$12,MATCH(V$116,Listes!$K$1:$K$12,0),MATCH(Y$117,Listes!$K$1:$Q$1,0)))</f>
        <v>0</v>
      </c>
      <c r="Z135" s="45">
        <f t="shared" si="52"/>
        <v>0</v>
      </c>
      <c r="AA135" s="11">
        <f>IF(OR(V$116=0,V$116=""),0,Z135*INDEX(Listes!$K$15:$P$26,MATCH(V$116,Listes!$K$15:$K$26,0),MATCH(AA$117,Listes!$K$15:$P$15,0))*INDEX(Listes!$K$29:$O$31,MATCH(W$116,Listes!$K$29:$K$31,0),MATCH(AA$117,Listes!$K$29:$O$29,0)))</f>
        <v>0</v>
      </c>
      <c r="AB135" s="45">
        <f>IF(OR(V$116=0,V$116=""),0,Z135*INDEX(Listes!$K$15:$P$26,MATCH(V$116,Listes!$K$15:$K$26,0),MATCH(AB$117,Listes!$K$15:$P$15,0))*INDEX(Listes!$K$29:$O$31,MATCH(W$116,Listes!$K$29:$K$31,0),MATCH(AB$117,Listes!$K$29:$O$29,0)))</f>
        <v>0</v>
      </c>
      <c r="AC135" s="45">
        <f>IF(OR(V$116=0,V$116=""),0,Z135*INDEX(Listes!$K$15:$P$26,MATCH(V$116,Listes!$K$15:$K$26,0),MATCH(AC$117,Listes!$K$15:$P$15,0))*INDEX(Listes!$K$29:$O$31,MATCH(W$116,Listes!$K$29:$K$31,0),MATCH(AC$117,Listes!$K$29:$O$29,0)))</f>
        <v>0</v>
      </c>
      <c r="AE135" s="472"/>
      <c r="AF135" s="3">
        <v>18</v>
      </c>
      <c r="AG135" s="45">
        <f t="shared" si="53"/>
        <v>0</v>
      </c>
      <c r="AH135" s="11">
        <f t="shared" si="54"/>
        <v>0</v>
      </c>
      <c r="AI135" s="45">
        <f>IF(OR(AH135=0,AH135="",AF$116=0),0,AH135*INDEX(Listes!$K$1:$Q$12,MATCH(AF$116,Listes!$K$1:$K$12,0),MATCH(AI$117,Listes!$K$1:$Q$1,0)))</f>
        <v>0</v>
      </c>
      <c r="AJ135" s="45">
        <f t="shared" si="55"/>
        <v>0</v>
      </c>
      <c r="AK135" s="11">
        <f>IF(OR(AF$116=0,AF$116=""),0,AJ135*INDEX(Listes!$K$15:$P$26,MATCH(AF$116,Listes!$K$15:$K$26,0),MATCH(AK$117,Listes!$K$15:$P$15,0))*INDEX(Listes!$K$29:$O$31,MATCH(AG$116,Listes!$K$29:$K$31,0),MATCH(AK$117,Listes!$K$29:$O$29,0)))</f>
        <v>0</v>
      </c>
      <c r="AL135" s="45">
        <f>IF(OR(AF$116=0,AF$116=""),0,AJ135*INDEX(Listes!$K$15:$P$26,MATCH(AF$116,Listes!$K$15:$K$26,0),MATCH(AL$117,Listes!$K$15:$P$15,0))*INDEX(Listes!$K$29:$O$31,MATCH(AG$116,Listes!$K$29:$K$31,0),MATCH(AL$117,Listes!$K$29:$O$29,0)))</f>
        <v>0</v>
      </c>
      <c r="AM135" s="45">
        <f>IF(OR(AF$116=0,AF$116=""),0,AJ135*INDEX(Listes!$K$15:$P$26,MATCH(AF$116,Listes!$K$15:$K$26,0),MATCH(AM$117,Listes!$K$15:$P$15,0))*INDEX(Listes!$K$29:$O$31,MATCH(AG$116,Listes!$K$29:$K$31,0),MATCH(AM$117,Listes!$K$29:$O$29,0)))</f>
        <v>0</v>
      </c>
      <c r="AN135" s="45"/>
      <c r="AO135" s="472"/>
      <c r="AP135" s="3">
        <v>18</v>
      </c>
      <c r="AQ135" s="11">
        <f t="shared" si="56"/>
        <v>0</v>
      </c>
      <c r="AR135" s="11">
        <f t="shared" si="56"/>
        <v>0</v>
      </c>
      <c r="AS135" s="11">
        <f t="shared" si="56"/>
        <v>0</v>
      </c>
      <c r="AT135" s="11">
        <f>AQ135*VLOOKUP(AQ$117,Tableau17[],4,FALSE)+AR135*VLOOKUP(AR$117,Tableau17[],4,FALSE)+AS135*VLOOKUP(AS$117,Tableau17[],4,FALSE)</f>
        <v>0</v>
      </c>
      <c r="AU135" s="11">
        <f>AQ135*VLOOKUP(AQ$117,Tableau17[],3,FALSE)+AR135*VLOOKUP(AR$117,Tableau17[],3,FALSE)+AS135*VLOOKUP(AS$117,Tableau17[],3,FALSE)</f>
        <v>0</v>
      </c>
      <c r="AW135" s="11"/>
      <c r="AX135" s="113"/>
    </row>
    <row r="136" spans="1:52" x14ac:dyDescent="0.2">
      <c r="A136" s="472"/>
      <c r="B136" s="3">
        <v>19</v>
      </c>
      <c r="C136" s="45">
        <f t="shared" si="45"/>
        <v>0</v>
      </c>
      <c r="D136" s="11">
        <f t="shared" si="57"/>
        <v>0</v>
      </c>
      <c r="E136" s="45">
        <f>IF(OR(D136=0,D136="",B$116=0),0,D136*INDEX(Listes!$K$1:$Q$12,MATCH(B$116,Listes!$K$1:$K$12,0),MATCH(E$117,Listes!$K$1:$Q$1,0)))</f>
        <v>0</v>
      </c>
      <c r="F136" s="45">
        <f t="shared" si="46"/>
        <v>0</v>
      </c>
      <c r="G136" s="11">
        <f>IF(OR(B$116=0,B$116=""),0,F136*INDEX(Listes!$K$15:$P$26,MATCH(B$116,Listes!$K$15:$K$26,0),MATCH(G$117,Listes!$K$15:$P$15,0))*INDEX(Listes!$K$29:$O$31,MATCH(C$116,Listes!$K$29:$K$31,0),MATCH(G$117,Listes!$K$29:$O$29,0)))</f>
        <v>0</v>
      </c>
      <c r="H136" s="45">
        <f>IF(OR(B$116=0,B$116=""),0,F136*INDEX(Listes!$K$15:$P$26,MATCH(B$116,Listes!$K$15:$K$26,0),MATCH(H$117,Listes!$K$15:$P$15,0))*INDEX(Listes!$K$29:$O$31,MATCH(C$116,Listes!$K$29:$K$31,0),MATCH(H$117,Listes!$K$29:$O$29,0)))</f>
        <v>0</v>
      </c>
      <c r="I136" s="45">
        <f>IF(OR(B$116=0,B$116=""),0,F136*INDEX(Listes!$K$15:$P$26,MATCH(B$116,Listes!$K$15:$K$26,0),MATCH(I$117,Listes!$K$15:$P$15,0))*INDEX(Listes!$K$29:$O$31,MATCH(C$116,Listes!$K$29:$K$31,0),MATCH(I$117,Listes!$K$29:$O$29,0)))</f>
        <v>0</v>
      </c>
      <c r="K136" s="472"/>
      <c r="L136" s="3">
        <v>19</v>
      </c>
      <c r="M136" s="45">
        <f t="shared" si="47"/>
        <v>0</v>
      </c>
      <c r="N136" s="11">
        <f t="shared" si="48"/>
        <v>0</v>
      </c>
      <c r="O136" s="45">
        <f>IF(OR(N136=0,N136="",L$116=0),0,N136*INDEX(Listes!$K$1:$Q$12,MATCH(L$116,Listes!$K$1:$K$12,0),MATCH(O$117,Listes!$K$1:$Q$1,0)))</f>
        <v>0</v>
      </c>
      <c r="P136" s="45">
        <f t="shared" si="49"/>
        <v>0</v>
      </c>
      <c r="Q136" s="11">
        <f>IF(OR(L$116=0,L$116=""),0,P136*INDEX(Listes!$K$15:$P$26,MATCH(L$116,Listes!$K$15:$K$26,0),MATCH(Q$117,Listes!$K$15:$P$15,0))*INDEX(Listes!$K$29:$O$31,MATCH(M$116,Listes!$K$29:$K$31,0),MATCH(Q$117,Listes!$K$29:$O$29,0)))</f>
        <v>0</v>
      </c>
      <c r="R136" s="45">
        <f>IF(OR(L$116=0,L$116=""),0,P136*INDEX(Listes!$K$15:$P$26,MATCH(L$116,Listes!$K$15:$K$26,0),MATCH(R$117,Listes!$K$15:$P$15,0))*INDEX(Listes!$K$29:$O$31,MATCH(M$116,Listes!$K$29:$K$31,0),MATCH(R$117,Listes!$K$29:$O$29,0)))</f>
        <v>0</v>
      </c>
      <c r="S136" s="45">
        <f>IF(OR(L$116=0,L$116=""),0,P136*INDEX(Listes!$K$15:$P$26,MATCH(L$116,Listes!$K$15:$K$26,0),MATCH(S$117,Listes!$K$15:$P$15,0))*INDEX(Listes!$K$29:$O$31,MATCH(M$116,Listes!$K$29:$K$31,0),MATCH(S$117,Listes!$K$29:$O$29,0)))</f>
        <v>0</v>
      </c>
      <c r="U136" s="472"/>
      <c r="V136" s="3">
        <v>19</v>
      </c>
      <c r="W136" s="45">
        <f t="shared" si="50"/>
        <v>0</v>
      </c>
      <c r="X136" s="11">
        <f t="shared" si="51"/>
        <v>0</v>
      </c>
      <c r="Y136" s="45">
        <f>IF(OR(X136=0,X136="",V$116=0),0,X136*INDEX(Listes!$K$1:$Q$12,MATCH(V$116,Listes!$K$1:$K$12,0),MATCH(Y$117,Listes!$K$1:$Q$1,0)))</f>
        <v>0</v>
      </c>
      <c r="Z136" s="45">
        <f t="shared" si="52"/>
        <v>0</v>
      </c>
      <c r="AA136" s="11">
        <f>IF(OR(V$116=0,V$116=""),0,Z136*INDEX(Listes!$K$15:$P$26,MATCH(V$116,Listes!$K$15:$K$26,0),MATCH(AA$117,Listes!$K$15:$P$15,0))*INDEX(Listes!$K$29:$O$31,MATCH(W$116,Listes!$K$29:$K$31,0),MATCH(AA$117,Listes!$K$29:$O$29,0)))</f>
        <v>0</v>
      </c>
      <c r="AB136" s="45">
        <f>IF(OR(V$116=0,V$116=""),0,Z136*INDEX(Listes!$K$15:$P$26,MATCH(V$116,Listes!$K$15:$K$26,0),MATCH(AB$117,Listes!$K$15:$P$15,0))*INDEX(Listes!$K$29:$O$31,MATCH(W$116,Listes!$K$29:$K$31,0),MATCH(AB$117,Listes!$K$29:$O$29,0)))</f>
        <v>0</v>
      </c>
      <c r="AC136" s="45">
        <f>IF(OR(V$116=0,V$116=""),0,Z136*INDEX(Listes!$K$15:$P$26,MATCH(V$116,Listes!$K$15:$K$26,0),MATCH(AC$117,Listes!$K$15:$P$15,0))*INDEX(Listes!$K$29:$O$31,MATCH(W$116,Listes!$K$29:$K$31,0),MATCH(AC$117,Listes!$K$29:$O$29,0)))</f>
        <v>0</v>
      </c>
      <c r="AE136" s="472"/>
      <c r="AF136" s="3">
        <v>19</v>
      </c>
      <c r="AG136" s="45">
        <f t="shared" si="53"/>
        <v>0</v>
      </c>
      <c r="AH136" s="11">
        <f t="shared" si="54"/>
        <v>0</v>
      </c>
      <c r="AI136" s="45">
        <f>IF(OR(AH136=0,AH136="",AF$116=0),0,AH136*INDEX(Listes!$K$1:$Q$12,MATCH(AF$116,Listes!$K$1:$K$12,0),MATCH(AI$117,Listes!$K$1:$Q$1,0)))</f>
        <v>0</v>
      </c>
      <c r="AJ136" s="45">
        <f t="shared" si="55"/>
        <v>0</v>
      </c>
      <c r="AK136" s="11">
        <f>IF(OR(AF$116=0,AF$116=""),0,AJ136*INDEX(Listes!$K$15:$P$26,MATCH(AF$116,Listes!$K$15:$K$26,0),MATCH(AK$117,Listes!$K$15:$P$15,0))*INDEX(Listes!$K$29:$O$31,MATCH(AG$116,Listes!$K$29:$K$31,0),MATCH(AK$117,Listes!$K$29:$O$29,0)))</f>
        <v>0</v>
      </c>
      <c r="AL136" s="45">
        <f>IF(OR(AF$116=0,AF$116=""),0,AJ136*INDEX(Listes!$K$15:$P$26,MATCH(AF$116,Listes!$K$15:$K$26,0),MATCH(AL$117,Listes!$K$15:$P$15,0))*INDEX(Listes!$K$29:$O$31,MATCH(AG$116,Listes!$K$29:$K$31,0),MATCH(AL$117,Listes!$K$29:$O$29,0)))</f>
        <v>0</v>
      </c>
      <c r="AM136" s="45">
        <f>IF(OR(AF$116=0,AF$116=""),0,AJ136*INDEX(Listes!$K$15:$P$26,MATCH(AF$116,Listes!$K$15:$K$26,0),MATCH(AM$117,Listes!$K$15:$P$15,0))*INDEX(Listes!$K$29:$O$31,MATCH(AG$116,Listes!$K$29:$K$31,0),MATCH(AM$117,Listes!$K$29:$O$29,0)))</f>
        <v>0</v>
      </c>
      <c r="AN136" s="45"/>
      <c r="AO136" s="472"/>
      <c r="AP136" s="3">
        <v>19</v>
      </c>
      <c r="AQ136" s="11">
        <f t="shared" si="56"/>
        <v>0</v>
      </c>
      <c r="AR136" s="11">
        <f t="shared" si="56"/>
        <v>0</v>
      </c>
      <c r="AS136" s="11">
        <f t="shared" si="56"/>
        <v>0</v>
      </c>
      <c r="AT136" s="11">
        <f>AQ136*VLOOKUP(AQ$117,Tableau17[],4,FALSE)+AR136*VLOOKUP(AR$117,Tableau17[],4,FALSE)+AS136*VLOOKUP(AS$117,Tableau17[],4,FALSE)</f>
        <v>0</v>
      </c>
      <c r="AU136" s="11">
        <f>AQ136*VLOOKUP(AQ$117,Tableau17[],3,FALSE)+AR136*VLOOKUP(AR$117,Tableau17[],3,FALSE)+AS136*VLOOKUP(AS$117,Tableau17[],3,FALSE)</f>
        <v>0</v>
      </c>
      <c r="AW136" s="11"/>
      <c r="AX136" s="113"/>
    </row>
    <row r="137" spans="1:52" x14ac:dyDescent="0.2">
      <c r="A137" s="472"/>
      <c r="B137" s="3">
        <v>20</v>
      </c>
      <c r="C137" s="45">
        <f t="shared" si="45"/>
        <v>0</v>
      </c>
      <c r="D137" s="11">
        <f t="shared" si="57"/>
        <v>0</v>
      </c>
      <c r="E137" s="45">
        <f>IF(OR(D137=0,D137="",B$116=0),0,D137*INDEX(Listes!$K$1:$Q$12,MATCH(B$116,Listes!$K$1:$K$12,0),MATCH(E$117,Listes!$K$1:$Q$1,0)))</f>
        <v>0</v>
      </c>
      <c r="F137" s="45">
        <f t="shared" si="46"/>
        <v>0</v>
      </c>
      <c r="G137" s="11">
        <f>IF(OR(B$116=0,B$116=""),0,F137*INDEX(Listes!$K$15:$P$26,MATCH(B$116,Listes!$K$15:$K$26,0),MATCH(G$117,Listes!$K$15:$P$15,0))*INDEX(Listes!$K$29:$O$31,MATCH(C$116,Listes!$K$29:$K$31,0),MATCH(G$117,Listes!$K$29:$O$29,0)))</f>
        <v>0</v>
      </c>
      <c r="H137" s="45">
        <f>IF(OR(B$116=0,B$116=""),0,F137*INDEX(Listes!$K$15:$P$26,MATCH(B$116,Listes!$K$15:$K$26,0),MATCH(H$117,Listes!$K$15:$P$15,0))*INDEX(Listes!$K$29:$O$31,MATCH(C$116,Listes!$K$29:$K$31,0),MATCH(H$117,Listes!$K$29:$O$29,0)))</f>
        <v>0</v>
      </c>
      <c r="I137" s="45">
        <f>IF(OR(B$116=0,B$116=""),0,F137*INDEX(Listes!$K$15:$P$26,MATCH(B$116,Listes!$K$15:$K$26,0),MATCH(I$117,Listes!$K$15:$P$15,0))*INDEX(Listes!$K$29:$O$31,MATCH(C$116,Listes!$K$29:$K$31,0),MATCH(I$117,Listes!$K$29:$O$29,0)))</f>
        <v>0</v>
      </c>
      <c r="K137" s="472"/>
      <c r="L137" s="3">
        <v>20</v>
      </c>
      <c r="M137" s="45">
        <f t="shared" si="47"/>
        <v>0</v>
      </c>
      <c r="N137" s="11">
        <f t="shared" si="48"/>
        <v>0</v>
      </c>
      <c r="O137" s="45">
        <f>IF(OR(N137=0,N137="",L$116=0),0,N137*INDEX(Listes!$K$1:$Q$12,MATCH(L$116,Listes!$K$1:$K$12,0),MATCH(O$117,Listes!$K$1:$Q$1,0)))</f>
        <v>0</v>
      </c>
      <c r="P137" s="45">
        <f t="shared" si="49"/>
        <v>0</v>
      </c>
      <c r="Q137" s="11">
        <f>IF(OR(L$116=0,L$116=""),0,P137*INDEX(Listes!$K$15:$P$26,MATCH(L$116,Listes!$K$15:$K$26,0),MATCH(Q$117,Listes!$K$15:$P$15,0))*INDEX(Listes!$K$29:$O$31,MATCH(M$116,Listes!$K$29:$K$31,0),MATCH(Q$117,Listes!$K$29:$O$29,0)))</f>
        <v>0</v>
      </c>
      <c r="R137" s="45">
        <f>IF(OR(L$116=0,L$116=""),0,P137*INDEX(Listes!$K$15:$P$26,MATCH(L$116,Listes!$K$15:$K$26,0),MATCH(R$117,Listes!$K$15:$P$15,0))*INDEX(Listes!$K$29:$O$31,MATCH(M$116,Listes!$K$29:$K$31,0),MATCH(R$117,Listes!$K$29:$O$29,0)))</f>
        <v>0</v>
      </c>
      <c r="S137" s="45">
        <f>IF(OR(L$116=0,L$116=""),0,P137*INDEX(Listes!$K$15:$P$26,MATCH(L$116,Listes!$K$15:$K$26,0),MATCH(S$117,Listes!$K$15:$P$15,0))*INDEX(Listes!$K$29:$O$31,MATCH(M$116,Listes!$K$29:$K$31,0),MATCH(S$117,Listes!$K$29:$O$29,0)))</f>
        <v>0</v>
      </c>
      <c r="U137" s="472"/>
      <c r="V137" s="3">
        <v>20</v>
      </c>
      <c r="W137" s="45">
        <f t="shared" si="50"/>
        <v>0</v>
      </c>
      <c r="X137" s="11">
        <f t="shared" si="51"/>
        <v>0</v>
      </c>
      <c r="Y137" s="45">
        <f>IF(OR(X137=0,X137="",V$116=0),0,X137*INDEX(Listes!$K$1:$Q$12,MATCH(V$116,Listes!$K$1:$K$12,0),MATCH(Y$117,Listes!$K$1:$Q$1,0)))</f>
        <v>0</v>
      </c>
      <c r="Z137" s="45">
        <f t="shared" si="52"/>
        <v>0</v>
      </c>
      <c r="AA137" s="11">
        <f>IF(OR(V$116=0,V$116=""),0,Z137*INDEX(Listes!$K$15:$P$26,MATCH(V$116,Listes!$K$15:$K$26,0),MATCH(AA$117,Listes!$K$15:$P$15,0))*INDEX(Listes!$K$29:$O$31,MATCH(W$116,Listes!$K$29:$K$31,0),MATCH(AA$117,Listes!$K$29:$O$29,0)))</f>
        <v>0</v>
      </c>
      <c r="AB137" s="45">
        <f>IF(OR(V$116=0,V$116=""),0,Z137*INDEX(Listes!$K$15:$P$26,MATCH(V$116,Listes!$K$15:$K$26,0),MATCH(AB$117,Listes!$K$15:$P$15,0))*INDEX(Listes!$K$29:$O$31,MATCH(W$116,Listes!$K$29:$K$31,0),MATCH(AB$117,Listes!$K$29:$O$29,0)))</f>
        <v>0</v>
      </c>
      <c r="AC137" s="45">
        <f>IF(OR(V$116=0,V$116=""),0,Z137*INDEX(Listes!$K$15:$P$26,MATCH(V$116,Listes!$K$15:$K$26,0),MATCH(AC$117,Listes!$K$15:$P$15,0))*INDEX(Listes!$K$29:$O$31,MATCH(W$116,Listes!$K$29:$K$31,0),MATCH(AC$117,Listes!$K$29:$O$29,0)))</f>
        <v>0</v>
      </c>
      <c r="AE137" s="472"/>
      <c r="AF137" s="3">
        <v>20</v>
      </c>
      <c r="AG137" s="45">
        <f t="shared" si="53"/>
        <v>0</v>
      </c>
      <c r="AH137" s="11">
        <f t="shared" si="54"/>
        <v>0</v>
      </c>
      <c r="AI137" s="45">
        <f>IF(OR(AH137=0,AH137="",AF$116=0),0,AH137*INDEX(Listes!$K$1:$Q$12,MATCH(AF$116,Listes!$K$1:$K$12,0),MATCH(AI$117,Listes!$K$1:$Q$1,0)))</f>
        <v>0</v>
      </c>
      <c r="AJ137" s="45">
        <f t="shared" si="55"/>
        <v>0</v>
      </c>
      <c r="AK137" s="11">
        <f>IF(OR(AF$116=0,AF$116=""),0,AJ137*INDEX(Listes!$K$15:$P$26,MATCH(AF$116,Listes!$K$15:$K$26,0),MATCH(AK$117,Listes!$K$15:$P$15,0))*INDEX(Listes!$K$29:$O$31,MATCH(AG$116,Listes!$K$29:$K$31,0),MATCH(AK$117,Listes!$K$29:$O$29,0)))</f>
        <v>0</v>
      </c>
      <c r="AL137" s="45">
        <f>IF(OR(AF$116=0,AF$116=""),0,AJ137*INDEX(Listes!$K$15:$P$26,MATCH(AF$116,Listes!$K$15:$K$26,0),MATCH(AL$117,Listes!$K$15:$P$15,0))*INDEX(Listes!$K$29:$O$31,MATCH(AG$116,Listes!$K$29:$K$31,0),MATCH(AL$117,Listes!$K$29:$O$29,0)))</f>
        <v>0</v>
      </c>
      <c r="AM137" s="45">
        <f>IF(OR(AF$116=0,AF$116=""),0,AJ137*INDEX(Listes!$K$15:$P$26,MATCH(AF$116,Listes!$K$15:$K$26,0),MATCH(AM$117,Listes!$K$15:$P$15,0))*INDEX(Listes!$K$29:$O$31,MATCH(AG$116,Listes!$K$29:$K$31,0),MATCH(AM$117,Listes!$K$29:$O$29,0)))</f>
        <v>0</v>
      </c>
      <c r="AN137" s="45"/>
      <c r="AO137" s="472"/>
      <c r="AP137" s="3">
        <v>20</v>
      </c>
      <c r="AQ137" s="11">
        <f t="shared" si="56"/>
        <v>0</v>
      </c>
      <c r="AR137" s="11">
        <f t="shared" si="56"/>
        <v>0</v>
      </c>
      <c r="AS137" s="11">
        <f t="shared" si="56"/>
        <v>0</v>
      </c>
      <c r="AT137" s="11">
        <f>AQ137*VLOOKUP(AQ$117,Tableau17[],4,FALSE)+AR137*VLOOKUP(AR$117,Tableau17[],4,FALSE)+AS137*VLOOKUP(AS$117,Tableau17[],4,FALSE)</f>
        <v>0</v>
      </c>
      <c r="AU137" s="11">
        <f>AQ137*VLOOKUP(AQ$117,Tableau17[],3,FALSE)+AR137*VLOOKUP(AR$117,Tableau17[],3,FALSE)+AS137*VLOOKUP(AS$117,Tableau17[],3,FALSE)</f>
        <v>0</v>
      </c>
      <c r="AW137" s="11"/>
      <c r="AX137" s="113"/>
    </row>
    <row r="139" spans="1:52" x14ac:dyDescent="0.2">
      <c r="A139" s="134" t="s">
        <v>633</v>
      </c>
      <c r="B139" s="134"/>
      <c r="C139" s="134"/>
      <c r="D139" s="134"/>
      <c r="E139" s="134"/>
      <c r="F139" s="134"/>
      <c r="G139" s="134"/>
      <c r="H139" s="134"/>
      <c r="I139" s="134"/>
      <c r="J139" s="134"/>
      <c r="K139" s="134"/>
      <c r="L139" s="134"/>
      <c r="M139" s="133"/>
      <c r="N139" s="133"/>
      <c r="O139" s="133"/>
      <c r="P139" s="133"/>
      <c r="Q139" s="133"/>
      <c r="R139" s="133"/>
      <c r="S139" s="133"/>
      <c r="T139" s="133"/>
      <c r="U139" s="133"/>
      <c r="V139" s="133"/>
      <c r="W139" s="133"/>
      <c r="X139" s="133"/>
      <c r="Y139" s="133"/>
      <c r="Z139" s="133"/>
      <c r="AA139" s="133"/>
      <c r="AB139" s="133"/>
      <c r="AC139" s="133"/>
      <c r="AD139" s="133"/>
      <c r="AE139" s="133"/>
      <c r="AF139" s="133"/>
      <c r="AG139" s="133"/>
      <c r="AH139" s="133"/>
      <c r="AI139" s="133"/>
      <c r="AJ139" s="133"/>
      <c r="AK139" s="133"/>
      <c r="AL139" s="133"/>
      <c r="AM139" s="133"/>
      <c r="AN139" s="133"/>
      <c r="AO139" s="133"/>
      <c r="AP139" s="133"/>
      <c r="AQ139" s="133"/>
      <c r="AR139" s="133"/>
      <c r="AS139" s="133"/>
      <c r="AT139" s="133"/>
      <c r="AU139" s="133"/>
      <c r="AV139" s="133"/>
      <c r="AW139" s="133"/>
      <c r="AX139" s="133"/>
      <c r="AY139" s="133"/>
      <c r="AZ139" s="133"/>
    </row>
    <row r="141" spans="1:52" x14ac:dyDescent="0.2">
      <c r="A141" s="472" t="s">
        <v>183</v>
      </c>
      <c r="B141" s="3" t="s">
        <v>28</v>
      </c>
      <c r="C141" s="3">
        <v>1</v>
      </c>
      <c r="D141" s="3">
        <v>2</v>
      </c>
      <c r="E141" s="3">
        <v>3</v>
      </c>
      <c r="F141" s="3">
        <v>4</v>
      </c>
      <c r="G141" s="3">
        <v>5</v>
      </c>
      <c r="H141" s="3">
        <v>6</v>
      </c>
      <c r="I141" s="3">
        <v>7</v>
      </c>
      <c r="J141" s="3">
        <v>8</v>
      </c>
      <c r="K141" s="3">
        <v>9</v>
      </c>
      <c r="L141" s="3">
        <v>10</v>
      </c>
      <c r="M141" s="3">
        <v>11</v>
      </c>
      <c r="N141" s="3">
        <v>12</v>
      </c>
      <c r="O141" s="3">
        <v>13</v>
      </c>
      <c r="P141" s="3">
        <v>14</v>
      </c>
      <c r="Q141" s="3">
        <v>15</v>
      </c>
      <c r="R141" s="3">
        <v>16</v>
      </c>
      <c r="S141" s="3">
        <v>17</v>
      </c>
      <c r="T141" s="3">
        <v>18</v>
      </c>
      <c r="U141" s="3">
        <v>19</v>
      </c>
      <c r="V141" s="3">
        <v>20</v>
      </c>
    </row>
    <row r="142" spans="1:52" x14ac:dyDescent="0.2">
      <c r="A142" s="472"/>
      <c r="B142" s="3" t="s">
        <v>86</v>
      </c>
      <c r="C142" s="11">
        <f>VLOOKUP(C141,$AP$118:$AU$137,6,FALSE)</f>
        <v>0</v>
      </c>
      <c r="D142" s="11">
        <f t="shared" ref="D142:V142" si="58">VLOOKUP(D141,$AP$118:$AU$137,6,FALSE)</f>
        <v>0</v>
      </c>
      <c r="E142" s="11">
        <f t="shared" si="58"/>
        <v>0</v>
      </c>
      <c r="F142" s="11">
        <f t="shared" si="58"/>
        <v>0</v>
      </c>
      <c r="G142" s="11">
        <f t="shared" si="58"/>
        <v>0</v>
      </c>
      <c r="H142" s="11">
        <f t="shared" si="58"/>
        <v>0</v>
      </c>
      <c r="I142" s="11">
        <f t="shared" si="58"/>
        <v>0</v>
      </c>
      <c r="J142" s="11">
        <f t="shared" si="58"/>
        <v>0</v>
      </c>
      <c r="K142" s="11">
        <f t="shared" si="58"/>
        <v>0</v>
      </c>
      <c r="L142" s="11">
        <f t="shared" si="58"/>
        <v>0</v>
      </c>
      <c r="M142" s="11">
        <f t="shared" si="58"/>
        <v>0</v>
      </c>
      <c r="N142" s="11">
        <f t="shared" si="58"/>
        <v>0</v>
      </c>
      <c r="O142" s="11">
        <f t="shared" si="58"/>
        <v>0</v>
      </c>
      <c r="P142" s="11">
        <f t="shared" si="58"/>
        <v>0</v>
      </c>
      <c r="Q142" s="11">
        <f t="shared" si="58"/>
        <v>0</v>
      </c>
      <c r="R142" s="11">
        <f t="shared" si="58"/>
        <v>0</v>
      </c>
      <c r="S142" s="11">
        <f t="shared" si="58"/>
        <v>0</v>
      </c>
      <c r="T142" s="11">
        <f t="shared" si="58"/>
        <v>0</v>
      </c>
      <c r="U142" s="11">
        <f t="shared" si="58"/>
        <v>0</v>
      </c>
      <c r="V142" s="11">
        <f t="shared" si="58"/>
        <v>0</v>
      </c>
      <c r="W142" s="11"/>
      <c r="X142" s="11"/>
      <c r="Y142" s="11"/>
      <c r="Z142" s="11"/>
      <c r="AA142" s="11"/>
      <c r="AB142" s="11"/>
      <c r="AC142" s="11"/>
      <c r="AD142" s="11"/>
      <c r="AE142" s="11"/>
      <c r="AF142" s="11"/>
    </row>
    <row r="144" spans="1:52" ht="16" customHeight="1" x14ac:dyDescent="0.2">
      <c r="A144" s="472" t="str">
        <f>CONCATENATE("ST_REF_",C1)</f>
        <v>ST_REF_C</v>
      </c>
      <c r="B144" s="3" t="s">
        <v>28</v>
      </c>
      <c r="C144" s="3" t="s">
        <v>27</v>
      </c>
      <c r="D144" s="3" t="s">
        <v>29</v>
      </c>
      <c r="E144" s="3" t="s">
        <v>30</v>
      </c>
      <c r="F144" s="3" t="s">
        <v>31</v>
      </c>
      <c r="G144" s="3" t="s">
        <v>32</v>
      </c>
      <c r="H144" s="3" t="s">
        <v>33</v>
      </c>
      <c r="I144" s="3" t="s">
        <v>34</v>
      </c>
      <c r="J144" s="3" t="s">
        <v>35</v>
      </c>
      <c r="K144" s="3" t="s">
        <v>36</v>
      </c>
      <c r="L144" s="3" t="s">
        <v>37</v>
      </c>
      <c r="M144" s="3" t="s">
        <v>38</v>
      </c>
      <c r="N144" s="3" t="s">
        <v>39</v>
      </c>
      <c r="O144" s="3" t="s">
        <v>40</v>
      </c>
      <c r="P144" s="3" t="s">
        <v>41</v>
      </c>
      <c r="Q144" s="3" t="s">
        <v>42</v>
      </c>
      <c r="R144" s="3" t="s">
        <v>43</v>
      </c>
      <c r="S144" s="3" t="s">
        <v>44</v>
      </c>
      <c r="T144" s="3" t="s">
        <v>45</v>
      </c>
      <c r="U144" s="3" t="s">
        <v>46</v>
      </c>
      <c r="V144" s="3" t="s">
        <v>47</v>
      </c>
      <c r="W144" s="3" t="s">
        <v>48</v>
      </c>
      <c r="X144" s="3" t="s">
        <v>49</v>
      </c>
    </row>
    <row r="145" spans="1:24" x14ac:dyDescent="0.2">
      <c r="A145" s="472"/>
      <c r="B145" s="3">
        <v>1</v>
      </c>
      <c r="C145" s="45">
        <f t="shared" ref="C145:C164" si="59">AT118+IF($B145=1,0,C144)</f>
        <v>0</v>
      </c>
      <c r="D145" s="45">
        <f t="shared" ref="D145:W157" si="60">IF($B145&gt;=C$141,IF($B145=C$141,C$142,C$142*((20+C$141)-$B145)/20),0)*IF((20+C$141)-$B145&lt;0,0,1)</f>
        <v>0</v>
      </c>
      <c r="E145" s="45">
        <f t="shared" si="60"/>
        <v>0</v>
      </c>
      <c r="F145" s="45">
        <f t="shared" si="60"/>
        <v>0</v>
      </c>
      <c r="G145" s="45">
        <f t="shared" si="60"/>
        <v>0</v>
      </c>
      <c r="H145" s="45">
        <f t="shared" si="60"/>
        <v>0</v>
      </c>
      <c r="I145" s="45">
        <f t="shared" si="60"/>
        <v>0</v>
      </c>
      <c r="J145" s="45">
        <f t="shared" si="60"/>
        <v>0</v>
      </c>
      <c r="K145" s="45">
        <f t="shared" si="60"/>
        <v>0</v>
      </c>
      <c r="L145" s="45">
        <f t="shared" si="60"/>
        <v>0</v>
      </c>
      <c r="M145" s="45">
        <f t="shared" si="60"/>
        <v>0</v>
      </c>
      <c r="N145" s="45">
        <f t="shared" si="60"/>
        <v>0</v>
      </c>
      <c r="O145" s="45">
        <f t="shared" si="60"/>
        <v>0</v>
      </c>
      <c r="P145" s="45">
        <f t="shared" si="60"/>
        <v>0</v>
      </c>
      <c r="Q145" s="45">
        <f t="shared" si="60"/>
        <v>0</v>
      </c>
      <c r="R145" s="45">
        <f t="shared" si="60"/>
        <v>0</v>
      </c>
      <c r="S145" s="45">
        <f t="shared" si="60"/>
        <v>0</v>
      </c>
      <c r="T145" s="45">
        <f t="shared" si="60"/>
        <v>0</v>
      </c>
      <c r="U145" s="45">
        <f t="shared" si="60"/>
        <v>0</v>
      </c>
      <c r="V145" s="45">
        <f t="shared" si="60"/>
        <v>0</v>
      </c>
      <c r="W145" s="45">
        <f t="shared" si="60"/>
        <v>0</v>
      </c>
      <c r="X145" s="45">
        <f>SUM(C145:W145)*44/12</f>
        <v>0</v>
      </c>
    </row>
    <row r="146" spans="1:24" x14ac:dyDescent="0.2">
      <c r="A146" s="472"/>
      <c r="B146" s="3">
        <v>2</v>
      </c>
      <c r="C146" s="11">
        <f t="shared" si="59"/>
        <v>0</v>
      </c>
      <c r="D146" s="45">
        <f t="shared" si="60"/>
        <v>0</v>
      </c>
      <c r="E146" s="45">
        <f t="shared" si="60"/>
        <v>0</v>
      </c>
      <c r="F146" s="45">
        <f t="shared" si="60"/>
        <v>0</v>
      </c>
      <c r="G146" s="45">
        <f t="shared" si="60"/>
        <v>0</v>
      </c>
      <c r="H146" s="45">
        <f t="shared" si="60"/>
        <v>0</v>
      </c>
      <c r="I146" s="45">
        <f t="shared" si="60"/>
        <v>0</v>
      </c>
      <c r="J146" s="45">
        <f t="shared" si="60"/>
        <v>0</v>
      </c>
      <c r="K146" s="45">
        <f t="shared" si="60"/>
        <v>0</v>
      </c>
      <c r="L146" s="45">
        <f t="shared" si="60"/>
        <v>0</v>
      </c>
      <c r="M146" s="11">
        <f t="shared" si="60"/>
        <v>0</v>
      </c>
      <c r="N146" s="11">
        <f t="shared" si="60"/>
        <v>0</v>
      </c>
      <c r="O146" s="11">
        <f t="shared" si="60"/>
        <v>0</v>
      </c>
      <c r="P146" s="11">
        <f t="shared" si="60"/>
        <v>0</v>
      </c>
      <c r="Q146" s="11">
        <f t="shared" si="60"/>
        <v>0</v>
      </c>
      <c r="R146" s="11">
        <f t="shared" si="60"/>
        <v>0</v>
      </c>
      <c r="S146" s="11">
        <f t="shared" si="60"/>
        <v>0</v>
      </c>
      <c r="T146" s="11">
        <f t="shared" si="60"/>
        <v>0</v>
      </c>
      <c r="U146" s="11">
        <f t="shared" si="60"/>
        <v>0</v>
      </c>
      <c r="V146" s="11">
        <f t="shared" si="60"/>
        <v>0</v>
      </c>
      <c r="W146" s="11">
        <f t="shared" si="60"/>
        <v>0</v>
      </c>
      <c r="X146" s="45">
        <f t="shared" ref="X146:X164" si="61">SUM(C146:W146)*44/12</f>
        <v>0</v>
      </c>
    </row>
    <row r="147" spans="1:24" x14ac:dyDescent="0.2">
      <c r="A147" s="472"/>
      <c r="B147" s="3">
        <v>3</v>
      </c>
      <c r="C147" s="11">
        <f t="shared" si="59"/>
        <v>0</v>
      </c>
      <c r="D147" s="45">
        <f t="shared" si="60"/>
        <v>0</v>
      </c>
      <c r="E147" s="45">
        <f t="shared" si="60"/>
        <v>0</v>
      </c>
      <c r="F147" s="45">
        <f t="shared" si="60"/>
        <v>0</v>
      </c>
      <c r="G147" s="45">
        <f t="shared" si="60"/>
        <v>0</v>
      </c>
      <c r="H147" s="45">
        <f t="shared" si="60"/>
        <v>0</v>
      </c>
      <c r="I147" s="45">
        <f t="shared" si="60"/>
        <v>0</v>
      </c>
      <c r="J147" s="45">
        <f t="shared" si="60"/>
        <v>0</v>
      </c>
      <c r="K147" s="45">
        <f t="shared" si="60"/>
        <v>0</v>
      </c>
      <c r="L147" s="45">
        <f t="shared" si="60"/>
        <v>0</v>
      </c>
      <c r="M147" s="11">
        <f t="shared" si="60"/>
        <v>0</v>
      </c>
      <c r="N147" s="11">
        <f t="shared" si="60"/>
        <v>0</v>
      </c>
      <c r="O147" s="11">
        <f t="shared" si="60"/>
        <v>0</v>
      </c>
      <c r="P147" s="11">
        <f t="shared" si="60"/>
        <v>0</v>
      </c>
      <c r="Q147" s="11">
        <f t="shared" si="60"/>
        <v>0</v>
      </c>
      <c r="R147" s="11">
        <f t="shared" si="60"/>
        <v>0</v>
      </c>
      <c r="S147" s="11">
        <f t="shared" si="60"/>
        <v>0</v>
      </c>
      <c r="T147" s="11">
        <f t="shared" si="60"/>
        <v>0</v>
      </c>
      <c r="U147" s="11">
        <f t="shared" si="60"/>
        <v>0</v>
      </c>
      <c r="V147" s="11">
        <f t="shared" si="60"/>
        <v>0</v>
      </c>
      <c r="W147" s="11">
        <f t="shared" si="60"/>
        <v>0</v>
      </c>
      <c r="X147" s="45">
        <f t="shared" si="61"/>
        <v>0</v>
      </c>
    </row>
    <row r="148" spans="1:24" x14ac:dyDescent="0.2">
      <c r="A148" s="472"/>
      <c r="B148" s="3">
        <v>4</v>
      </c>
      <c r="C148" s="11">
        <f t="shared" si="59"/>
        <v>0</v>
      </c>
      <c r="D148" s="45">
        <f t="shared" si="60"/>
        <v>0</v>
      </c>
      <c r="E148" s="45">
        <f t="shared" si="60"/>
        <v>0</v>
      </c>
      <c r="F148" s="45">
        <f t="shared" si="60"/>
        <v>0</v>
      </c>
      <c r="G148" s="45">
        <f t="shared" si="60"/>
        <v>0</v>
      </c>
      <c r="H148" s="45">
        <f t="shared" si="60"/>
        <v>0</v>
      </c>
      <c r="I148" s="45">
        <f t="shared" si="60"/>
        <v>0</v>
      </c>
      <c r="J148" s="45">
        <f t="shared" si="60"/>
        <v>0</v>
      </c>
      <c r="K148" s="45">
        <f t="shared" si="60"/>
        <v>0</v>
      </c>
      <c r="L148" s="45">
        <f t="shared" si="60"/>
        <v>0</v>
      </c>
      <c r="M148" s="11">
        <f t="shared" si="60"/>
        <v>0</v>
      </c>
      <c r="N148" s="11">
        <f t="shared" si="60"/>
        <v>0</v>
      </c>
      <c r="O148" s="11">
        <f t="shared" si="60"/>
        <v>0</v>
      </c>
      <c r="P148" s="11">
        <f t="shared" si="60"/>
        <v>0</v>
      </c>
      <c r="Q148" s="11">
        <f t="shared" si="60"/>
        <v>0</v>
      </c>
      <c r="R148" s="11">
        <f t="shared" si="60"/>
        <v>0</v>
      </c>
      <c r="S148" s="11">
        <f t="shared" si="60"/>
        <v>0</v>
      </c>
      <c r="T148" s="11">
        <f t="shared" si="60"/>
        <v>0</v>
      </c>
      <c r="U148" s="11">
        <f t="shared" si="60"/>
        <v>0</v>
      </c>
      <c r="V148" s="11">
        <f t="shared" si="60"/>
        <v>0</v>
      </c>
      <c r="W148" s="11">
        <f t="shared" si="60"/>
        <v>0</v>
      </c>
      <c r="X148" s="45">
        <f t="shared" si="61"/>
        <v>0</v>
      </c>
    </row>
    <row r="149" spans="1:24" x14ac:dyDescent="0.2">
      <c r="A149" s="472"/>
      <c r="B149" s="3">
        <v>5</v>
      </c>
      <c r="C149" s="11">
        <f t="shared" si="59"/>
        <v>0</v>
      </c>
      <c r="D149" s="45">
        <f t="shared" si="60"/>
        <v>0</v>
      </c>
      <c r="E149" s="45">
        <f t="shared" si="60"/>
        <v>0</v>
      </c>
      <c r="F149" s="45">
        <f t="shared" si="60"/>
        <v>0</v>
      </c>
      <c r="G149" s="45">
        <f t="shared" si="60"/>
        <v>0</v>
      </c>
      <c r="H149" s="45">
        <f t="shared" si="60"/>
        <v>0</v>
      </c>
      <c r="I149" s="45">
        <f t="shared" si="60"/>
        <v>0</v>
      </c>
      <c r="J149" s="45">
        <f t="shared" si="60"/>
        <v>0</v>
      </c>
      <c r="K149" s="45">
        <f t="shared" si="60"/>
        <v>0</v>
      </c>
      <c r="L149" s="45">
        <f t="shared" si="60"/>
        <v>0</v>
      </c>
      <c r="M149" s="11">
        <f t="shared" si="60"/>
        <v>0</v>
      </c>
      <c r="N149" s="11">
        <f t="shared" si="60"/>
        <v>0</v>
      </c>
      <c r="O149" s="11">
        <f t="shared" si="60"/>
        <v>0</v>
      </c>
      <c r="P149" s="11">
        <f t="shared" si="60"/>
        <v>0</v>
      </c>
      <c r="Q149" s="11">
        <f t="shared" si="60"/>
        <v>0</v>
      </c>
      <c r="R149" s="11">
        <f t="shared" si="60"/>
        <v>0</v>
      </c>
      <c r="S149" s="11">
        <f t="shared" si="60"/>
        <v>0</v>
      </c>
      <c r="T149" s="11">
        <f t="shared" si="60"/>
        <v>0</v>
      </c>
      <c r="U149" s="11">
        <f t="shared" si="60"/>
        <v>0</v>
      </c>
      <c r="V149" s="11">
        <f t="shared" si="60"/>
        <v>0</v>
      </c>
      <c r="W149" s="11">
        <f t="shared" si="60"/>
        <v>0</v>
      </c>
      <c r="X149" s="45">
        <f t="shared" si="61"/>
        <v>0</v>
      </c>
    </row>
    <row r="150" spans="1:24" x14ac:dyDescent="0.2">
      <c r="A150" s="472"/>
      <c r="B150" s="3">
        <v>6</v>
      </c>
      <c r="C150" s="11">
        <f t="shared" si="59"/>
        <v>0</v>
      </c>
      <c r="D150" s="45">
        <f t="shared" si="60"/>
        <v>0</v>
      </c>
      <c r="E150" s="45">
        <f t="shared" si="60"/>
        <v>0</v>
      </c>
      <c r="F150" s="45">
        <f t="shared" si="60"/>
        <v>0</v>
      </c>
      <c r="G150" s="45">
        <f t="shared" si="60"/>
        <v>0</v>
      </c>
      <c r="H150" s="45">
        <f t="shared" si="60"/>
        <v>0</v>
      </c>
      <c r="I150" s="45">
        <f t="shared" si="60"/>
        <v>0</v>
      </c>
      <c r="J150" s="45">
        <f t="shared" si="60"/>
        <v>0</v>
      </c>
      <c r="K150" s="45">
        <f t="shared" si="60"/>
        <v>0</v>
      </c>
      <c r="L150" s="45">
        <f t="shared" si="60"/>
        <v>0</v>
      </c>
      <c r="M150" s="11">
        <f t="shared" si="60"/>
        <v>0</v>
      </c>
      <c r="N150" s="11">
        <f t="shared" si="60"/>
        <v>0</v>
      </c>
      <c r="O150" s="11">
        <f t="shared" si="60"/>
        <v>0</v>
      </c>
      <c r="P150" s="11">
        <f t="shared" si="60"/>
        <v>0</v>
      </c>
      <c r="Q150" s="11">
        <f t="shared" si="60"/>
        <v>0</v>
      </c>
      <c r="R150" s="11">
        <f t="shared" si="60"/>
        <v>0</v>
      </c>
      <c r="S150" s="11">
        <f t="shared" si="60"/>
        <v>0</v>
      </c>
      <c r="T150" s="11">
        <f t="shared" si="60"/>
        <v>0</v>
      </c>
      <c r="U150" s="11">
        <f t="shared" si="60"/>
        <v>0</v>
      </c>
      <c r="V150" s="11">
        <f t="shared" si="60"/>
        <v>0</v>
      </c>
      <c r="W150" s="11">
        <f t="shared" si="60"/>
        <v>0</v>
      </c>
      <c r="X150" s="45">
        <f t="shared" si="61"/>
        <v>0</v>
      </c>
    </row>
    <row r="151" spans="1:24" x14ac:dyDescent="0.2">
      <c r="A151" s="472"/>
      <c r="B151" s="3">
        <v>7</v>
      </c>
      <c r="C151" s="11">
        <f t="shared" si="59"/>
        <v>0</v>
      </c>
      <c r="D151" s="45">
        <f t="shared" si="60"/>
        <v>0</v>
      </c>
      <c r="E151" s="45">
        <f t="shared" si="60"/>
        <v>0</v>
      </c>
      <c r="F151" s="45">
        <f t="shared" si="60"/>
        <v>0</v>
      </c>
      <c r="G151" s="45">
        <f t="shared" si="60"/>
        <v>0</v>
      </c>
      <c r="H151" s="45">
        <f t="shared" si="60"/>
        <v>0</v>
      </c>
      <c r="I151" s="45">
        <f t="shared" si="60"/>
        <v>0</v>
      </c>
      <c r="J151" s="45">
        <f t="shared" si="60"/>
        <v>0</v>
      </c>
      <c r="K151" s="45">
        <f t="shared" si="60"/>
        <v>0</v>
      </c>
      <c r="L151" s="45">
        <f t="shared" si="60"/>
        <v>0</v>
      </c>
      <c r="M151" s="11">
        <f t="shared" si="60"/>
        <v>0</v>
      </c>
      <c r="N151" s="11">
        <f t="shared" si="60"/>
        <v>0</v>
      </c>
      <c r="O151" s="11">
        <f t="shared" si="60"/>
        <v>0</v>
      </c>
      <c r="P151" s="11">
        <f t="shared" si="60"/>
        <v>0</v>
      </c>
      <c r="Q151" s="11">
        <f t="shared" si="60"/>
        <v>0</v>
      </c>
      <c r="R151" s="11">
        <f t="shared" si="60"/>
        <v>0</v>
      </c>
      <c r="S151" s="11">
        <f t="shared" si="60"/>
        <v>0</v>
      </c>
      <c r="T151" s="11">
        <f t="shared" si="60"/>
        <v>0</v>
      </c>
      <c r="U151" s="11">
        <f t="shared" si="60"/>
        <v>0</v>
      </c>
      <c r="V151" s="11">
        <f t="shared" si="60"/>
        <v>0</v>
      </c>
      <c r="W151" s="11">
        <f t="shared" si="60"/>
        <v>0</v>
      </c>
      <c r="X151" s="45">
        <f t="shared" si="61"/>
        <v>0</v>
      </c>
    </row>
    <row r="152" spans="1:24" x14ac:dyDescent="0.2">
      <c r="A152" s="472"/>
      <c r="B152" s="3">
        <v>8</v>
      </c>
      <c r="C152" s="11">
        <f t="shared" si="59"/>
        <v>0</v>
      </c>
      <c r="D152" s="45">
        <f t="shared" si="60"/>
        <v>0</v>
      </c>
      <c r="E152" s="45">
        <f t="shared" si="60"/>
        <v>0</v>
      </c>
      <c r="F152" s="45">
        <f t="shared" si="60"/>
        <v>0</v>
      </c>
      <c r="G152" s="45">
        <f t="shared" si="60"/>
        <v>0</v>
      </c>
      <c r="H152" s="45">
        <f t="shared" si="60"/>
        <v>0</v>
      </c>
      <c r="I152" s="45">
        <f t="shared" si="60"/>
        <v>0</v>
      </c>
      <c r="J152" s="45">
        <f t="shared" si="60"/>
        <v>0</v>
      </c>
      <c r="K152" s="45">
        <f t="shared" si="60"/>
        <v>0</v>
      </c>
      <c r="L152" s="45">
        <f t="shared" si="60"/>
        <v>0</v>
      </c>
      <c r="M152" s="11">
        <f t="shared" si="60"/>
        <v>0</v>
      </c>
      <c r="N152" s="11">
        <f t="shared" si="60"/>
        <v>0</v>
      </c>
      <c r="O152" s="11">
        <f t="shared" si="60"/>
        <v>0</v>
      </c>
      <c r="P152" s="11">
        <f t="shared" si="60"/>
        <v>0</v>
      </c>
      <c r="Q152" s="11">
        <f t="shared" si="60"/>
        <v>0</v>
      </c>
      <c r="R152" s="11">
        <f t="shared" si="60"/>
        <v>0</v>
      </c>
      <c r="S152" s="11">
        <f t="shared" si="60"/>
        <v>0</v>
      </c>
      <c r="T152" s="11">
        <f t="shared" si="60"/>
        <v>0</v>
      </c>
      <c r="U152" s="11">
        <f t="shared" si="60"/>
        <v>0</v>
      </c>
      <c r="V152" s="11">
        <f t="shared" si="60"/>
        <v>0</v>
      </c>
      <c r="W152" s="11">
        <f t="shared" si="60"/>
        <v>0</v>
      </c>
      <c r="X152" s="45">
        <f t="shared" si="61"/>
        <v>0</v>
      </c>
    </row>
    <row r="153" spans="1:24" x14ac:dyDescent="0.2">
      <c r="A153" s="472"/>
      <c r="B153" s="3">
        <v>9</v>
      </c>
      <c r="C153" s="11">
        <f t="shared" si="59"/>
        <v>0</v>
      </c>
      <c r="D153" s="45">
        <f t="shared" si="60"/>
        <v>0</v>
      </c>
      <c r="E153" s="45">
        <f t="shared" si="60"/>
        <v>0</v>
      </c>
      <c r="F153" s="45">
        <f t="shared" si="60"/>
        <v>0</v>
      </c>
      <c r="G153" s="45">
        <f t="shared" si="60"/>
        <v>0</v>
      </c>
      <c r="H153" s="45">
        <f t="shared" si="60"/>
        <v>0</v>
      </c>
      <c r="I153" s="45">
        <f t="shared" si="60"/>
        <v>0</v>
      </c>
      <c r="J153" s="45">
        <f t="shared" si="60"/>
        <v>0</v>
      </c>
      <c r="K153" s="45">
        <f t="shared" si="60"/>
        <v>0</v>
      </c>
      <c r="L153" s="45">
        <f t="shared" si="60"/>
        <v>0</v>
      </c>
      <c r="M153" s="11">
        <f t="shared" si="60"/>
        <v>0</v>
      </c>
      <c r="N153" s="11">
        <f t="shared" si="60"/>
        <v>0</v>
      </c>
      <c r="O153" s="11">
        <f t="shared" si="60"/>
        <v>0</v>
      </c>
      <c r="P153" s="11">
        <f t="shared" si="60"/>
        <v>0</v>
      </c>
      <c r="Q153" s="11">
        <f t="shared" si="60"/>
        <v>0</v>
      </c>
      <c r="R153" s="11">
        <f t="shared" si="60"/>
        <v>0</v>
      </c>
      <c r="S153" s="11">
        <f t="shared" si="60"/>
        <v>0</v>
      </c>
      <c r="T153" s="11">
        <f t="shared" si="60"/>
        <v>0</v>
      </c>
      <c r="U153" s="11">
        <f t="shared" si="60"/>
        <v>0</v>
      </c>
      <c r="V153" s="11">
        <f t="shared" si="60"/>
        <v>0</v>
      </c>
      <c r="W153" s="11">
        <f t="shared" si="60"/>
        <v>0</v>
      </c>
      <c r="X153" s="45">
        <f t="shared" si="61"/>
        <v>0</v>
      </c>
    </row>
    <row r="154" spans="1:24" x14ac:dyDescent="0.2">
      <c r="A154" s="472"/>
      <c r="B154" s="3">
        <v>10</v>
      </c>
      <c r="C154" s="11">
        <f t="shared" si="59"/>
        <v>0</v>
      </c>
      <c r="D154" s="45">
        <f t="shared" si="60"/>
        <v>0</v>
      </c>
      <c r="E154" s="45">
        <f t="shared" si="60"/>
        <v>0</v>
      </c>
      <c r="F154" s="45">
        <f t="shared" si="60"/>
        <v>0</v>
      </c>
      <c r="G154" s="45">
        <f t="shared" si="60"/>
        <v>0</v>
      </c>
      <c r="H154" s="45">
        <f t="shared" si="60"/>
        <v>0</v>
      </c>
      <c r="I154" s="45">
        <f t="shared" si="60"/>
        <v>0</v>
      </c>
      <c r="J154" s="45">
        <f t="shared" si="60"/>
        <v>0</v>
      </c>
      <c r="K154" s="45">
        <f t="shared" si="60"/>
        <v>0</v>
      </c>
      <c r="L154" s="45">
        <f t="shared" si="60"/>
        <v>0</v>
      </c>
      <c r="M154" s="11">
        <f t="shared" si="60"/>
        <v>0</v>
      </c>
      <c r="N154" s="11">
        <f t="shared" si="60"/>
        <v>0</v>
      </c>
      <c r="O154" s="11">
        <f t="shared" si="60"/>
        <v>0</v>
      </c>
      <c r="P154" s="11">
        <f t="shared" si="60"/>
        <v>0</v>
      </c>
      <c r="Q154" s="11">
        <f t="shared" si="60"/>
        <v>0</v>
      </c>
      <c r="R154" s="11">
        <f t="shared" si="60"/>
        <v>0</v>
      </c>
      <c r="S154" s="11">
        <f t="shared" si="60"/>
        <v>0</v>
      </c>
      <c r="T154" s="11">
        <f t="shared" si="60"/>
        <v>0</v>
      </c>
      <c r="U154" s="11">
        <f t="shared" si="60"/>
        <v>0</v>
      </c>
      <c r="V154" s="11">
        <f t="shared" si="60"/>
        <v>0</v>
      </c>
      <c r="W154" s="11">
        <f t="shared" si="60"/>
        <v>0</v>
      </c>
      <c r="X154" s="45">
        <f t="shared" si="61"/>
        <v>0</v>
      </c>
    </row>
    <row r="155" spans="1:24" x14ac:dyDescent="0.2">
      <c r="A155" s="472"/>
      <c r="B155" s="3">
        <v>11</v>
      </c>
      <c r="C155" s="11">
        <f t="shared" si="59"/>
        <v>0</v>
      </c>
      <c r="D155" s="45">
        <f t="shared" si="60"/>
        <v>0</v>
      </c>
      <c r="E155" s="45">
        <f t="shared" si="60"/>
        <v>0</v>
      </c>
      <c r="F155" s="45">
        <f t="shared" si="60"/>
        <v>0</v>
      </c>
      <c r="G155" s="45">
        <f t="shared" si="60"/>
        <v>0</v>
      </c>
      <c r="H155" s="45">
        <f t="shared" si="60"/>
        <v>0</v>
      </c>
      <c r="I155" s="45">
        <f t="shared" si="60"/>
        <v>0</v>
      </c>
      <c r="J155" s="45">
        <f t="shared" si="60"/>
        <v>0</v>
      </c>
      <c r="K155" s="45">
        <f t="shared" si="60"/>
        <v>0</v>
      </c>
      <c r="L155" s="45">
        <f t="shared" si="60"/>
        <v>0</v>
      </c>
      <c r="M155" s="11">
        <f t="shared" si="60"/>
        <v>0</v>
      </c>
      <c r="N155" s="11">
        <f t="shared" si="60"/>
        <v>0</v>
      </c>
      <c r="O155" s="11">
        <f t="shared" si="60"/>
        <v>0</v>
      </c>
      <c r="P155" s="11">
        <f t="shared" si="60"/>
        <v>0</v>
      </c>
      <c r="Q155" s="11">
        <f t="shared" si="60"/>
        <v>0</v>
      </c>
      <c r="R155" s="11">
        <f t="shared" si="60"/>
        <v>0</v>
      </c>
      <c r="S155" s="11">
        <f t="shared" si="60"/>
        <v>0</v>
      </c>
      <c r="T155" s="11">
        <f t="shared" si="60"/>
        <v>0</v>
      </c>
      <c r="U155" s="11">
        <f t="shared" si="60"/>
        <v>0</v>
      </c>
      <c r="V155" s="11">
        <f t="shared" si="60"/>
        <v>0</v>
      </c>
      <c r="W155" s="11">
        <f t="shared" si="60"/>
        <v>0</v>
      </c>
      <c r="X155" s="45">
        <f t="shared" si="61"/>
        <v>0</v>
      </c>
    </row>
    <row r="156" spans="1:24" x14ac:dyDescent="0.2">
      <c r="A156" s="472"/>
      <c r="B156" s="3">
        <v>12</v>
      </c>
      <c r="C156" s="11">
        <f t="shared" si="59"/>
        <v>0</v>
      </c>
      <c r="D156" s="45">
        <f t="shared" si="60"/>
        <v>0</v>
      </c>
      <c r="E156" s="45">
        <f t="shared" si="60"/>
        <v>0</v>
      </c>
      <c r="F156" s="45">
        <f t="shared" si="60"/>
        <v>0</v>
      </c>
      <c r="G156" s="45">
        <f t="shared" si="60"/>
        <v>0</v>
      </c>
      <c r="H156" s="45">
        <f t="shared" si="60"/>
        <v>0</v>
      </c>
      <c r="I156" s="45">
        <f t="shared" si="60"/>
        <v>0</v>
      </c>
      <c r="J156" s="45">
        <f t="shared" si="60"/>
        <v>0</v>
      </c>
      <c r="K156" s="45">
        <f t="shared" si="60"/>
        <v>0</v>
      </c>
      <c r="L156" s="45">
        <f t="shared" si="60"/>
        <v>0</v>
      </c>
      <c r="M156" s="11">
        <f t="shared" si="60"/>
        <v>0</v>
      </c>
      <c r="N156" s="11">
        <f t="shared" si="60"/>
        <v>0</v>
      </c>
      <c r="O156" s="11">
        <f t="shared" si="60"/>
        <v>0</v>
      </c>
      <c r="P156" s="11">
        <f t="shared" si="60"/>
        <v>0</v>
      </c>
      <c r="Q156" s="11">
        <f t="shared" si="60"/>
        <v>0</v>
      </c>
      <c r="R156" s="11">
        <f t="shared" si="60"/>
        <v>0</v>
      </c>
      <c r="S156" s="11">
        <f t="shared" si="60"/>
        <v>0</v>
      </c>
      <c r="T156" s="11">
        <f t="shared" si="60"/>
        <v>0</v>
      </c>
      <c r="U156" s="11">
        <f t="shared" si="60"/>
        <v>0</v>
      </c>
      <c r="V156" s="11">
        <f t="shared" si="60"/>
        <v>0</v>
      </c>
      <c r="W156" s="11">
        <f t="shared" si="60"/>
        <v>0</v>
      </c>
      <c r="X156" s="45">
        <f t="shared" si="61"/>
        <v>0</v>
      </c>
    </row>
    <row r="157" spans="1:24" x14ac:dyDescent="0.2">
      <c r="A157" s="472"/>
      <c r="B157" s="3">
        <v>13</v>
      </c>
      <c r="C157" s="11">
        <f t="shared" si="59"/>
        <v>0</v>
      </c>
      <c r="D157" s="45">
        <f t="shared" si="60"/>
        <v>0</v>
      </c>
      <c r="E157" s="45">
        <f t="shared" si="60"/>
        <v>0</v>
      </c>
      <c r="F157" s="45">
        <f t="shared" si="60"/>
        <v>0</v>
      </c>
      <c r="G157" s="45">
        <f t="shared" si="60"/>
        <v>0</v>
      </c>
      <c r="H157" s="45">
        <f t="shared" si="60"/>
        <v>0</v>
      </c>
      <c r="I157" s="45">
        <f t="shared" si="60"/>
        <v>0</v>
      </c>
      <c r="J157" s="45">
        <f t="shared" si="60"/>
        <v>0</v>
      </c>
      <c r="K157" s="45">
        <f t="shared" si="60"/>
        <v>0</v>
      </c>
      <c r="L157" s="45">
        <f t="shared" si="60"/>
        <v>0</v>
      </c>
      <c r="M157" s="11">
        <f t="shared" si="60"/>
        <v>0</v>
      </c>
      <c r="N157" s="11">
        <f t="shared" si="60"/>
        <v>0</v>
      </c>
      <c r="O157" s="11">
        <f t="shared" si="60"/>
        <v>0</v>
      </c>
      <c r="P157" s="11">
        <f t="shared" si="60"/>
        <v>0</v>
      </c>
      <c r="Q157" s="11">
        <f t="shared" si="60"/>
        <v>0</v>
      </c>
      <c r="R157" s="11">
        <f t="shared" si="60"/>
        <v>0</v>
      </c>
      <c r="S157" s="11">
        <f t="shared" ref="S157:W164" si="62">IF($B157&gt;=R$141,IF($B157=R$141,R$142,R$142*((20+R$141)-$B157)/20),0)*IF((20+R$141)-$B157&lt;0,0,1)</f>
        <v>0</v>
      </c>
      <c r="T157" s="11">
        <f t="shared" si="62"/>
        <v>0</v>
      </c>
      <c r="U157" s="11">
        <f t="shared" si="62"/>
        <v>0</v>
      </c>
      <c r="V157" s="11">
        <f t="shared" si="62"/>
        <v>0</v>
      </c>
      <c r="W157" s="11">
        <f t="shared" si="62"/>
        <v>0</v>
      </c>
      <c r="X157" s="45">
        <f t="shared" si="61"/>
        <v>0</v>
      </c>
    </row>
    <row r="158" spans="1:24" x14ac:dyDescent="0.2">
      <c r="A158" s="472"/>
      <c r="B158" s="3">
        <v>14</v>
      </c>
      <c r="C158" s="11">
        <f t="shared" si="59"/>
        <v>0</v>
      </c>
      <c r="D158" s="45">
        <f t="shared" ref="D158:R164" si="63">IF($B158&gt;=C$141,IF($B158=C$141,C$142,C$142*((20+C$141)-$B158)/20),0)*IF((20+C$141)-$B158&lt;0,0,1)</f>
        <v>0</v>
      </c>
      <c r="E158" s="45">
        <f t="shared" si="63"/>
        <v>0</v>
      </c>
      <c r="F158" s="45">
        <f t="shared" si="63"/>
        <v>0</v>
      </c>
      <c r="G158" s="45">
        <f t="shared" si="63"/>
        <v>0</v>
      </c>
      <c r="H158" s="45">
        <f t="shared" si="63"/>
        <v>0</v>
      </c>
      <c r="I158" s="45">
        <f t="shared" si="63"/>
        <v>0</v>
      </c>
      <c r="J158" s="45">
        <f t="shared" si="63"/>
        <v>0</v>
      </c>
      <c r="K158" s="45">
        <f t="shared" si="63"/>
        <v>0</v>
      </c>
      <c r="L158" s="45">
        <f t="shared" si="63"/>
        <v>0</v>
      </c>
      <c r="M158" s="11">
        <f t="shared" si="63"/>
        <v>0</v>
      </c>
      <c r="N158" s="11">
        <f t="shared" si="63"/>
        <v>0</v>
      </c>
      <c r="O158" s="11">
        <f t="shared" si="63"/>
        <v>0</v>
      </c>
      <c r="P158" s="11">
        <f t="shared" si="63"/>
        <v>0</v>
      </c>
      <c r="Q158" s="11">
        <f t="shared" si="63"/>
        <v>0</v>
      </c>
      <c r="R158" s="11">
        <f t="shared" si="63"/>
        <v>0</v>
      </c>
      <c r="S158" s="11">
        <f t="shared" si="62"/>
        <v>0</v>
      </c>
      <c r="T158" s="11">
        <f t="shared" si="62"/>
        <v>0</v>
      </c>
      <c r="U158" s="11">
        <f t="shared" si="62"/>
        <v>0</v>
      </c>
      <c r="V158" s="11">
        <f t="shared" si="62"/>
        <v>0</v>
      </c>
      <c r="W158" s="11">
        <f t="shared" si="62"/>
        <v>0</v>
      </c>
      <c r="X158" s="45">
        <f t="shared" si="61"/>
        <v>0</v>
      </c>
    </row>
    <row r="159" spans="1:24" x14ac:dyDescent="0.2">
      <c r="A159" s="472"/>
      <c r="B159" s="3">
        <v>15</v>
      </c>
      <c r="C159" s="11">
        <f t="shared" si="59"/>
        <v>0</v>
      </c>
      <c r="D159" s="45">
        <f t="shared" si="63"/>
        <v>0</v>
      </c>
      <c r="E159" s="45">
        <f t="shared" si="63"/>
        <v>0</v>
      </c>
      <c r="F159" s="45">
        <f t="shared" si="63"/>
        <v>0</v>
      </c>
      <c r="G159" s="45">
        <f t="shared" si="63"/>
        <v>0</v>
      </c>
      <c r="H159" s="45">
        <f t="shared" si="63"/>
        <v>0</v>
      </c>
      <c r="I159" s="45">
        <f t="shared" si="63"/>
        <v>0</v>
      </c>
      <c r="J159" s="45">
        <f t="shared" si="63"/>
        <v>0</v>
      </c>
      <c r="K159" s="45">
        <f t="shared" si="63"/>
        <v>0</v>
      </c>
      <c r="L159" s="45">
        <f t="shared" si="63"/>
        <v>0</v>
      </c>
      <c r="M159" s="11">
        <f t="shared" si="63"/>
        <v>0</v>
      </c>
      <c r="N159" s="11">
        <f t="shared" si="63"/>
        <v>0</v>
      </c>
      <c r="O159" s="11">
        <f t="shared" si="63"/>
        <v>0</v>
      </c>
      <c r="P159" s="11">
        <f t="shared" si="63"/>
        <v>0</v>
      </c>
      <c r="Q159" s="11">
        <f t="shared" si="63"/>
        <v>0</v>
      </c>
      <c r="R159" s="11">
        <f t="shared" si="63"/>
        <v>0</v>
      </c>
      <c r="S159" s="11">
        <f t="shared" si="62"/>
        <v>0</v>
      </c>
      <c r="T159" s="11">
        <f t="shared" si="62"/>
        <v>0</v>
      </c>
      <c r="U159" s="11">
        <f t="shared" si="62"/>
        <v>0</v>
      </c>
      <c r="V159" s="11">
        <f t="shared" si="62"/>
        <v>0</v>
      </c>
      <c r="W159" s="11">
        <f t="shared" si="62"/>
        <v>0</v>
      </c>
      <c r="X159" s="45">
        <f t="shared" si="61"/>
        <v>0</v>
      </c>
    </row>
    <row r="160" spans="1:24" x14ac:dyDescent="0.2">
      <c r="A160" s="472"/>
      <c r="B160" s="3">
        <v>16</v>
      </c>
      <c r="C160" s="11">
        <f t="shared" si="59"/>
        <v>0</v>
      </c>
      <c r="D160" s="45">
        <f t="shared" si="63"/>
        <v>0</v>
      </c>
      <c r="E160" s="45">
        <f t="shared" si="63"/>
        <v>0</v>
      </c>
      <c r="F160" s="45">
        <f t="shared" si="63"/>
        <v>0</v>
      </c>
      <c r="G160" s="45">
        <f t="shared" si="63"/>
        <v>0</v>
      </c>
      <c r="H160" s="45">
        <f t="shared" si="63"/>
        <v>0</v>
      </c>
      <c r="I160" s="45">
        <f t="shared" si="63"/>
        <v>0</v>
      </c>
      <c r="J160" s="45">
        <f t="shared" si="63"/>
        <v>0</v>
      </c>
      <c r="K160" s="45">
        <f t="shared" si="63"/>
        <v>0</v>
      </c>
      <c r="L160" s="45">
        <f t="shared" si="63"/>
        <v>0</v>
      </c>
      <c r="M160" s="11">
        <f t="shared" si="63"/>
        <v>0</v>
      </c>
      <c r="N160" s="11">
        <f t="shared" si="63"/>
        <v>0</v>
      </c>
      <c r="O160" s="11">
        <f t="shared" si="63"/>
        <v>0</v>
      </c>
      <c r="P160" s="11">
        <f t="shared" si="63"/>
        <v>0</v>
      </c>
      <c r="Q160" s="11">
        <f t="shared" si="63"/>
        <v>0</v>
      </c>
      <c r="R160" s="11">
        <f t="shared" si="63"/>
        <v>0</v>
      </c>
      <c r="S160" s="11">
        <f t="shared" si="62"/>
        <v>0</v>
      </c>
      <c r="T160" s="11">
        <f t="shared" si="62"/>
        <v>0</v>
      </c>
      <c r="U160" s="11">
        <f t="shared" si="62"/>
        <v>0</v>
      </c>
      <c r="V160" s="11">
        <f t="shared" si="62"/>
        <v>0</v>
      </c>
      <c r="W160" s="11">
        <f t="shared" si="62"/>
        <v>0</v>
      </c>
      <c r="X160" s="45">
        <f t="shared" si="61"/>
        <v>0</v>
      </c>
    </row>
    <row r="161" spans="1:52" x14ac:dyDescent="0.2">
      <c r="A161" s="472"/>
      <c r="B161" s="3">
        <v>17</v>
      </c>
      <c r="C161" s="11">
        <f t="shared" si="59"/>
        <v>0</v>
      </c>
      <c r="D161" s="45">
        <f t="shared" si="63"/>
        <v>0</v>
      </c>
      <c r="E161" s="45">
        <f t="shared" si="63"/>
        <v>0</v>
      </c>
      <c r="F161" s="45">
        <f t="shared" si="63"/>
        <v>0</v>
      </c>
      <c r="G161" s="45">
        <f t="shared" si="63"/>
        <v>0</v>
      </c>
      <c r="H161" s="45">
        <f t="shared" si="63"/>
        <v>0</v>
      </c>
      <c r="I161" s="45">
        <f t="shared" si="63"/>
        <v>0</v>
      </c>
      <c r="J161" s="45">
        <f t="shared" si="63"/>
        <v>0</v>
      </c>
      <c r="K161" s="45">
        <f t="shared" si="63"/>
        <v>0</v>
      </c>
      <c r="L161" s="45">
        <f t="shared" si="63"/>
        <v>0</v>
      </c>
      <c r="M161" s="11">
        <f t="shared" si="63"/>
        <v>0</v>
      </c>
      <c r="N161" s="11">
        <f t="shared" si="63"/>
        <v>0</v>
      </c>
      <c r="O161" s="11">
        <f t="shared" si="63"/>
        <v>0</v>
      </c>
      <c r="P161" s="11">
        <f t="shared" si="63"/>
        <v>0</v>
      </c>
      <c r="Q161" s="11">
        <f t="shared" si="63"/>
        <v>0</v>
      </c>
      <c r="R161" s="11">
        <f t="shared" si="63"/>
        <v>0</v>
      </c>
      <c r="S161" s="11">
        <f t="shared" si="62"/>
        <v>0</v>
      </c>
      <c r="T161" s="11">
        <f t="shared" si="62"/>
        <v>0</v>
      </c>
      <c r="U161" s="11">
        <f t="shared" si="62"/>
        <v>0</v>
      </c>
      <c r="V161" s="11">
        <f t="shared" si="62"/>
        <v>0</v>
      </c>
      <c r="W161" s="11">
        <f t="shared" si="62"/>
        <v>0</v>
      </c>
      <c r="X161" s="45">
        <f t="shared" si="61"/>
        <v>0</v>
      </c>
    </row>
    <row r="162" spans="1:52" x14ac:dyDescent="0.2">
      <c r="A162" s="472"/>
      <c r="B162" s="3">
        <v>18</v>
      </c>
      <c r="C162" s="11">
        <f t="shared" si="59"/>
        <v>0</v>
      </c>
      <c r="D162" s="45">
        <f t="shared" si="63"/>
        <v>0</v>
      </c>
      <c r="E162" s="45">
        <f t="shared" si="63"/>
        <v>0</v>
      </c>
      <c r="F162" s="45">
        <f t="shared" si="63"/>
        <v>0</v>
      </c>
      <c r="G162" s="45">
        <f t="shared" si="63"/>
        <v>0</v>
      </c>
      <c r="H162" s="45">
        <f t="shared" si="63"/>
        <v>0</v>
      </c>
      <c r="I162" s="45">
        <f t="shared" si="63"/>
        <v>0</v>
      </c>
      <c r="J162" s="45">
        <f t="shared" si="63"/>
        <v>0</v>
      </c>
      <c r="K162" s="45">
        <f t="shared" si="63"/>
        <v>0</v>
      </c>
      <c r="L162" s="45">
        <f t="shared" si="63"/>
        <v>0</v>
      </c>
      <c r="M162" s="11">
        <f t="shared" si="63"/>
        <v>0</v>
      </c>
      <c r="N162" s="11">
        <f t="shared" si="63"/>
        <v>0</v>
      </c>
      <c r="O162" s="11">
        <f t="shared" si="63"/>
        <v>0</v>
      </c>
      <c r="P162" s="11">
        <f t="shared" si="63"/>
        <v>0</v>
      </c>
      <c r="Q162" s="11">
        <f t="shared" si="63"/>
        <v>0</v>
      </c>
      <c r="R162" s="11">
        <f t="shared" si="63"/>
        <v>0</v>
      </c>
      <c r="S162" s="11">
        <f t="shared" si="62"/>
        <v>0</v>
      </c>
      <c r="T162" s="11">
        <f t="shared" si="62"/>
        <v>0</v>
      </c>
      <c r="U162" s="11">
        <f t="shared" si="62"/>
        <v>0</v>
      </c>
      <c r="V162" s="11">
        <f t="shared" si="62"/>
        <v>0</v>
      </c>
      <c r="W162" s="11">
        <f t="shared" si="62"/>
        <v>0</v>
      </c>
      <c r="X162" s="45">
        <f t="shared" si="61"/>
        <v>0</v>
      </c>
    </row>
    <row r="163" spans="1:52" x14ac:dyDescent="0.2">
      <c r="A163" s="472"/>
      <c r="B163" s="3">
        <v>19</v>
      </c>
      <c r="C163" s="11">
        <f t="shared" si="59"/>
        <v>0</v>
      </c>
      <c r="D163" s="45">
        <f t="shared" si="63"/>
        <v>0</v>
      </c>
      <c r="E163" s="45">
        <f t="shared" si="63"/>
        <v>0</v>
      </c>
      <c r="F163" s="45">
        <f t="shared" si="63"/>
        <v>0</v>
      </c>
      <c r="G163" s="45">
        <f t="shared" si="63"/>
        <v>0</v>
      </c>
      <c r="H163" s="45">
        <f t="shared" si="63"/>
        <v>0</v>
      </c>
      <c r="I163" s="45">
        <f t="shared" si="63"/>
        <v>0</v>
      </c>
      <c r="J163" s="45">
        <f t="shared" si="63"/>
        <v>0</v>
      </c>
      <c r="K163" s="45">
        <f t="shared" si="63"/>
        <v>0</v>
      </c>
      <c r="L163" s="45">
        <f t="shared" si="63"/>
        <v>0</v>
      </c>
      <c r="M163" s="11">
        <f t="shared" si="63"/>
        <v>0</v>
      </c>
      <c r="N163" s="11">
        <f t="shared" si="63"/>
        <v>0</v>
      </c>
      <c r="O163" s="11">
        <f t="shared" si="63"/>
        <v>0</v>
      </c>
      <c r="P163" s="11">
        <f t="shared" si="63"/>
        <v>0</v>
      </c>
      <c r="Q163" s="11">
        <f t="shared" si="63"/>
        <v>0</v>
      </c>
      <c r="R163" s="11">
        <f t="shared" si="63"/>
        <v>0</v>
      </c>
      <c r="S163" s="11">
        <f t="shared" si="62"/>
        <v>0</v>
      </c>
      <c r="T163" s="11">
        <f t="shared" si="62"/>
        <v>0</v>
      </c>
      <c r="U163" s="11">
        <f t="shared" si="62"/>
        <v>0</v>
      </c>
      <c r="V163" s="11">
        <f t="shared" si="62"/>
        <v>0</v>
      </c>
      <c r="W163" s="11">
        <f t="shared" si="62"/>
        <v>0</v>
      </c>
      <c r="X163" s="45">
        <f t="shared" si="61"/>
        <v>0</v>
      </c>
    </row>
    <row r="164" spans="1:52" x14ac:dyDescent="0.2">
      <c r="A164" s="472"/>
      <c r="B164" s="3">
        <v>20</v>
      </c>
      <c r="C164" s="11">
        <f t="shared" si="59"/>
        <v>0</v>
      </c>
      <c r="D164" s="45">
        <f t="shared" si="63"/>
        <v>0</v>
      </c>
      <c r="E164" s="45">
        <f t="shared" si="63"/>
        <v>0</v>
      </c>
      <c r="F164" s="45">
        <f t="shared" si="63"/>
        <v>0</v>
      </c>
      <c r="G164" s="45">
        <f t="shared" si="63"/>
        <v>0</v>
      </c>
      <c r="H164" s="45">
        <f t="shared" si="63"/>
        <v>0</v>
      </c>
      <c r="I164" s="45">
        <f t="shared" si="63"/>
        <v>0</v>
      </c>
      <c r="J164" s="45">
        <f t="shared" si="63"/>
        <v>0</v>
      </c>
      <c r="K164" s="45">
        <f t="shared" si="63"/>
        <v>0</v>
      </c>
      <c r="L164" s="45">
        <f t="shared" si="63"/>
        <v>0</v>
      </c>
      <c r="M164" s="11">
        <f t="shared" si="63"/>
        <v>0</v>
      </c>
      <c r="N164" s="11">
        <f t="shared" si="63"/>
        <v>0</v>
      </c>
      <c r="O164" s="11">
        <f t="shared" si="63"/>
        <v>0</v>
      </c>
      <c r="P164" s="11">
        <f t="shared" si="63"/>
        <v>0</v>
      </c>
      <c r="Q164" s="11">
        <f t="shared" si="63"/>
        <v>0</v>
      </c>
      <c r="R164" s="11">
        <f t="shared" si="63"/>
        <v>0</v>
      </c>
      <c r="S164" s="11">
        <f t="shared" si="62"/>
        <v>0</v>
      </c>
      <c r="T164" s="11">
        <f t="shared" si="62"/>
        <v>0</v>
      </c>
      <c r="U164" s="11">
        <f t="shared" si="62"/>
        <v>0</v>
      </c>
      <c r="V164" s="11">
        <f t="shared" si="62"/>
        <v>0</v>
      </c>
      <c r="W164" s="11">
        <f t="shared" si="62"/>
        <v>0</v>
      </c>
      <c r="X164" s="45">
        <f t="shared" si="61"/>
        <v>0</v>
      </c>
    </row>
    <row r="167" spans="1:52" s="141" customFormat="1" x14ac:dyDescent="0.2">
      <c r="A167" s="475" t="s">
        <v>50</v>
      </c>
      <c r="B167" s="140" t="s">
        <v>6</v>
      </c>
      <c r="C167" s="140" t="s">
        <v>225</v>
      </c>
      <c r="D167" s="140"/>
    </row>
    <row r="168" spans="1:52" s="141" customFormat="1" x14ac:dyDescent="0.2">
      <c r="A168" s="475"/>
      <c r="B168" s="140" t="s">
        <v>87</v>
      </c>
      <c r="C168" s="142" t="str">
        <f>C5</f>
        <v/>
      </c>
      <c r="D168" s="140"/>
    </row>
    <row r="169" spans="1:52" s="141" customFormat="1" x14ac:dyDescent="0.2">
      <c r="A169" s="475"/>
      <c r="B169" s="140" t="s">
        <v>181</v>
      </c>
      <c r="C169" s="140">
        <f>C6</f>
        <v>0</v>
      </c>
      <c r="D169" s="140"/>
    </row>
    <row r="171" spans="1:52" x14ac:dyDescent="0.2">
      <c r="A171" s="135" t="s">
        <v>626</v>
      </c>
      <c r="B171" s="135"/>
      <c r="C171" s="135"/>
      <c r="D171" s="135"/>
      <c r="E171" s="135"/>
      <c r="F171" s="135"/>
      <c r="G171" s="135"/>
      <c r="H171" s="135"/>
      <c r="I171" s="135"/>
      <c r="J171" s="135"/>
      <c r="K171" s="135"/>
      <c r="L171" s="135"/>
      <c r="M171" s="49"/>
      <c r="N171" s="49"/>
      <c r="O171" s="49"/>
      <c r="P171" s="49"/>
      <c r="Q171" s="49"/>
      <c r="R171" s="49"/>
      <c r="S171" s="49"/>
      <c r="T171" s="49"/>
      <c r="U171" s="49"/>
      <c r="V171" s="49"/>
      <c r="W171" s="49"/>
      <c r="X171" s="49"/>
      <c r="Y171" s="49"/>
      <c r="Z171" s="49"/>
      <c r="AA171" s="49"/>
      <c r="AB171" s="49"/>
      <c r="AC171" s="49"/>
      <c r="AD171" s="49"/>
      <c r="AE171" s="49"/>
      <c r="AF171" s="49"/>
      <c r="AG171" s="49"/>
      <c r="AH171" s="49"/>
      <c r="AI171" s="49"/>
      <c r="AJ171" s="49"/>
      <c r="AK171" s="49"/>
      <c r="AL171" s="49"/>
      <c r="AM171" s="49"/>
      <c r="AN171" s="49"/>
      <c r="AO171" s="49"/>
      <c r="AP171" s="49"/>
      <c r="AQ171" s="49"/>
      <c r="AR171" s="49"/>
      <c r="AS171" s="49"/>
      <c r="AT171" s="49"/>
      <c r="AU171" s="49"/>
      <c r="AV171" s="49"/>
      <c r="AW171" s="49"/>
      <c r="AX171" s="49"/>
      <c r="AY171" s="49"/>
      <c r="AZ171" s="49"/>
    </row>
    <row r="173" spans="1:52" ht="16" customHeight="1" x14ac:dyDescent="0.2">
      <c r="A173" s="463" t="s">
        <v>727</v>
      </c>
      <c r="B173" s="3" t="s">
        <v>8</v>
      </c>
      <c r="C173" s="3" t="s">
        <v>17</v>
      </c>
      <c r="D173" s="3" t="s">
        <v>61</v>
      </c>
      <c r="E173" s="3" t="s">
        <v>88</v>
      </c>
      <c r="F173" s="3" t="s">
        <v>297</v>
      </c>
      <c r="J173" s="463" t="s">
        <v>728</v>
      </c>
      <c r="K173" s="3" t="s">
        <v>8</v>
      </c>
      <c r="L173" s="3" t="s">
        <v>17</v>
      </c>
      <c r="M173" s="3" t="s">
        <v>61</v>
      </c>
      <c r="N173" s="3" t="s">
        <v>88</v>
      </c>
      <c r="O173" s="3" t="s">
        <v>297</v>
      </c>
      <c r="S173" s="463" t="s">
        <v>729</v>
      </c>
      <c r="T173" s="3" t="s">
        <v>8</v>
      </c>
      <c r="U173" s="3" t="s">
        <v>17</v>
      </c>
      <c r="V173" s="3" t="s">
        <v>61</v>
      </c>
      <c r="W173" s="3" t="s">
        <v>88</v>
      </c>
      <c r="X173" s="3" t="s">
        <v>297</v>
      </c>
      <c r="AB173" s="463" t="s">
        <v>730</v>
      </c>
      <c r="AC173" s="3" t="s">
        <v>8</v>
      </c>
      <c r="AD173" s="3" t="s">
        <v>17</v>
      </c>
      <c r="AE173" s="3" t="s">
        <v>61</v>
      </c>
      <c r="AF173" s="3" t="s">
        <v>88</v>
      </c>
      <c r="AG173" s="3" t="s">
        <v>297</v>
      </c>
    </row>
    <row r="174" spans="1:52" x14ac:dyDescent="0.2">
      <c r="A174" s="463"/>
      <c r="B174" s="3" t="str">
        <f>IF(B58="","",B58)</f>
        <v/>
      </c>
      <c r="C174" s="3">
        <f>IF(OR(B174=0,B174=""),0,VLOOKUP(B174,Tableau44[[Code_ess]:[FEB]],4,FALSE))</f>
        <v>0</v>
      </c>
      <c r="D174" s="3">
        <f>IF(OR(B174=0,B174=""),0,VLOOKUP(B174,Tableau44[[Code_ess]:[FEB]],5,FALSE))</f>
        <v>0</v>
      </c>
      <c r="E174" s="43">
        <f>IF(OR(B174=0,B174=""),0,VLOOKUP(B174,$G$4:$H$7,2,FALSE))</f>
        <v>0</v>
      </c>
      <c r="F174" s="3">
        <f>IF(OR(B174=0,B174=""),0,VLOOKUP(B174,Listes!$C$7:$D$36,2,FALSE))</f>
        <v>0</v>
      </c>
      <c r="H174" s="44"/>
      <c r="J174" s="463"/>
      <c r="K174" s="3" t="str">
        <f>IF(K58="","",K58)</f>
        <v/>
      </c>
      <c r="L174" s="3">
        <f>IF(OR(K174=0,K174=""),0,VLOOKUP(K174,Tableau44[[Code_ess]:[FEB]],4,FALSE))</f>
        <v>0</v>
      </c>
      <c r="M174" s="3">
        <f>IF(OR(K174=0,K174=""),0,VLOOKUP(K174,Tableau44[[Code_ess]:[FEB]],5,FALSE))</f>
        <v>0</v>
      </c>
      <c r="N174" s="43">
        <f>IF(OR(K174=0,K174=""),0,VLOOKUP(K174,$G$4:$H$7,2,FALSE))</f>
        <v>0</v>
      </c>
      <c r="O174" s="3">
        <f>IF(OR(K174=0,K174=""),0,VLOOKUP(K174,Listes!$C$7:$D$36,2,FALSE))</f>
        <v>0</v>
      </c>
      <c r="S174" s="463"/>
      <c r="T174" s="3" t="str">
        <f>IF(T58="","",T58)</f>
        <v/>
      </c>
      <c r="U174" s="3">
        <f>IF(OR(T174=0,T174=""),0,VLOOKUP(T174,Tableau44[[Code_ess]:[FEB]],4,FALSE))</f>
        <v>0</v>
      </c>
      <c r="V174" s="3">
        <f>IF(OR(T174=0,T174=""),0,VLOOKUP(T174,Tableau44[[Code_ess]:[FEB]],5,FALSE))</f>
        <v>0</v>
      </c>
      <c r="W174" s="43">
        <f>IF(OR(T174=0,T174=""),0,VLOOKUP(T174,$G$4:$H$7,2,FALSE))</f>
        <v>0</v>
      </c>
      <c r="X174" s="3">
        <f>IF(OR(T174=0,T174=""),0,VLOOKUP(T174,Listes!$C$7:$D$36,2,FALSE))</f>
        <v>0</v>
      </c>
      <c r="AB174" s="463"/>
      <c r="AC174" s="3" t="str">
        <f>IF(AC58="","",AC58)</f>
        <v/>
      </c>
      <c r="AD174" s="3">
        <f>IF(OR(AC174=0,AC174=""),0,VLOOKUP(AC174,Tableau44[[Code_ess]:[FEB]],4,FALSE))</f>
        <v>0</v>
      </c>
      <c r="AE174" s="3">
        <f>IF(OR(AC174=0,AC174=""),0,VLOOKUP(AC174,Tableau44[[Code_ess]:[FEB]],5,FALSE))</f>
        <v>0</v>
      </c>
      <c r="AF174" s="43">
        <f>IF(OR(AC174=0,AC174=""),0,VLOOKUP(AC174,$G$4:$H$7,2,FALSE))</f>
        <v>0</v>
      </c>
      <c r="AG174" s="3">
        <f>IF(OR(AC174=0,AC174=""),0,VLOOKUP(AC174,Listes!$C$7:$D$36,2,FALSE))</f>
        <v>0</v>
      </c>
    </row>
    <row r="176" spans="1:52" ht="16" customHeight="1" x14ac:dyDescent="0.2">
      <c r="A176" s="463" t="str">
        <f>CONCATENATE("SQ_PRJ_",A173)</f>
        <v>SQ_PRJ_A_ESS_1</v>
      </c>
      <c r="B176" s="3" t="s">
        <v>15</v>
      </c>
      <c r="C176" s="3" t="s">
        <v>19</v>
      </c>
      <c r="D176" s="3" t="s">
        <v>18</v>
      </c>
      <c r="E176" s="3" t="s">
        <v>16</v>
      </c>
      <c r="F176" s="3" t="s">
        <v>78</v>
      </c>
      <c r="G176" s="3" t="s">
        <v>79</v>
      </c>
      <c r="H176" s="3" t="s">
        <v>56</v>
      </c>
      <c r="J176" s="463" t="str">
        <f>CONCATENATE("SQ_PRJ_",J173)</f>
        <v>SQ_PRJ_A_ESS_2</v>
      </c>
      <c r="K176" s="3" t="s">
        <v>15</v>
      </c>
      <c r="L176" s="3" t="s">
        <v>19</v>
      </c>
      <c r="M176" s="3" t="s">
        <v>18</v>
      </c>
      <c r="N176" s="3" t="s">
        <v>16</v>
      </c>
      <c r="O176" s="3" t="s">
        <v>78</v>
      </c>
      <c r="P176" s="3" t="s">
        <v>79</v>
      </c>
      <c r="Q176" s="3" t="s">
        <v>56</v>
      </c>
      <c r="S176" s="463" t="str">
        <f>CONCATENATE("SQ_PRJ_",S173)</f>
        <v>SQ_PRJ_A_ESS_3</v>
      </c>
      <c r="T176" s="3" t="s">
        <v>15</v>
      </c>
      <c r="U176" s="3" t="s">
        <v>19</v>
      </c>
      <c r="V176" s="3" t="s">
        <v>18</v>
      </c>
      <c r="W176" s="3" t="s">
        <v>16</v>
      </c>
      <c r="X176" s="3" t="s">
        <v>78</v>
      </c>
      <c r="Y176" s="3" t="s">
        <v>79</v>
      </c>
      <c r="Z176" s="3" t="s">
        <v>56</v>
      </c>
      <c r="AB176" s="463" t="str">
        <f>CONCATENATE("SQ_PRJ_",AB173)</f>
        <v>SQ_PRJ_A_ESS_4</v>
      </c>
      <c r="AC176" s="3" t="s">
        <v>15</v>
      </c>
      <c r="AD176" s="3" t="s">
        <v>19</v>
      </c>
      <c r="AE176" s="3" t="s">
        <v>18</v>
      </c>
      <c r="AF176" s="3" t="s">
        <v>16</v>
      </c>
      <c r="AG176" s="3" t="s">
        <v>78</v>
      </c>
      <c r="AH176" s="3" t="s">
        <v>79</v>
      </c>
      <c r="AI176" s="3" t="s">
        <v>56</v>
      </c>
      <c r="AK176" s="463" t="s">
        <v>731</v>
      </c>
      <c r="AL176" s="3" t="s">
        <v>28</v>
      </c>
      <c r="AM176" s="3" t="s">
        <v>121</v>
      </c>
      <c r="AN176" s="3" t="s">
        <v>122</v>
      </c>
      <c r="AO176" s="3" t="s">
        <v>158</v>
      </c>
      <c r="AQ176" s="216"/>
      <c r="AR176" s="3" t="s">
        <v>94</v>
      </c>
      <c r="AS176" s="3" t="s">
        <v>758</v>
      </c>
    </row>
    <row r="177" spans="1:45" ht="16" customHeight="1" x14ac:dyDescent="0.2">
      <c r="A177" s="463"/>
      <c r="B177" s="3">
        <v>1</v>
      </c>
      <c r="C177" s="45">
        <f>IF(OR(B174="",B174=0),0,VLOOKUP(B174,$G$4:$M$7,6,FALSE))</f>
        <v>0</v>
      </c>
      <c r="D177" s="45">
        <f t="shared" ref="D177:D196" si="64">IF(OR(C177="",C177=0),0,IF(B177=1,((VLOOKUP(B$174,$G$4:$N$7,6,FALSE)-VLOOKUP(B$174,$G$4:$N$7,8,FALSE))/20),((VLOOKUP(B$174,$G$4:$N$7,6,FALSE)-VLOOKUP(B$174,$G$4:$N$7,8,FALSE))/20)+C177-E176))</f>
        <v>0</v>
      </c>
      <c r="E177" s="45">
        <f t="shared" ref="E177:E196" si="65">IF(C177="",0,C177-D177)</f>
        <v>0</v>
      </c>
      <c r="F177" s="45">
        <f>IF(E177=0,0,E177*C$58)</f>
        <v>0</v>
      </c>
      <c r="G177" s="45">
        <f t="shared" ref="G177:G196" si="66">IF(F177&gt;0,EXP(-1.0587+0.8836*LN(F177)+0.284),0)</f>
        <v>0</v>
      </c>
      <c r="H177" s="45">
        <f t="shared" ref="H177:H196" si="67">SUM(F177:G177)*0.475*44/12</f>
        <v>0</v>
      </c>
      <c r="J177" s="463"/>
      <c r="K177" s="3">
        <v>1</v>
      </c>
      <c r="L177" s="45">
        <f>IF(OR(K174="",K174=0),0,VLOOKUP(K174,$G$4:$M$7,6,FALSE))</f>
        <v>0</v>
      </c>
      <c r="M177" s="45">
        <f t="shared" ref="M177:M196" si="68">IF(OR(L177="",L177=0),0,IF(K177=1,((VLOOKUP(K$174,$G$4:$N$7,6,FALSE)-VLOOKUP(K$174,$G$4:$N$7,8,FALSE))/20),((VLOOKUP(K$174,$G$4:$N$7,6,FALSE)-VLOOKUP(K$174,$G$4:$N$7,8,FALSE))/20)+L177-N176))</f>
        <v>0</v>
      </c>
      <c r="N177" s="45">
        <f t="shared" ref="N177:N196" si="69">IF(L177="",0,L177-M177)</f>
        <v>0</v>
      </c>
      <c r="O177" s="45">
        <f>IF(N177=0,0,N177*L$58)</f>
        <v>0</v>
      </c>
      <c r="P177" s="45">
        <f t="shared" ref="P177:P196" si="70">IF(O177&gt;0,EXP(-1.0587+0.8836*LN(O177)+0.284),0)</f>
        <v>0</v>
      </c>
      <c r="Q177" s="45">
        <f t="shared" ref="Q177:Q196" si="71">SUM(O177:P177)*0.475*44/12</f>
        <v>0</v>
      </c>
      <c r="R177" s="45"/>
      <c r="S177" s="463"/>
      <c r="T177" s="3">
        <v>1</v>
      </c>
      <c r="U177" s="45">
        <f>IF(OR(T174="",T174=0),0,VLOOKUP(T174,$G$4:$M$7,6,FALSE))</f>
        <v>0</v>
      </c>
      <c r="V177" s="45">
        <f t="shared" ref="V177:V196" si="72">IF(OR(U177="",U177=0),0,IF(T177=1,((VLOOKUP(T$174,$G$4:$N$7,6,FALSE)-VLOOKUP(T$174,$G$4:$N$7,8,FALSE))/20),((VLOOKUP(T$174,$G$4:$N$7,6,FALSE)-VLOOKUP(T$174,$G$4:$N$7,8,FALSE))/20)+U177-W176))</f>
        <v>0</v>
      </c>
      <c r="W177" s="45">
        <f t="shared" ref="W177:W196" si="73">IF(U177="",0,U177-V177)</f>
        <v>0</v>
      </c>
      <c r="X177" s="45">
        <f>IF(W177=0,0,W177*U$58)</f>
        <v>0</v>
      </c>
      <c r="Y177" s="45">
        <f t="shared" ref="Y177:Y196" si="74">IF(X177&gt;0,EXP(-1.0587+0.8836*LN(X177)+0.284),0)</f>
        <v>0</v>
      </c>
      <c r="Z177" s="45">
        <f t="shared" ref="Z177:Z196" si="75">SUM(X177:Y177)*0.475*44/12</f>
        <v>0</v>
      </c>
      <c r="AA177" s="45"/>
      <c r="AB177" s="463"/>
      <c r="AC177" s="3">
        <v>1</v>
      </c>
      <c r="AD177" s="45">
        <f>IF(OR(AC174="",AC174=0),0,VLOOKUP(AC174,$G$4:$M$7,6,FALSE))</f>
        <v>0</v>
      </c>
      <c r="AE177" s="45">
        <f t="shared" ref="AE177:AE196" si="76">IF(OR(AD177="",AD177=0),0,IF(AC177=1,((VLOOKUP(AC$174,$G$4:$N$7,6,FALSE)-VLOOKUP(AC$174,$G$4:$N$7,8,FALSE))/20),((VLOOKUP(AC$174,$G$4:$N$7,6,FALSE)-VLOOKUP(AC$174,$G$4:$N$7,8,FALSE))/20)+AD177-AF176))</f>
        <v>0</v>
      </c>
      <c r="AF177" s="45">
        <f t="shared" ref="AF177:AF196" si="77">IF(AD177="",0,AD177-AE177)</f>
        <v>0</v>
      </c>
      <c r="AG177" s="45">
        <f>IF(AF177=0,0,AF177*AD$58)</f>
        <v>0</v>
      </c>
      <c r="AH177" s="45">
        <f t="shared" ref="AH177:AH196" si="78">IF(AG177&gt;0,EXP(-1.0587+0.8836*LN(AG177)+0.284),0)</f>
        <v>0</v>
      </c>
      <c r="AI177" s="45">
        <f t="shared" ref="AI177:AI196" si="79">SUM(AG177:AH177)*0.475*44/12</f>
        <v>0</v>
      </c>
      <c r="AJ177" s="45"/>
      <c r="AK177" s="463"/>
      <c r="AL177" s="3">
        <v>1</v>
      </c>
      <c r="AM177" s="11">
        <f t="shared" ref="AM177:AM196" si="80">SUM(D177,M177,V177,AE177)</f>
        <v>0</v>
      </c>
      <c r="AN177" s="46">
        <f>IF(OR($C$6=0,SUM($M$4:$M$7)=0),0,AM177/SUM($M$4:$M$7))</f>
        <v>0</v>
      </c>
      <c r="AO177" s="47">
        <f t="shared" ref="AO177:AO196" si="81">AN177*50%</f>
        <v>0</v>
      </c>
      <c r="AQ177" s="216"/>
      <c r="AR177" s="108">
        <v>1</v>
      </c>
      <c r="AS177" s="110">
        <f>C177+L177+U177+AD177</f>
        <v>0</v>
      </c>
    </row>
    <row r="178" spans="1:45" x14ac:dyDescent="0.2">
      <c r="A178" s="463"/>
      <c r="B178" s="3">
        <v>2</v>
      </c>
      <c r="C178" s="45">
        <f>IF(E177=0,0,E177*(1+E$174))</f>
        <v>0</v>
      </c>
      <c r="D178" s="45">
        <f t="shared" si="64"/>
        <v>0</v>
      </c>
      <c r="E178" s="11">
        <f t="shared" si="65"/>
        <v>0</v>
      </c>
      <c r="F178" s="45">
        <f>IF(E178=0,0,E178*C$58)</f>
        <v>0</v>
      </c>
      <c r="G178" s="45">
        <f t="shared" si="66"/>
        <v>0</v>
      </c>
      <c r="H178" s="11">
        <f t="shared" si="67"/>
        <v>0</v>
      </c>
      <c r="J178" s="463"/>
      <c r="K178" s="3">
        <v>2</v>
      </c>
      <c r="L178" s="45">
        <f>IF(N177=0,0,N177*(1+N$174))</f>
        <v>0</v>
      </c>
      <c r="M178" s="45">
        <f t="shared" si="68"/>
        <v>0</v>
      </c>
      <c r="N178" s="11">
        <f t="shared" si="69"/>
        <v>0</v>
      </c>
      <c r="O178" s="45">
        <f>IF(N178=0,0,N178*L$58)</f>
        <v>0</v>
      </c>
      <c r="P178" s="45">
        <f t="shared" si="70"/>
        <v>0</v>
      </c>
      <c r="Q178" s="11">
        <f t="shared" si="71"/>
        <v>0</v>
      </c>
      <c r="R178" s="11"/>
      <c r="S178" s="463"/>
      <c r="T178" s="3">
        <v>2</v>
      </c>
      <c r="U178" s="45">
        <f>IF(W177=0,0,W177*(1+W$174))</f>
        <v>0</v>
      </c>
      <c r="V178" s="45">
        <f t="shared" si="72"/>
        <v>0</v>
      </c>
      <c r="W178" s="11">
        <f t="shared" si="73"/>
        <v>0</v>
      </c>
      <c r="X178" s="45">
        <f>IF(W178=0,0,W178*U$58)</f>
        <v>0</v>
      </c>
      <c r="Y178" s="45">
        <f t="shared" si="74"/>
        <v>0</v>
      </c>
      <c r="Z178" s="11">
        <f t="shared" si="75"/>
        <v>0</v>
      </c>
      <c r="AA178" s="11"/>
      <c r="AB178" s="463"/>
      <c r="AC178" s="3">
        <v>2</v>
      </c>
      <c r="AD178" s="45">
        <f>IF(AF177=0,0,AF177*(1+AF$174))</f>
        <v>0</v>
      </c>
      <c r="AE178" s="45">
        <f t="shared" si="76"/>
        <v>0</v>
      </c>
      <c r="AF178" s="11">
        <f t="shared" si="77"/>
        <v>0</v>
      </c>
      <c r="AG178" s="45">
        <f>IF(AF178=0,0,AF178*AD$58)</f>
        <v>0</v>
      </c>
      <c r="AH178" s="45">
        <f t="shared" si="78"/>
        <v>0</v>
      </c>
      <c r="AI178" s="11">
        <f t="shared" si="79"/>
        <v>0</v>
      </c>
      <c r="AJ178" s="11"/>
      <c r="AK178" s="463"/>
      <c r="AL178" s="3">
        <v>2</v>
      </c>
      <c r="AM178" s="11">
        <f t="shared" si="80"/>
        <v>0</v>
      </c>
      <c r="AN178" s="46">
        <f t="shared" ref="AN178:AN196" si="82">IF(OR($C$6=0,SUM($M$4:$M$7)=0),0,AM178/SUM($M$4:$M$7))</f>
        <v>0</v>
      </c>
      <c r="AO178" s="47">
        <f t="shared" si="81"/>
        <v>0</v>
      </c>
      <c r="AQ178" s="216"/>
      <c r="AR178" s="109">
        <v>2</v>
      </c>
      <c r="AS178" s="111">
        <f>E178+N178+W178+AF178</f>
        <v>0</v>
      </c>
    </row>
    <row r="179" spans="1:45" x14ac:dyDescent="0.2">
      <c r="A179" s="463"/>
      <c r="B179" s="3">
        <v>3</v>
      </c>
      <c r="C179" s="45">
        <f t="shared" ref="C179:C196" si="83">IF(E178=0,0,E178*(1+E$174))</f>
        <v>0</v>
      </c>
      <c r="D179" s="45">
        <f t="shared" si="64"/>
        <v>0</v>
      </c>
      <c r="E179" s="11">
        <f t="shared" si="65"/>
        <v>0</v>
      </c>
      <c r="F179" s="45">
        <f t="shared" ref="F179:F196" si="84">IF(E179=0,0,E179*C$58)</f>
        <v>0</v>
      </c>
      <c r="G179" s="45">
        <f t="shared" si="66"/>
        <v>0</v>
      </c>
      <c r="H179" s="11">
        <f t="shared" si="67"/>
        <v>0</v>
      </c>
      <c r="J179" s="463"/>
      <c r="K179" s="3">
        <v>3</v>
      </c>
      <c r="L179" s="45">
        <f t="shared" ref="L179:L196" si="85">IF(N178=0,0,N178*(1+N$174))</f>
        <v>0</v>
      </c>
      <c r="M179" s="45">
        <f t="shared" si="68"/>
        <v>0</v>
      </c>
      <c r="N179" s="11">
        <f t="shared" si="69"/>
        <v>0</v>
      </c>
      <c r="O179" s="45">
        <f t="shared" ref="O179:O196" si="86">IF(N179=0,0,N179*L$58)</f>
        <v>0</v>
      </c>
      <c r="P179" s="45">
        <f t="shared" si="70"/>
        <v>0</v>
      </c>
      <c r="Q179" s="11">
        <f t="shared" si="71"/>
        <v>0</v>
      </c>
      <c r="R179" s="11"/>
      <c r="S179" s="463"/>
      <c r="T179" s="3">
        <v>3</v>
      </c>
      <c r="U179" s="45">
        <f t="shared" ref="U179:U196" si="87">IF(W178=0,0,W178*(1+W$174))</f>
        <v>0</v>
      </c>
      <c r="V179" s="45">
        <f t="shared" si="72"/>
        <v>0</v>
      </c>
      <c r="W179" s="11">
        <f t="shared" si="73"/>
        <v>0</v>
      </c>
      <c r="X179" s="45">
        <f t="shared" ref="X179:X196" si="88">IF(W179=0,0,W179*U$58)</f>
        <v>0</v>
      </c>
      <c r="Y179" s="45">
        <f t="shared" si="74"/>
        <v>0</v>
      </c>
      <c r="Z179" s="11">
        <f t="shared" si="75"/>
        <v>0</v>
      </c>
      <c r="AA179" s="11"/>
      <c r="AB179" s="463"/>
      <c r="AC179" s="3">
        <v>3</v>
      </c>
      <c r="AD179" s="45">
        <f t="shared" ref="AD179:AD196" si="89">IF(AF178=0,0,AF178*(1+AF$174))</f>
        <v>0</v>
      </c>
      <c r="AE179" s="45">
        <f t="shared" si="76"/>
        <v>0</v>
      </c>
      <c r="AF179" s="11">
        <f t="shared" si="77"/>
        <v>0</v>
      </c>
      <c r="AG179" s="45">
        <f t="shared" ref="AG179:AG196" si="90">IF(AF179=0,0,AF179*AD$58)</f>
        <v>0</v>
      </c>
      <c r="AH179" s="45">
        <f t="shared" si="78"/>
        <v>0</v>
      </c>
      <c r="AI179" s="11">
        <f t="shared" si="79"/>
        <v>0</v>
      </c>
      <c r="AJ179" s="11"/>
      <c r="AK179" s="463"/>
      <c r="AL179" s="3">
        <v>3</v>
      </c>
      <c r="AM179" s="11">
        <f t="shared" si="80"/>
        <v>0</v>
      </c>
      <c r="AN179" s="46">
        <f t="shared" si="82"/>
        <v>0</v>
      </c>
      <c r="AO179" s="47">
        <f t="shared" si="81"/>
        <v>0</v>
      </c>
      <c r="AQ179" s="216"/>
      <c r="AR179" s="108">
        <v>3</v>
      </c>
      <c r="AS179" s="111">
        <f t="shared" ref="AS179:AS196" si="91">E179+N179+W179+AF179</f>
        <v>0</v>
      </c>
    </row>
    <row r="180" spans="1:45" x14ac:dyDescent="0.2">
      <c r="A180" s="463"/>
      <c r="B180" s="3">
        <v>4</v>
      </c>
      <c r="C180" s="45">
        <f t="shared" si="83"/>
        <v>0</v>
      </c>
      <c r="D180" s="45">
        <f t="shared" si="64"/>
        <v>0</v>
      </c>
      <c r="E180" s="11">
        <f t="shared" si="65"/>
        <v>0</v>
      </c>
      <c r="F180" s="45">
        <f t="shared" si="84"/>
        <v>0</v>
      </c>
      <c r="G180" s="45">
        <f t="shared" si="66"/>
        <v>0</v>
      </c>
      <c r="H180" s="11">
        <f t="shared" si="67"/>
        <v>0</v>
      </c>
      <c r="J180" s="463"/>
      <c r="K180" s="3">
        <v>4</v>
      </c>
      <c r="L180" s="45">
        <f t="shared" si="85"/>
        <v>0</v>
      </c>
      <c r="M180" s="45">
        <f t="shared" si="68"/>
        <v>0</v>
      </c>
      <c r="N180" s="11">
        <f t="shared" si="69"/>
        <v>0</v>
      </c>
      <c r="O180" s="45">
        <f t="shared" si="86"/>
        <v>0</v>
      </c>
      <c r="P180" s="45">
        <f t="shared" si="70"/>
        <v>0</v>
      </c>
      <c r="Q180" s="11">
        <f t="shared" si="71"/>
        <v>0</v>
      </c>
      <c r="R180" s="11"/>
      <c r="S180" s="463"/>
      <c r="T180" s="3">
        <v>4</v>
      </c>
      <c r="U180" s="45">
        <f t="shared" si="87"/>
        <v>0</v>
      </c>
      <c r="V180" s="45">
        <f t="shared" si="72"/>
        <v>0</v>
      </c>
      <c r="W180" s="11">
        <f t="shared" si="73"/>
        <v>0</v>
      </c>
      <c r="X180" s="45">
        <f t="shared" si="88"/>
        <v>0</v>
      </c>
      <c r="Y180" s="45">
        <f t="shared" si="74"/>
        <v>0</v>
      </c>
      <c r="Z180" s="11">
        <f t="shared" si="75"/>
        <v>0</v>
      </c>
      <c r="AA180" s="11"/>
      <c r="AB180" s="463"/>
      <c r="AC180" s="3">
        <v>4</v>
      </c>
      <c r="AD180" s="45">
        <f t="shared" si="89"/>
        <v>0</v>
      </c>
      <c r="AE180" s="45">
        <f t="shared" si="76"/>
        <v>0</v>
      </c>
      <c r="AF180" s="11">
        <f t="shared" si="77"/>
        <v>0</v>
      </c>
      <c r="AG180" s="45">
        <f t="shared" si="90"/>
        <v>0</v>
      </c>
      <c r="AH180" s="45">
        <f t="shared" si="78"/>
        <v>0</v>
      </c>
      <c r="AI180" s="11">
        <f t="shared" si="79"/>
        <v>0</v>
      </c>
      <c r="AJ180" s="11"/>
      <c r="AK180" s="463"/>
      <c r="AL180" s="3">
        <v>4</v>
      </c>
      <c r="AM180" s="11">
        <f t="shared" si="80"/>
        <v>0</v>
      </c>
      <c r="AN180" s="46">
        <f t="shared" si="82"/>
        <v>0</v>
      </c>
      <c r="AO180" s="47">
        <f t="shared" si="81"/>
        <v>0</v>
      </c>
      <c r="AQ180" s="216"/>
      <c r="AR180" s="109">
        <v>4</v>
      </c>
      <c r="AS180" s="111">
        <f t="shared" si="91"/>
        <v>0</v>
      </c>
    </row>
    <row r="181" spans="1:45" x14ac:dyDescent="0.2">
      <c r="A181" s="463"/>
      <c r="B181" s="3">
        <v>5</v>
      </c>
      <c r="C181" s="45">
        <f t="shared" si="83"/>
        <v>0</v>
      </c>
      <c r="D181" s="45">
        <f t="shared" si="64"/>
        <v>0</v>
      </c>
      <c r="E181" s="11">
        <f t="shared" si="65"/>
        <v>0</v>
      </c>
      <c r="F181" s="45">
        <f t="shared" si="84"/>
        <v>0</v>
      </c>
      <c r="G181" s="45">
        <f t="shared" si="66"/>
        <v>0</v>
      </c>
      <c r="H181" s="11">
        <f t="shared" si="67"/>
        <v>0</v>
      </c>
      <c r="J181" s="463"/>
      <c r="K181" s="3">
        <v>5</v>
      </c>
      <c r="L181" s="45">
        <f t="shared" si="85"/>
        <v>0</v>
      </c>
      <c r="M181" s="45">
        <f t="shared" si="68"/>
        <v>0</v>
      </c>
      <c r="N181" s="11">
        <f t="shared" si="69"/>
        <v>0</v>
      </c>
      <c r="O181" s="45">
        <f t="shared" si="86"/>
        <v>0</v>
      </c>
      <c r="P181" s="45">
        <f t="shared" si="70"/>
        <v>0</v>
      </c>
      <c r="Q181" s="11">
        <f t="shared" si="71"/>
        <v>0</v>
      </c>
      <c r="R181" s="11"/>
      <c r="S181" s="463"/>
      <c r="T181" s="3">
        <v>5</v>
      </c>
      <c r="U181" s="45">
        <f t="shared" si="87"/>
        <v>0</v>
      </c>
      <c r="V181" s="45">
        <f t="shared" si="72"/>
        <v>0</v>
      </c>
      <c r="W181" s="11">
        <f t="shared" si="73"/>
        <v>0</v>
      </c>
      <c r="X181" s="45">
        <f t="shared" si="88"/>
        <v>0</v>
      </c>
      <c r="Y181" s="45">
        <f t="shared" si="74"/>
        <v>0</v>
      </c>
      <c r="Z181" s="11">
        <f t="shared" si="75"/>
        <v>0</v>
      </c>
      <c r="AA181" s="11"/>
      <c r="AB181" s="463"/>
      <c r="AC181" s="3">
        <v>5</v>
      </c>
      <c r="AD181" s="45">
        <f t="shared" si="89"/>
        <v>0</v>
      </c>
      <c r="AE181" s="45">
        <f t="shared" si="76"/>
        <v>0</v>
      </c>
      <c r="AF181" s="11">
        <f t="shared" si="77"/>
        <v>0</v>
      </c>
      <c r="AG181" s="45">
        <f t="shared" si="90"/>
        <v>0</v>
      </c>
      <c r="AH181" s="45">
        <f t="shared" si="78"/>
        <v>0</v>
      </c>
      <c r="AI181" s="11">
        <f t="shared" si="79"/>
        <v>0</v>
      </c>
      <c r="AJ181" s="11"/>
      <c r="AK181" s="463"/>
      <c r="AL181" s="3">
        <v>5</v>
      </c>
      <c r="AM181" s="11">
        <f t="shared" si="80"/>
        <v>0</v>
      </c>
      <c r="AN181" s="46">
        <f t="shared" si="82"/>
        <v>0</v>
      </c>
      <c r="AO181" s="47">
        <f t="shared" si="81"/>
        <v>0</v>
      </c>
      <c r="AQ181" s="216"/>
      <c r="AR181" s="108">
        <v>5</v>
      </c>
      <c r="AS181" s="111">
        <f t="shared" si="91"/>
        <v>0</v>
      </c>
    </row>
    <row r="182" spans="1:45" x14ac:dyDescent="0.2">
      <c r="A182" s="463"/>
      <c r="B182" s="3">
        <v>6</v>
      </c>
      <c r="C182" s="45">
        <f t="shared" si="83"/>
        <v>0</v>
      </c>
      <c r="D182" s="45">
        <f t="shared" si="64"/>
        <v>0</v>
      </c>
      <c r="E182" s="11">
        <f t="shared" si="65"/>
        <v>0</v>
      </c>
      <c r="F182" s="45">
        <f t="shared" si="84"/>
        <v>0</v>
      </c>
      <c r="G182" s="45">
        <f t="shared" si="66"/>
        <v>0</v>
      </c>
      <c r="H182" s="11">
        <f t="shared" si="67"/>
        <v>0</v>
      </c>
      <c r="J182" s="463"/>
      <c r="K182" s="3">
        <v>6</v>
      </c>
      <c r="L182" s="45">
        <f t="shared" si="85"/>
        <v>0</v>
      </c>
      <c r="M182" s="45">
        <f t="shared" si="68"/>
        <v>0</v>
      </c>
      <c r="N182" s="11">
        <f t="shared" si="69"/>
        <v>0</v>
      </c>
      <c r="O182" s="45">
        <f t="shared" si="86"/>
        <v>0</v>
      </c>
      <c r="P182" s="45">
        <f t="shared" si="70"/>
        <v>0</v>
      </c>
      <c r="Q182" s="11">
        <f t="shared" si="71"/>
        <v>0</v>
      </c>
      <c r="R182" s="11"/>
      <c r="S182" s="463"/>
      <c r="T182" s="3">
        <v>6</v>
      </c>
      <c r="U182" s="45">
        <f t="shared" si="87"/>
        <v>0</v>
      </c>
      <c r="V182" s="45">
        <f t="shared" si="72"/>
        <v>0</v>
      </c>
      <c r="W182" s="11">
        <f t="shared" si="73"/>
        <v>0</v>
      </c>
      <c r="X182" s="45">
        <f t="shared" si="88"/>
        <v>0</v>
      </c>
      <c r="Y182" s="45">
        <f t="shared" si="74"/>
        <v>0</v>
      </c>
      <c r="Z182" s="11">
        <f t="shared" si="75"/>
        <v>0</v>
      </c>
      <c r="AA182" s="11"/>
      <c r="AB182" s="463"/>
      <c r="AC182" s="3">
        <v>6</v>
      </c>
      <c r="AD182" s="45">
        <f t="shared" si="89"/>
        <v>0</v>
      </c>
      <c r="AE182" s="45">
        <f t="shared" si="76"/>
        <v>0</v>
      </c>
      <c r="AF182" s="11">
        <f t="shared" si="77"/>
        <v>0</v>
      </c>
      <c r="AG182" s="45">
        <f>IF(AF182=0,0,AF182*AD$58)</f>
        <v>0</v>
      </c>
      <c r="AH182" s="45">
        <f t="shared" si="78"/>
        <v>0</v>
      </c>
      <c r="AI182" s="11">
        <f t="shared" si="79"/>
        <v>0</v>
      </c>
      <c r="AJ182" s="11"/>
      <c r="AK182" s="463"/>
      <c r="AL182" s="3">
        <v>6</v>
      </c>
      <c r="AM182" s="11">
        <f t="shared" si="80"/>
        <v>0</v>
      </c>
      <c r="AN182" s="46">
        <f t="shared" si="82"/>
        <v>0</v>
      </c>
      <c r="AO182" s="47">
        <f t="shared" si="81"/>
        <v>0</v>
      </c>
      <c r="AQ182" s="216"/>
      <c r="AR182" s="109">
        <v>6</v>
      </c>
      <c r="AS182" s="111">
        <f t="shared" si="91"/>
        <v>0</v>
      </c>
    </row>
    <row r="183" spans="1:45" x14ac:dyDescent="0.2">
      <c r="A183" s="463"/>
      <c r="B183" s="3">
        <v>7</v>
      </c>
      <c r="C183" s="45">
        <f t="shared" si="83"/>
        <v>0</v>
      </c>
      <c r="D183" s="45">
        <f t="shared" si="64"/>
        <v>0</v>
      </c>
      <c r="E183" s="11">
        <f t="shared" si="65"/>
        <v>0</v>
      </c>
      <c r="F183" s="45">
        <f t="shared" si="84"/>
        <v>0</v>
      </c>
      <c r="G183" s="45">
        <f t="shared" si="66"/>
        <v>0</v>
      </c>
      <c r="H183" s="11">
        <f t="shared" si="67"/>
        <v>0</v>
      </c>
      <c r="J183" s="463"/>
      <c r="K183" s="3">
        <v>7</v>
      </c>
      <c r="L183" s="45">
        <f t="shared" si="85"/>
        <v>0</v>
      </c>
      <c r="M183" s="45">
        <f t="shared" si="68"/>
        <v>0</v>
      </c>
      <c r="N183" s="11">
        <f t="shared" si="69"/>
        <v>0</v>
      </c>
      <c r="O183" s="45">
        <f t="shared" si="86"/>
        <v>0</v>
      </c>
      <c r="P183" s="45">
        <f t="shared" si="70"/>
        <v>0</v>
      </c>
      <c r="Q183" s="11">
        <f t="shared" si="71"/>
        <v>0</v>
      </c>
      <c r="R183" s="11"/>
      <c r="S183" s="463"/>
      <c r="T183" s="3">
        <v>7</v>
      </c>
      <c r="U183" s="45">
        <f t="shared" si="87"/>
        <v>0</v>
      </c>
      <c r="V183" s="45">
        <f t="shared" si="72"/>
        <v>0</v>
      </c>
      <c r="W183" s="11">
        <f t="shared" si="73"/>
        <v>0</v>
      </c>
      <c r="X183" s="45">
        <f t="shared" si="88"/>
        <v>0</v>
      </c>
      <c r="Y183" s="45">
        <f t="shared" si="74"/>
        <v>0</v>
      </c>
      <c r="Z183" s="11">
        <f t="shared" si="75"/>
        <v>0</v>
      </c>
      <c r="AA183" s="11"/>
      <c r="AB183" s="463"/>
      <c r="AC183" s="3">
        <v>7</v>
      </c>
      <c r="AD183" s="45">
        <f t="shared" si="89"/>
        <v>0</v>
      </c>
      <c r="AE183" s="45">
        <f t="shared" si="76"/>
        <v>0</v>
      </c>
      <c r="AF183" s="11">
        <f t="shared" si="77"/>
        <v>0</v>
      </c>
      <c r="AG183" s="45">
        <f t="shared" si="90"/>
        <v>0</v>
      </c>
      <c r="AH183" s="45">
        <f t="shared" si="78"/>
        <v>0</v>
      </c>
      <c r="AI183" s="11">
        <f t="shared" si="79"/>
        <v>0</v>
      </c>
      <c r="AJ183" s="11"/>
      <c r="AK183" s="463"/>
      <c r="AL183" s="3">
        <v>7</v>
      </c>
      <c r="AM183" s="11">
        <f t="shared" si="80"/>
        <v>0</v>
      </c>
      <c r="AN183" s="46">
        <f t="shared" si="82"/>
        <v>0</v>
      </c>
      <c r="AO183" s="47">
        <f t="shared" si="81"/>
        <v>0</v>
      </c>
      <c r="AQ183" s="216"/>
      <c r="AR183" s="108">
        <v>7</v>
      </c>
      <c r="AS183" s="111">
        <f t="shared" si="91"/>
        <v>0</v>
      </c>
    </row>
    <row r="184" spans="1:45" x14ac:dyDescent="0.2">
      <c r="A184" s="463"/>
      <c r="B184" s="3">
        <v>8</v>
      </c>
      <c r="C184" s="45">
        <f t="shared" si="83"/>
        <v>0</v>
      </c>
      <c r="D184" s="45">
        <f t="shared" si="64"/>
        <v>0</v>
      </c>
      <c r="E184" s="11">
        <f t="shared" si="65"/>
        <v>0</v>
      </c>
      <c r="F184" s="45">
        <f t="shared" si="84"/>
        <v>0</v>
      </c>
      <c r="G184" s="45">
        <f t="shared" si="66"/>
        <v>0</v>
      </c>
      <c r="H184" s="11">
        <f t="shared" si="67"/>
        <v>0</v>
      </c>
      <c r="J184" s="463"/>
      <c r="K184" s="3">
        <v>8</v>
      </c>
      <c r="L184" s="45">
        <f t="shared" si="85"/>
        <v>0</v>
      </c>
      <c r="M184" s="45">
        <f t="shared" si="68"/>
        <v>0</v>
      </c>
      <c r="N184" s="11">
        <f t="shared" si="69"/>
        <v>0</v>
      </c>
      <c r="O184" s="45">
        <f t="shared" si="86"/>
        <v>0</v>
      </c>
      <c r="P184" s="45">
        <f t="shared" si="70"/>
        <v>0</v>
      </c>
      <c r="Q184" s="11">
        <f t="shared" si="71"/>
        <v>0</v>
      </c>
      <c r="R184" s="11"/>
      <c r="S184" s="463"/>
      <c r="T184" s="3">
        <v>8</v>
      </c>
      <c r="U184" s="45">
        <f t="shared" si="87"/>
        <v>0</v>
      </c>
      <c r="V184" s="45">
        <f t="shared" si="72"/>
        <v>0</v>
      </c>
      <c r="W184" s="11">
        <f t="shared" si="73"/>
        <v>0</v>
      </c>
      <c r="X184" s="45">
        <f t="shared" si="88"/>
        <v>0</v>
      </c>
      <c r="Y184" s="45">
        <f t="shared" si="74"/>
        <v>0</v>
      </c>
      <c r="Z184" s="11">
        <f t="shared" si="75"/>
        <v>0</v>
      </c>
      <c r="AA184" s="11"/>
      <c r="AB184" s="463"/>
      <c r="AC184" s="3">
        <v>8</v>
      </c>
      <c r="AD184" s="45">
        <f t="shared" si="89"/>
        <v>0</v>
      </c>
      <c r="AE184" s="45">
        <f t="shared" si="76"/>
        <v>0</v>
      </c>
      <c r="AF184" s="11">
        <f t="shared" si="77"/>
        <v>0</v>
      </c>
      <c r="AG184" s="45">
        <f t="shared" si="90"/>
        <v>0</v>
      </c>
      <c r="AH184" s="45">
        <f t="shared" si="78"/>
        <v>0</v>
      </c>
      <c r="AI184" s="11">
        <f t="shared" si="79"/>
        <v>0</v>
      </c>
      <c r="AJ184" s="11"/>
      <c r="AK184" s="463"/>
      <c r="AL184" s="3">
        <v>8</v>
      </c>
      <c r="AM184" s="11">
        <f t="shared" si="80"/>
        <v>0</v>
      </c>
      <c r="AN184" s="46">
        <f t="shared" si="82"/>
        <v>0</v>
      </c>
      <c r="AO184" s="47">
        <f t="shared" si="81"/>
        <v>0</v>
      </c>
      <c r="AQ184" s="216"/>
      <c r="AR184" s="109">
        <v>8</v>
      </c>
      <c r="AS184" s="111">
        <f t="shared" si="91"/>
        <v>0</v>
      </c>
    </row>
    <row r="185" spans="1:45" x14ac:dyDescent="0.2">
      <c r="A185" s="463"/>
      <c r="B185" s="3">
        <v>9</v>
      </c>
      <c r="C185" s="45">
        <f t="shared" si="83"/>
        <v>0</v>
      </c>
      <c r="D185" s="45">
        <f t="shared" si="64"/>
        <v>0</v>
      </c>
      <c r="E185" s="11">
        <f t="shared" si="65"/>
        <v>0</v>
      </c>
      <c r="F185" s="45">
        <f t="shared" si="84"/>
        <v>0</v>
      </c>
      <c r="G185" s="45">
        <f t="shared" si="66"/>
        <v>0</v>
      </c>
      <c r="H185" s="11">
        <f t="shared" si="67"/>
        <v>0</v>
      </c>
      <c r="J185" s="463"/>
      <c r="K185" s="3">
        <v>9</v>
      </c>
      <c r="L185" s="45">
        <f t="shared" si="85"/>
        <v>0</v>
      </c>
      <c r="M185" s="45">
        <f t="shared" si="68"/>
        <v>0</v>
      </c>
      <c r="N185" s="11">
        <f t="shared" si="69"/>
        <v>0</v>
      </c>
      <c r="O185" s="45">
        <f t="shared" si="86"/>
        <v>0</v>
      </c>
      <c r="P185" s="45">
        <f t="shared" si="70"/>
        <v>0</v>
      </c>
      <c r="Q185" s="11">
        <f t="shared" si="71"/>
        <v>0</v>
      </c>
      <c r="R185" s="11"/>
      <c r="S185" s="463"/>
      <c r="T185" s="3">
        <v>9</v>
      </c>
      <c r="U185" s="45">
        <f t="shared" si="87"/>
        <v>0</v>
      </c>
      <c r="V185" s="45">
        <f t="shared" si="72"/>
        <v>0</v>
      </c>
      <c r="W185" s="11">
        <f t="shared" si="73"/>
        <v>0</v>
      </c>
      <c r="X185" s="45">
        <f t="shared" si="88"/>
        <v>0</v>
      </c>
      <c r="Y185" s="45">
        <f t="shared" si="74"/>
        <v>0</v>
      </c>
      <c r="Z185" s="11">
        <f t="shared" si="75"/>
        <v>0</v>
      </c>
      <c r="AA185" s="11"/>
      <c r="AB185" s="463"/>
      <c r="AC185" s="3">
        <v>9</v>
      </c>
      <c r="AD185" s="45">
        <f t="shared" si="89"/>
        <v>0</v>
      </c>
      <c r="AE185" s="45">
        <f t="shared" si="76"/>
        <v>0</v>
      </c>
      <c r="AF185" s="11">
        <f t="shared" si="77"/>
        <v>0</v>
      </c>
      <c r="AG185" s="45">
        <f t="shared" si="90"/>
        <v>0</v>
      </c>
      <c r="AH185" s="45">
        <f t="shared" si="78"/>
        <v>0</v>
      </c>
      <c r="AI185" s="11">
        <f t="shared" si="79"/>
        <v>0</v>
      </c>
      <c r="AJ185" s="11"/>
      <c r="AK185" s="463"/>
      <c r="AL185" s="3">
        <v>9</v>
      </c>
      <c r="AM185" s="11">
        <f t="shared" si="80"/>
        <v>0</v>
      </c>
      <c r="AN185" s="46">
        <f t="shared" si="82"/>
        <v>0</v>
      </c>
      <c r="AO185" s="47">
        <f t="shared" si="81"/>
        <v>0</v>
      </c>
      <c r="AQ185" s="216"/>
      <c r="AR185" s="108">
        <v>9</v>
      </c>
      <c r="AS185" s="111">
        <f t="shared" si="91"/>
        <v>0</v>
      </c>
    </row>
    <row r="186" spans="1:45" x14ac:dyDescent="0.2">
      <c r="A186" s="463"/>
      <c r="B186" s="3">
        <v>10</v>
      </c>
      <c r="C186" s="45">
        <f t="shared" si="83"/>
        <v>0</v>
      </c>
      <c r="D186" s="45">
        <f t="shared" si="64"/>
        <v>0</v>
      </c>
      <c r="E186" s="11">
        <f t="shared" si="65"/>
        <v>0</v>
      </c>
      <c r="F186" s="45">
        <f t="shared" si="84"/>
        <v>0</v>
      </c>
      <c r="G186" s="45">
        <f t="shared" si="66"/>
        <v>0</v>
      </c>
      <c r="H186" s="11">
        <f t="shared" si="67"/>
        <v>0</v>
      </c>
      <c r="J186" s="463"/>
      <c r="K186" s="3">
        <v>10</v>
      </c>
      <c r="L186" s="45">
        <f t="shared" si="85"/>
        <v>0</v>
      </c>
      <c r="M186" s="45">
        <f t="shared" si="68"/>
        <v>0</v>
      </c>
      <c r="N186" s="11">
        <f t="shared" si="69"/>
        <v>0</v>
      </c>
      <c r="O186" s="45">
        <f t="shared" si="86"/>
        <v>0</v>
      </c>
      <c r="P186" s="45">
        <f t="shared" si="70"/>
        <v>0</v>
      </c>
      <c r="Q186" s="11">
        <f t="shared" si="71"/>
        <v>0</v>
      </c>
      <c r="R186" s="11"/>
      <c r="S186" s="463"/>
      <c r="T186" s="3">
        <v>10</v>
      </c>
      <c r="U186" s="45">
        <f t="shared" si="87"/>
        <v>0</v>
      </c>
      <c r="V186" s="45">
        <f t="shared" si="72"/>
        <v>0</v>
      </c>
      <c r="W186" s="11">
        <f t="shared" si="73"/>
        <v>0</v>
      </c>
      <c r="X186" s="45">
        <f t="shared" si="88"/>
        <v>0</v>
      </c>
      <c r="Y186" s="45">
        <f t="shared" si="74"/>
        <v>0</v>
      </c>
      <c r="Z186" s="11">
        <f t="shared" si="75"/>
        <v>0</v>
      </c>
      <c r="AA186" s="11"/>
      <c r="AB186" s="463"/>
      <c r="AC186" s="3">
        <v>10</v>
      </c>
      <c r="AD186" s="45">
        <f t="shared" si="89"/>
        <v>0</v>
      </c>
      <c r="AE186" s="45">
        <f t="shared" si="76"/>
        <v>0</v>
      </c>
      <c r="AF186" s="11">
        <f t="shared" si="77"/>
        <v>0</v>
      </c>
      <c r="AG186" s="45">
        <f t="shared" si="90"/>
        <v>0</v>
      </c>
      <c r="AH186" s="45">
        <f t="shared" si="78"/>
        <v>0</v>
      </c>
      <c r="AI186" s="11">
        <f t="shared" si="79"/>
        <v>0</v>
      </c>
      <c r="AJ186" s="11"/>
      <c r="AK186" s="463"/>
      <c r="AL186" s="3">
        <v>10</v>
      </c>
      <c r="AM186" s="11">
        <f t="shared" si="80"/>
        <v>0</v>
      </c>
      <c r="AN186" s="46">
        <f t="shared" si="82"/>
        <v>0</v>
      </c>
      <c r="AO186" s="47">
        <f t="shared" si="81"/>
        <v>0</v>
      </c>
      <c r="AQ186" s="216"/>
      <c r="AR186" s="109">
        <v>10</v>
      </c>
      <c r="AS186" s="111">
        <f t="shared" si="91"/>
        <v>0</v>
      </c>
    </row>
    <row r="187" spans="1:45" ht="16" customHeight="1" x14ac:dyDescent="0.2">
      <c r="A187" s="463"/>
      <c r="B187" s="3">
        <v>11</v>
      </c>
      <c r="C187" s="45">
        <f t="shared" si="83"/>
        <v>0</v>
      </c>
      <c r="D187" s="45">
        <f t="shared" si="64"/>
        <v>0</v>
      </c>
      <c r="E187" s="11">
        <f t="shared" si="65"/>
        <v>0</v>
      </c>
      <c r="F187" s="45">
        <f t="shared" si="84"/>
        <v>0</v>
      </c>
      <c r="G187" s="45">
        <f t="shared" si="66"/>
        <v>0</v>
      </c>
      <c r="H187" s="11">
        <f t="shared" si="67"/>
        <v>0</v>
      </c>
      <c r="J187" s="463"/>
      <c r="K187" s="3">
        <v>11</v>
      </c>
      <c r="L187" s="45">
        <f t="shared" si="85"/>
        <v>0</v>
      </c>
      <c r="M187" s="45">
        <f t="shared" si="68"/>
        <v>0</v>
      </c>
      <c r="N187" s="11">
        <f t="shared" si="69"/>
        <v>0</v>
      </c>
      <c r="O187" s="45">
        <f t="shared" si="86"/>
        <v>0</v>
      </c>
      <c r="P187" s="45">
        <f t="shared" si="70"/>
        <v>0</v>
      </c>
      <c r="Q187" s="11">
        <f t="shared" si="71"/>
        <v>0</v>
      </c>
      <c r="R187" s="11"/>
      <c r="S187" s="463"/>
      <c r="T187" s="3">
        <v>11</v>
      </c>
      <c r="U187" s="45">
        <f t="shared" si="87"/>
        <v>0</v>
      </c>
      <c r="V187" s="45">
        <f t="shared" si="72"/>
        <v>0</v>
      </c>
      <c r="W187" s="11">
        <f t="shared" si="73"/>
        <v>0</v>
      </c>
      <c r="X187" s="45">
        <f t="shared" si="88"/>
        <v>0</v>
      </c>
      <c r="Y187" s="45">
        <f t="shared" si="74"/>
        <v>0</v>
      </c>
      <c r="Z187" s="11">
        <f t="shared" si="75"/>
        <v>0</v>
      </c>
      <c r="AA187" s="11"/>
      <c r="AB187" s="463"/>
      <c r="AC187" s="3">
        <v>11</v>
      </c>
      <c r="AD187" s="45">
        <f t="shared" si="89"/>
        <v>0</v>
      </c>
      <c r="AE187" s="45">
        <f t="shared" si="76"/>
        <v>0</v>
      </c>
      <c r="AF187" s="11">
        <f t="shared" si="77"/>
        <v>0</v>
      </c>
      <c r="AG187" s="45">
        <f t="shared" si="90"/>
        <v>0</v>
      </c>
      <c r="AH187" s="45">
        <f t="shared" si="78"/>
        <v>0</v>
      </c>
      <c r="AI187" s="11">
        <f t="shared" si="79"/>
        <v>0</v>
      </c>
      <c r="AJ187" s="11"/>
      <c r="AK187" s="463"/>
      <c r="AL187" s="3">
        <v>11</v>
      </c>
      <c r="AM187" s="11">
        <f t="shared" si="80"/>
        <v>0</v>
      </c>
      <c r="AN187" s="46">
        <f t="shared" si="82"/>
        <v>0</v>
      </c>
      <c r="AO187" s="47">
        <f t="shared" si="81"/>
        <v>0</v>
      </c>
      <c r="AQ187" s="216"/>
      <c r="AR187" s="108">
        <v>11</v>
      </c>
      <c r="AS187" s="111">
        <f t="shared" si="91"/>
        <v>0</v>
      </c>
    </row>
    <row r="188" spans="1:45" x14ac:dyDescent="0.2">
      <c r="A188" s="463"/>
      <c r="B188" s="3">
        <v>12</v>
      </c>
      <c r="C188" s="45">
        <f t="shared" si="83"/>
        <v>0</v>
      </c>
      <c r="D188" s="45">
        <f t="shared" si="64"/>
        <v>0</v>
      </c>
      <c r="E188" s="11">
        <f t="shared" si="65"/>
        <v>0</v>
      </c>
      <c r="F188" s="45">
        <f t="shared" si="84"/>
        <v>0</v>
      </c>
      <c r="G188" s="45">
        <f t="shared" si="66"/>
        <v>0</v>
      </c>
      <c r="H188" s="11">
        <f t="shared" si="67"/>
        <v>0</v>
      </c>
      <c r="J188" s="463"/>
      <c r="K188" s="3">
        <v>12</v>
      </c>
      <c r="L188" s="45">
        <f t="shared" si="85"/>
        <v>0</v>
      </c>
      <c r="M188" s="45">
        <f t="shared" si="68"/>
        <v>0</v>
      </c>
      <c r="N188" s="11">
        <f t="shared" si="69"/>
        <v>0</v>
      </c>
      <c r="O188" s="45">
        <f t="shared" si="86"/>
        <v>0</v>
      </c>
      <c r="P188" s="45">
        <f t="shared" si="70"/>
        <v>0</v>
      </c>
      <c r="Q188" s="11">
        <f t="shared" si="71"/>
        <v>0</v>
      </c>
      <c r="R188" s="11"/>
      <c r="S188" s="463"/>
      <c r="T188" s="3">
        <v>12</v>
      </c>
      <c r="U188" s="45">
        <f t="shared" si="87"/>
        <v>0</v>
      </c>
      <c r="V188" s="45">
        <f t="shared" si="72"/>
        <v>0</v>
      </c>
      <c r="W188" s="11">
        <f t="shared" si="73"/>
        <v>0</v>
      </c>
      <c r="X188" s="45">
        <f t="shared" si="88"/>
        <v>0</v>
      </c>
      <c r="Y188" s="45">
        <f t="shared" si="74"/>
        <v>0</v>
      </c>
      <c r="Z188" s="11">
        <f t="shared" si="75"/>
        <v>0</v>
      </c>
      <c r="AA188" s="11"/>
      <c r="AB188" s="463"/>
      <c r="AC188" s="3">
        <v>12</v>
      </c>
      <c r="AD188" s="45">
        <f t="shared" si="89"/>
        <v>0</v>
      </c>
      <c r="AE188" s="45">
        <f t="shared" si="76"/>
        <v>0</v>
      </c>
      <c r="AF188" s="11">
        <f t="shared" si="77"/>
        <v>0</v>
      </c>
      <c r="AG188" s="45">
        <f t="shared" si="90"/>
        <v>0</v>
      </c>
      <c r="AH188" s="45">
        <f t="shared" si="78"/>
        <v>0</v>
      </c>
      <c r="AI188" s="11">
        <f t="shared" si="79"/>
        <v>0</v>
      </c>
      <c r="AJ188" s="11"/>
      <c r="AK188" s="463"/>
      <c r="AL188" s="3">
        <v>12</v>
      </c>
      <c r="AM188" s="11">
        <f t="shared" si="80"/>
        <v>0</v>
      </c>
      <c r="AN188" s="46">
        <f t="shared" si="82"/>
        <v>0</v>
      </c>
      <c r="AO188" s="47">
        <f t="shared" si="81"/>
        <v>0</v>
      </c>
      <c r="AQ188" s="216"/>
      <c r="AR188" s="109">
        <v>12</v>
      </c>
      <c r="AS188" s="111">
        <f t="shared" si="91"/>
        <v>0</v>
      </c>
    </row>
    <row r="189" spans="1:45" x14ac:dyDescent="0.2">
      <c r="A189" s="463"/>
      <c r="B189" s="3">
        <v>13</v>
      </c>
      <c r="C189" s="45">
        <f t="shared" si="83"/>
        <v>0</v>
      </c>
      <c r="D189" s="45">
        <f t="shared" si="64"/>
        <v>0</v>
      </c>
      <c r="E189" s="11">
        <f t="shared" si="65"/>
        <v>0</v>
      </c>
      <c r="F189" s="45">
        <f t="shared" si="84"/>
        <v>0</v>
      </c>
      <c r="G189" s="45">
        <f t="shared" si="66"/>
        <v>0</v>
      </c>
      <c r="H189" s="11">
        <f t="shared" si="67"/>
        <v>0</v>
      </c>
      <c r="J189" s="463"/>
      <c r="K189" s="3">
        <v>13</v>
      </c>
      <c r="L189" s="45">
        <f t="shared" si="85"/>
        <v>0</v>
      </c>
      <c r="M189" s="45">
        <f t="shared" si="68"/>
        <v>0</v>
      </c>
      <c r="N189" s="11">
        <f t="shared" si="69"/>
        <v>0</v>
      </c>
      <c r="O189" s="45">
        <f t="shared" si="86"/>
        <v>0</v>
      </c>
      <c r="P189" s="45">
        <f t="shared" si="70"/>
        <v>0</v>
      </c>
      <c r="Q189" s="11">
        <f t="shared" si="71"/>
        <v>0</v>
      </c>
      <c r="R189" s="11"/>
      <c r="S189" s="463"/>
      <c r="T189" s="3">
        <v>13</v>
      </c>
      <c r="U189" s="45">
        <f t="shared" si="87"/>
        <v>0</v>
      </c>
      <c r="V189" s="45">
        <f t="shared" si="72"/>
        <v>0</v>
      </c>
      <c r="W189" s="11">
        <f t="shared" si="73"/>
        <v>0</v>
      </c>
      <c r="X189" s="45">
        <f t="shared" si="88"/>
        <v>0</v>
      </c>
      <c r="Y189" s="45">
        <f t="shared" si="74"/>
        <v>0</v>
      </c>
      <c r="Z189" s="11">
        <f t="shared" si="75"/>
        <v>0</v>
      </c>
      <c r="AA189" s="11"/>
      <c r="AB189" s="463"/>
      <c r="AC189" s="3">
        <v>13</v>
      </c>
      <c r="AD189" s="45">
        <f t="shared" si="89"/>
        <v>0</v>
      </c>
      <c r="AE189" s="45">
        <f t="shared" si="76"/>
        <v>0</v>
      </c>
      <c r="AF189" s="11">
        <f t="shared" si="77"/>
        <v>0</v>
      </c>
      <c r="AG189" s="45">
        <f t="shared" si="90"/>
        <v>0</v>
      </c>
      <c r="AH189" s="45">
        <f t="shared" si="78"/>
        <v>0</v>
      </c>
      <c r="AI189" s="11">
        <f t="shared" si="79"/>
        <v>0</v>
      </c>
      <c r="AJ189" s="11"/>
      <c r="AK189" s="463"/>
      <c r="AL189" s="3">
        <v>13</v>
      </c>
      <c r="AM189" s="11">
        <f t="shared" si="80"/>
        <v>0</v>
      </c>
      <c r="AN189" s="46">
        <f t="shared" si="82"/>
        <v>0</v>
      </c>
      <c r="AO189" s="47">
        <f t="shared" si="81"/>
        <v>0</v>
      </c>
      <c r="AQ189" s="216"/>
      <c r="AR189" s="108">
        <v>13</v>
      </c>
      <c r="AS189" s="111">
        <f t="shared" si="91"/>
        <v>0</v>
      </c>
    </row>
    <row r="190" spans="1:45" x14ac:dyDescent="0.2">
      <c r="A190" s="463"/>
      <c r="B190" s="3">
        <v>14</v>
      </c>
      <c r="C190" s="45">
        <f t="shared" si="83"/>
        <v>0</v>
      </c>
      <c r="D190" s="45">
        <f t="shared" si="64"/>
        <v>0</v>
      </c>
      <c r="E190" s="11">
        <f t="shared" si="65"/>
        <v>0</v>
      </c>
      <c r="F190" s="45">
        <f t="shared" si="84"/>
        <v>0</v>
      </c>
      <c r="G190" s="45">
        <f t="shared" si="66"/>
        <v>0</v>
      </c>
      <c r="H190" s="11">
        <f t="shared" si="67"/>
        <v>0</v>
      </c>
      <c r="I190" s="48"/>
      <c r="J190" s="463"/>
      <c r="K190" s="3">
        <v>14</v>
      </c>
      <c r="L190" s="45">
        <f t="shared" si="85"/>
        <v>0</v>
      </c>
      <c r="M190" s="45">
        <f t="shared" si="68"/>
        <v>0</v>
      </c>
      <c r="N190" s="11">
        <f t="shared" si="69"/>
        <v>0</v>
      </c>
      <c r="O190" s="45">
        <f t="shared" si="86"/>
        <v>0</v>
      </c>
      <c r="P190" s="45">
        <f t="shared" si="70"/>
        <v>0</v>
      </c>
      <c r="Q190" s="11">
        <f t="shared" si="71"/>
        <v>0</v>
      </c>
      <c r="R190" s="11"/>
      <c r="S190" s="463"/>
      <c r="T190" s="3">
        <v>14</v>
      </c>
      <c r="U190" s="45">
        <f t="shared" si="87"/>
        <v>0</v>
      </c>
      <c r="V190" s="45">
        <f t="shared" si="72"/>
        <v>0</v>
      </c>
      <c r="W190" s="11">
        <f t="shared" si="73"/>
        <v>0</v>
      </c>
      <c r="X190" s="45">
        <f t="shared" si="88"/>
        <v>0</v>
      </c>
      <c r="Y190" s="45">
        <f t="shared" si="74"/>
        <v>0</v>
      </c>
      <c r="Z190" s="11">
        <f t="shared" si="75"/>
        <v>0</v>
      </c>
      <c r="AA190" s="11"/>
      <c r="AB190" s="463"/>
      <c r="AC190" s="3">
        <v>14</v>
      </c>
      <c r="AD190" s="45">
        <f t="shared" si="89"/>
        <v>0</v>
      </c>
      <c r="AE190" s="45">
        <f t="shared" si="76"/>
        <v>0</v>
      </c>
      <c r="AF190" s="11">
        <f t="shared" si="77"/>
        <v>0</v>
      </c>
      <c r="AG190" s="45">
        <f t="shared" si="90"/>
        <v>0</v>
      </c>
      <c r="AH190" s="45">
        <f t="shared" si="78"/>
        <v>0</v>
      </c>
      <c r="AI190" s="11">
        <f t="shared" si="79"/>
        <v>0</v>
      </c>
      <c r="AJ190" s="11"/>
      <c r="AK190" s="463"/>
      <c r="AL190" s="3">
        <v>14</v>
      </c>
      <c r="AM190" s="11">
        <f t="shared" si="80"/>
        <v>0</v>
      </c>
      <c r="AN190" s="46">
        <f t="shared" si="82"/>
        <v>0</v>
      </c>
      <c r="AO190" s="47">
        <f t="shared" si="81"/>
        <v>0</v>
      </c>
      <c r="AQ190" s="216"/>
      <c r="AR190" s="109">
        <v>14</v>
      </c>
      <c r="AS190" s="111">
        <f t="shared" si="91"/>
        <v>0</v>
      </c>
    </row>
    <row r="191" spans="1:45" x14ac:dyDescent="0.2">
      <c r="A191" s="463"/>
      <c r="B191" s="3">
        <v>15</v>
      </c>
      <c r="C191" s="45">
        <f t="shared" si="83"/>
        <v>0</v>
      </c>
      <c r="D191" s="45">
        <f t="shared" si="64"/>
        <v>0</v>
      </c>
      <c r="E191" s="45">
        <f t="shared" si="65"/>
        <v>0</v>
      </c>
      <c r="F191" s="45">
        <f t="shared" si="84"/>
        <v>0</v>
      </c>
      <c r="G191" s="45">
        <f t="shared" si="66"/>
        <v>0</v>
      </c>
      <c r="H191" s="45">
        <f t="shared" si="67"/>
        <v>0</v>
      </c>
      <c r="J191" s="463"/>
      <c r="K191" s="3">
        <v>15</v>
      </c>
      <c r="L191" s="45">
        <f t="shared" si="85"/>
        <v>0</v>
      </c>
      <c r="M191" s="45">
        <f t="shared" si="68"/>
        <v>0</v>
      </c>
      <c r="N191" s="45">
        <f t="shared" si="69"/>
        <v>0</v>
      </c>
      <c r="O191" s="45">
        <f t="shared" si="86"/>
        <v>0</v>
      </c>
      <c r="P191" s="45">
        <f t="shared" si="70"/>
        <v>0</v>
      </c>
      <c r="Q191" s="45">
        <f t="shared" si="71"/>
        <v>0</v>
      </c>
      <c r="R191" s="45"/>
      <c r="S191" s="463"/>
      <c r="T191" s="3">
        <v>15</v>
      </c>
      <c r="U191" s="45">
        <f t="shared" si="87"/>
        <v>0</v>
      </c>
      <c r="V191" s="45">
        <f t="shared" si="72"/>
        <v>0</v>
      </c>
      <c r="W191" s="45">
        <f t="shared" si="73"/>
        <v>0</v>
      </c>
      <c r="X191" s="45">
        <f t="shared" si="88"/>
        <v>0</v>
      </c>
      <c r="Y191" s="45">
        <f t="shared" si="74"/>
        <v>0</v>
      </c>
      <c r="Z191" s="45">
        <f t="shared" si="75"/>
        <v>0</v>
      </c>
      <c r="AA191" s="45"/>
      <c r="AB191" s="463"/>
      <c r="AC191" s="3">
        <v>15</v>
      </c>
      <c r="AD191" s="45">
        <f t="shared" si="89"/>
        <v>0</v>
      </c>
      <c r="AE191" s="45">
        <f t="shared" si="76"/>
        <v>0</v>
      </c>
      <c r="AF191" s="45">
        <f t="shared" si="77"/>
        <v>0</v>
      </c>
      <c r="AG191" s="45">
        <f t="shared" si="90"/>
        <v>0</v>
      </c>
      <c r="AH191" s="45">
        <f t="shared" si="78"/>
        <v>0</v>
      </c>
      <c r="AI191" s="45">
        <f t="shared" si="79"/>
        <v>0</v>
      </c>
      <c r="AJ191" s="45"/>
      <c r="AK191" s="463"/>
      <c r="AL191" s="3">
        <v>15</v>
      </c>
      <c r="AM191" s="11">
        <f t="shared" si="80"/>
        <v>0</v>
      </c>
      <c r="AN191" s="46">
        <f t="shared" si="82"/>
        <v>0</v>
      </c>
      <c r="AO191" s="47">
        <f t="shared" si="81"/>
        <v>0</v>
      </c>
      <c r="AQ191" s="216"/>
      <c r="AR191" s="108">
        <v>15</v>
      </c>
      <c r="AS191" s="111">
        <f t="shared" si="91"/>
        <v>0</v>
      </c>
    </row>
    <row r="192" spans="1:45" x14ac:dyDescent="0.2">
      <c r="A192" s="463"/>
      <c r="B192" s="3">
        <v>16</v>
      </c>
      <c r="C192" s="45">
        <f t="shared" si="83"/>
        <v>0</v>
      </c>
      <c r="D192" s="45">
        <f t="shared" si="64"/>
        <v>0</v>
      </c>
      <c r="E192" s="45">
        <f t="shared" si="65"/>
        <v>0</v>
      </c>
      <c r="F192" s="45">
        <f t="shared" si="84"/>
        <v>0</v>
      </c>
      <c r="G192" s="45">
        <f t="shared" si="66"/>
        <v>0</v>
      </c>
      <c r="H192" s="11">
        <f t="shared" si="67"/>
        <v>0</v>
      </c>
      <c r="J192" s="463"/>
      <c r="K192" s="3">
        <v>16</v>
      </c>
      <c r="L192" s="45">
        <f t="shared" si="85"/>
        <v>0</v>
      </c>
      <c r="M192" s="45">
        <f t="shared" si="68"/>
        <v>0</v>
      </c>
      <c r="N192" s="45">
        <f t="shared" si="69"/>
        <v>0</v>
      </c>
      <c r="O192" s="45">
        <f t="shared" si="86"/>
        <v>0</v>
      </c>
      <c r="P192" s="45">
        <f t="shared" si="70"/>
        <v>0</v>
      </c>
      <c r="Q192" s="11">
        <f t="shared" si="71"/>
        <v>0</v>
      </c>
      <c r="R192" s="11"/>
      <c r="S192" s="463"/>
      <c r="T192" s="3">
        <v>16</v>
      </c>
      <c r="U192" s="45">
        <f t="shared" si="87"/>
        <v>0</v>
      </c>
      <c r="V192" s="45">
        <f t="shared" si="72"/>
        <v>0</v>
      </c>
      <c r="W192" s="45">
        <f t="shared" si="73"/>
        <v>0</v>
      </c>
      <c r="X192" s="45">
        <f t="shared" si="88"/>
        <v>0</v>
      </c>
      <c r="Y192" s="45">
        <f t="shared" si="74"/>
        <v>0</v>
      </c>
      <c r="Z192" s="11">
        <f t="shared" si="75"/>
        <v>0</v>
      </c>
      <c r="AA192" s="11"/>
      <c r="AB192" s="463"/>
      <c r="AC192" s="3">
        <v>16</v>
      </c>
      <c r="AD192" s="45">
        <f t="shared" si="89"/>
        <v>0</v>
      </c>
      <c r="AE192" s="45">
        <f t="shared" si="76"/>
        <v>0</v>
      </c>
      <c r="AF192" s="45">
        <f t="shared" si="77"/>
        <v>0</v>
      </c>
      <c r="AG192" s="45">
        <f t="shared" si="90"/>
        <v>0</v>
      </c>
      <c r="AH192" s="45">
        <f t="shared" si="78"/>
        <v>0</v>
      </c>
      <c r="AI192" s="11">
        <f t="shared" si="79"/>
        <v>0</v>
      </c>
      <c r="AJ192" s="11"/>
      <c r="AK192" s="463"/>
      <c r="AL192" s="3">
        <v>16</v>
      </c>
      <c r="AM192" s="11">
        <f t="shared" si="80"/>
        <v>0</v>
      </c>
      <c r="AN192" s="46">
        <f t="shared" si="82"/>
        <v>0</v>
      </c>
      <c r="AO192" s="47">
        <f t="shared" si="81"/>
        <v>0</v>
      </c>
      <c r="AQ192" s="216"/>
      <c r="AR192" s="109">
        <v>16</v>
      </c>
      <c r="AS192" s="111">
        <f t="shared" si="91"/>
        <v>0</v>
      </c>
    </row>
    <row r="193" spans="1:52" x14ac:dyDescent="0.2">
      <c r="A193" s="463"/>
      <c r="B193" s="3">
        <v>17</v>
      </c>
      <c r="C193" s="45">
        <f t="shared" si="83"/>
        <v>0</v>
      </c>
      <c r="D193" s="45">
        <f t="shared" si="64"/>
        <v>0</v>
      </c>
      <c r="E193" s="11">
        <f t="shared" si="65"/>
        <v>0</v>
      </c>
      <c r="F193" s="45">
        <f t="shared" si="84"/>
        <v>0</v>
      </c>
      <c r="G193" s="11">
        <f t="shared" si="66"/>
        <v>0</v>
      </c>
      <c r="H193" s="11">
        <f t="shared" si="67"/>
        <v>0</v>
      </c>
      <c r="J193" s="463"/>
      <c r="K193" s="3">
        <v>17</v>
      </c>
      <c r="L193" s="45">
        <f t="shared" si="85"/>
        <v>0</v>
      </c>
      <c r="M193" s="45">
        <f t="shared" si="68"/>
        <v>0</v>
      </c>
      <c r="N193" s="11">
        <f t="shared" si="69"/>
        <v>0</v>
      </c>
      <c r="O193" s="45">
        <f t="shared" si="86"/>
        <v>0</v>
      </c>
      <c r="P193" s="11">
        <f t="shared" si="70"/>
        <v>0</v>
      </c>
      <c r="Q193" s="11">
        <f t="shared" si="71"/>
        <v>0</v>
      </c>
      <c r="R193" s="11"/>
      <c r="S193" s="463"/>
      <c r="T193" s="3">
        <v>17</v>
      </c>
      <c r="U193" s="45">
        <f t="shared" si="87"/>
        <v>0</v>
      </c>
      <c r="V193" s="45">
        <f t="shared" si="72"/>
        <v>0</v>
      </c>
      <c r="W193" s="11">
        <f t="shared" si="73"/>
        <v>0</v>
      </c>
      <c r="X193" s="45">
        <f t="shared" si="88"/>
        <v>0</v>
      </c>
      <c r="Y193" s="11">
        <f t="shared" si="74"/>
        <v>0</v>
      </c>
      <c r="Z193" s="11">
        <f t="shared" si="75"/>
        <v>0</v>
      </c>
      <c r="AA193" s="11"/>
      <c r="AB193" s="463"/>
      <c r="AC193" s="3">
        <v>17</v>
      </c>
      <c r="AD193" s="45">
        <f t="shared" si="89"/>
        <v>0</v>
      </c>
      <c r="AE193" s="45">
        <f t="shared" si="76"/>
        <v>0</v>
      </c>
      <c r="AF193" s="11">
        <f t="shared" si="77"/>
        <v>0</v>
      </c>
      <c r="AG193" s="45">
        <f t="shared" si="90"/>
        <v>0</v>
      </c>
      <c r="AH193" s="11">
        <f t="shared" si="78"/>
        <v>0</v>
      </c>
      <c r="AI193" s="11">
        <f t="shared" si="79"/>
        <v>0</v>
      </c>
      <c r="AJ193" s="11"/>
      <c r="AK193" s="463"/>
      <c r="AL193" s="3">
        <v>17</v>
      </c>
      <c r="AM193" s="11">
        <f t="shared" si="80"/>
        <v>0</v>
      </c>
      <c r="AN193" s="46">
        <f t="shared" si="82"/>
        <v>0</v>
      </c>
      <c r="AO193" s="47">
        <f t="shared" si="81"/>
        <v>0</v>
      </c>
      <c r="AQ193" s="216"/>
      <c r="AR193" s="108">
        <v>17</v>
      </c>
      <c r="AS193" s="111">
        <f t="shared" si="91"/>
        <v>0</v>
      </c>
    </row>
    <row r="194" spans="1:52" x14ac:dyDescent="0.2">
      <c r="A194" s="463"/>
      <c r="B194" s="3">
        <v>18</v>
      </c>
      <c r="C194" s="45">
        <f t="shared" si="83"/>
        <v>0</v>
      </c>
      <c r="D194" s="45">
        <f t="shared" si="64"/>
        <v>0</v>
      </c>
      <c r="E194" s="11">
        <f t="shared" si="65"/>
        <v>0</v>
      </c>
      <c r="F194" s="45">
        <f t="shared" si="84"/>
        <v>0</v>
      </c>
      <c r="G194" s="11">
        <f t="shared" si="66"/>
        <v>0</v>
      </c>
      <c r="H194" s="11">
        <f t="shared" si="67"/>
        <v>0</v>
      </c>
      <c r="J194" s="463"/>
      <c r="K194" s="3">
        <v>18</v>
      </c>
      <c r="L194" s="45">
        <f t="shared" si="85"/>
        <v>0</v>
      </c>
      <c r="M194" s="45">
        <f t="shared" si="68"/>
        <v>0</v>
      </c>
      <c r="N194" s="11">
        <f t="shared" si="69"/>
        <v>0</v>
      </c>
      <c r="O194" s="45">
        <f t="shared" si="86"/>
        <v>0</v>
      </c>
      <c r="P194" s="11">
        <f t="shared" si="70"/>
        <v>0</v>
      </c>
      <c r="Q194" s="11">
        <f t="shared" si="71"/>
        <v>0</v>
      </c>
      <c r="R194" s="11"/>
      <c r="S194" s="463"/>
      <c r="T194" s="3">
        <v>18</v>
      </c>
      <c r="U194" s="45">
        <f t="shared" si="87"/>
        <v>0</v>
      </c>
      <c r="V194" s="45">
        <f t="shared" si="72"/>
        <v>0</v>
      </c>
      <c r="W194" s="11">
        <f t="shared" si="73"/>
        <v>0</v>
      </c>
      <c r="X194" s="45">
        <f t="shared" si="88"/>
        <v>0</v>
      </c>
      <c r="Y194" s="11">
        <f t="shared" si="74"/>
        <v>0</v>
      </c>
      <c r="Z194" s="11">
        <f t="shared" si="75"/>
        <v>0</v>
      </c>
      <c r="AA194" s="11"/>
      <c r="AB194" s="463"/>
      <c r="AC194" s="3">
        <v>18</v>
      </c>
      <c r="AD194" s="45">
        <f t="shared" si="89"/>
        <v>0</v>
      </c>
      <c r="AE194" s="45">
        <f t="shared" si="76"/>
        <v>0</v>
      </c>
      <c r="AF194" s="11">
        <f t="shared" si="77"/>
        <v>0</v>
      </c>
      <c r="AG194" s="45">
        <f t="shared" si="90"/>
        <v>0</v>
      </c>
      <c r="AH194" s="11">
        <f t="shared" si="78"/>
        <v>0</v>
      </c>
      <c r="AI194" s="11">
        <f t="shared" si="79"/>
        <v>0</v>
      </c>
      <c r="AJ194" s="11"/>
      <c r="AK194" s="463"/>
      <c r="AL194" s="3">
        <v>18</v>
      </c>
      <c r="AM194" s="11">
        <f t="shared" si="80"/>
        <v>0</v>
      </c>
      <c r="AN194" s="46">
        <f t="shared" si="82"/>
        <v>0</v>
      </c>
      <c r="AO194" s="47">
        <f t="shared" si="81"/>
        <v>0</v>
      </c>
      <c r="AQ194" s="216"/>
      <c r="AR194" s="109">
        <v>18</v>
      </c>
      <c r="AS194" s="111">
        <f t="shared" si="91"/>
        <v>0</v>
      </c>
    </row>
    <row r="195" spans="1:52" x14ac:dyDescent="0.2">
      <c r="A195" s="463"/>
      <c r="B195" s="3">
        <v>19</v>
      </c>
      <c r="C195" s="45">
        <f t="shared" si="83"/>
        <v>0</v>
      </c>
      <c r="D195" s="45">
        <f t="shared" si="64"/>
        <v>0</v>
      </c>
      <c r="E195" s="11">
        <f t="shared" si="65"/>
        <v>0</v>
      </c>
      <c r="F195" s="45">
        <f t="shared" si="84"/>
        <v>0</v>
      </c>
      <c r="G195" s="11">
        <f t="shared" si="66"/>
        <v>0</v>
      </c>
      <c r="H195" s="11">
        <f t="shared" si="67"/>
        <v>0</v>
      </c>
      <c r="J195" s="463"/>
      <c r="K195" s="3">
        <v>19</v>
      </c>
      <c r="L195" s="45">
        <f t="shared" si="85"/>
        <v>0</v>
      </c>
      <c r="M195" s="45">
        <f t="shared" si="68"/>
        <v>0</v>
      </c>
      <c r="N195" s="11">
        <f t="shared" si="69"/>
        <v>0</v>
      </c>
      <c r="O195" s="45">
        <f t="shared" si="86"/>
        <v>0</v>
      </c>
      <c r="P195" s="11">
        <f t="shared" si="70"/>
        <v>0</v>
      </c>
      <c r="Q195" s="11">
        <f t="shared" si="71"/>
        <v>0</v>
      </c>
      <c r="R195" s="11"/>
      <c r="S195" s="463"/>
      <c r="T195" s="3">
        <v>19</v>
      </c>
      <c r="U195" s="45">
        <f t="shared" si="87"/>
        <v>0</v>
      </c>
      <c r="V195" s="45">
        <f t="shared" si="72"/>
        <v>0</v>
      </c>
      <c r="W195" s="11">
        <f t="shared" si="73"/>
        <v>0</v>
      </c>
      <c r="X195" s="45">
        <f t="shared" si="88"/>
        <v>0</v>
      </c>
      <c r="Y195" s="11">
        <f t="shared" si="74"/>
        <v>0</v>
      </c>
      <c r="Z195" s="11">
        <f t="shared" si="75"/>
        <v>0</v>
      </c>
      <c r="AA195" s="11"/>
      <c r="AB195" s="463"/>
      <c r="AC195" s="3">
        <v>19</v>
      </c>
      <c r="AD195" s="45">
        <f t="shared" si="89"/>
        <v>0</v>
      </c>
      <c r="AE195" s="45">
        <f t="shared" si="76"/>
        <v>0</v>
      </c>
      <c r="AF195" s="11">
        <f t="shared" si="77"/>
        <v>0</v>
      </c>
      <c r="AG195" s="45">
        <f t="shared" si="90"/>
        <v>0</v>
      </c>
      <c r="AH195" s="11">
        <f t="shared" si="78"/>
        <v>0</v>
      </c>
      <c r="AI195" s="11">
        <f t="shared" si="79"/>
        <v>0</v>
      </c>
      <c r="AJ195" s="11"/>
      <c r="AK195" s="463"/>
      <c r="AL195" s="3">
        <v>19</v>
      </c>
      <c r="AM195" s="11">
        <f t="shared" si="80"/>
        <v>0</v>
      </c>
      <c r="AN195" s="46">
        <f t="shared" si="82"/>
        <v>0</v>
      </c>
      <c r="AO195" s="47">
        <f t="shared" si="81"/>
        <v>0</v>
      </c>
      <c r="AQ195" s="216"/>
      <c r="AR195" s="108">
        <v>19</v>
      </c>
      <c r="AS195" s="111">
        <f t="shared" si="91"/>
        <v>0</v>
      </c>
    </row>
    <row r="196" spans="1:52" x14ac:dyDescent="0.2">
      <c r="A196" s="463"/>
      <c r="B196" s="3">
        <v>20</v>
      </c>
      <c r="C196" s="45">
        <f t="shared" si="83"/>
        <v>0</v>
      </c>
      <c r="D196" s="45">
        <f t="shared" si="64"/>
        <v>0</v>
      </c>
      <c r="E196" s="11">
        <f t="shared" si="65"/>
        <v>0</v>
      </c>
      <c r="F196" s="45">
        <f t="shared" si="84"/>
        <v>0</v>
      </c>
      <c r="G196" s="11">
        <f t="shared" si="66"/>
        <v>0</v>
      </c>
      <c r="H196" s="11">
        <f t="shared" si="67"/>
        <v>0</v>
      </c>
      <c r="J196" s="463"/>
      <c r="K196" s="3">
        <v>20</v>
      </c>
      <c r="L196" s="45">
        <f t="shared" si="85"/>
        <v>0</v>
      </c>
      <c r="M196" s="45">
        <f t="shared" si="68"/>
        <v>0</v>
      </c>
      <c r="N196" s="11">
        <f t="shared" si="69"/>
        <v>0</v>
      </c>
      <c r="O196" s="45">
        <f t="shared" si="86"/>
        <v>0</v>
      </c>
      <c r="P196" s="11">
        <f t="shared" si="70"/>
        <v>0</v>
      </c>
      <c r="Q196" s="11">
        <f t="shared" si="71"/>
        <v>0</v>
      </c>
      <c r="R196" s="11"/>
      <c r="S196" s="463"/>
      <c r="T196" s="3">
        <v>20</v>
      </c>
      <c r="U196" s="45">
        <f t="shared" si="87"/>
        <v>0</v>
      </c>
      <c r="V196" s="45">
        <f t="shared" si="72"/>
        <v>0</v>
      </c>
      <c r="W196" s="11">
        <f t="shared" si="73"/>
        <v>0</v>
      </c>
      <c r="X196" s="45">
        <f t="shared" si="88"/>
        <v>0</v>
      </c>
      <c r="Y196" s="11">
        <f t="shared" si="74"/>
        <v>0</v>
      </c>
      <c r="Z196" s="11">
        <f t="shared" si="75"/>
        <v>0</v>
      </c>
      <c r="AA196" s="11"/>
      <c r="AB196" s="463"/>
      <c r="AC196" s="3">
        <v>20</v>
      </c>
      <c r="AD196" s="45">
        <f t="shared" si="89"/>
        <v>0</v>
      </c>
      <c r="AE196" s="45">
        <f t="shared" si="76"/>
        <v>0</v>
      </c>
      <c r="AF196" s="11">
        <f t="shared" si="77"/>
        <v>0</v>
      </c>
      <c r="AG196" s="45">
        <f t="shared" si="90"/>
        <v>0</v>
      </c>
      <c r="AH196" s="11">
        <f t="shared" si="78"/>
        <v>0</v>
      </c>
      <c r="AI196" s="11">
        <f t="shared" si="79"/>
        <v>0</v>
      </c>
      <c r="AJ196" s="11"/>
      <c r="AK196" s="463"/>
      <c r="AL196" s="3">
        <v>20</v>
      </c>
      <c r="AM196" s="11">
        <f t="shared" si="80"/>
        <v>0</v>
      </c>
      <c r="AN196" s="46">
        <f t="shared" si="82"/>
        <v>0</v>
      </c>
      <c r="AO196" s="47">
        <f t="shared" si="81"/>
        <v>0</v>
      </c>
      <c r="AQ196" s="216"/>
      <c r="AR196" s="109">
        <v>20</v>
      </c>
      <c r="AS196" s="111">
        <f t="shared" si="91"/>
        <v>0</v>
      </c>
    </row>
    <row r="198" spans="1:52" x14ac:dyDescent="0.2">
      <c r="A198" s="135" t="s">
        <v>627</v>
      </c>
      <c r="B198" s="135"/>
      <c r="C198" s="135"/>
      <c r="D198" s="135"/>
      <c r="E198" s="135"/>
      <c r="F198" s="135"/>
      <c r="G198" s="135"/>
      <c r="H198" s="135"/>
      <c r="I198" s="135"/>
      <c r="J198" s="135"/>
      <c r="K198" s="135"/>
      <c r="L198" s="135"/>
      <c r="M198" s="49"/>
      <c r="N198" s="49"/>
      <c r="O198" s="49"/>
      <c r="P198" s="49"/>
      <c r="Q198" s="49"/>
      <c r="R198" s="49"/>
      <c r="S198" s="49"/>
      <c r="T198" s="49"/>
      <c r="U198" s="49"/>
      <c r="V198" s="49"/>
      <c r="W198" s="49"/>
      <c r="X198" s="49"/>
      <c r="Y198" s="49"/>
      <c r="Z198" s="49"/>
      <c r="AA198" s="49"/>
      <c r="AB198" s="49"/>
      <c r="AC198" s="49"/>
      <c r="AD198" s="49"/>
      <c r="AE198" s="49"/>
      <c r="AF198" s="49"/>
      <c r="AG198" s="49"/>
      <c r="AH198" s="49"/>
      <c r="AI198" s="49"/>
      <c r="AJ198" s="49"/>
      <c r="AK198" s="49"/>
      <c r="AL198" s="49"/>
      <c r="AM198" s="49"/>
      <c r="AN198" s="49"/>
      <c r="AO198" s="49"/>
      <c r="AP198" s="49"/>
      <c r="AQ198" s="49"/>
      <c r="AR198" s="49"/>
      <c r="AS198" s="49"/>
      <c r="AT198" s="49"/>
      <c r="AU198" s="49"/>
      <c r="AV198" s="49"/>
      <c r="AW198" s="49"/>
      <c r="AX198" s="49"/>
      <c r="AY198" s="49"/>
      <c r="AZ198" s="49"/>
    </row>
    <row r="200" spans="1:52" x14ac:dyDescent="0.2">
      <c r="A200" s="463" t="s">
        <v>732</v>
      </c>
      <c r="B200" s="4" t="s">
        <v>94</v>
      </c>
      <c r="C200" s="4">
        <v>1</v>
      </c>
      <c r="D200" s="4">
        <v>2</v>
      </c>
      <c r="E200" s="4">
        <v>3</v>
      </c>
      <c r="F200" s="4">
        <v>4</v>
      </c>
      <c r="G200" s="4">
        <v>5</v>
      </c>
      <c r="H200" s="4">
        <v>6</v>
      </c>
      <c r="I200" s="4">
        <v>7</v>
      </c>
      <c r="J200" s="4">
        <v>8</v>
      </c>
      <c r="K200" s="4">
        <v>9</v>
      </c>
      <c r="L200" s="4">
        <v>10</v>
      </c>
      <c r="M200" s="4">
        <v>11</v>
      </c>
      <c r="N200" s="4">
        <v>12</v>
      </c>
      <c r="O200" s="4">
        <v>13</v>
      </c>
      <c r="P200" s="4">
        <v>14</v>
      </c>
      <c r="Q200" s="4">
        <v>15</v>
      </c>
      <c r="R200" s="4">
        <v>16</v>
      </c>
      <c r="S200" s="4">
        <v>17</v>
      </c>
      <c r="T200" s="4">
        <v>18</v>
      </c>
      <c r="U200" s="4">
        <v>19</v>
      </c>
      <c r="V200" s="4">
        <v>20</v>
      </c>
      <c r="W200" s="4"/>
      <c r="X200" s="4"/>
      <c r="Y200" s="4"/>
      <c r="Z200" s="4"/>
      <c r="AA200" s="4"/>
      <c r="AB200" s="4"/>
      <c r="AC200" s="4"/>
      <c r="AD200" s="4"/>
      <c r="AE200" s="4"/>
      <c r="AF200" s="4"/>
    </row>
    <row r="201" spans="1:52" x14ac:dyDescent="0.2">
      <c r="A201" s="463"/>
      <c r="B201" s="3" t="s">
        <v>629</v>
      </c>
      <c r="C201" s="50">
        <f>IF(C200=1,$C$6,B204)</f>
        <v>0</v>
      </c>
      <c r="D201" s="50">
        <f t="shared" ref="D201:V201" si="92">IF(D200=1,$C$6,C204)</f>
        <v>0</v>
      </c>
      <c r="E201" s="50">
        <f t="shared" si="92"/>
        <v>0</v>
      </c>
      <c r="F201" s="50">
        <f t="shared" si="92"/>
        <v>0</v>
      </c>
      <c r="G201" s="50">
        <f t="shared" si="92"/>
        <v>0</v>
      </c>
      <c r="H201" s="50">
        <f t="shared" si="92"/>
        <v>0</v>
      </c>
      <c r="I201" s="50">
        <f t="shared" si="92"/>
        <v>0</v>
      </c>
      <c r="J201" s="50">
        <f t="shared" si="92"/>
        <v>0</v>
      </c>
      <c r="K201" s="50">
        <f t="shared" si="92"/>
        <v>0</v>
      </c>
      <c r="L201" s="50">
        <f t="shared" si="92"/>
        <v>0</v>
      </c>
      <c r="M201" s="50">
        <f t="shared" si="92"/>
        <v>0</v>
      </c>
      <c r="N201" s="50">
        <f t="shared" si="92"/>
        <v>0</v>
      </c>
      <c r="O201" s="50">
        <f t="shared" si="92"/>
        <v>0</v>
      </c>
      <c r="P201" s="50">
        <f t="shared" si="92"/>
        <v>0</v>
      </c>
      <c r="Q201" s="50">
        <f t="shared" si="92"/>
        <v>0</v>
      </c>
      <c r="R201" s="50">
        <f t="shared" si="92"/>
        <v>0</v>
      </c>
      <c r="S201" s="50">
        <f t="shared" si="92"/>
        <v>0</v>
      </c>
      <c r="T201" s="50">
        <f t="shared" si="92"/>
        <v>0</v>
      </c>
      <c r="U201" s="50">
        <f t="shared" si="92"/>
        <v>0</v>
      </c>
      <c r="V201" s="50">
        <f t="shared" si="92"/>
        <v>0</v>
      </c>
      <c r="W201" s="50"/>
      <c r="X201" s="50"/>
      <c r="Y201" s="50"/>
      <c r="Z201" s="50"/>
      <c r="AA201" s="50"/>
      <c r="AB201" s="50"/>
      <c r="AC201" s="50"/>
      <c r="AD201" s="50"/>
      <c r="AE201" s="50"/>
      <c r="AF201" s="50"/>
    </row>
    <row r="202" spans="1:52" x14ac:dyDescent="0.2">
      <c r="A202" s="463"/>
      <c r="B202" s="3" t="s">
        <v>630</v>
      </c>
      <c r="C202" s="50">
        <f>IF(OR($C$6="",$C$6=0),0,IF(OR(ROUND(C201,2)&lt;=0,$C$168=100%),0,VLOOKUP(C200,$AL$177:$AO$196,4,FALSE)*C201))</f>
        <v>0</v>
      </c>
      <c r="D202" s="50">
        <f t="shared" ref="D202:V202" si="93">IF(OR($C$6="",$C$6=0),0,IF(OR(ROUND(D201,2)&lt;=0,$C$168=100%),0,VLOOKUP(D200,$AL$177:$AO$196,4,FALSE)*D201))</f>
        <v>0</v>
      </c>
      <c r="E202" s="50">
        <f t="shared" si="93"/>
        <v>0</v>
      </c>
      <c r="F202" s="50">
        <f t="shared" si="93"/>
        <v>0</v>
      </c>
      <c r="G202" s="50">
        <f t="shared" si="93"/>
        <v>0</v>
      </c>
      <c r="H202" s="50">
        <f t="shared" si="93"/>
        <v>0</v>
      </c>
      <c r="I202" s="50">
        <f t="shared" si="93"/>
        <v>0</v>
      </c>
      <c r="J202" s="50">
        <f t="shared" si="93"/>
        <v>0</v>
      </c>
      <c r="K202" s="50">
        <f t="shared" si="93"/>
        <v>0</v>
      </c>
      <c r="L202" s="50">
        <f t="shared" si="93"/>
        <v>0</v>
      </c>
      <c r="M202" s="50">
        <f t="shared" si="93"/>
        <v>0</v>
      </c>
      <c r="N202" s="50">
        <f t="shared" si="93"/>
        <v>0</v>
      </c>
      <c r="O202" s="50">
        <f t="shared" si="93"/>
        <v>0</v>
      </c>
      <c r="P202" s="50">
        <f t="shared" si="93"/>
        <v>0</v>
      </c>
      <c r="Q202" s="50">
        <f t="shared" si="93"/>
        <v>0</v>
      </c>
      <c r="R202" s="50">
        <f t="shared" si="93"/>
        <v>0</v>
      </c>
      <c r="S202" s="50">
        <f t="shared" si="93"/>
        <v>0</v>
      </c>
      <c r="T202" s="50">
        <f t="shared" si="93"/>
        <v>0</v>
      </c>
      <c r="U202" s="50">
        <f t="shared" si="93"/>
        <v>0</v>
      </c>
      <c r="V202" s="50">
        <f t="shared" si="93"/>
        <v>0</v>
      </c>
      <c r="W202" s="50"/>
      <c r="X202" s="50"/>
      <c r="Y202" s="50"/>
      <c r="Z202" s="50"/>
      <c r="AA202" s="50"/>
      <c r="AB202" s="50"/>
      <c r="AC202" s="50"/>
      <c r="AD202" s="50"/>
      <c r="AE202" s="50"/>
      <c r="AF202" s="50"/>
    </row>
    <row r="203" spans="1:52" x14ac:dyDescent="0.2">
      <c r="A203" s="463"/>
      <c r="B203" s="3" t="s">
        <v>631</v>
      </c>
      <c r="C203" s="50">
        <f>IF(C200=1,C202,C202+B203)</f>
        <v>0</v>
      </c>
      <c r="D203" s="50">
        <f t="shared" ref="D203:V203" si="94">IF(D200=1,D202,D202+C203)</f>
        <v>0</v>
      </c>
      <c r="E203" s="50">
        <f t="shared" si="94"/>
        <v>0</v>
      </c>
      <c r="F203" s="50">
        <f t="shared" si="94"/>
        <v>0</v>
      </c>
      <c r="G203" s="50">
        <f t="shared" si="94"/>
        <v>0</v>
      </c>
      <c r="H203" s="50">
        <f t="shared" si="94"/>
        <v>0</v>
      </c>
      <c r="I203" s="50">
        <f t="shared" si="94"/>
        <v>0</v>
      </c>
      <c r="J203" s="50">
        <f t="shared" si="94"/>
        <v>0</v>
      </c>
      <c r="K203" s="50">
        <f t="shared" si="94"/>
        <v>0</v>
      </c>
      <c r="L203" s="50">
        <f t="shared" si="94"/>
        <v>0</v>
      </c>
      <c r="M203" s="50">
        <f t="shared" si="94"/>
        <v>0</v>
      </c>
      <c r="N203" s="50">
        <f t="shared" si="94"/>
        <v>0</v>
      </c>
      <c r="O203" s="50">
        <f t="shared" si="94"/>
        <v>0</v>
      </c>
      <c r="P203" s="50">
        <f t="shared" si="94"/>
        <v>0</v>
      </c>
      <c r="Q203" s="50">
        <f t="shared" si="94"/>
        <v>0</v>
      </c>
      <c r="R203" s="50">
        <f t="shared" si="94"/>
        <v>0</v>
      </c>
      <c r="S203" s="50">
        <f t="shared" si="94"/>
        <v>0</v>
      </c>
      <c r="T203" s="50">
        <f t="shared" si="94"/>
        <v>0</v>
      </c>
      <c r="U203" s="50">
        <f t="shared" si="94"/>
        <v>0</v>
      </c>
      <c r="V203" s="50">
        <f t="shared" si="94"/>
        <v>0</v>
      </c>
      <c r="W203" s="50"/>
      <c r="X203" s="50"/>
      <c r="Y203" s="50"/>
      <c r="Z203" s="50"/>
      <c r="AA203" s="50"/>
      <c r="AB203" s="50"/>
      <c r="AC203" s="50"/>
      <c r="AD203" s="50"/>
      <c r="AE203" s="50"/>
      <c r="AF203" s="50"/>
      <c r="AH203" s="72"/>
    </row>
    <row r="204" spans="1:52" ht="17" x14ac:dyDescent="0.2">
      <c r="A204" s="463"/>
      <c r="B204" s="38" t="s">
        <v>632</v>
      </c>
      <c r="C204" s="50">
        <f>C201-C202</f>
        <v>0</v>
      </c>
      <c r="D204" s="50">
        <f t="shared" ref="D204:V204" si="95">D201-D202</f>
        <v>0</v>
      </c>
      <c r="E204" s="50">
        <f t="shared" si="95"/>
        <v>0</v>
      </c>
      <c r="F204" s="50">
        <f t="shared" si="95"/>
        <v>0</v>
      </c>
      <c r="G204" s="50">
        <f t="shared" si="95"/>
        <v>0</v>
      </c>
      <c r="H204" s="50">
        <f t="shared" si="95"/>
        <v>0</v>
      </c>
      <c r="I204" s="50">
        <f t="shared" si="95"/>
        <v>0</v>
      </c>
      <c r="J204" s="50">
        <f t="shared" si="95"/>
        <v>0</v>
      </c>
      <c r="K204" s="50">
        <f t="shared" si="95"/>
        <v>0</v>
      </c>
      <c r="L204" s="50">
        <f t="shared" si="95"/>
        <v>0</v>
      </c>
      <c r="M204" s="50">
        <f t="shared" si="95"/>
        <v>0</v>
      </c>
      <c r="N204" s="50">
        <f t="shared" si="95"/>
        <v>0</v>
      </c>
      <c r="O204" s="50">
        <f t="shared" si="95"/>
        <v>0</v>
      </c>
      <c r="P204" s="50">
        <f t="shared" si="95"/>
        <v>0</v>
      </c>
      <c r="Q204" s="50">
        <f t="shared" si="95"/>
        <v>0</v>
      </c>
      <c r="R204" s="50">
        <f t="shared" si="95"/>
        <v>0</v>
      </c>
      <c r="S204" s="50">
        <f t="shared" si="95"/>
        <v>0</v>
      </c>
      <c r="T204" s="50">
        <f t="shared" si="95"/>
        <v>0</v>
      </c>
      <c r="U204" s="50">
        <f t="shared" si="95"/>
        <v>0</v>
      </c>
      <c r="V204" s="50">
        <f t="shared" si="95"/>
        <v>0</v>
      </c>
      <c r="W204" s="50"/>
      <c r="X204" s="50"/>
      <c r="Y204" s="50"/>
      <c r="Z204" s="50"/>
      <c r="AA204" s="50"/>
      <c r="AB204" s="50"/>
      <c r="AC204" s="50"/>
      <c r="AD204" s="50"/>
      <c r="AE204" s="50"/>
      <c r="AF204" s="50"/>
    </row>
    <row r="205" spans="1:52" x14ac:dyDescent="0.2">
      <c r="A205" s="463"/>
      <c r="B205" s="53" t="s">
        <v>189</v>
      </c>
      <c r="C205" s="54">
        <f>SUM(C204,C203)</f>
        <v>0</v>
      </c>
      <c r="D205" s="54">
        <f t="shared" ref="D205:V205" si="96">SUM(D204,D203)</f>
        <v>0</v>
      </c>
      <c r="E205" s="54">
        <f t="shared" si="96"/>
        <v>0</v>
      </c>
      <c r="F205" s="54">
        <f t="shared" si="96"/>
        <v>0</v>
      </c>
      <c r="G205" s="54">
        <f t="shared" si="96"/>
        <v>0</v>
      </c>
      <c r="H205" s="54">
        <f t="shared" si="96"/>
        <v>0</v>
      </c>
      <c r="I205" s="54">
        <f t="shared" si="96"/>
        <v>0</v>
      </c>
      <c r="J205" s="54">
        <f t="shared" si="96"/>
        <v>0</v>
      </c>
      <c r="K205" s="54">
        <f t="shared" si="96"/>
        <v>0</v>
      </c>
      <c r="L205" s="54">
        <f t="shared" si="96"/>
        <v>0</v>
      </c>
      <c r="M205" s="54">
        <f t="shared" si="96"/>
        <v>0</v>
      </c>
      <c r="N205" s="54">
        <f t="shared" si="96"/>
        <v>0</v>
      </c>
      <c r="O205" s="54">
        <f t="shared" si="96"/>
        <v>0</v>
      </c>
      <c r="P205" s="54">
        <f t="shared" si="96"/>
        <v>0</v>
      </c>
      <c r="Q205" s="54">
        <f t="shared" si="96"/>
        <v>0</v>
      </c>
      <c r="R205" s="54">
        <f t="shared" si="96"/>
        <v>0</v>
      </c>
      <c r="S205" s="54">
        <f t="shared" si="96"/>
        <v>0</v>
      </c>
      <c r="T205" s="54">
        <f t="shared" si="96"/>
        <v>0</v>
      </c>
      <c r="U205" s="54">
        <f t="shared" si="96"/>
        <v>0</v>
      </c>
      <c r="V205" s="54">
        <f t="shared" si="96"/>
        <v>0</v>
      </c>
      <c r="W205" s="54"/>
      <c r="X205" s="54"/>
      <c r="Y205" s="54"/>
      <c r="Z205" s="54"/>
      <c r="AA205" s="54"/>
      <c r="AB205" s="54"/>
      <c r="AC205" s="54"/>
      <c r="AD205" s="54"/>
      <c r="AE205" s="54"/>
      <c r="AF205" s="54"/>
    </row>
    <row r="207" spans="1:52" ht="16" customHeight="1" x14ac:dyDescent="0.2">
      <c r="A207" s="463" t="s">
        <v>733</v>
      </c>
      <c r="B207" s="3" t="s">
        <v>94</v>
      </c>
      <c r="C207" s="3" t="s">
        <v>95</v>
      </c>
      <c r="D207" s="3" t="s">
        <v>96</v>
      </c>
      <c r="E207" s="3" t="s">
        <v>97</v>
      </c>
      <c r="F207" s="3" t="s">
        <v>98</v>
      </c>
      <c r="G207" s="3" t="s">
        <v>99</v>
      </c>
      <c r="H207" s="3" t="s">
        <v>100</v>
      </c>
      <c r="I207" s="3" t="s">
        <v>101</v>
      </c>
      <c r="J207" s="3" t="s">
        <v>102</v>
      </c>
      <c r="K207" s="3" t="s">
        <v>103</v>
      </c>
      <c r="L207" s="3" t="s">
        <v>104</v>
      </c>
      <c r="M207" s="3" t="s">
        <v>105</v>
      </c>
      <c r="N207" s="3" t="s">
        <v>106</v>
      </c>
      <c r="O207" s="3" t="s">
        <v>107</v>
      </c>
      <c r="P207" s="3" t="s">
        <v>108</v>
      </c>
      <c r="Q207" s="3" t="s">
        <v>109</v>
      </c>
      <c r="R207" s="3" t="s">
        <v>110</v>
      </c>
      <c r="S207" s="3" t="s">
        <v>111</v>
      </c>
      <c r="T207" s="3" t="s">
        <v>112</v>
      </c>
      <c r="U207" s="3" t="s">
        <v>113</v>
      </c>
      <c r="V207" s="3" t="s">
        <v>114</v>
      </c>
      <c r="W207" s="3" t="s">
        <v>117</v>
      </c>
      <c r="X207" s="3" t="s">
        <v>116</v>
      </c>
      <c r="Y207" s="3" t="s">
        <v>115</v>
      </c>
      <c r="Z207" s="3" t="s">
        <v>229</v>
      </c>
    </row>
    <row r="208" spans="1:52" ht="16" customHeight="1" x14ac:dyDescent="0.2">
      <c r="A208" s="463"/>
      <c r="B208" s="3">
        <v>1</v>
      </c>
      <c r="C208" s="11">
        <f t="shared" ref="C208:R223" si="97">(C$202)*IF($B208&gt;=C$200,IF($B208=C$200,$E$19,VLOOKUP($B208-C$200,$B$19:$E$49,4,FALSE)),0)</f>
        <v>0</v>
      </c>
      <c r="D208" s="11">
        <f t="shared" si="97"/>
        <v>0</v>
      </c>
      <c r="E208" s="11">
        <f t="shared" si="97"/>
        <v>0</v>
      </c>
      <c r="F208" s="11">
        <f t="shared" si="97"/>
        <v>0</v>
      </c>
      <c r="G208" s="11">
        <f t="shared" si="97"/>
        <v>0</v>
      </c>
      <c r="H208" s="11">
        <f t="shared" si="97"/>
        <v>0</v>
      </c>
      <c r="I208" s="11">
        <f t="shared" si="97"/>
        <v>0</v>
      </c>
      <c r="J208" s="11">
        <f t="shared" si="97"/>
        <v>0</v>
      </c>
      <c r="K208" s="11">
        <f t="shared" si="97"/>
        <v>0</v>
      </c>
      <c r="L208" s="11">
        <f t="shared" si="97"/>
        <v>0</v>
      </c>
      <c r="M208" s="11">
        <f t="shared" si="97"/>
        <v>0</v>
      </c>
      <c r="N208" s="11">
        <f t="shared" si="97"/>
        <v>0</v>
      </c>
      <c r="O208" s="11">
        <f t="shared" si="97"/>
        <v>0</v>
      </c>
      <c r="P208" s="11">
        <f t="shared" si="97"/>
        <v>0</v>
      </c>
      <c r="Q208" s="11">
        <f t="shared" si="97"/>
        <v>0</v>
      </c>
      <c r="R208" s="11">
        <f t="shared" si="97"/>
        <v>0</v>
      </c>
      <c r="S208" s="11">
        <f t="shared" ref="S208:V227" si="98">(S$202)*IF($B208&gt;=S$200,IF($B208=S$200,$E$19,VLOOKUP($B208-S$200,$B$19:$E$49,4,FALSE)),0)</f>
        <v>0</v>
      </c>
      <c r="T208" s="11">
        <f t="shared" si="98"/>
        <v>0</v>
      </c>
      <c r="U208" s="11">
        <f t="shared" si="98"/>
        <v>0</v>
      </c>
      <c r="V208" s="11">
        <f t="shared" si="98"/>
        <v>0</v>
      </c>
      <c r="W208" s="11">
        <f>SUM(C208:V208)*D$11*C$11</f>
        <v>0</v>
      </c>
      <c r="X208" s="11">
        <f t="shared" ref="X208:X227" si="99">IF(W208&gt;0,EXP(-1.0587+0.8836*LN(W208)+0.284),0)</f>
        <v>0</v>
      </c>
      <c r="Y208" s="11">
        <f t="shared" ref="Y208:Y227" si="100">SUM(W208:X208)*0.475*44/12</f>
        <v>0</v>
      </c>
      <c r="Z208" s="11">
        <f>SUM(C208:V208)</f>
        <v>0</v>
      </c>
      <c r="AH208" s="11"/>
    </row>
    <row r="209" spans="1:34" x14ac:dyDescent="0.2">
      <c r="A209" s="463"/>
      <c r="B209" s="3">
        <v>2</v>
      </c>
      <c r="C209" s="11">
        <f t="shared" si="97"/>
        <v>0</v>
      </c>
      <c r="D209" s="11">
        <f t="shared" si="97"/>
        <v>0</v>
      </c>
      <c r="E209" s="11">
        <f t="shared" si="97"/>
        <v>0</v>
      </c>
      <c r="F209" s="11">
        <f t="shared" si="97"/>
        <v>0</v>
      </c>
      <c r="G209" s="11">
        <f t="shared" si="97"/>
        <v>0</v>
      </c>
      <c r="H209" s="11">
        <f t="shared" si="97"/>
        <v>0</v>
      </c>
      <c r="I209" s="11">
        <f t="shared" si="97"/>
        <v>0</v>
      </c>
      <c r="J209" s="11">
        <f t="shared" si="97"/>
        <v>0</v>
      </c>
      <c r="K209" s="11">
        <f t="shared" si="97"/>
        <v>0</v>
      </c>
      <c r="L209" s="11">
        <f t="shared" si="97"/>
        <v>0</v>
      </c>
      <c r="M209" s="11">
        <f t="shared" si="97"/>
        <v>0</v>
      </c>
      <c r="N209" s="11">
        <f t="shared" si="97"/>
        <v>0</v>
      </c>
      <c r="O209" s="11">
        <f t="shared" si="97"/>
        <v>0</v>
      </c>
      <c r="P209" s="11">
        <f t="shared" si="97"/>
        <v>0</v>
      </c>
      <c r="Q209" s="11">
        <f t="shared" si="97"/>
        <v>0</v>
      </c>
      <c r="R209" s="11">
        <f t="shared" si="97"/>
        <v>0</v>
      </c>
      <c r="S209" s="11">
        <f t="shared" si="98"/>
        <v>0</v>
      </c>
      <c r="T209" s="11">
        <f t="shared" si="98"/>
        <v>0</v>
      </c>
      <c r="U209" s="11">
        <f t="shared" si="98"/>
        <v>0</v>
      </c>
      <c r="V209" s="11">
        <f t="shared" si="98"/>
        <v>0</v>
      </c>
      <c r="W209" s="11">
        <f t="shared" ref="W209:W227" si="101">SUM(C209:V209)*D$11*C$11</f>
        <v>0</v>
      </c>
      <c r="X209" s="11">
        <f t="shared" si="99"/>
        <v>0</v>
      </c>
      <c r="Y209" s="11">
        <f t="shared" si="100"/>
        <v>0</v>
      </c>
      <c r="Z209" s="11">
        <f t="shared" ref="Z209:Z227" si="102">SUM(C209:V209)</f>
        <v>0</v>
      </c>
      <c r="AB209" s="474" t="s">
        <v>118</v>
      </c>
      <c r="AC209" s="474"/>
      <c r="AD209" s="474"/>
      <c r="AE209" s="474"/>
      <c r="AH209" s="11"/>
    </row>
    <row r="210" spans="1:34" x14ac:dyDescent="0.2">
      <c r="A210" s="463"/>
      <c r="B210" s="3">
        <v>3</v>
      </c>
      <c r="C210" s="11">
        <f t="shared" si="97"/>
        <v>0</v>
      </c>
      <c r="D210" s="11">
        <f t="shared" si="97"/>
        <v>0</v>
      </c>
      <c r="E210" s="11">
        <f t="shared" si="97"/>
        <v>0</v>
      </c>
      <c r="F210" s="11">
        <f t="shared" si="97"/>
        <v>0</v>
      </c>
      <c r="G210" s="11">
        <f t="shared" si="97"/>
        <v>0</v>
      </c>
      <c r="H210" s="11">
        <f t="shared" si="97"/>
        <v>0</v>
      </c>
      <c r="I210" s="11">
        <f t="shared" si="97"/>
        <v>0</v>
      </c>
      <c r="J210" s="11">
        <f t="shared" si="97"/>
        <v>0</v>
      </c>
      <c r="K210" s="11">
        <f t="shared" si="97"/>
        <v>0</v>
      </c>
      <c r="L210" s="11">
        <f t="shared" si="97"/>
        <v>0</v>
      </c>
      <c r="M210" s="11">
        <f t="shared" si="97"/>
        <v>0</v>
      </c>
      <c r="N210" s="11">
        <f t="shared" si="97"/>
        <v>0</v>
      </c>
      <c r="O210" s="11">
        <f t="shared" si="97"/>
        <v>0</v>
      </c>
      <c r="P210" s="11">
        <f t="shared" si="97"/>
        <v>0</v>
      </c>
      <c r="Q210" s="11">
        <f t="shared" si="97"/>
        <v>0</v>
      </c>
      <c r="R210" s="11">
        <f t="shared" si="97"/>
        <v>0</v>
      </c>
      <c r="S210" s="11">
        <f t="shared" si="98"/>
        <v>0</v>
      </c>
      <c r="T210" s="11">
        <f t="shared" si="98"/>
        <v>0</v>
      </c>
      <c r="U210" s="11">
        <f t="shared" si="98"/>
        <v>0</v>
      </c>
      <c r="V210" s="11">
        <f t="shared" si="98"/>
        <v>0</v>
      </c>
      <c r="W210" s="11">
        <f t="shared" si="101"/>
        <v>0</v>
      </c>
      <c r="X210" s="11">
        <f t="shared" si="99"/>
        <v>0</v>
      </c>
      <c r="Y210" s="11">
        <f t="shared" si="100"/>
        <v>0</v>
      </c>
      <c r="Z210" s="11">
        <f t="shared" si="102"/>
        <v>0</v>
      </c>
      <c r="AB210" s="474"/>
      <c r="AC210" s="474"/>
      <c r="AD210" s="474"/>
      <c r="AE210" s="474"/>
      <c r="AH210" s="11"/>
    </row>
    <row r="211" spans="1:34" x14ac:dyDescent="0.2">
      <c r="A211" s="463"/>
      <c r="B211" s="3">
        <v>4</v>
      </c>
      <c r="C211" s="11">
        <f t="shared" si="97"/>
        <v>0</v>
      </c>
      <c r="D211" s="11">
        <f t="shared" si="97"/>
        <v>0</v>
      </c>
      <c r="E211" s="11">
        <f t="shared" si="97"/>
        <v>0</v>
      </c>
      <c r="F211" s="11">
        <f t="shared" si="97"/>
        <v>0</v>
      </c>
      <c r="G211" s="11">
        <f t="shared" si="97"/>
        <v>0</v>
      </c>
      <c r="H211" s="11">
        <f t="shared" si="97"/>
        <v>0</v>
      </c>
      <c r="I211" s="11">
        <f t="shared" si="97"/>
        <v>0</v>
      </c>
      <c r="J211" s="11">
        <f t="shared" si="97"/>
        <v>0</v>
      </c>
      <c r="K211" s="11">
        <f t="shared" si="97"/>
        <v>0</v>
      </c>
      <c r="L211" s="11">
        <f t="shared" si="97"/>
        <v>0</v>
      </c>
      <c r="M211" s="11">
        <f t="shared" si="97"/>
        <v>0</v>
      </c>
      <c r="N211" s="11">
        <f t="shared" si="97"/>
        <v>0</v>
      </c>
      <c r="O211" s="11">
        <f t="shared" si="97"/>
        <v>0</v>
      </c>
      <c r="P211" s="11">
        <f t="shared" si="97"/>
        <v>0</v>
      </c>
      <c r="Q211" s="11">
        <f t="shared" si="97"/>
        <v>0</v>
      </c>
      <c r="R211" s="11">
        <f t="shared" si="97"/>
        <v>0</v>
      </c>
      <c r="S211" s="11">
        <f t="shared" si="98"/>
        <v>0</v>
      </c>
      <c r="T211" s="11">
        <f t="shared" si="98"/>
        <v>0</v>
      </c>
      <c r="U211" s="11">
        <f t="shared" si="98"/>
        <v>0</v>
      </c>
      <c r="V211" s="11">
        <f t="shared" si="98"/>
        <v>0</v>
      </c>
      <c r="W211" s="11">
        <f t="shared" si="101"/>
        <v>0</v>
      </c>
      <c r="X211" s="11">
        <f t="shared" si="99"/>
        <v>0</v>
      </c>
      <c r="Y211" s="11">
        <f t="shared" si="100"/>
        <v>0</v>
      </c>
      <c r="Z211" s="11">
        <f t="shared" si="102"/>
        <v>0</v>
      </c>
      <c r="AB211" s="474"/>
      <c r="AC211" s="474"/>
      <c r="AD211" s="474"/>
      <c r="AE211" s="474"/>
      <c r="AH211" s="11"/>
    </row>
    <row r="212" spans="1:34" x14ac:dyDescent="0.2">
      <c r="A212" s="463"/>
      <c r="B212" s="3">
        <v>5</v>
      </c>
      <c r="C212" s="11">
        <f t="shared" si="97"/>
        <v>0</v>
      </c>
      <c r="D212" s="11">
        <f t="shared" si="97"/>
        <v>0</v>
      </c>
      <c r="E212" s="11">
        <f t="shared" si="97"/>
        <v>0</v>
      </c>
      <c r="F212" s="11">
        <f t="shared" si="97"/>
        <v>0</v>
      </c>
      <c r="G212" s="11">
        <f t="shared" si="97"/>
        <v>0</v>
      </c>
      <c r="H212" s="11">
        <f t="shared" si="97"/>
        <v>0</v>
      </c>
      <c r="I212" s="11">
        <f t="shared" si="97"/>
        <v>0</v>
      </c>
      <c r="J212" s="11">
        <f t="shared" si="97"/>
        <v>0</v>
      </c>
      <c r="K212" s="11">
        <f t="shared" si="97"/>
        <v>0</v>
      </c>
      <c r="L212" s="11">
        <f t="shared" si="97"/>
        <v>0</v>
      </c>
      <c r="M212" s="11">
        <f t="shared" si="97"/>
        <v>0</v>
      </c>
      <c r="N212" s="11">
        <f t="shared" si="97"/>
        <v>0</v>
      </c>
      <c r="O212" s="11">
        <f t="shared" si="97"/>
        <v>0</v>
      </c>
      <c r="P212" s="11">
        <f t="shared" si="97"/>
        <v>0</v>
      </c>
      <c r="Q212" s="11">
        <f t="shared" si="97"/>
        <v>0</v>
      </c>
      <c r="R212" s="11">
        <f t="shared" si="97"/>
        <v>0</v>
      </c>
      <c r="S212" s="11">
        <f t="shared" si="98"/>
        <v>0</v>
      </c>
      <c r="T212" s="11">
        <f t="shared" si="98"/>
        <v>0</v>
      </c>
      <c r="U212" s="11">
        <f t="shared" si="98"/>
        <v>0</v>
      </c>
      <c r="V212" s="11">
        <f t="shared" si="98"/>
        <v>0</v>
      </c>
      <c r="W212" s="11">
        <f t="shared" si="101"/>
        <v>0</v>
      </c>
      <c r="X212" s="11">
        <f t="shared" si="99"/>
        <v>0</v>
      </c>
      <c r="Y212" s="11">
        <f t="shared" si="100"/>
        <v>0</v>
      </c>
      <c r="Z212" s="11">
        <f t="shared" si="102"/>
        <v>0</v>
      </c>
      <c r="AB212" s="474"/>
      <c r="AC212" s="474"/>
      <c r="AD212" s="474"/>
      <c r="AE212" s="474"/>
      <c r="AH212" s="11"/>
    </row>
    <row r="213" spans="1:34" x14ac:dyDescent="0.2">
      <c r="A213" s="463"/>
      <c r="B213" s="3">
        <v>6</v>
      </c>
      <c r="C213" s="11">
        <f t="shared" si="97"/>
        <v>0</v>
      </c>
      <c r="D213" s="11">
        <f t="shared" si="97"/>
        <v>0</v>
      </c>
      <c r="E213" s="11">
        <f t="shared" si="97"/>
        <v>0</v>
      </c>
      <c r="F213" s="11">
        <f t="shared" si="97"/>
        <v>0</v>
      </c>
      <c r="G213" s="11">
        <f t="shared" si="97"/>
        <v>0</v>
      </c>
      <c r="H213" s="11">
        <f t="shared" si="97"/>
        <v>0</v>
      </c>
      <c r="I213" s="11">
        <f t="shared" si="97"/>
        <v>0</v>
      </c>
      <c r="J213" s="11">
        <f t="shared" si="97"/>
        <v>0</v>
      </c>
      <c r="K213" s="11">
        <f t="shared" si="97"/>
        <v>0</v>
      </c>
      <c r="L213" s="11">
        <f t="shared" si="97"/>
        <v>0</v>
      </c>
      <c r="M213" s="11">
        <f t="shared" si="97"/>
        <v>0</v>
      </c>
      <c r="N213" s="11">
        <f t="shared" si="97"/>
        <v>0</v>
      </c>
      <c r="O213" s="11">
        <f t="shared" si="97"/>
        <v>0</v>
      </c>
      <c r="P213" s="11">
        <f t="shared" si="97"/>
        <v>0</v>
      </c>
      <c r="Q213" s="11">
        <f t="shared" si="97"/>
        <v>0</v>
      </c>
      <c r="R213" s="11">
        <f t="shared" si="97"/>
        <v>0</v>
      </c>
      <c r="S213" s="11">
        <f t="shared" si="98"/>
        <v>0</v>
      </c>
      <c r="T213" s="11">
        <f t="shared" si="98"/>
        <v>0</v>
      </c>
      <c r="U213" s="11">
        <f t="shared" si="98"/>
        <v>0</v>
      </c>
      <c r="V213" s="11">
        <f t="shared" si="98"/>
        <v>0</v>
      </c>
      <c r="W213" s="11">
        <f t="shared" si="101"/>
        <v>0</v>
      </c>
      <c r="X213" s="11">
        <f t="shared" si="99"/>
        <v>0</v>
      </c>
      <c r="Y213" s="11">
        <f t="shared" si="100"/>
        <v>0</v>
      </c>
      <c r="Z213" s="11">
        <f t="shared" si="102"/>
        <v>0</v>
      </c>
      <c r="AB213" s="474"/>
      <c r="AC213" s="474"/>
      <c r="AD213" s="474"/>
      <c r="AE213" s="474"/>
      <c r="AH213" s="11"/>
    </row>
    <row r="214" spans="1:34" x14ac:dyDescent="0.2">
      <c r="A214" s="463"/>
      <c r="B214" s="3">
        <v>7</v>
      </c>
      <c r="C214" s="11">
        <f t="shared" si="97"/>
        <v>0</v>
      </c>
      <c r="D214" s="11">
        <f t="shared" si="97"/>
        <v>0</v>
      </c>
      <c r="E214" s="11">
        <f t="shared" si="97"/>
        <v>0</v>
      </c>
      <c r="F214" s="11">
        <f t="shared" si="97"/>
        <v>0</v>
      </c>
      <c r="G214" s="11">
        <f t="shared" si="97"/>
        <v>0</v>
      </c>
      <c r="H214" s="11">
        <f t="shared" si="97"/>
        <v>0</v>
      </c>
      <c r="I214" s="11">
        <f t="shared" si="97"/>
        <v>0</v>
      </c>
      <c r="J214" s="11">
        <f t="shared" si="97"/>
        <v>0</v>
      </c>
      <c r="K214" s="11">
        <f t="shared" si="97"/>
        <v>0</v>
      </c>
      <c r="L214" s="11">
        <f t="shared" si="97"/>
        <v>0</v>
      </c>
      <c r="M214" s="11">
        <f t="shared" si="97"/>
        <v>0</v>
      </c>
      <c r="N214" s="11">
        <f t="shared" si="97"/>
        <v>0</v>
      </c>
      <c r="O214" s="11">
        <f t="shared" si="97"/>
        <v>0</v>
      </c>
      <c r="P214" s="11">
        <f t="shared" si="97"/>
        <v>0</v>
      </c>
      <c r="Q214" s="11">
        <f t="shared" si="97"/>
        <v>0</v>
      </c>
      <c r="R214" s="11">
        <f t="shared" si="97"/>
        <v>0</v>
      </c>
      <c r="S214" s="11">
        <f t="shared" si="98"/>
        <v>0</v>
      </c>
      <c r="T214" s="11">
        <f t="shared" si="98"/>
        <v>0</v>
      </c>
      <c r="U214" s="11">
        <f t="shared" si="98"/>
        <v>0</v>
      </c>
      <c r="V214" s="11">
        <f t="shared" si="98"/>
        <v>0</v>
      </c>
      <c r="W214" s="11">
        <f t="shared" si="101"/>
        <v>0</v>
      </c>
      <c r="X214" s="11">
        <f t="shared" si="99"/>
        <v>0</v>
      </c>
      <c r="Y214" s="11">
        <f t="shared" si="100"/>
        <v>0</v>
      </c>
      <c r="Z214" s="11">
        <f t="shared" si="102"/>
        <v>0</v>
      </c>
      <c r="AB214" s="474"/>
      <c r="AC214" s="474"/>
      <c r="AD214" s="474"/>
      <c r="AE214" s="474"/>
      <c r="AH214" s="11"/>
    </row>
    <row r="215" spans="1:34" ht="16" customHeight="1" x14ac:dyDescent="0.2">
      <c r="A215" s="463"/>
      <c r="B215" s="3">
        <v>8</v>
      </c>
      <c r="C215" s="11">
        <f t="shared" si="97"/>
        <v>0</v>
      </c>
      <c r="D215" s="11">
        <f t="shared" si="97"/>
        <v>0</v>
      </c>
      <c r="E215" s="11">
        <f t="shared" si="97"/>
        <v>0</v>
      </c>
      <c r="F215" s="11">
        <f t="shared" si="97"/>
        <v>0</v>
      </c>
      <c r="G215" s="11">
        <f t="shared" si="97"/>
        <v>0</v>
      </c>
      <c r="H215" s="11">
        <f t="shared" si="97"/>
        <v>0</v>
      </c>
      <c r="I215" s="11">
        <f t="shared" si="97"/>
        <v>0</v>
      </c>
      <c r="J215" s="11">
        <f t="shared" si="97"/>
        <v>0</v>
      </c>
      <c r="K215" s="11">
        <f t="shared" si="97"/>
        <v>0</v>
      </c>
      <c r="L215" s="11">
        <f t="shared" si="97"/>
        <v>0</v>
      </c>
      <c r="M215" s="11">
        <f t="shared" si="97"/>
        <v>0</v>
      </c>
      <c r="N215" s="11">
        <f t="shared" si="97"/>
        <v>0</v>
      </c>
      <c r="O215" s="11">
        <f t="shared" si="97"/>
        <v>0</v>
      </c>
      <c r="P215" s="11">
        <f t="shared" si="97"/>
        <v>0</v>
      </c>
      <c r="Q215" s="11">
        <f t="shared" si="97"/>
        <v>0</v>
      </c>
      <c r="R215" s="11">
        <f t="shared" si="97"/>
        <v>0</v>
      </c>
      <c r="S215" s="11">
        <f t="shared" si="98"/>
        <v>0</v>
      </c>
      <c r="T215" s="11">
        <f t="shared" si="98"/>
        <v>0</v>
      </c>
      <c r="U215" s="11">
        <f t="shared" si="98"/>
        <v>0</v>
      </c>
      <c r="V215" s="11">
        <f t="shared" si="98"/>
        <v>0</v>
      </c>
      <c r="W215" s="11">
        <f t="shared" si="101"/>
        <v>0</v>
      </c>
      <c r="X215" s="11">
        <f t="shared" si="99"/>
        <v>0</v>
      </c>
      <c r="Y215" s="11">
        <f t="shared" si="100"/>
        <v>0</v>
      </c>
      <c r="Z215" s="11">
        <f t="shared" si="102"/>
        <v>0</v>
      </c>
      <c r="AC215" s="31"/>
      <c r="AD215" s="31"/>
      <c r="AE215" s="31"/>
      <c r="AH215" s="11"/>
    </row>
    <row r="216" spans="1:34" x14ac:dyDescent="0.2">
      <c r="A216" s="463"/>
      <c r="B216" s="3">
        <v>9</v>
      </c>
      <c r="C216" s="11">
        <f t="shared" si="97"/>
        <v>0</v>
      </c>
      <c r="D216" s="11">
        <f t="shared" si="97"/>
        <v>0</v>
      </c>
      <c r="E216" s="11">
        <f t="shared" si="97"/>
        <v>0</v>
      </c>
      <c r="F216" s="11">
        <f t="shared" si="97"/>
        <v>0</v>
      </c>
      <c r="G216" s="11">
        <f t="shared" si="97"/>
        <v>0</v>
      </c>
      <c r="H216" s="11">
        <f t="shared" si="97"/>
        <v>0</v>
      </c>
      <c r="I216" s="11">
        <f t="shared" si="97"/>
        <v>0</v>
      </c>
      <c r="J216" s="11">
        <f t="shared" si="97"/>
        <v>0</v>
      </c>
      <c r="K216" s="11">
        <f t="shared" si="97"/>
        <v>0</v>
      </c>
      <c r="L216" s="11">
        <f t="shared" si="97"/>
        <v>0</v>
      </c>
      <c r="M216" s="11">
        <f t="shared" si="97"/>
        <v>0</v>
      </c>
      <c r="N216" s="11">
        <f t="shared" si="97"/>
        <v>0</v>
      </c>
      <c r="O216" s="11">
        <f t="shared" si="97"/>
        <v>0</v>
      </c>
      <c r="P216" s="11">
        <f t="shared" si="97"/>
        <v>0</v>
      </c>
      <c r="Q216" s="11">
        <f t="shared" si="97"/>
        <v>0</v>
      </c>
      <c r="R216" s="11">
        <f t="shared" si="97"/>
        <v>0</v>
      </c>
      <c r="S216" s="11">
        <f t="shared" si="98"/>
        <v>0</v>
      </c>
      <c r="T216" s="11">
        <f t="shared" si="98"/>
        <v>0</v>
      </c>
      <c r="U216" s="11">
        <f t="shared" si="98"/>
        <v>0</v>
      </c>
      <c r="V216" s="11">
        <f t="shared" si="98"/>
        <v>0</v>
      </c>
      <c r="W216" s="11">
        <f t="shared" si="101"/>
        <v>0</v>
      </c>
      <c r="X216" s="11">
        <f t="shared" si="99"/>
        <v>0</v>
      </c>
      <c r="Y216" s="11">
        <f t="shared" si="100"/>
        <v>0</v>
      </c>
      <c r="Z216" s="11">
        <f t="shared" si="102"/>
        <v>0</v>
      </c>
      <c r="AB216" s="31"/>
      <c r="AC216" s="31"/>
      <c r="AD216" s="31"/>
      <c r="AE216" s="31"/>
      <c r="AH216" s="11"/>
    </row>
    <row r="217" spans="1:34" x14ac:dyDescent="0.2">
      <c r="A217" s="463"/>
      <c r="B217" s="3">
        <v>10</v>
      </c>
      <c r="C217" s="11">
        <f t="shared" si="97"/>
        <v>0</v>
      </c>
      <c r="D217" s="11">
        <f t="shared" si="97"/>
        <v>0</v>
      </c>
      <c r="E217" s="11">
        <f t="shared" si="97"/>
        <v>0</v>
      </c>
      <c r="F217" s="11">
        <f t="shared" si="97"/>
        <v>0</v>
      </c>
      <c r="G217" s="11">
        <f t="shared" si="97"/>
        <v>0</v>
      </c>
      <c r="H217" s="11">
        <f t="shared" si="97"/>
        <v>0</v>
      </c>
      <c r="I217" s="11">
        <f t="shared" si="97"/>
        <v>0</v>
      </c>
      <c r="J217" s="11">
        <f t="shared" si="97"/>
        <v>0</v>
      </c>
      <c r="K217" s="11">
        <f t="shared" si="97"/>
        <v>0</v>
      </c>
      <c r="L217" s="11">
        <f t="shared" si="97"/>
        <v>0</v>
      </c>
      <c r="M217" s="11">
        <f t="shared" si="97"/>
        <v>0</v>
      </c>
      <c r="N217" s="11">
        <f t="shared" si="97"/>
        <v>0</v>
      </c>
      <c r="O217" s="11">
        <f t="shared" si="97"/>
        <v>0</v>
      </c>
      <c r="P217" s="11">
        <f t="shared" si="97"/>
        <v>0</v>
      </c>
      <c r="Q217" s="11">
        <f t="shared" si="97"/>
        <v>0</v>
      </c>
      <c r="R217" s="11">
        <f t="shared" si="97"/>
        <v>0</v>
      </c>
      <c r="S217" s="11">
        <f t="shared" si="98"/>
        <v>0</v>
      </c>
      <c r="T217" s="11">
        <f t="shared" si="98"/>
        <v>0</v>
      </c>
      <c r="U217" s="11">
        <f t="shared" si="98"/>
        <v>0</v>
      </c>
      <c r="V217" s="11">
        <f t="shared" si="98"/>
        <v>0</v>
      </c>
      <c r="W217" s="11">
        <f t="shared" si="101"/>
        <v>0</v>
      </c>
      <c r="X217" s="11">
        <f t="shared" si="99"/>
        <v>0</v>
      </c>
      <c r="Y217" s="11">
        <f t="shared" si="100"/>
        <v>0</v>
      </c>
      <c r="Z217" s="11">
        <f t="shared" si="102"/>
        <v>0</v>
      </c>
      <c r="AB217" s="86"/>
      <c r="AC217" s="86"/>
      <c r="AD217" s="86"/>
      <c r="AE217" s="86"/>
      <c r="AH217" s="11"/>
    </row>
    <row r="218" spans="1:34" x14ac:dyDescent="0.2">
      <c r="A218" s="463"/>
      <c r="B218" s="3">
        <v>11</v>
      </c>
      <c r="C218" s="11">
        <f t="shared" si="97"/>
        <v>0</v>
      </c>
      <c r="D218" s="11">
        <f t="shared" si="97"/>
        <v>0</v>
      </c>
      <c r="E218" s="11">
        <f t="shared" si="97"/>
        <v>0</v>
      </c>
      <c r="F218" s="11">
        <f t="shared" si="97"/>
        <v>0</v>
      </c>
      <c r="G218" s="11">
        <f t="shared" si="97"/>
        <v>0</v>
      </c>
      <c r="H218" s="11">
        <f t="shared" si="97"/>
        <v>0</v>
      </c>
      <c r="I218" s="11">
        <f t="shared" si="97"/>
        <v>0</v>
      </c>
      <c r="J218" s="11">
        <f t="shared" si="97"/>
        <v>0</v>
      </c>
      <c r="K218" s="11">
        <f t="shared" si="97"/>
        <v>0</v>
      </c>
      <c r="L218" s="11">
        <f t="shared" si="97"/>
        <v>0</v>
      </c>
      <c r="M218" s="11">
        <f t="shared" si="97"/>
        <v>0</v>
      </c>
      <c r="N218" s="11">
        <f t="shared" si="97"/>
        <v>0</v>
      </c>
      <c r="O218" s="11">
        <f t="shared" si="97"/>
        <v>0</v>
      </c>
      <c r="P218" s="11">
        <f t="shared" si="97"/>
        <v>0</v>
      </c>
      <c r="Q218" s="11">
        <f t="shared" si="97"/>
        <v>0</v>
      </c>
      <c r="R218" s="11">
        <f t="shared" si="97"/>
        <v>0</v>
      </c>
      <c r="S218" s="11">
        <f t="shared" si="98"/>
        <v>0</v>
      </c>
      <c r="T218" s="11">
        <f t="shared" si="98"/>
        <v>0</v>
      </c>
      <c r="U218" s="11">
        <f t="shared" si="98"/>
        <v>0</v>
      </c>
      <c r="V218" s="11">
        <f t="shared" si="98"/>
        <v>0</v>
      </c>
      <c r="W218" s="11">
        <f t="shared" si="101"/>
        <v>0</v>
      </c>
      <c r="X218" s="11">
        <f t="shared" si="99"/>
        <v>0</v>
      </c>
      <c r="Y218" s="11">
        <f t="shared" si="100"/>
        <v>0</v>
      </c>
      <c r="Z218" s="11">
        <f t="shared" si="102"/>
        <v>0</v>
      </c>
      <c r="AB218" s="86"/>
      <c r="AC218" s="86"/>
      <c r="AD218" s="86"/>
      <c r="AE218" s="86"/>
      <c r="AH218" s="11"/>
    </row>
    <row r="219" spans="1:34" x14ac:dyDescent="0.2">
      <c r="A219" s="463"/>
      <c r="B219" s="3">
        <v>12</v>
      </c>
      <c r="C219" s="11">
        <f t="shared" si="97"/>
        <v>0</v>
      </c>
      <c r="D219" s="11">
        <f t="shared" si="97"/>
        <v>0</v>
      </c>
      <c r="E219" s="11">
        <f t="shared" si="97"/>
        <v>0</v>
      </c>
      <c r="F219" s="11">
        <f t="shared" si="97"/>
        <v>0</v>
      </c>
      <c r="G219" s="11">
        <f t="shared" si="97"/>
        <v>0</v>
      </c>
      <c r="H219" s="11">
        <f t="shared" si="97"/>
        <v>0</v>
      </c>
      <c r="I219" s="11">
        <f t="shared" si="97"/>
        <v>0</v>
      </c>
      <c r="J219" s="11">
        <f t="shared" si="97"/>
        <v>0</v>
      </c>
      <c r="K219" s="11">
        <f t="shared" si="97"/>
        <v>0</v>
      </c>
      <c r="L219" s="11">
        <f t="shared" si="97"/>
        <v>0</v>
      </c>
      <c r="M219" s="11">
        <f t="shared" si="97"/>
        <v>0</v>
      </c>
      <c r="N219" s="11">
        <f t="shared" si="97"/>
        <v>0</v>
      </c>
      <c r="O219" s="11">
        <f t="shared" si="97"/>
        <v>0</v>
      </c>
      <c r="P219" s="11">
        <f t="shared" si="97"/>
        <v>0</v>
      </c>
      <c r="Q219" s="11">
        <f t="shared" si="97"/>
        <v>0</v>
      </c>
      <c r="R219" s="11">
        <f t="shared" si="97"/>
        <v>0</v>
      </c>
      <c r="S219" s="11">
        <f t="shared" si="98"/>
        <v>0</v>
      </c>
      <c r="T219" s="11">
        <f t="shared" si="98"/>
        <v>0</v>
      </c>
      <c r="U219" s="11">
        <f t="shared" si="98"/>
        <v>0</v>
      </c>
      <c r="V219" s="11">
        <f t="shared" si="98"/>
        <v>0</v>
      </c>
      <c r="W219" s="11">
        <f t="shared" si="101"/>
        <v>0</v>
      </c>
      <c r="X219" s="11">
        <f t="shared" si="99"/>
        <v>0</v>
      </c>
      <c r="Y219" s="11">
        <f t="shared" si="100"/>
        <v>0</v>
      </c>
      <c r="Z219" s="11">
        <f t="shared" si="102"/>
        <v>0</v>
      </c>
      <c r="AB219" s="86"/>
      <c r="AC219" s="86"/>
      <c r="AD219" s="86"/>
      <c r="AE219" s="86"/>
      <c r="AH219" s="11"/>
    </row>
    <row r="220" spans="1:34" x14ac:dyDescent="0.2">
      <c r="A220" s="463"/>
      <c r="B220" s="3">
        <v>13</v>
      </c>
      <c r="C220" s="11">
        <f t="shared" si="97"/>
        <v>0</v>
      </c>
      <c r="D220" s="11">
        <f t="shared" si="97"/>
        <v>0</v>
      </c>
      <c r="E220" s="11">
        <f t="shared" si="97"/>
        <v>0</v>
      </c>
      <c r="F220" s="11">
        <f t="shared" si="97"/>
        <v>0</v>
      </c>
      <c r="G220" s="11">
        <f t="shared" si="97"/>
        <v>0</v>
      </c>
      <c r="H220" s="11">
        <f t="shared" si="97"/>
        <v>0</v>
      </c>
      <c r="I220" s="11">
        <f t="shared" si="97"/>
        <v>0</v>
      </c>
      <c r="J220" s="11">
        <f t="shared" si="97"/>
        <v>0</v>
      </c>
      <c r="K220" s="11">
        <f t="shared" si="97"/>
        <v>0</v>
      </c>
      <c r="L220" s="11">
        <f t="shared" si="97"/>
        <v>0</v>
      </c>
      <c r="M220" s="11">
        <f t="shared" si="97"/>
        <v>0</v>
      </c>
      <c r="N220" s="11">
        <f t="shared" si="97"/>
        <v>0</v>
      </c>
      <c r="O220" s="11">
        <f t="shared" si="97"/>
        <v>0</v>
      </c>
      <c r="P220" s="11">
        <f t="shared" si="97"/>
        <v>0</v>
      </c>
      <c r="Q220" s="11">
        <f t="shared" si="97"/>
        <v>0</v>
      </c>
      <c r="R220" s="11">
        <f t="shared" si="97"/>
        <v>0</v>
      </c>
      <c r="S220" s="11">
        <f t="shared" si="98"/>
        <v>0</v>
      </c>
      <c r="T220" s="11">
        <f t="shared" si="98"/>
        <v>0</v>
      </c>
      <c r="U220" s="11">
        <f t="shared" si="98"/>
        <v>0</v>
      </c>
      <c r="V220" s="11">
        <f t="shared" si="98"/>
        <v>0</v>
      </c>
      <c r="W220" s="11">
        <f t="shared" si="101"/>
        <v>0</v>
      </c>
      <c r="X220" s="11">
        <f t="shared" si="99"/>
        <v>0</v>
      </c>
      <c r="Y220" s="11">
        <f t="shared" si="100"/>
        <v>0</v>
      </c>
      <c r="Z220" s="11">
        <f t="shared" si="102"/>
        <v>0</v>
      </c>
      <c r="AB220" s="86"/>
      <c r="AC220" s="86"/>
      <c r="AD220" s="86"/>
      <c r="AE220" s="86"/>
      <c r="AH220" s="11"/>
    </row>
    <row r="221" spans="1:34" x14ac:dyDescent="0.2">
      <c r="A221" s="463"/>
      <c r="B221" s="3">
        <v>14</v>
      </c>
      <c r="C221" s="11">
        <f t="shared" si="97"/>
        <v>0</v>
      </c>
      <c r="D221" s="11">
        <f t="shared" si="97"/>
        <v>0</v>
      </c>
      <c r="E221" s="11">
        <f t="shared" si="97"/>
        <v>0</v>
      </c>
      <c r="F221" s="11">
        <f t="shared" si="97"/>
        <v>0</v>
      </c>
      <c r="G221" s="11">
        <f t="shared" si="97"/>
        <v>0</v>
      </c>
      <c r="H221" s="11">
        <f t="shared" si="97"/>
        <v>0</v>
      </c>
      <c r="I221" s="11">
        <f t="shared" si="97"/>
        <v>0</v>
      </c>
      <c r="J221" s="11">
        <f t="shared" si="97"/>
        <v>0</v>
      </c>
      <c r="K221" s="11">
        <f t="shared" si="97"/>
        <v>0</v>
      </c>
      <c r="L221" s="11">
        <f t="shared" si="97"/>
        <v>0</v>
      </c>
      <c r="M221" s="11">
        <f t="shared" si="97"/>
        <v>0</v>
      </c>
      <c r="N221" s="11">
        <f t="shared" si="97"/>
        <v>0</v>
      </c>
      <c r="O221" s="11">
        <f t="shared" si="97"/>
        <v>0</v>
      </c>
      <c r="P221" s="11">
        <f t="shared" si="97"/>
        <v>0</v>
      </c>
      <c r="Q221" s="11">
        <f t="shared" si="97"/>
        <v>0</v>
      </c>
      <c r="R221" s="11">
        <f t="shared" si="97"/>
        <v>0</v>
      </c>
      <c r="S221" s="11">
        <f t="shared" si="98"/>
        <v>0</v>
      </c>
      <c r="T221" s="11">
        <f t="shared" si="98"/>
        <v>0</v>
      </c>
      <c r="U221" s="11">
        <f t="shared" si="98"/>
        <v>0</v>
      </c>
      <c r="V221" s="11">
        <f t="shared" si="98"/>
        <v>0</v>
      </c>
      <c r="W221" s="11">
        <f t="shared" si="101"/>
        <v>0</v>
      </c>
      <c r="X221" s="11">
        <f t="shared" si="99"/>
        <v>0</v>
      </c>
      <c r="Y221" s="11">
        <f t="shared" si="100"/>
        <v>0</v>
      </c>
      <c r="Z221" s="11">
        <f t="shared" si="102"/>
        <v>0</v>
      </c>
      <c r="AB221" s="86"/>
      <c r="AC221" s="86"/>
      <c r="AD221" s="86"/>
      <c r="AE221" s="86"/>
      <c r="AH221" s="11"/>
    </row>
    <row r="222" spans="1:34" x14ac:dyDescent="0.2">
      <c r="A222" s="463"/>
      <c r="B222" s="3">
        <v>15</v>
      </c>
      <c r="C222" s="11">
        <f t="shared" si="97"/>
        <v>0</v>
      </c>
      <c r="D222" s="11">
        <f t="shared" si="97"/>
        <v>0</v>
      </c>
      <c r="E222" s="11">
        <f t="shared" si="97"/>
        <v>0</v>
      </c>
      <c r="F222" s="11">
        <f t="shared" si="97"/>
        <v>0</v>
      </c>
      <c r="G222" s="11">
        <f t="shared" si="97"/>
        <v>0</v>
      </c>
      <c r="H222" s="11">
        <f t="shared" si="97"/>
        <v>0</v>
      </c>
      <c r="I222" s="11">
        <f t="shared" si="97"/>
        <v>0</v>
      </c>
      <c r="J222" s="11">
        <f t="shared" si="97"/>
        <v>0</v>
      </c>
      <c r="K222" s="11">
        <f t="shared" si="97"/>
        <v>0</v>
      </c>
      <c r="L222" s="11">
        <f t="shared" si="97"/>
        <v>0</v>
      </c>
      <c r="M222" s="11">
        <f t="shared" si="97"/>
        <v>0</v>
      </c>
      <c r="N222" s="11">
        <f t="shared" si="97"/>
        <v>0</v>
      </c>
      <c r="O222" s="11">
        <f t="shared" si="97"/>
        <v>0</v>
      </c>
      <c r="P222" s="11">
        <f t="shared" si="97"/>
        <v>0</v>
      </c>
      <c r="Q222" s="11">
        <f t="shared" si="97"/>
        <v>0</v>
      </c>
      <c r="R222" s="11">
        <f t="shared" si="97"/>
        <v>0</v>
      </c>
      <c r="S222" s="11">
        <f t="shared" si="98"/>
        <v>0</v>
      </c>
      <c r="T222" s="11">
        <f t="shared" si="98"/>
        <v>0</v>
      </c>
      <c r="U222" s="11">
        <f t="shared" si="98"/>
        <v>0</v>
      </c>
      <c r="V222" s="11">
        <f t="shared" si="98"/>
        <v>0</v>
      </c>
      <c r="W222" s="11">
        <f t="shared" si="101"/>
        <v>0</v>
      </c>
      <c r="X222" s="11">
        <f t="shared" si="99"/>
        <v>0</v>
      </c>
      <c r="Y222" s="11">
        <f t="shared" si="100"/>
        <v>0</v>
      </c>
      <c r="Z222" s="11">
        <f t="shared" si="102"/>
        <v>0</v>
      </c>
      <c r="AH222" s="11"/>
    </row>
    <row r="223" spans="1:34" x14ac:dyDescent="0.2">
      <c r="A223" s="463"/>
      <c r="B223" s="3">
        <v>16</v>
      </c>
      <c r="C223" s="11">
        <f t="shared" si="97"/>
        <v>0</v>
      </c>
      <c r="D223" s="11">
        <f t="shared" si="97"/>
        <v>0</v>
      </c>
      <c r="E223" s="11">
        <f t="shared" si="97"/>
        <v>0</v>
      </c>
      <c r="F223" s="11">
        <f t="shared" si="97"/>
        <v>0</v>
      </c>
      <c r="G223" s="11">
        <f t="shared" si="97"/>
        <v>0</v>
      </c>
      <c r="H223" s="11">
        <f t="shared" si="97"/>
        <v>0</v>
      </c>
      <c r="I223" s="11">
        <f t="shared" si="97"/>
        <v>0</v>
      </c>
      <c r="J223" s="11">
        <f t="shared" si="97"/>
        <v>0</v>
      </c>
      <c r="K223" s="11">
        <f t="shared" si="97"/>
        <v>0</v>
      </c>
      <c r="L223" s="11">
        <f t="shared" si="97"/>
        <v>0</v>
      </c>
      <c r="M223" s="11">
        <f t="shared" si="97"/>
        <v>0</v>
      </c>
      <c r="N223" s="11">
        <f t="shared" si="97"/>
        <v>0</v>
      </c>
      <c r="O223" s="11">
        <f t="shared" si="97"/>
        <v>0</v>
      </c>
      <c r="P223" s="11">
        <f t="shared" si="97"/>
        <v>0</v>
      </c>
      <c r="Q223" s="11">
        <f t="shared" si="97"/>
        <v>0</v>
      </c>
      <c r="R223" s="11">
        <f t="shared" ref="R223:R227" si="103">(R$202)*IF($B223&gt;=R$200,IF($B223=R$200,$E$19,VLOOKUP($B223-R$200,$B$19:$E$49,4,FALSE)),0)</f>
        <v>0</v>
      </c>
      <c r="S223" s="11">
        <f t="shared" si="98"/>
        <v>0</v>
      </c>
      <c r="T223" s="11">
        <f t="shared" si="98"/>
        <v>0</v>
      </c>
      <c r="U223" s="11">
        <f t="shared" si="98"/>
        <v>0</v>
      </c>
      <c r="V223" s="11">
        <f t="shared" si="98"/>
        <v>0</v>
      </c>
      <c r="W223" s="11">
        <f t="shared" si="101"/>
        <v>0</v>
      </c>
      <c r="X223" s="11">
        <f t="shared" si="99"/>
        <v>0</v>
      </c>
      <c r="Y223" s="11">
        <f t="shared" si="100"/>
        <v>0</v>
      </c>
      <c r="Z223" s="11">
        <f t="shared" si="102"/>
        <v>0</v>
      </c>
      <c r="AH223" s="11"/>
    </row>
    <row r="224" spans="1:34" x14ac:dyDescent="0.2">
      <c r="A224" s="463"/>
      <c r="B224" s="3">
        <v>17</v>
      </c>
      <c r="C224" s="11">
        <f t="shared" ref="C224:Q227" si="104">(C$202)*IF($B224&gt;=C$200,IF($B224=C$200,$E$19,VLOOKUP($B224-C$200,$B$19:$E$49,4,FALSE)),0)</f>
        <v>0</v>
      </c>
      <c r="D224" s="11">
        <f t="shared" si="104"/>
        <v>0</v>
      </c>
      <c r="E224" s="11">
        <f t="shared" si="104"/>
        <v>0</v>
      </c>
      <c r="F224" s="11">
        <f t="shared" si="104"/>
        <v>0</v>
      </c>
      <c r="G224" s="11">
        <f t="shared" si="104"/>
        <v>0</v>
      </c>
      <c r="H224" s="11">
        <f t="shared" si="104"/>
        <v>0</v>
      </c>
      <c r="I224" s="11">
        <f t="shared" si="104"/>
        <v>0</v>
      </c>
      <c r="J224" s="11">
        <f t="shared" si="104"/>
        <v>0</v>
      </c>
      <c r="K224" s="11">
        <f t="shared" si="104"/>
        <v>0</v>
      </c>
      <c r="L224" s="11">
        <f t="shared" si="104"/>
        <v>0</v>
      </c>
      <c r="M224" s="11">
        <f t="shared" si="104"/>
        <v>0</v>
      </c>
      <c r="N224" s="11">
        <f t="shared" si="104"/>
        <v>0</v>
      </c>
      <c r="O224" s="11">
        <f t="shared" si="104"/>
        <v>0</v>
      </c>
      <c r="P224" s="11">
        <f t="shared" si="104"/>
        <v>0</v>
      </c>
      <c r="Q224" s="11">
        <f t="shared" si="104"/>
        <v>0</v>
      </c>
      <c r="R224" s="11">
        <f t="shared" si="103"/>
        <v>0</v>
      </c>
      <c r="S224" s="11">
        <f t="shared" si="98"/>
        <v>0</v>
      </c>
      <c r="T224" s="11">
        <f t="shared" si="98"/>
        <v>0</v>
      </c>
      <c r="U224" s="11">
        <f t="shared" si="98"/>
        <v>0</v>
      </c>
      <c r="V224" s="11">
        <f t="shared" si="98"/>
        <v>0</v>
      </c>
      <c r="W224" s="11">
        <f t="shared" si="101"/>
        <v>0</v>
      </c>
      <c r="X224" s="11">
        <f t="shared" si="99"/>
        <v>0</v>
      </c>
      <c r="Y224" s="11">
        <f t="shared" si="100"/>
        <v>0</v>
      </c>
      <c r="Z224" s="11">
        <f t="shared" si="102"/>
        <v>0</v>
      </c>
      <c r="AH224" s="11"/>
    </row>
    <row r="225" spans="1:52" x14ac:dyDescent="0.2">
      <c r="A225" s="463"/>
      <c r="B225" s="3">
        <v>18</v>
      </c>
      <c r="C225" s="11">
        <f t="shared" si="104"/>
        <v>0</v>
      </c>
      <c r="D225" s="11">
        <f t="shared" si="104"/>
        <v>0</v>
      </c>
      <c r="E225" s="11">
        <f t="shared" si="104"/>
        <v>0</v>
      </c>
      <c r="F225" s="11">
        <f t="shared" si="104"/>
        <v>0</v>
      </c>
      <c r="G225" s="11">
        <f t="shared" si="104"/>
        <v>0</v>
      </c>
      <c r="H225" s="11">
        <f t="shared" si="104"/>
        <v>0</v>
      </c>
      <c r="I225" s="11">
        <f t="shared" si="104"/>
        <v>0</v>
      </c>
      <c r="J225" s="11">
        <f t="shared" si="104"/>
        <v>0</v>
      </c>
      <c r="K225" s="11">
        <f t="shared" si="104"/>
        <v>0</v>
      </c>
      <c r="L225" s="11">
        <f t="shared" si="104"/>
        <v>0</v>
      </c>
      <c r="M225" s="11">
        <f t="shared" si="104"/>
        <v>0</v>
      </c>
      <c r="N225" s="11">
        <f t="shared" si="104"/>
        <v>0</v>
      </c>
      <c r="O225" s="11">
        <f t="shared" si="104"/>
        <v>0</v>
      </c>
      <c r="P225" s="11">
        <f t="shared" si="104"/>
        <v>0</v>
      </c>
      <c r="Q225" s="11">
        <f t="shared" si="104"/>
        <v>0</v>
      </c>
      <c r="R225" s="11">
        <f t="shared" si="103"/>
        <v>0</v>
      </c>
      <c r="S225" s="11">
        <f t="shared" si="98"/>
        <v>0</v>
      </c>
      <c r="T225" s="11">
        <f t="shared" si="98"/>
        <v>0</v>
      </c>
      <c r="U225" s="11">
        <f t="shared" si="98"/>
        <v>0</v>
      </c>
      <c r="V225" s="11">
        <f t="shared" si="98"/>
        <v>0</v>
      </c>
      <c r="W225" s="11">
        <f t="shared" si="101"/>
        <v>0</v>
      </c>
      <c r="X225" s="11">
        <f t="shared" si="99"/>
        <v>0</v>
      </c>
      <c r="Y225" s="11">
        <f t="shared" si="100"/>
        <v>0</v>
      </c>
      <c r="Z225" s="11">
        <f t="shared" si="102"/>
        <v>0</v>
      </c>
      <c r="AH225" s="11"/>
    </row>
    <row r="226" spans="1:52" x14ac:dyDescent="0.2">
      <c r="A226" s="463"/>
      <c r="B226" s="3">
        <v>19</v>
      </c>
      <c r="C226" s="11">
        <f t="shared" si="104"/>
        <v>0</v>
      </c>
      <c r="D226" s="11">
        <f t="shared" si="104"/>
        <v>0</v>
      </c>
      <c r="E226" s="11">
        <f t="shared" si="104"/>
        <v>0</v>
      </c>
      <c r="F226" s="11">
        <f t="shared" si="104"/>
        <v>0</v>
      </c>
      <c r="G226" s="11">
        <f t="shared" si="104"/>
        <v>0</v>
      </c>
      <c r="H226" s="11">
        <f t="shared" si="104"/>
        <v>0</v>
      </c>
      <c r="I226" s="11">
        <f t="shared" si="104"/>
        <v>0</v>
      </c>
      <c r="J226" s="11">
        <f t="shared" si="104"/>
        <v>0</v>
      </c>
      <c r="K226" s="11">
        <f t="shared" si="104"/>
        <v>0</v>
      </c>
      <c r="L226" s="11">
        <f t="shared" si="104"/>
        <v>0</v>
      </c>
      <c r="M226" s="11">
        <f t="shared" si="104"/>
        <v>0</v>
      </c>
      <c r="N226" s="11">
        <f t="shared" si="104"/>
        <v>0</v>
      </c>
      <c r="O226" s="11">
        <f t="shared" si="104"/>
        <v>0</v>
      </c>
      <c r="P226" s="11">
        <f t="shared" si="104"/>
        <v>0</v>
      </c>
      <c r="Q226" s="11">
        <f t="shared" si="104"/>
        <v>0</v>
      </c>
      <c r="R226" s="11">
        <f t="shared" si="103"/>
        <v>0</v>
      </c>
      <c r="S226" s="11">
        <f t="shared" si="98"/>
        <v>0</v>
      </c>
      <c r="T226" s="11">
        <f t="shared" si="98"/>
        <v>0</v>
      </c>
      <c r="U226" s="11">
        <f t="shared" si="98"/>
        <v>0</v>
      </c>
      <c r="V226" s="11">
        <f t="shared" si="98"/>
        <v>0</v>
      </c>
      <c r="W226" s="11">
        <f t="shared" si="101"/>
        <v>0</v>
      </c>
      <c r="X226" s="11">
        <f t="shared" si="99"/>
        <v>0</v>
      </c>
      <c r="Y226" s="11">
        <f t="shared" si="100"/>
        <v>0</v>
      </c>
      <c r="Z226" s="11">
        <f t="shared" si="102"/>
        <v>0</v>
      </c>
      <c r="AH226" s="11"/>
    </row>
    <row r="227" spans="1:52" x14ac:dyDescent="0.2">
      <c r="A227" s="463"/>
      <c r="B227" s="3">
        <v>20</v>
      </c>
      <c r="C227" s="11">
        <f t="shared" si="104"/>
        <v>0</v>
      </c>
      <c r="D227" s="11">
        <f t="shared" si="104"/>
        <v>0</v>
      </c>
      <c r="E227" s="11">
        <f t="shared" si="104"/>
        <v>0</v>
      </c>
      <c r="F227" s="11">
        <f t="shared" si="104"/>
        <v>0</v>
      </c>
      <c r="G227" s="11">
        <f t="shared" si="104"/>
        <v>0</v>
      </c>
      <c r="H227" s="11">
        <f t="shared" si="104"/>
        <v>0</v>
      </c>
      <c r="I227" s="11">
        <f t="shared" si="104"/>
        <v>0</v>
      </c>
      <c r="J227" s="11">
        <f t="shared" si="104"/>
        <v>0</v>
      </c>
      <c r="K227" s="11">
        <f t="shared" si="104"/>
        <v>0</v>
      </c>
      <c r="L227" s="11">
        <f t="shared" si="104"/>
        <v>0</v>
      </c>
      <c r="M227" s="11">
        <f t="shared" si="104"/>
        <v>0</v>
      </c>
      <c r="N227" s="11">
        <f t="shared" si="104"/>
        <v>0</v>
      </c>
      <c r="O227" s="11">
        <f t="shared" si="104"/>
        <v>0</v>
      </c>
      <c r="P227" s="11">
        <f t="shared" si="104"/>
        <v>0</v>
      </c>
      <c r="Q227" s="11">
        <f t="shared" si="104"/>
        <v>0</v>
      </c>
      <c r="R227" s="11">
        <f t="shared" si="103"/>
        <v>0</v>
      </c>
      <c r="S227" s="11">
        <f t="shared" si="98"/>
        <v>0</v>
      </c>
      <c r="T227" s="11">
        <f t="shared" si="98"/>
        <v>0</v>
      </c>
      <c r="U227" s="11">
        <f t="shared" si="98"/>
        <v>0</v>
      </c>
      <c r="V227" s="11">
        <f t="shared" si="98"/>
        <v>0</v>
      </c>
      <c r="W227" s="11">
        <f t="shared" si="101"/>
        <v>0</v>
      </c>
      <c r="X227" s="11">
        <f t="shared" si="99"/>
        <v>0</v>
      </c>
      <c r="Y227" s="11">
        <f t="shared" si="100"/>
        <v>0</v>
      </c>
      <c r="Z227" s="11">
        <f t="shared" si="102"/>
        <v>0</v>
      </c>
      <c r="AH227" s="11"/>
    </row>
    <row r="229" spans="1:52" x14ac:dyDescent="0.2">
      <c r="A229" s="135" t="s">
        <v>628</v>
      </c>
      <c r="B229" s="135"/>
      <c r="C229" s="135"/>
      <c r="D229" s="135"/>
      <c r="E229" s="135"/>
      <c r="F229" s="135"/>
      <c r="G229" s="135"/>
      <c r="H229" s="135"/>
      <c r="I229" s="135"/>
      <c r="J229" s="135"/>
      <c r="K229" s="135"/>
      <c r="L229" s="135"/>
      <c r="M229" s="49"/>
      <c r="N229" s="49"/>
      <c r="O229" s="49"/>
      <c r="P229" s="49"/>
      <c r="Q229" s="49"/>
      <c r="R229" s="49"/>
      <c r="S229" s="49"/>
      <c r="T229" s="49"/>
      <c r="U229" s="49"/>
      <c r="V229" s="49"/>
      <c r="W229" s="49"/>
      <c r="X229" s="49"/>
      <c r="Y229" s="49"/>
      <c r="Z229" s="49"/>
      <c r="AA229" s="49"/>
      <c r="AB229" s="49"/>
      <c r="AC229" s="49"/>
      <c r="AD229" s="49"/>
      <c r="AE229" s="49"/>
      <c r="AF229" s="49"/>
      <c r="AG229" s="49"/>
      <c r="AH229" s="49"/>
      <c r="AI229" s="49"/>
      <c r="AJ229" s="49"/>
      <c r="AK229" s="49"/>
      <c r="AL229" s="49"/>
      <c r="AM229" s="49"/>
      <c r="AN229" s="49"/>
      <c r="AO229" s="49"/>
      <c r="AP229" s="49"/>
      <c r="AQ229" s="49"/>
      <c r="AR229" s="49"/>
      <c r="AS229" s="49"/>
      <c r="AT229" s="49"/>
      <c r="AU229" s="49"/>
      <c r="AV229" s="49"/>
      <c r="AW229" s="49"/>
      <c r="AX229" s="49"/>
      <c r="AY229" s="49"/>
      <c r="AZ229" s="49"/>
    </row>
    <row r="230" spans="1:52" x14ac:dyDescent="0.2">
      <c r="A230" s="38"/>
      <c r="C230" s="11"/>
      <c r="D230" s="11"/>
      <c r="E230" s="11"/>
      <c r="F230" s="11"/>
      <c r="G230" s="11"/>
      <c r="H230" s="11"/>
      <c r="I230" s="11"/>
      <c r="J230" s="11"/>
      <c r="K230" s="11"/>
      <c r="L230" s="11"/>
      <c r="M230" s="11"/>
      <c r="N230" s="11"/>
      <c r="O230" s="11"/>
      <c r="P230" s="11"/>
      <c r="Q230" s="11"/>
      <c r="R230" s="11"/>
      <c r="S230" s="11"/>
      <c r="T230" s="11"/>
      <c r="U230" s="11"/>
      <c r="V230" s="11"/>
      <c r="W230" s="11"/>
      <c r="X230" s="11"/>
      <c r="Y230" s="11"/>
      <c r="Z230" s="11"/>
      <c r="AA230" s="11"/>
      <c r="AB230" s="11"/>
      <c r="AC230" s="11"/>
      <c r="AD230" s="11"/>
      <c r="AE230" s="11"/>
      <c r="AF230" s="11"/>
      <c r="AG230" s="11"/>
      <c r="AH230" s="11"/>
      <c r="AI230" s="11"/>
    </row>
    <row r="231" spans="1:52" x14ac:dyDescent="0.2">
      <c r="A231" s="23"/>
      <c r="B231" s="3" t="str">
        <f>B174</f>
        <v/>
      </c>
      <c r="C231" s="3" t="e">
        <f>IF(B231=0,0,VLOOKUP(B231,Listes!$C$7:$E$36,3,FALSE))</f>
        <v>#N/A</v>
      </c>
      <c r="L231" s="3" t="str">
        <f>K174</f>
        <v/>
      </c>
      <c r="M231" s="3" t="e">
        <f>IF(L231=0,0,VLOOKUP(L231,Listes!$C$7:$E$36,3,FALSE))</f>
        <v>#N/A</v>
      </c>
      <c r="V231" s="3" t="str">
        <f>T174</f>
        <v/>
      </c>
      <c r="W231" s="3" t="e">
        <f>IF(V231=0,0,VLOOKUP(V231,Listes!$C$7:$E$36,3,FALSE))</f>
        <v>#N/A</v>
      </c>
      <c r="AF231" s="3" t="str">
        <f>AC174</f>
        <v/>
      </c>
      <c r="AG231" s="3" t="e">
        <f>IF(AF231=0,0,VLOOKUP(AF231,Listes!$C$7:$E$36,3,FALSE))</f>
        <v>#N/A</v>
      </c>
    </row>
    <row r="232" spans="1:52" ht="16" customHeight="1" x14ac:dyDescent="0.2">
      <c r="A232" s="463" t="s">
        <v>735</v>
      </c>
      <c r="B232" s="3" t="s">
        <v>15</v>
      </c>
      <c r="C232" s="3" t="s">
        <v>127</v>
      </c>
      <c r="D232" s="3" t="s">
        <v>161</v>
      </c>
      <c r="E232" s="3" t="s">
        <v>162</v>
      </c>
      <c r="F232" s="3" t="s">
        <v>163</v>
      </c>
      <c r="G232" s="3" t="s">
        <v>81</v>
      </c>
      <c r="H232" s="3" t="s">
        <v>84</v>
      </c>
      <c r="I232" s="3" t="s">
        <v>83</v>
      </c>
      <c r="K232" s="463" t="s">
        <v>734</v>
      </c>
      <c r="L232" s="3" t="s">
        <v>15</v>
      </c>
      <c r="M232" s="3" t="s">
        <v>127</v>
      </c>
      <c r="N232" s="3" t="s">
        <v>161</v>
      </c>
      <c r="O232" s="3" t="s">
        <v>162</v>
      </c>
      <c r="P232" s="3" t="s">
        <v>163</v>
      </c>
      <c r="Q232" s="3" t="s">
        <v>81</v>
      </c>
      <c r="R232" s="3" t="s">
        <v>84</v>
      </c>
      <c r="S232" s="3" t="s">
        <v>83</v>
      </c>
      <c r="U232" s="463" t="s">
        <v>736</v>
      </c>
      <c r="V232" s="3" t="s">
        <v>15</v>
      </c>
      <c r="W232" s="3" t="s">
        <v>127</v>
      </c>
      <c r="X232" s="3" t="s">
        <v>161</v>
      </c>
      <c r="Y232" s="3" t="s">
        <v>162</v>
      </c>
      <c r="Z232" s="3" t="s">
        <v>163</v>
      </c>
      <c r="AA232" s="3" t="s">
        <v>81</v>
      </c>
      <c r="AB232" s="3" t="s">
        <v>84</v>
      </c>
      <c r="AC232" s="3" t="s">
        <v>83</v>
      </c>
      <c r="AE232" s="463" t="s">
        <v>737</v>
      </c>
      <c r="AF232" s="3" t="s">
        <v>15</v>
      </c>
      <c r="AG232" s="3" t="s">
        <v>127</v>
      </c>
      <c r="AH232" s="3" t="s">
        <v>161</v>
      </c>
      <c r="AI232" s="3" t="s">
        <v>162</v>
      </c>
      <c r="AJ232" s="3" t="s">
        <v>163</v>
      </c>
      <c r="AK232" s="3" t="s">
        <v>81</v>
      </c>
      <c r="AL232" s="3" t="s">
        <v>84</v>
      </c>
      <c r="AM232" s="3" t="s">
        <v>83</v>
      </c>
      <c r="AO232" s="463" t="s">
        <v>184</v>
      </c>
      <c r="AP232" s="3" t="s">
        <v>15</v>
      </c>
      <c r="AQ232" s="3" t="s">
        <v>81</v>
      </c>
      <c r="AR232" s="3" t="s">
        <v>84</v>
      </c>
      <c r="AS232" s="3" t="s">
        <v>83</v>
      </c>
      <c r="AT232" s="3" t="s">
        <v>27</v>
      </c>
      <c r="AU232" s="3" t="s">
        <v>85</v>
      </c>
    </row>
    <row r="233" spans="1:52" x14ac:dyDescent="0.2">
      <c r="A233" s="463"/>
      <c r="B233" s="3">
        <v>1</v>
      </c>
      <c r="C233" s="45">
        <f t="shared" ref="C233:C252" si="105">D177</f>
        <v>0</v>
      </c>
      <c r="D233" s="45">
        <f t="shared" ref="D233:D252" si="106">IF(OR(C233="",C233=0),0,C233*C$174*0.475)</f>
        <v>0</v>
      </c>
      <c r="E233" s="45">
        <f>IF(OR(D233=0,D233="",B$116=0),0,D233*INDEX(Listes!$K$1:$Q$12,MATCH(B$116,Listes!$K$1:$K$12,0),MATCH(E$117,Listes!$K$1:$Q$1,0)))</f>
        <v>0</v>
      </c>
      <c r="F233" s="45">
        <f t="shared" ref="F233:F252" si="107">D233-E233</f>
        <v>0</v>
      </c>
      <c r="G233" s="45">
        <f>IF(OR(B$231=0,B$231=""),0,F233*INDEX(Listes!$K$15:$P$26,MATCH(B$231,Listes!$K$15:$K$26,0),MATCH(G$232,Listes!$K$15:$P$15,0))*INDEX(Listes!$K$29:$O$31,MATCH(C$231,Listes!$K$29:$K$31,0),MATCH(G$232,Listes!$K$29:$O$29,0)))</f>
        <v>0</v>
      </c>
      <c r="H233" s="45">
        <f>IF(OR(B$231=0,B$231=""),0,F233*INDEX(Listes!$K$15:$P$26,MATCH(B$231,Listes!$K$15:$K$26,0),MATCH(H$232,Listes!$K$15:$P$15,0))*INDEX(Listes!$K$29:$O$31,MATCH(C$231,Listes!$K$29:$K$31,0),MATCH(H$232,Listes!$K$29:$O$29,0)))</f>
        <v>0</v>
      </c>
      <c r="I233" s="45">
        <f>IF(OR(B$231=0,B$231=""),0,F233*INDEX(Listes!$K$15:$P$26,MATCH(B$231,Listes!$K$15:$K$26,0),MATCH(I$232,Listes!$K$15:$P$15,0))*INDEX(Listes!$K$29:$O$31,MATCH(C$231,Listes!$K$29:$K$31,0),MATCH(I$232,Listes!$K$29:$O$29,0)))</f>
        <v>0</v>
      </c>
      <c r="K233" s="463"/>
      <c r="L233" s="3">
        <v>1</v>
      </c>
      <c r="M233" s="45">
        <f t="shared" ref="M233:M252" si="108">M177</f>
        <v>0</v>
      </c>
      <c r="N233" s="45">
        <f t="shared" ref="N233:N252" si="109">IF(OR(M233="",M233=0),0,M233*L$174*0.475)</f>
        <v>0</v>
      </c>
      <c r="O233" s="45">
        <f>IF(OR(N233=0,N233="",L$116=0),0,N233*INDEX(Listes!$K$1:$Q$12,MATCH(L$116,Listes!$K$1:$K$12,0),MATCH(O$117,Listes!$K$1:$Q$1,0)))</f>
        <v>0</v>
      </c>
      <c r="P233" s="45">
        <f t="shared" ref="P233:P252" si="110">N233-O233</f>
        <v>0</v>
      </c>
      <c r="Q233" s="45">
        <f>IF(OR(L$231=0,L$231=""),0,P233*INDEX(Listes!$K$15:$P$26,MATCH(L$231,Listes!$K$15:$K$26,0),MATCH(Q$232,Listes!$K$15:$P$15,0))*INDEX(Listes!$K$29:$O$31,MATCH(M$231,Listes!$K$29:$K$31,0),MATCH(Q$232,Listes!$K$29:$O$29,0)))</f>
        <v>0</v>
      </c>
      <c r="R233" s="45">
        <f>IF(OR(L$231=0,L$231=""),0,P233*INDEX(Listes!$K$15:$P$26,MATCH(L$231,Listes!$K$15:$K$26,0),MATCH(R$232,Listes!$K$15:$P$15,0))*INDEX(Listes!$K$29:$O$31,MATCH(M$231,Listes!$K$29:$K$31,0),MATCH(R$232,Listes!$K$29:$O$29,0)))</f>
        <v>0</v>
      </c>
      <c r="S233" s="45">
        <f>IF(OR(L$231=0,L$231=""),0,P233*INDEX(Listes!$K$15:$P$26,MATCH(L$231,Listes!$K$15:$K$26,0),MATCH(S$232,Listes!$K$15:$P$15,0))*INDEX(Listes!$K$29:$O$31,MATCH(M$231,Listes!$K$29:$K$31,0),MATCH(S$232,Listes!$K$29:$O$29,0)))</f>
        <v>0</v>
      </c>
      <c r="U233" s="463"/>
      <c r="V233" s="3">
        <v>1</v>
      </c>
      <c r="W233" s="45">
        <f t="shared" ref="W233:W252" si="111">V177</f>
        <v>0</v>
      </c>
      <c r="X233" s="45">
        <f t="shared" ref="X233:X252" si="112">IF(OR(W233="",W233=0),0,W233*U$174*0.475)</f>
        <v>0</v>
      </c>
      <c r="Y233" s="45">
        <f>IF(OR(X233=0,X233="",V$116=0),0,X233*INDEX(Listes!$K$1:$Q$12,MATCH(V$116,Listes!$K$1:$K$12,0),MATCH(Y$117,Listes!$K$1:$Q$1,0)))</f>
        <v>0</v>
      </c>
      <c r="Z233" s="45">
        <f t="shared" ref="Z233:Z252" si="113">X233-Y233</f>
        <v>0</v>
      </c>
      <c r="AA233" s="45">
        <f>IF(OR(V$231=0,V$231=""),0,Z233*INDEX(Listes!$K$15:$P$26,MATCH(V$231,Listes!$K$15:$K$26,0),MATCH(AA$232,Listes!$K$15:$P$15,0))*INDEX(Listes!$K$29:$O$31,MATCH(W$231,Listes!$K$29:$K$31,0),MATCH(AA$232,Listes!$K$29:$O$29,0)))</f>
        <v>0</v>
      </c>
      <c r="AB233" s="45">
        <f>IF(OR(V$231=0,V$231=""),0,Z233*INDEX(Listes!$K$15:$P$26,MATCH(V$231,Listes!$K$15:$K$26,0),MATCH(AB$232,Listes!$K$15:$P$15,0))*INDEX(Listes!$K$29:$O$31,MATCH(W$231,Listes!$K$29:$K$31,0),MATCH(AB$232,Listes!$K$29:$O$29,0)))</f>
        <v>0</v>
      </c>
      <c r="AC233" s="45">
        <f>IF(OR(V$231=0,V$231=""),0,Z233*INDEX(Listes!$K$15:$P$26,MATCH(V$231,Listes!$K$15:$K$26,0),MATCH(AC$232,Listes!$K$15:$P$15,0))*INDEX(Listes!$K$29:$O$31,MATCH(W$231,Listes!$K$29:$K$31,0),MATCH(AC$232,Listes!$K$29:$O$29,0)))</f>
        <v>0</v>
      </c>
      <c r="AE233" s="463"/>
      <c r="AF233" s="3">
        <v>1</v>
      </c>
      <c r="AG233" s="45">
        <f t="shared" ref="AG233:AG252" si="114">AE177</f>
        <v>0</v>
      </c>
      <c r="AH233" s="45">
        <f t="shared" ref="AH233:AH252" si="115">IF(OR(AG233="",AG233=0),0,AG233*AD$174*0.475)</f>
        <v>0</v>
      </c>
      <c r="AI233" s="45">
        <f>IF(OR(AH233=0,AH233="",AF$116=0),0,AH233*INDEX(Listes!$K$1:$Q$12,MATCH(AF$116,Listes!$K$1:$K$12,0),MATCH(AI$117,Listes!$K$1:$Q$1,0)))</f>
        <v>0</v>
      </c>
      <c r="AJ233" s="45">
        <f t="shared" ref="AJ233:AJ252" si="116">AH233-AI233</f>
        <v>0</v>
      </c>
      <c r="AK233" s="45">
        <f>IF(OR(AF$231=0,AF$231=""),0,AJ233*INDEX(Listes!$K$15:$P$26,MATCH(AF$231,Listes!$K$15:$K$26,0),MATCH(AK$232,Listes!$K$15:$P$15,0))*INDEX(Listes!$K$29:$O$31,MATCH(AG$231,Listes!$K$29:$K$31,0),MATCH(AK$232,Listes!$K$29:$O$29,0)))</f>
        <v>0</v>
      </c>
      <c r="AL233" s="45">
        <f>IF(OR(AF$231=0,AF$231=""),0,AJ233*INDEX(Listes!$K$15:$P$26,MATCH(AF$231,Listes!$K$15:$K$26,0),MATCH(AL$232,Listes!$K$15:$P$15,0))*INDEX(Listes!$K$29:$O$31,MATCH(AG$231,Listes!$K$29:$K$31,0),MATCH(AL$232,Listes!$K$29:$O$29,0)))</f>
        <v>0</v>
      </c>
      <c r="AM233" s="45">
        <f>IF(OR(AF$231=0,AF$231=""),0,AJ233*INDEX(Listes!$K$15:$P$26,MATCH(AF$231,Listes!$K$15:$K$26,0),MATCH(AM$232,Listes!$K$15:$P$15,0))*INDEX(Listes!$K$29:$O$31,MATCH(AG$231,Listes!$K$29:$K$31,0),MATCH(AM$232,Listes!$K$29:$O$29,0)))</f>
        <v>0</v>
      </c>
      <c r="AO233" s="463"/>
      <c r="AP233" s="3">
        <v>1</v>
      </c>
      <c r="AQ233" s="11">
        <f t="shared" ref="AQ233:AS252" si="117">SUM(G233,Q233,AA233,AK233)</f>
        <v>0</v>
      </c>
      <c r="AR233" s="11">
        <f t="shared" si="117"/>
        <v>0</v>
      </c>
      <c r="AS233" s="11">
        <f t="shared" si="117"/>
        <v>0</v>
      </c>
      <c r="AT233" s="11">
        <f>AQ233*VLOOKUP(AQ$232,Tableau17[],4,FALSE)+AR233*VLOOKUP(AR$232,Tableau17[],4,FALSE)+AS233*VLOOKUP(AS$232,Tableau17[],4,FALSE)</f>
        <v>0</v>
      </c>
      <c r="AU233" s="11">
        <f>AQ233*VLOOKUP(AQ$232,Tableau17[],3,FALSE)+AR233*VLOOKUP(AR$232,Tableau17[],3,FALSE)+AS233*VLOOKUP(AS$232,Tableau17[],3,FALSE)</f>
        <v>0</v>
      </c>
    </row>
    <row r="234" spans="1:52" x14ac:dyDescent="0.2">
      <c r="A234" s="463"/>
      <c r="B234" s="3">
        <v>2</v>
      </c>
      <c r="C234" s="45">
        <f t="shared" si="105"/>
        <v>0</v>
      </c>
      <c r="D234" s="45">
        <f t="shared" si="106"/>
        <v>0</v>
      </c>
      <c r="E234" s="45">
        <f>IF(OR(D234=0,D234="",B$116=0),0,D234*INDEX(Listes!$K$1:$Q$12,MATCH(B$116,Listes!$K$1:$K$12,0),MATCH(E$117,Listes!$K$1:$Q$1,0)))</f>
        <v>0</v>
      </c>
      <c r="F234" s="45">
        <f t="shared" si="107"/>
        <v>0</v>
      </c>
      <c r="G234" s="45">
        <f>IF(OR(B$231=0,B$231=""),0,F234*INDEX(Listes!$K$15:$P$26,MATCH(B$231,Listes!$K$15:$K$26,0),MATCH(G$232,Listes!$K$15:$P$15,0))*INDEX(Listes!$K$29:$O$31,MATCH(C$231,Listes!$K$29:$K$31,0),MATCH(G$232,Listes!$K$29:$O$29,0)))</f>
        <v>0</v>
      </c>
      <c r="H234" s="45">
        <f>IF(OR(B$231=0,B$231=""),0,F234*INDEX(Listes!$K$15:$P$26,MATCH(B$231,Listes!$K$15:$K$26,0),MATCH(H$232,Listes!$K$15:$P$15,0))*INDEX(Listes!$K$29:$O$31,MATCH(C$231,Listes!$K$29:$K$31,0),MATCH(H$232,Listes!$K$29:$O$29,0)))</f>
        <v>0</v>
      </c>
      <c r="I234" s="45">
        <f>IF(OR(B$231=0,B$231=""),0,F234*INDEX(Listes!$K$15:$P$26,MATCH(B$231,Listes!$K$15:$K$26,0),MATCH(I$232,Listes!$K$15:$P$15,0))*INDEX(Listes!$K$29:$O$31,MATCH(C$231,Listes!$K$29:$K$31,0),MATCH(I$232,Listes!$K$29:$O$29,0)))</f>
        <v>0</v>
      </c>
      <c r="K234" s="463"/>
      <c r="L234" s="3">
        <v>2</v>
      </c>
      <c r="M234" s="45">
        <f t="shared" si="108"/>
        <v>0</v>
      </c>
      <c r="N234" s="45">
        <f t="shared" si="109"/>
        <v>0</v>
      </c>
      <c r="O234" s="45">
        <f>IF(OR(N234=0,N234="",L$116=0),0,N234*INDEX(Listes!$K$1:$Q$12,MATCH(L$116,Listes!$K$1:$K$12,0),MATCH(O$117,Listes!$K$1:$Q$1,0)))</f>
        <v>0</v>
      </c>
      <c r="P234" s="45">
        <f t="shared" si="110"/>
        <v>0</v>
      </c>
      <c r="Q234" s="45">
        <f>IF(OR(L$231=0,L$231=""),0,P234*INDEX(Listes!$K$15:$P$26,MATCH(L$231,Listes!$K$15:$K$26,0),MATCH(Q$232,Listes!$K$15:$P$15,0))*INDEX(Listes!$K$29:$O$31,MATCH(M$231,Listes!$K$29:$K$31,0),MATCH(Q$232,Listes!$K$29:$O$29,0)))</f>
        <v>0</v>
      </c>
      <c r="R234" s="45">
        <f>IF(OR(L$231=0,L$231=""),0,P234*INDEX(Listes!$K$15:$P$26,MATCH(L$231,Listes!$K$15:$K$26,0),MATCH(R$232,Listes!$K$15:$P$15,0))*INDEX(Listes!$K$29:$O$31,MATCH(M$231,Listes!$K$29:$K$31,0),MATCH(R$232,Listes!$K$29:$O$29,0)))</f>
        <v>0</v>
      </c>
      <c r="S234" s="45">
        <f>IF(OR(L$231=0,L$231=""),0,P234*INDEX(Listes!$K$15:$P$26,MATCH(L$231,Listes!$K$15:$K$26,0),MATCH(S$232,Listes!$K$15:$P$15,0))*INDEX(Listes!$K$29:$O$31,MATCH(M$231,Listes!$K$29:$K$31,0),MATCH(S$232,Listes!$K$29:$O$29,0)))</f>
        <v>0</v>
      </c>
      <c r="U234" s="463"/>
      <c r="V234" s="3">
        <v>2</v>
      </c>
      <c r="W234" s="45">
        <f t="shared" si="111"/>
        <v>0</v>
      </c>
      <c r="X234" s="45">
        <f t="shared" si="112"/>
        <v>0</v>
      </c>
      <c r="Y234" s="45">
        <f>IF(OR(X234=0,X234="",V$116=0),0,X234*INDEX(Listes!$K$1:$Q$12,MATCH(V$116,Listes!$K$1:$K$12,0),MATCH(Y$117,Listes!$K$1:$Q$1,0)))</f>
        <v>0</v>
      </c>
      <c r="Z234" s="45">
        <f t="shared" si="113"/>
        <v>0</v>
      </c>
      <c r="AA234" s="45">
        <f>IF(OR(V$231=0,V$231=""),0,Z234*INDEX(Listes!$K$15:$P$26,MATCH(V$231,Listes!$K$15:$K$26,0),MATCH(AA$232,Listes!$K$15:$P$15,0))*INDEX(Listes!$K$29:$O$31,MATCH(W$231,Listes!$K$29:$K$31,0),MATCH(AA$232,Listes!$K$29:$O$29,0)))</f>
        <v>0</v>
      </c>
      <c r="AB234" s="45">
        <f>IF(OR(V$231=0,V$231=""),0,Z234*INDEX(Listes!$K$15:$P$26,MATCH(V$231,Listes!$K$15:$K$26,0),MATCH(AB$232,Listes!$K$15:$P$15,0))*INDEX(Listes!$K$29:$O$31,MATCH(W$231,Listes!$K$29:$K$31,0),MATCH(AB$232,Listes!$K$29:$O$29,0)))</f>
        <v>0</v>
      </c>
      <c r="AC234" s="45">
        <f>IF(OR(V$231=0,V$231=""),0,Z234*INDEX(Listes!$K$15:$P$26,MATCH(V$231,Listes!$K$15:$K$26,0),MATCH(AC$232,Listes!$K$15:$P$15,0))*INDEX(Listes!$K$29:$O$31,MATCH(W$231,Listes!$K$29:$K$31,0),MATCH(AC$232,Listes!$K$29:$O$29,0)))</f>
        <v>0</v>
      </c>
      <c r="AE234" s="463"/>
      <c r="AF234" s="3">
        <v>2</v>
      </c>
      <c r="AG234" s="45">
        <f t="shared" si="114"/>
        <v>0</v>
      </c>
      <c r="AH234" s="45">
        <f t="shared" si="115"/>
        <v>0</v>
      </c>
      <c r="AI234" s="45">
        <f>IF(OR(AH234=0,AH234="",AF$116=0),0,AH234*INDEX(Listes!$K$1:$Q$12,MATCH(AF$116,Listes!$K$1:$K$12,0),MATCH(AI$117,Listes!$K$1:$Q$1,0)))</f>
        <v>0</v>
      </c>
      <c r="AJ234" s="45">
        <f t="shared" si="116"/>
        <v>0</v>
      </c>
      <c r="AK234" s="45">
        <f>IF(OR(AF$231=0,AF$231=""),0,AJ234*INDEX(Listes!$K$15:$P$26,MATCH(AF$231,Listes!$K$15:$K$26,0),MATCH(AK$232,Listes!$K$15:$P$15,0))*INDEX(Listes!$K$29:$O$31,MATCH(AG$231,Listes!$K$29:$K$31,0),MATCH(AK$232,Listes!$K$29:$O$29,0)))</f>
        <v>0</v>
      </c>
      <c r="AL234" s="45">
        <f>IF(OR(AF$231=0,AF$231=""),0,AJ234*INDEX(Listes!$K$15:$P$26,MATCH(AF$231,Listes!$K$15:$K$26,0),MATCH(AL$232,Listes!$K$15:$P$15,0))*INDEX(Listes!$K$29:$O$31,MATCH(AG$231,Listes!$K$29:$K$31,0),MATCH(AL$232,Listes!$K$29:$O$29,0)))</f>
        <v>0</v>
      </c>
      <c r="AM234" s="45">
        <f>IF(OR(AF$231=0,AF$231=""),0,AJ234*INDEX(Listes!$K$15:$P$26,MATCH(AF$231,Listes!$K$15:$K$26,0),MATCH(AM$232,Listes!$K$15:$P$15,0))*INDEX(Listes!$K$29:$O$31,MATCH(AG$231,Listes!$K$29:$K$31,0),MATCH(AM$232,Listes!$K$29:$O$29,0)))</f>
        <v>0</v>
      </c>
      <c r="AO234" s="463"/>
      <c r="AP234" s="3">
        <v>2</v>
      </c>
      <c r="AQ234" s="11">
        <f t="shared" si="117"/>
        <v>0</v>
      </c>
      <c r="AR234" s="11">
        <f t="shared" si="117"/>
        <v>0</v>
      </c>
      <c r="AS234" s="11">
        <f t="shared" si="117"/>
        <v>0</v>
      </c>
      <c r="AT234" s="11">
        <f>AQ234*VLOOKUP(AQ$232,Tableau17[],4,FALSE)+AR234*VLOOKUP(AR$232,Tableau17[],4,FALSE)+AS234*VLOOKUP(AS$232,Tableau17[],4,FALSE)</f>
        <v>0</v>
      </c>
      <c r="AU234" s="11">
        <f>AQ234*VLOOKUP(AQ$232,Tableau17[],3,FALSE)+AR234*VLOOKUP(AR$232,Tableau17[],3,FALSE)+AS234*VLOOKUP(AS$232,Tableau17[],3,FALSE)</f>
        <v>0</v>
      </c>
    </row>
    <row r="235" spans="1:52" x14ac:dyDescent="0.2">
      <c r="A235" s="463"/>
      <c r="B235" s="3">
        <v>3</v>
      </c>
      <c r="C235" s="45">
        <f t="shared" si="105"/>
        <v>0</v>
      </c>
      <c r="D235" s="45">
        <f t="shared" si="106"/>
        <v>0</v>
      </c>
      <c r="E235" s="45">
        <f>IF(OR(D235=0,D235="",B$116=0),0,D235*INDEX(Listes!$K$1:$Q$12,MATCH(B$116,Listes!$K$1:$K$12,0),MATCH(E$117,Listes!$K$1:$Q$1,0)))</f>
        <v>0</v>
      </c>
      <c r="F235" s="45">
        <f t="shared" si="107"/>
        <v>0</v>
      </c>
      <c r="G235" s="45">
        <f>IF(OR(B$231=0,B$231=""),0,F235*INDEX(Listes!$K$15:$P$26,MATCH(B$231,Listes!$K$15:$K$26,0),MATCH(G$232,Listes!$K$15:$P$15,0))*INDEX(Listes!$K$29:$O$31,MATCH(C$231,Listes!$K$29:$K$31,0),MATCH(G$232,Listes!$K$29:$O$29,0)))</f>
        <v>0</v>
      </c>
      <c r="H235" s="45">
        <f>IF(OR(B$231=0,B$231=""),0,F235*INDEX(Listes!$K$15:$P$26,MATCH(B$231,Listes!$K$15:$K$26,0),MATCH(H$232,Listes!$K$15:$P$15,0))*INDEX(Listes!$K$29:$O$31,MATCH(C$231,Listes!$K$29:$K$31,0),MATCH(H$232,Listes!$K$29:$O$29,0)))</f>
        <v>0</v>
      </c>
      <c r="I235" s="45">
        <f>IF(OR(B$231=0,B$231=""),0,F235*INDEX(Listes!$K$15:$P$26,MATCH(B$231,Listes!$K$15:$K$26,0),MATCH(I$232,Listes!$K$15:$P$15,0))*INDEX(Listes!$K$29:$O$31,MATCH(C$231,Listes!$K$29:$K$31,0),MATCH(I$232,Listes!$K$29:$O$29,0)))</f>
        <v>0</v>
      </c>
      <c r="K235" s="463"/>
      <c r="L235" s="3">
        <v>3</v>
      </c>
      <c r="M235" s="45">
        <f t="shared" si="108"/>
        <v>0</v>
      </c>
      <c r="N235" s="45">
        <f t="shared" si="109"/>
        <v>0</v>
      </c>
      <c r="O235" s="45">
        <f>IF(OR(N235=0,N235="",L$116=0),0,N235*INDEX(Listes!$K$1:$Q$12,MATCH(L$116,Listes!$K$1:$K$12,0),MATCH(O$117,Listes!$K$1:$Q$1,0)))</f>
        <v>0</v>
      </c>
      <c r="P235" s="45">
        <f t="shared" si="110"/>
        <v>0</v>
      </c>
      <c r="Q235" s="45">
        <f>IF(OR(L$231=0,L$231=""),0,P235*INDEX(Listes!$K$15:$P$26,MATCH(L$231,Listes!$K$15:$K$26,0),MATCH(Q$232,Listes!$K$15:$P$15,0))*INDEX(Listes!$K$29:$O$31,MATCH(M$231,Listes!$K$29:$K$31,0),MATCH(Q$232,Listes!$K$29:$O$29,0)))</f>
        <v>0</v>
      </c>
      <c r="R235" s="45">
        <f>IF(OR(L$231=0,L$231=""),0,P235*INDEX(Listes!$K$15:$P$26,MATCH(L$231,Listes!$K$15:$K$26,0),MATCH(R$232,Listes!$K$15:$P$15,0))*INDEX(Listes!$K$29:$O$31,MATCH(M$231,Listes!$K$29:$K$31,0),MATCH(R$232,Listes!$K$29:$O$29,0)))</f>
        <v>0</v>
      </c>
      <c r="S235" s="45">
        <f>IF(OR(L$231=0,L$231=""),0,P235*INDEX(Listes!$K$15:$P$26,MATCH(L$231,Listes!$K$15:$K$26,0),MATCH(S$232,Listes!$K$15:$P$15,0))*INDEX(Listes!$K$29:$O$31,MATCH(M$231,Listes!$K$29:$K$31,0),MATCH(S$232,Listes!$K$29:$O$29,0)))</f>
        <v>0</v>
      </c>
      <c r="U235" s="463"/>
      <c r="V235" s="3">
        <v>3</v>
      </c>
      <c r="W235" s="45">
        <f t="shared" si="111"/>
        <v>0</v>
      </c>
      <c r="X235" s="45">
        <f t="shared" si="112"/>
        <v>0</v>
      </c>
      <c r="Y235" s="45">
        <f>IF(OR(X235=0,X235="",V$116=0),0,X235*INDEX(Listes!$K$1:$Q$12,MATCH(V$116,Listes!$K$1:$K$12,0),MATCH(Y$117,Listes!$K$1:$Q$1,0)))</f>
        <v>0</v>
      </c>
      <c r="Z235" s="45">
        <f t="shared" si="113"/>
        <v>0</v>
      </c>
      <c r="AA235" s="45">
        <f>IF(OR(V$231=0,V$231=""),0,Z235*INDEX(Listes!$K$15:$P$26,MATCH(V$231,Listes!$K$15:$K$26,0),MATCH(AA$232,Listes!$K$15:$P$15,0))*INDEX(Listes!$K$29:$O$31,MATCH(W$231,Listes!$K$29:$K$31,0),MATCH(AA$232,Listes!$K$29:$O$29,0)))</f>
        <v>0</v>
      </c>
      <c r="AB235" s="45">
        <f>IF(OR(V$231=0,V$231=""),0,Z235*INDEX(Listes!$K$15:$P$26,MATCH(V$231,Listes!$K$15:$K$26,0),MATCH(AB$232,Listes!$K$15:$P$15,0))*INDEX(Listes!$K$29:$O$31,MATCH(W$231,Listes!$K$29:$K$31,0),MATCH(AB$232,Listes!$K$29:$O$29,0)))</f>
        <v>0</v>
      </c>
      <c r="AC235" s="45">
        <f>IF(OR(V$231=0,V$231=""),0,Z235*INDEX(Listes!$K$15:$P$26,MATCH(V$231,Listes!$K$15:$K$26,0),MATCH(AC$232,Listes!$K$15:$P$15,0))*INDEX(Listes!$K$29:$O$31,MATCH(W$231,Listes!$K$29:$K$31,0),MATCH(AC$232,Listes!$K$29:$O$29,0)))</f>
        <v>0</v>
      </c>
      <c r="AE235" s="463"/>
      <c r="AF235" s="3">
        <v>3</v>
      </c>
      <c r="AG235" s="45">
        <f t="shared" si="114"/>
        <v>0</v>
      </c>
      <c r="AH235" s="45">
        <f t="shared" si="115"/>
        <v>0</v>
      </c>
      <c r="AI235" s="45">
        <f>IF(OR(AH235=0,AH235="",AF$116=0),0,AH235*INDEX(Listes!$K$1:$Q$12,MATCH(AF$116,Listes!$K$1:$K$12,0),MATCH(AI$117,Listes!$K$1:$Q$1,0)))</f>
        <v>0</v>
      </c>
      <c r="AJ235" s="45">
        <f t="shared" si="116"/>
        <v>0</v>
      </c>
      <c r="AK235" s="45">
        <f>IF(OR(AF$231=0,AF$231=""),0,AJ235*INDEX(Listes!$K$15:$P$26,MATCH(AF$231,Listes!$K$15:$K$26,0),MATCH(AK$232,Listes!$K$15:$P$15,0))*INDEX(Listes!$K$29:$O$31,MATCH(AG$231,Listes!$K$29:$K$31,0),MATCH(AK$232,Listes!$K$29:$O$29,0)))</f>
        <v>0</v>
      </c>
      <c r="AL235" s="45">
        <f>IF(OR(AF$231=0,AF$231=""),0,AJ235*INDEX(Listes!$K$15:$P$26,MATCH(AF$231,Listes!$K$15:$K$26,0),MATCH(AL$232,Listes!$K$15:$P$15,0))*INDEX(Listes!$K$29:$O$31,MATCH(AG$231,Listes!$K$29:$K$31,0),MATCH(AL$232,Listes!$K$29:$O$29,0)))</f>
        <v>0</v>
      </c>
      <c r="AM235" s="45">
        <f>IF(OR(AF$231=0,AF$231=""),0,AJ235*INDEX(Listes!$K$15:$P$26,MATCH(AF$231,Listes!$K$15:$K$26,0),MATCH(AM$232,Listes!$K$15:$P$15,0))*INDEX(Listes!$K$29:$O$31,MATCH(AG$231,Listes!$K$29:$K$31,0),MATCH(AM$232,Listes!$K$29:$O$29,0)))</f>
        <v>0</v>
      </c>
      <c r="AO235" s="463"/>
      <c r="AP235" s="3">
        <v>3</v>
      </c>
      <c r="AQ235" s="11">
        <f t="shared" si="117"/>
        <v>0</v>
      </c>
      <c r="AR235" s="11">
        <f t="shared" si="117"/>
        <v>0</v>
      </c>
      <c r="AS235" s="11">
        <f t="shared" si="117"/>
        <v>0</v>
      </c>
      <c r="AT235" s="11">
        <f>AQ235*VLOOKUP(AQ$232,Tableau17[],4,FALSE)+AR235*VLOOKUP(AR$232,Tableau17[],4,FALSE)+AS235*VLOOKUP(AS$232,Tableau17[],4,FALSE)</f>
        <v>0</v>
      </c>
      <c r="AU235" s="11">
        <f>AQ235*VLOOKUP(AQ$232,Tableau17[],3,FALSE)+AR235*VLOOKUP(AR$232,Tableau17[],3,FALSE)+AS235*VLOOKUP(AS$232,Tableau17[],3,FALSE)</f>
        <v>0</v>
      </c>
    </row>
    <row r="236" spans="1:52" x14ac:dyDescent="0.2">
      <c r="A236" s="463"/>
      <c r="B236" s="3">
        <v>4</v>
      </c>
      <c r="C236" s="45">
        <f t="shared" si="105"/>
        <v>0</v>
      </c>
      <c r="D236" s="45">
        <f t="shared" si="106"/>
        <v>0</v>
      </c>
      <c r="E236" s="45">
        <f>IF(OR(D236=0,D236="",B$116=0),0,D236*INDEX(Listes!$K$1:$Q$12,MATCH(B$116,Listes!$K$1:$K$12,0),MATCH(E$117,Listes!$K$1:$Q$1,0)))</f>
        <v>0</v>
      </c>
      <c r="F236" s="45">
        <f t="shared" si="107"/>
        <v>0</v>
      </c>
      <c r="G236" s="45">
        <f>IF(OR(B$231=0,B$231=""),0,F236*INDEX(Listes!$K$15:$P$26,MATCH(B$231,Listes!$K$15:$K$26,0),MATCH(G$232,Listes!$K$15:$P$15,0))*INDEX(Listes!$K$29:$O$31,MATCH(C$231,Listes!$K$29:$K$31,0),MATCH(G$232,Listes!$K$29:$O$29,0)))</f>
        <v>0</v>
      </c>
      <c r="H236" s="45">
        <f>IF(OR(B$231=0,B$231=""),0,F236*INDEX(Listes!$K$15:$P$26,MATCH(B$231,Listes!$K$15:$K$26,0),MATCH(H$232,Listes!$K$15:$P$15,0))*INDEX(Listes!$K$29:$O$31,MATCH(C$231,Listes!$K$29:$K$31,0),MATCH(H$232,Listes!$K$29:$O$29,0)))</f>
        <v>0</v>
      </c>
      <c r="I236" s="45">
        <f>IF(OR(B$231=0,B$231=""),0,F236*INDEX(Listes!$K$15:$P$26,MATCH(B$231,Listes!$K$15:$K$26,0),MATCH(I$232,Listes!$K$15:$P$15,0))*INDEX(Listes!$K$29:$O$31,MATCH(C$231,Listes!$K$29:$K$31,0),MATCH(I$232,Listes!$K$29:$O$29,0)))</f>
        <v>0</v>
      </c>
      <c r="K236" s="463"/>
      <c r="L236" s="3">
        <v>4</v>
      </c>
      <c r="M236" s="45">
        <f t="shared" si="108"/>
        <v>0</v>
      </c>
      <c r="N236" s="45">
        <f t="shared" si="109"/>
        <v>0</v>
      </c>
      <c r="O236" s="45">
        <f>IF(OR(N236=0,N236="",L$116=0),0,N236*INDEX(Listes!$K$1:$Q$12,MATCH(L$116,Listes!$K$1:$K$12,0),MATCH(O$117,Listes!$K$1:$Q$1,0)))</f>
        <v>0</v>
      </c>
      <c r="P236" s="45">
        <f t="shared" si="110"/>
        <v>0</v>
      </c>
      <c r="Q236" s="45">
        <f>IF(OR(L$231=0,L$231=""),0,P236*INDEX(Listes!$K$15:$P$26,MATCH(L$231,Listes!$K$15:$K$26,0),MATCH(Q$232,Listes!$K$15:$P$15,0))*INDEX(Listes!$K$29:$O$31,MATCH(M$231,Listes!$K$29:$K$31,0),MATCH(Q$232,Listes!$K$29:$O$29,0)))</f>
        <v>0</v>
      </c>
      <c r="R236" s="45">
        <f>IF(OR(L$231=0,L$231=""),0,P236*INDEX(Listes!$K$15:$P$26,MATCH(L$231,Listes!$K$15:$K$26,0),MATCH(R$232,Listes!$K$15:$P$15,0))*INDEX(Listes!$K$29:$O$31,MATCH(M$231,Listes!$K$29:$K$31,0),MATCH(R$232,Listes!$K$29:$O$29,0)))</f>
        <v>0</v>
      </c>
      <c r="S236" s="45">
        <f>IF(OR(L$231=0,L$231=""),0,P236*INDEX(Listes!$K$15:$P$26,MATCH(L$231,Listes!$K$15:$K$26,0),MATCH(S$232,Listes!$K$15:$P$15,0))*INDEX(Listes!$K$29:$O$31,MATCH(M$231,Listes!$K$29:$K$31,0),MATCH(S$232,Listes!$K$29:$O$29,0)))</f>
        <v>0</v>
      </c>
      <c r="U236" s="463"/>
      <c r="V236" s="3">
        <v>4</v>
      </c>
      <c r="W236" s="45">
        <f t="shared" si="111"/>
        <v>0</v>
      </c>
      <c r="X236" s="45">
        <f t="shared" si="112"/>
        <v>0</v>
      </c>
      <c r="Y236" s="45">
        <f>IF(OR(X236=0,X236="",V$116=0),0,X236*INDEX(Listes!$K$1:$Q$12,MATCH(V$116,Listes!$K$1:$K$12,0),MATCH(Y$117,Listes!$K$1:$Q$1,0)))</f>
        <v>0</v>
      </c>
      <c r="Z236" s="45">
        <f t="shared" si="113"/>
        <v>0</v>
      </c>
      <c r="AA236" s="45">
        <f>IF(OR(V$231=0,V$231=""),0,Z236*INDEX(Listes!$K$15:$P$26,MATCH(V$231,Listes!$K$15:$K$26,0),MATCH(AA$232,Listes!$K$15:$P$15,0))*INDEX(Listes!$K$29:$O$31,MATCH(W$231,Listes!$K$29:$K$31,0),MATCH(AA$232,Listes!$K$29:$O$29,0)))</f>
        <v>0</v>
      </c>
      <c r="AB236" s="45">
        <f>IF(OR(V$231=0,V$231=""),0,Z236*INDEX(Listes!$K$15:$P$26,MATCH(V$231,Listes!$K$15:$K$26,0),MATCH(AB$232,Listes!$K$15:$P$15,0))*INDEX(Listes!$K$29:$O$31,MATCH(W$231,Listes!$K$29:$K$31,0),MATCH(AB$232,Listes!$K$29:$O$29,0)))</f>
        <v>0</v>
      </c>
      <c r="AC236" s="45">
        <f>IF(OR(V$231=0,V$231=""),0,Z236*INDEX(Listes!$K$15:$P$26,MATCH(V$231,Listes!$K$15:$K$26,0),MATCH(AC$232,Listes!$K$15:$P$15,0))*INDEX(Listes!$K$29:$O$31,MATCH(W$231,Listes!$K$29:$K$31,0),MATCH(AC$232,Listes!$K$29:$O$29,0)))</f>
        <v>0</v>
      </c>
      <c r="AE236" s="463"/>
      <c r="AF236" s="3">
        <v>4</v>
      </c>
      <c r="AG236" s="45">
        <f t="shared" si="114"/>
        <v>0</v>
      </c>
      <c r="AH236" s="45">
        <f t="shared" si="115"/>
        <v>0</v>
      </c>
      <c r="AI236" s="45">
        <f>IF(OR(AH236=0,AH236="",AF$116=0),0,AH236*INDEX(Listes!$K$1:$Q$12,MATCH(AF$116,Listes!$K$1:$K$12,0),MATCH(AI$117,Listes!$K$1:$Q$1,0)))</f>
        <v>0</v>
      </c>
      <c r="AJ236" s="45">
        <f t="shared" si="116"/>
        <v>0</v>
      </c>
      <c r="AK236" s="45">
        <f>IF(OR(AF$231=0,AF$231=""),0,AJ236*INDEX(Listes!$K$15:$P$26,MATCH(AF$231,Listes!$K$15:$K$26,0),MATCH(AK$232,Listes!$K$15:$P$15,0))*INDEX(Listes!$K$29:$O$31,MATCH(AG$231,Listes!$K$29:$K$31,0),MATCH(AK$232,Listes!$K$29:$O$29,0)))</f>
        <v>0</v>
      </c>
      <c r="AL236" s="45">
        <f>IF(OR(AF$231=0,AF$231=""),0,AJ236*INDEX(Listes!$K$15:$P$26,MATCH(AF$231,Listes!$K$15:$K$26,0),MATCH(AL$232,Listes!$K$15:$P$15,0))*INDEX(Listes!$K$29:$O$31,MATCH(AG$231,Listes!$K$29:$K$31,0),MATCH(AL$232,Listes!$K$29:$O$29,0)))</f>
        <v>0</v>
      </c>
      <c r="AM236" s="45">
        <f>IF(OR(AF$231=0,AF$231=""),0,AJ236*INDEX(Listes!$K$15:$P$26,MATCH(AF$231,Listes!$K$15:$K$26,0),MATCH(AM$232,Listes!$K$15:$P$15,0))*INDEX(Listes!$K$29:$O$31,MATCH(AG$231,Listes!$K$29:$K$31,0),MATCH(AM$232,Listes!$K$29:$O$29,0)))</f>
        <v>0</v>
      </c>
      <c r="AO236" s="463"/>
      <c r="AP236" s="3">
        <v>4</v>
      </c>
      <c r="AQ236" s="11">
        <f t="shared" si="117"/>
        <v>0</v>
      </c>
      <c r="AR236" s="11">
        <f t="shared" si="117"/>
        <v>0</v>
      </c>
      <c r="AS236" s="11">
        <f t="shared" si="117"/>
        <v>0</v>
      </c>
      <c r="AT236" s="11">
        <f>AQ236*VLOOKUP(AQ$232,Tableau17[],4,FALSE)+AR236*VLOOKUP(AR$232,Tableau17[],4,FALSE)+AS236*VLOOKUP(AS$232,Tableau17[],4,FALSE)</f>
        <v>0</v>
      </c>
      <c r="AU236" s="11">
        <f>AQ236*VLOOKUP(AQ$232,Tableau17[],3,FALSE)+AR236*VLOOKUP(AR$232,Tableau17[],3,FALSE)+AS236*VLOOKUP(AS$232,Tableau17[],3,FALSE)</f>
        <v>0</v>
      </c>
    </row>
    <row r="237" spans="1:52" x14ac:dyDescent="0.2">
      <c r="A237" s="463"/>
      <c r="B237" s="3">
        <v>5</v>
      </c>
      <c r="C237" s="45">
        <f t="shared" si="105"/>
        <v>0</v>
      </c>
      <c r="D237" s="45">
        <f t="shared" si="106"/>
        <v>0</v>
      </c>
      <c r="E237" s="45">
        <f>IF(OR(D237=0,D237="",B$116=0),0,D237*INDEX(Listes!$K$1:$Q$12,MATCH(B$116,Listes!$K$1:$K$12,0),MATCH(E$117,Listes!$K$1:$Q$1,0)))</f>
        <v>0</v>
      </c>
      <c r="F237" s="45">
        <f t="shared" si="107"/>
        <v>0</v>
      </c>
      <c r="G237" s="45">
        <f>IF(OR(B$231=0,B$231=""),0,F237*INDEX(Listes!$K$15:$P$26,MATCH(B$231,Listes!$K$15:$K$26,0),MATCH(G$232,Listes!$K$15:$P$15,0))*INDEX(Listes!$K$29:$O$31,MATCH(C$231,Listes!$K$29:$K$31,0),MATCH(G$232,Listes!$K$29:$O$29,0)))</f>
        <v>0</v>
      </c>
      <c r="H237" s="45">
        <f>IF(OR(B$231=0,B$231=""),0,F237*INDEX(Listes!$K$15:$P$26,MATCH(B$231,Listes!$K$15:$K$26,0),MATCH(H$232,Listes!$K$15:$P$15,0))*INDEX(Listes!$K$29:$O$31,MATCH(C$231,Listes!$K$29:$K$31,0),MATCH(H$232,Listes!$K$29:$O$29,0)))</f>
        <v>0</v>
      </c>
      <c r="I237" s="45">
        <f>IF(OR(B$231=0,B$231=""),0,F237*INDEX(Listes!$K$15:$P$26,MATCH(B$231,Listes!$K$15:$K$26,0),MATCH(I$232,Listes!$K$15:$P$15,0))*INDEX(Listes!$K$29:$O$31,MATCH(C$231,Listes!$K$29:$K$31,0),MATCH(I$232,Listes!$K$29:$O$29,0)))</f>
        <v>0</v>
      </c>
      <c r="K237" s="463"/>
      <c r="L237" s="3">
        <v>5</v>
      </c>
      <c r="M237" s="45">
        <f t="shared" si="108"/>
        <v>0</v>
      </c>
      <c r="N237" s="45">
        <f t="shared" si="109"/>
        <v>0</v>
      </c>
      <c r="O237" s="45">
        <f>IF(OR(N237=0,N237="",L$116=0),0,N237*INDEX(Listes!$K$1:$Q$12,MATCH(L$116,Listes!$K$1:$K$12,0),MATCH(O$117,Listes!$K$1:$Q$1,0)))</f>
        <v>0</v>
      </c>
      <c r="P237" s="45">
        <f t="shared" si="110"/>
        <v>0</v>
      </c>
      <c r="Q237" s="45">
        <f>IF(OR(L$231=0,L$231=""),0,P237*INDEX(Listes!$K$15:$P$26,MATCH(L$231,Listes!$K$15:$K$26,0),MATCH(Q$232,Listes!$K$15:$P$15,0))*INDEX(Listes!$K$29:$O$31,MATCH(M$231,Listes!$K$29:$K$31,0),MATCH(Q$232,Listes!$K$29:$O$29,0)))</f>
        <v>0</v>
      </c>
      <c r="R237" s="45">
        <f>IF(OR(L$231=0,L$231=""),0,P237*INDEX(Listes!$K$15:$P$26,MATCH(L$231,Listes!$K$15:$K$26,0),MATCH(R$232,Listes!$K$15:$P$15,0))*INDEX(Listes!$K$29:$O$31,MATCH(M$231,Listes!$K$29:$K$31,0),MATCH(R$232,Listes!$K$29:$O$29,0)))</f>
        <v>0</v>
      </c>
      <c r="S237" s="45">
        <f>IF(OR(L$231=0,L$231=""),0,P237*INDEX(Listes!$K$15:$P$26,MATCH(L$231,Listes!$K$15:$K$26,0),MATCH(S$232,Listes!$K$15:$P$15,0))*INDEX(Listes!$K$29:$O$31,MATCH(M$231,Listes!$K$29:$K$31,0),MATCH(S$232,Listes!$K$29:$O$29,0)))</f>
        <v>0</v>
      </c>
      <c r="U237" s="463"/>
      <c r="V237" s="3">
        <v>5</v>
      </c>
      <c r="W237" s="45">
        <f t="shared" si="111"/>
        <v>0</v>
      </c>
      <c r="X237" s="45">
        <f t="shared" si="112"/>
        <v>0</v>
      </c>
      <c r="Y237" s="45">
        <f>IF(OR(X237=0,X237="",V$116=0),0,X237*INDEX(Listes!$K$1:$Q$12,MATCH(V$116,Listes!$K$1:$K$12,0),MATCH(Y$117,Listes!$K$1:$Q$1,0)))</f>
        <v>0</v>
      </c>
      <c r="Z237" s="45">
        <f t="shared" si="113"/>
        <v>0</v>
      </c>
      <c r="AA237" s="45">
        <f>IF(OR(V$231=0,V$231=""),0,Z237*INDEX(Listes!$K$15:$P$26,MATCH(V$231,Listes!$K$15:$K$26,0),MATCH(AA$232,Listes!$K$15:$P$15,0))*INDEX(Listes!$K$29:$O$31,MATCH(W$231,Listes!$K$29:$K$31,0),MATCH(AA$232,Listes!$K$29:$O$29,0)))</f>
        <v>0</v>
      </c>
      <c r="AB237" s="45">
        <f>IF(OR(V$231=0,V$231=""),0,Z237*INDEX(Listes!$K$15:$P$26,MATCH(V$231,Listes!$K$15:$K$26,0),MATCH(AB$232,Listes!$K$15:$P$15,0))*INDEX(Listes!$K$29:$O$31,MATCH(W$231,Listes!$K$29:$K$31,0),MATCH(AB$232,Listes!$K$29:$O$29,0)))</f>
        <v>0</v>
      </c>
      <c r="AC237" s="45">
        <f>IF(OR(V$231=0,V$231=""),0,Z237*INDEX(Listes!$K$15:$P$26,MATCH(V$231,Listes!$K$15:$K$26,0),MATCH(AC$232,Listes!$K$15:$P$15,0))*INDEX(Listes!$K$29:$O$31,MATCH(W$231,Listes!$K$29:$K$31,0),MATCH(AC$232,Listes!$K$29:$O$29,0)))</f>
        <v>0</v>
      </c>
      <c r="AE237" s="463"/>
      <c r="AF237" s="3">
        <v>5</v>
      </c>
      <c r="AG237" s="45">
        <f t="shared" si="114"/>
        <v>0</v>
      </c>
      <c r="AH237" s="45">
        <f t="shared" si="115"/>
        <v>0</v>
      </c>
      <c r="AI237" s="45">
        <f>IF(OR(AH237=0,AH237="",AF$116=0),0,AH237*INDEX(Listes!$K$1:$Q$12,MATCH(AF$116,Listes!$K$1:$K$12,0),MATCH(AI$117,Listes!$K$1:$Q$1,0)))</f>
        <v>0</v>
      </c>
      <c r="AJ237" s="45">
        <f t="shared" si="116"/>
        <v>0</v>
      </c>
      <c r="AK237" s="45">
        <f>IF(OR(AF$231=0,AF$231=""),0,AJ237*INDEX(Listes!$K$15:$P$26,MATCH(AF$231,Listes!$K$15:$K$26,0),MATCH(AK$232,Listes!$K$15:$P$15,0))*INDEX(Listes!$K$29:$O$31,MATCH(AG$231,Listes!$K$29:$K$31,0),MATCH(AK$232,Listes!$K$29:$O$29,0)))</f>
        <v>0</v>
      </c>
      <c r="AL237" s="45">
        <f>IF(OR(AF$231=0,AF$231=""),0,AJ237*INDEX(Listes!$K$15:$P$26,MATCH(AF$231,Listes!$K$15:$K$26,0),MATCH(AL$232,Listes!$K$15:$P$15,0))*INDEX(Listes!$K$29:$O$31,MATCH(AG$231,Listes!$K$29:$K$31,0),MATCH(AL$232,Listes!$K$29:$O$29,0)))</f>
        <v>0</v>
      </c>
      <c r="AM237" s="45">
        <f>IF(OR(AF$231=0,AF$231=""),0,AJ237*INDEX(Listes!$K$15:$P$26,MATCH(AF$231,Listes!$K$15:$K$26,0),MATCH(AM$232,Listes!$K$15:$P$15,0))*INDEX(Listes!$K$29:$O$31,MATCH(AG$231,Listes!$K$29:$K$31,0),MATCH(AM$232,Listes!$K$29:$O$29,0)))</f>
        <v>0</v>
      </c>
      <c r="AO237" s="463"/>
      <c r="AP237" s="3">
        <v>5</v>
      </c>
      <c r="AQ237" s="11">
        <f t="shared" si="117"/>
        <v>0</v>
      </c>
      <c r="AR237" s="11">
        <f t="shared" si="117"/>
        <v>0</v>
      </c>
      <c r="AS237" s="11">
        <f t="shared" si="117"/>
        <v>0</v>
      </c>
      <c r="AT237" s="11">
        <f>AQ237*VLOOKUP(AQ$232,Tableau17[],4,FALSE)+AR237*VLOOKUP(AR$232,Tableau17[],4,FALSE)+AS237*VLOOKUP(AS$232,Tableau17[],4,FALSE)</f>
        <v>0</v>
      </c>
      <c r="AU237" s="11">
        <f>AQ237*VLOOKUP(AQ$232,Tableau17[],3,FALSE)+AR237*VLOOKUP(AR$232,Tableau17[],3,FALSE)+AS237*VLOOKUP(AS$232,Tableau17[],3,FALSE)</f>
        <v>0</v>
      </c>
    </row>
    <row r="238" spans="1:52" x14ac:dyDescent="0.2">
      <c r="A238" s="463"/>
      <c r="B238" s="3">
        <v>6</v>
      </c>
      <c r="C238" s="45">
        <f t="shared" si="105"/>
        <v>0</v>
      </c>
      <c r="D238" s="45">
        <f t="shared" si="106"/>
        <v>0</v>
      </c>
      <c r="E238" s="45">
        <f>IF(OR(D238=0,D238="",B$116=0),0,D238*INDEX(Listes!$K$1:$Q$12,MATCH(B$116,Listes!$K$1:$K$12,0),MATCH(E$117,Listes!$K$1:$Q$1,0)))</f>
        <v>0</v>
      </c>
      <c r="F238" s="45">
        <f t="shared" si="107"/>
        <v>0</v>
      </c>
      <c r="G238" s="45">
        <f>IF(OR(B$231=0,B$231=""),0,F238*INDEX(Listes!$K$15:$P$26,MATCH(B$231,Listes!$K$15:$K$26,0),MATCH(G$232,Listes!$K$15:$P$15,0))*INDEX(Listes!$K$29:$O$31,MATCH(C$231,Listes!$K$29:$K$31,0),MATCH(G$232,Listes!$K$29:$O$29,0)))</f>
        <v>0</v>
      </c>
      <c r="H238" s="45">
        <f>IF(OR(B$231=0,B$231=""),0,F238*INDEX(Listes!$K$15:$P$26,MATCH(B$231,Listes!$K$15:$K$26,0),MATCH(H$232,Listes!$K$15:$P$15,0))*INDEX(Listes!$K$29:$O$31,MATCH(C$231,Listes!$K$29:$K$31,0),MATCH(H$232,Listes!$K$29:$O$29,0)))</f>
        <v>0</v>
      </c>
      <c r="I238" s="45">
        <f>IF(OR(B$231=0,B$231=""),0,F238*INDEX(Listes!$K$15:$P$26,MATCH(B$231,Listes!$K$15:$K$26,0),MATCH(I$232,Listes!$K$15:$P$15,0))*INDEX(Listes!$K$29:$O$31,MATCH(C$231,Listes!$K$29:$K$31,0),MATCH(I$232,Listes!$K$29:$O$29,0)))</f>
        <v>0</v>
      </c>
      <c r="K238" s="463"/>
      <c r="L238" s="3">
        <v>6</v>
      </c>
      <c r="M238" s="45">
        <f t="shared" si="108"/>
        <v>0</v>
      </c>
      <c r="N238" s="45">
        <f t="shared" si="109"/>
        <v>0</v>
      </c>
      <c r="O238" s="45">
        <f>IF(OR(N238=0,N238="",L$116=0),0,N238*INDEX(Listes!$K$1:$Q$12,MATCH(L$116,Listes!$K$1:$K$12,0),MATCH(O$117,Listes!$K$1:$Q$1,0)))</f>
        <v>0</v>
      </c>
      <c r="P238" s="45">
        <f t="shared" si="110"/>
        <v>0</v>
      </c>
      <c r="Q238" s="45">
        <f>IF(OR(L$231=0,L$231=""),0,P238*INDEX(Listes!$K$15:$P$26,MATCH(L$231,Listes!$K$15:$K$26,0),MATCH(Q$232,Listes!$K$15:$P$15,0))*INDEX(Listes!$K$29:$O$31,MATCH(M$231,Listes!$K$29:$K$31,0),MATCH(Q$232,Listes!$K$29:$O$29,0)))</f>
        <v>0</v>
      </c>
      <c r="R238" s="45">
        <f>IF(OR(L$231=0,L$231=""),0,P238*INDEX(Listes!$K$15:$P$26,MATCH(L$231,Listes!$K$15:$K$26,0),MATCH(R$232,Listes!$K$15:$P$15,0))*INDEX(Listes!$K$29:$O$31,MATCH(M$231,Listes!$K$29:$K$31,0),MATCH(R$232,Listes!$K$29:$O$29,0)))</f>
        <v>0</v>
      </c>
      <c r="S238" s="45">
        <f>IF(OR(L$231=0,L$231=""),0,P238*INDEX(Listes!$K$15:$P$26,MATCH(L$231,Listes!$K$15:$K$26,0),MATCH(S$232,Listes!$K$15:$P$15,0))*INDEX(Listes!$K$29:$O$31,MATCH(M$231,Listes!$K$29:$K$31,0),MATCH(S$232,Listes!$K$29:$O$29,0)))</f>
        <v>0</v>
      </c>
      <c r="U238" s="463"/>
      <c r="V238" s="3">
        <v>6</v>
      </c>
      <c r="W238" s="45">
        <f t="shared" si="111"/>
        <v>0</v>
      </c>
      <c r="X238" s="45">
        <f t="shared" si="112"/>
        <v>0</v>
      </c>
      <c r="Y238" s="45">
        <f>IF(OR(X238=0,X238="",V$116=0),0,X238*INDEX(Listes!$K$1:$Q$12,MATCH(V$116,Listes!$K$1:$K$12,0),MATCH(Y$117,Listes!$K$1:$Q$1,0)))</f>
        <v>0</v>
      </c>
      <c r="Z238" s="45">
        <f t="shared" si="113"/>
        <v>0</v>
      </c>
      <c r="AA238" s="45">
        <f>IF(OR(V$231=0,V$231=""),0,Z238*INDEX(Listes!$K$15:$P$26,MATCH(V$231,Listes!$K$15:$K$26,0),MATCH(AA$232,Listes!$K$15:$P$15,0))*INDEX(Listes!$K$29:$O$31,MATCH(W$231,Listes!$K$29:$K$31,0),MATCH(AA$232,Listes!$K$29:$O$29,0)))</f>
        <v>0</v>
      </c>
      <c r="AB238" s="45">
        <f>IF(OR(V$231=0,V$231=""),0,Z238*INDEX(Listes!$K$15:$P$26,MATCH(V$231,Listes!$K$15:$K$26,0),MATCH(AB$232,Listes!$K$15:$P$15,0))*INDEX(Listes!$K$29:$O$31,MATCH(W$231,Listes!$K$29:$K$31,0),MATCH(AB$232,Listes!$K$29:$O$29,0)))</f>
        <v>0</v>
      </c>
      <c r="AC238" s="45">
        <f>IF(OR(V$231=0,V$231=""),0,Z238*INDEX(Listes!$K$15:$P$26,MATCH(V$231,Listes!$K$15:$K$26,0),MATCH(AC$232,Listes!$K$15:$P$15,0))*INDEX(Listes!$K$29:$O$31,MATCH(W$231,Listes!$K$29:$K$31,0),MATCH(AC$232,Listes!$K$29:$O$29,0)))</f>
        <v>0</v>
      </c>
      <c r="AE238" s="463"/>
      <c r="AF238" s="3">
        <v>6</v>
      </c>
      <c r="AG238" s="45">
        <f t="shared" si="114"/>
        <v>0</v>
      </c>
      <c r="AH238" s="45">
        <f t="shared" si="115"/>
        <v>0</v>
      </c>
      <c r="AI238" s="45">
        <f>IF(OR(AH238=0,AH238="",AF$116=0),0,AH238*INDEX(Listes!$K$1:$Q$12,MATCH(AF$116,Listes!$K$1:$K$12,0),MATCH(AI$117,Listes!$K$1:$Q$1,0)))</f>
        <v>0</v>
      </c>
      <c r="AJ238" s="45">
        <f t="shared" si="116"/>
        <v>0</v>
      </c>
      <c r="AK238" s="45">
        <f>IF(OR(AF$231=0,AF$231=""),0,AJ238*INDEX(Listes!$K$15:$P$26,MATCH(AF$231,Listes!$K$15:$K$26,0),MATCH(AK$232,Listes!$K$15:$P$15,0))*INDEX(Listes!$K$29:$O$31,MATCH(AG$231,Listes!$K$29:$K$31,0),MATCH(AK$232,Listes!$K$29:$O$29,0)))</f>
        <v>0</v>
      </c>
      <c r="AL238" s="45">
        <f>IF(OR(AF$231=0,AF$231=""),0,AJ238*INDEX(Listes!$K$15:$P$26,MATCH(AF$231,Listes!$K$15:$K$26,0),MATCH(AL$232,Listes!$K$15:$P$15,0))*INDEX(Listes!$K$29:$O$31,MATCH(AG$231,Listes!$K$29:$K$31,0),MATCH(AL$232,Listes!$K$29:$O$29,0)))</f>
        <v>0</v>
      </c>
      <c r="AM238" s="45">
        <f>IF(OR(AF$231=0,AF$231=""),0,AJ238*INDEX(Listes!$K$15:$P$26,MATCH(AF$231,Listes!$K$15:$K$26,0),MATCH(AM$232,Listes!$K$15:$P$15,0))*INDEX(Listes!$K$29:$O$31,MATCH(AG$231,Listes!$K$29:$K$31,0),MATCH(AM$232,Listes!$K$29:$O$29,0)))</f>
        <v>0</v>
      </c>
      <c r="AO238" s="463"/>
      <c r="AP238" s="3">
        <v>6</v>
      </c>
      <c r="AQ238" s="11">
        <f t="shared" si="117"/>
        <v>0</v>
      </c>
      <c r="AR238" s="11">
        <f t="shared" si="117"/>
        <v>0</v>
      </c>
      <c r="AS238" s="11">
        <f t="shared" si="117"/>
        <v>0</v>
      </c>
      <c r="AT238" s="11">
        <f>AQ238*VLOOKUP(AQ$232,Tableau17[],4,FALSE)+AR238*VLOOKUP(AR$232,Tableau17[],4,FALSE)+AS238*VLOOKUP(AS$232,Tableau17[],4,FALSE)</f>
        <v>0</v>
      </c>
      <c r="AU238" s="11">
        <f>AQ238*VLOOKUP(AQ$232,Tableau17[],3,FALSE)+AR238*VLOOKUP(AR$232,Tableau17[],3,FALSE)+AS238*VLOOKUP(AS$232,Tableau17[],3,FALSE)</f>
        <v>0</v>
      </c>
    </row>
    <row r="239" spans="1:52" x14ac:dyDescent="0.2">
      <c r="A239" s="463"/>
      <c r="B239" s="3">
        <v>7</v>
      </c>
      <c r="C239" s="45">
        <f t="shared" si="105"/>
        <v>0</v>
      </c>
      <c r="D239" s="45">
        <f t="shared" si="106"/>
        <v>0</v>
      </c>
      <c r="E239" s="45">
        <f>IF(OR(D239=0,D239="",B$116=0),0,D239*INDEX(Listes!$K$1:$Q$12,MATCH(B$116,Listes!$K$1:$K$12,0),MATCH(E$117,Listes!$K$1:$Q$1,0)))</f>
        <v>0</v>
      </c>
      <c r="F239" s="45">
        <f t="shared" si="107"/>
        <v>0</v>
      </c>
      <c r="G239" s="45">
        <f>IF(OR(B$231=0,B$231=""),0,F239*INDEX(Listes!$K$15:$P$26,MATCH(B$231,Listes!$K$15:$K$26,0),MATCH(G$232,Listes!$K$15:$P$15,0))*INDEX(Listes!$K$29:$O$31,MATCH(C$231,Listes!$K$29:$K$31,0),MATCH(G$232,Listes!$K$29:$O$29,0)))</f>
        <v>0</v>
      </c>
      <c r="H239" s="45">
        <f>IF(OR(B$231=0,B$231=""),0,F239*INDEX(Listes!$K$15:$P$26,MATCH(B$231,Listes!$K$15:$K$26,0),MATCH(H$232,Listes!$K$15:$P$15,0))*INDEX(Listes!$K$29:$O$31,MATCH(C$231,Listes!$K$29:$K$31,0),MATCH(H$232,Listes!$K$29:$O$29,0)))</f>
        <v>0</v>
      </c>
      <c r="I239" s="45">
        <f>IF(OR(B$231=0,B$231=""),0,F239*INDEX(Listes!$K$15:$P$26,MATCH(B$231,Listes!$K$15:$K$26,0),MATCH(I$232,Listes!$K$15:$P$15,0))*INDEX(Listes!$K$29:$O$31,MATCH(C$231,Listes!$K$29:$K$31,0),MATCH(I$232,Listes!$K$29:$O$29,0)))</f>
        <v>0</v>
      </c>
      <c r="K239" s="463"/>
      <c r="L239" s="3">
        <v>7</v>
      </c>
      <c r="M239" s="45">
        <f t="shared" si="108"/>
        <v>0</v>
      </c>
      <c r="N239" s="45">
        <f t="shared" si="109"/>
        <v>0</v>
      </c>
      <c r="O239" s="45">
        <f>IF(OR(N239=0,N239="",L$116=0),0,N239*INDEX(Listes!$K$1:$Q$12,MATCH(L$116,Listes!$K$1:$K$12,0),MATCH(O$117,Listes!$K$1:$Q$1,0)))</f>
        <v>0</v>
      </c>
      <c r="P239" s="45">
        <f t="shared" si="110"/>
        <v>0</v>
      </c>
      <c r="Q239" s="45">
        <f>IF(OR(L$231=0,L$231=""),0,P239*INDEX(Listes!$K$15:$P$26,MATCH(L$231,Listes!$K$15:$K$26,0),MATCH(Q$232,Listes!$K$15:$P$15,0))*INDEX(Listes!$K$29:$O$31,MATCH(M$231,Listes!$K$29:$K$31,0),MATCH(Q$232,Listes!$K$29:$O$29,0)))</f>
        <v>0</v>
      </c>
      <c r="R239" s="45">
        <f>IF(OR(L$231=0,L$231=""),0,P239*INDEX(Listes!$K$15:$P$26,MATCH(L$231,Listes!$K$15:$K$26,0),MATCH(R$232,Listes!$K$15:$P$15,0))*INDEX(Listes!$K$29:$O$31,MATCH(M$231,Listes!$K$29:$K$31,0),MATCH(R$232,Listes!$K$29:$O$29,0)))</f>
        <v>0</v>
      </c>
      <c r="S239" s="45">
        <f>IF(OR(L$231=0,L$231=""),0,P239*INDEX(Listes!$K$15:$P$26,MATCH(L$231,Listes!$K$15:$K$26,0),MATCH(S$232,Listes!$K$15:$P$15,0))*INDEX(Listes!$K$29:$O$31,MATCH(M$231,Listes!$K$29:$K$31,0),MATCH(S$232,Listes!$K$29:$O$29,0)))</f>
        <v>0</v>
      </c>
      <c r="U239" s="463"/>
      <c r="V239" s="3">
        <v>7</v>
      </c>
      <c r="W239" s="45">
        <f t="shared" si="111"/>
        <v>0</v>
      </c>
      <c r="X239" s="45">
        <f t="shared" si="112"/>
        <v>0</v>
      </c>
      <c r="Y239" s="45">
        <f>IF(OR(X239=0,X239="",V$116=0),0,X239*INDEX(Listes!$K$1:$Q$12,MATCH(V$116,Listes!$K$1:$K$12,0),MATCH(Y$117,Listes!$K$1:$Q$1,0)))</f>
        <v>0</v>
      </c>
      <c r="Z239" s="45">
        <f t="shared" si="113"/>
        <v>0</v>
      </c>
      <c r="AA239" s="45">
        <f>IF(OR(V$231=0,V$231=""),0,Z239*INDEX(Listes!$K$15:$P$26,MATCH(V$231,Listes!$K$15:$K$26,0),MATCH(AA$232,Listes!$K$15:$P$15,0))*INDEX(Listes!$K$29:$O$31,MATCH(W$231,Listes!$K$29:$K$31,0),MATCH(AA$232,Listes!$K$29:$O$29,0)))</f>
        <v>0</v>
      </c>
      <c r="AB239" s="45">
        <f>IF(OR(V$231=0,V$231=""),0,Z239*INDEX(Listes!$K$15:$P$26,MATCH(V$231,Listes!$K$15:$K$26,0),MATCH(AB$232,Listes!$K$15:$P$15,0))*INDEX(Listes!$K$29:$O$31,MATCH(W$231,Listes!$K$29:$K$31,0),MATCH(AB$232,Listes!$K$29:$O$29,0)))</f>
        <v>0</v>
      </c>
      <c r="AC239" s="45">
        <f>IF(OR(V$231=0,V$231=""),0,Z239*INDEX(Listes!$K$15:$P$26,MATCH(V$231,Listes!$K$15:$K$26,0),MATCH(AC$232,Listes!$K$15:$P$15,0))*INDEX(Listes!$K$29:$O$31,MATCH(W$231,Listes!$K$29:$K$31,0),MATCH(AC$232,Listes!$K$29:$O$29,0)))</f>
        <v>0</v>
      </c>
      <c r="AE239" s="463"/>
      <c r="AF239" s="3">
        <v>7</v>
      </c>
      <c r="AG239" s="45">
        <f t="shared" si="114"/>
        <v>0</v>
      </c>
      <c r="AH239" s="45">
        <f t="shared" si="115"/>
        <v>0</v>
      </c>
      <c r="AI239" s="45">
        <f>IF(OR(AH239=0,AH239="",AF$116=0),0,AH239*INDEX(Listes!$K$1:$Q$12,MATCH(AF$116,Listes!$K$1:$K$12,0),MATCH(AI$117,Listes!$K$1:$Q$1,0)))</f>
        <v>0</v>
      </c>
      <c r="AJ239" s="45">
        <f t="shared" si="116"/>
        <v>0</v>
      </c>
      <c r="AK239" s="45">
        <f>IF(OR(AF$231=0,AF$231=""),0,AJ239*INDEX(Listes!$K$15:$P$26,MATCH(AF$231,Listes!$K$15:$K$26,0),MATCH(AK$232,Listes!$K$15:$P$15,0))*INDEX(Listes!$K$29:$O$31,MATCH(AG$231,Listes!$K$29:$K$31,0),MATCH(AK$232,Listes!$K$29:$O$29,0)))</f>
        <v>0</v>
      </c>
      <c r="AL239" s="45">
        <f>IF(OR(AF$231=0,AF$231=""),0,AJ239*INDEX(Listes!$K$15:$P$26,MATCH(AF$231,Listes!$K$15:$K$26,0),MATCH(AL$232,Listes!$K$15:$P$15,0))*INDEX(Listes!$K$29:$O$31,MATCH(AG$231,Listes!$K$29:$K$31,0),MATCH(AL$232,Listes!$K$29:$O$29,0)))</f>
        <v>0</v>
      </c>
      <c r="AM239" s="45">
        <f>IF(OR(AF$231=0,AF$231=""),0,AJ239*INDEX(Listes!$K$15:$P$26,MATCH(AF$231,Listes!$K$15:$K$26,0),MATCH(AM$232,Listes!$K$15:$P$15,0))*INDEX(Listes!$K$29:$O$31,MATCH(AG$231,Listes!$K$29:$K$31,0),MATCH(AM$232,Listes!$K$29:$O$29,0)))</f>
        <v>0</v>
      </c>
      <c r="AO239" s="463"/>
      <c r="AP239" s="3">
        <v>7</v>
      </c>
      <c r="AQ239" s="11">
        <f t="shared" si="117"/>
        <v>0</v>
      </c>
      <c r="AR239" s="11">
        <f t="shared" si="117"/>
        <v>0</v>
      </c>
      <c r="AS239" s="11">
        <f t="shared" si="117"/>
        <v>0</v>
      </c>
      <c r="AT239" s="11">
        <f>AQ239*VLOOKUP(AQ$232,Tableau17[],4,FALSE)+AR239*VLOOKUP(AR$232,Tableau17[],4,FALSE)+AS239*VLOOKUP(AS$232,Tableau17[],4,FALSE)</f>
        <v>0</v>
      </c>
      <c r="AU239" s="11">
        <f>AQ239*VLOOKUP(AQ$232,Tableau17[],3,FALSE)+AR239*VLOOKUP(AR$232,Tableau17[],3,FALSE)+AS239*VLOOKUP(AS$232,Tableau17[],3,FALSE)</f>
        <v>0</v>
      </c>
    </row>
    <row r="240" spans="1:52" x14ac:dyDescent="0.2">
      <c r="A240" s="463"/>
      <c r="B240" s="3">
        <v>8</v>
      </c>
      <c r="C240" s="45">
        <f t="shared" si="105"/>
        <v>0</v>
      </c>
      <c r="D240" s="45">
        <f t="shared" si="106"/>
        <v>0</v>
      </c>
      <c r="E240" s="45">
        <f>IF(OR(D240=0,D240="",B$116=0),0,D240*INDEX(Listes!$K$1:$Q$12,MATCH(B$116,Listes!$K$1:$K$12,0),MATCH(E$117,Listes!$K$1:$Q$1,0)))</f>
        <v>0</v>
      </c>
      <c r="F240" s="45">
        <f t="shared" si="107"/>
        <v>0</v>
      </c>
      <c r="G240" s="45">
        <f>IF(OR(B$231=0,B$231=""),0,F240*INDEX(Listes!$K$15:$P$26,MATCH(B$231,Listes!$K$15:$K$26,0),MATCH(G$232,Listes!$K$15:$P$15,0))*INDEX(Listes!$K$29:$O$31,MATCH(C$231,Listes!$K$29:$K$31,0),MATCH(G$232,Listes!$K$29:$O$29,0)))</f>
        <v>0</v>
      </c>
      <c r="H240" s="45">
        <f>IF(OR(B$231=0,B$231=""),0,F240*INDEX(Listes!$K$15:$P$26,MATCH(B$231,Listes!$K$15:$K$26,0),MATCH(H$232,Listes!$K$15:$P$15,0))*INDEX(Listes!$K$29:$O$31,MATCH(C$231,Listes!$K$29:$K$31,0),MATCH(H$232,Listes!$K$29:$O$29,0)))</f>
        <v>0</v>
      </c>
      <c r="I240" s="45">
        <f>IF(OR(B$231=0,B$231=""),0,F240*INDEX(Listes!$K$15:$P$26,MATCH(B$231,Listes!$K$15:$K$26,0),MATCH(I$232,Listes!$K$15:$P$15,0))*INDEX(Listes!$K$29:$O$31,MATCH(C$231,Listes!$K$29:$K$31,0),MATCH(I$232,Listes!$K$29:$O$29,0)))</f>
        <v>0</v>
      </c>
      <c r="K240" s="463"/>
      <c r="L240" s="3">
        <v>8</v>
      </c>
      <c r="M240" s="45">
        <f t="shared" si="108"/>
        <v>0</v>
      </c>
      <c r="N240" s="45">
        <f t="shared" si="109"/>
        <v>0</v>
      </c>
      <c r="O240" s="45">
        <f>IF(OR(N240=0,N240="",L$116=0),0,N240*INDEX(Listes!$K$1:$Q$12,MATCH(L$116,Listes!$K$1:$K$12,0),MATCH(O$117,Listes!$K$1:$Q$1,0)))</f>
        <v>0</v>
      </c>
      <c r="P240" s="45">
        <f t="shared" si="110"/>
        <v>0</v>
      </c>
      <c r="Q240" s="45">
        <f>IF(OR(L$231=0,L$231=""),0,P240*INDEX(Listes!$K$15:$P$26,MATCH(L$231,Listes!$K$15:$K$26,0),MATCH(Q$232,Listes!$K$15:$P$15,0))*INDEX(Listes!$K$29:$O$31,MATCH(M$231,Listes!$K$29:$K$31,0),MATCH(Q$232,Listes!$K$29:$O$29,0)))</f>
        <v>0</v>
      </c>
      <c r="R240" s="45">
        <f>IF(OR(L$231=0,L$231=""),0,P240*INDEX(Listes!$K$15:$P$26,MATCH(L$231,Listes!$K$15:$K$26,0),MATCH(R$232,Listes!$K$15:$P$15,0))*INDEX(Listes!$K$29:$O$31,MATCH(M$231,Listes!$K$29:$K$31,0),MATCH(R$232,Listes!$K$29:$O$29,0)))</f>
        <v>0</v>
      </c>
      <c r="S240" s="45">
        <f>IF(OR(L$231=0,L$231=""),0,P240*INDEX(Listes!$K$15:$P$26,MATCH(L$231,Listes!$K$15:$K$26,0),MATCH(S$232,Listes!$K$15:$P$15,0))*INDEX(Listes!$K$29:$O$31,MATCH(M$231,Listes!$K$29:$K$31,0),MATCH(S$232,Listes!$K$29:$O$29,0)))</f>
        <v>0</v>
      </c>
      <c r="U240" s="463"/>
      <c r="V240" s="3">
        <v>8</v>
      </c>
      <c r="W240" s="45">
        <f t="shared" si="111"/>
        <v>0</v>
      </c>
      <c r="X240" s="45">
        <f t="shared" si="112"/>
        <v>0</v>
      </c>
      <c r="Y240" s="45">
        <f>IF(OR(X240=0,X240="",V$116=0),0,X240*INDEX(Listes!$K$1:$Q$12,MATCH(V$116,Listes!$K$1:$K$12,0),MATCH(Y$117,Listes!$K$1:$Q$1,0)))</f>
        <v>0</v>
      </c>
      <c r="Z240" s="45">
        <f t="shared" si="113"/>
        <v>0</v>
      </c>
      <c r="AA240" s="45">
        <f>IF(OR(V$231=0,V$231=""),0,Z240*INDEX(Listes!$K$15:$P$26,MATCH(V$231,Listes!$K$15:$K$26,0),MATCH(AA$232,Listes!$K$15:$P$15,0))*INDEX(Listes!$K$29:$O$31,MATCH(W$231,Listes!$K$29:$K$31,0),MATCH(AA$232,Listes!$K$29:$O$29,0)))</f>
        <v>0</v>
      </c>
      <c r="AB240" s="45">
        <f>IF(OR(V$231=0,V$231=""),0,Z240*INDEX(Listes!$K$15:$P$26,MATCH(V$231,Listes!$K$15:$K$26,0),MATCH(AB$232,Listes!$K$15:$P$15,0))*INDEX(Listes!$K$29:$O$31,MATCH(W$231,Listes!$K$29:$K$31,0),MATCH(AB$232,Listes!$K$29:$O$29,0)))</f>
        <v>0</v>
      </c>
      <c r="AC240" s="45">
        <f>IF(OR(V$231=0,V$231=""),0,Z240*INDEX(Listes!$K$15:$P$26,MATCH(V$231,Listes!$K$15:$K$26,0),MATCH(AC$232,Listes!$K$15:$P$15,0))*INDEX(Listes!$K$29:$O$31,MATCH(W$231,Listes!$K$29:$K$31,0),MATCH(AC$232,Listes!$K$29:$O$29,0)))</f>
        <v>0</v>
      </c>
      <c r="AE240" s="463"/>
      <c r="AF240" s="3">
        <v>8</v>
      </c>
      <c r="AG240" s="45">
        <f t="shared" si="114"/>
        <v>0</v>
      </c>
      <c r="AH240" s="45">
        <f t="shared" si="115"/>
        <v>0</v>
      </c>
      <c r="AI240" s="45">
        <f>IF(OR(AH240=0,AH240="",AF$116=0),0,AH240*INDEX(Listes!$K$1:$Q$12,MATCH(AF$116,Listes!$K$1:$K$12,0),MATCH(AI$117,Listes!$K$1:$Q$1,0)))</f>
        <v>0</v>
      </c>
      <c r="AJ240" s="45">
        <f t="shared" si="116"/>
        <v>0</v>
      </c>
      <c r="AK240" s="45">
        <f>IF(OR(AF$231=0,AF$231=""),0,AJ240*INDEX(Listes!$K$15:$P$26,MATCH(AF$231,Listes!$K$15:$K$26,0),MATCH(AK$232,Listes!$K$15:$P$15,0))*INDEX(Listes!$K$29:$O$31,MATCH(AG$231,Listes!$K$29:$K$31,0),MATCH(AK$232,Listes!$K$29:$O$29,0)))</f>
        <v>0</v>
      </c>
      <c r="AL240" s="45">
        <f>IF(OR(AF$231=0,AF$231=""),0,AJ240*INDEX(Listes!$K$15:$P$26,MATCH(AF$231,Listes!$K$15:$K$26,0),MATCH(AL$232,Listes!$K$15:$P$15,0))*INDEX(Listes!$K$29:$O$31,MATCH(AG$231,Listes!$K$29:$K$31,0),MATCH(AL$232,Listes!$K$29:$O$29,0)))</f>
        <v>0</v>
      </c>
      <c r="AM240" s="45">
        <f>IF(OR(AF$231=0,AF$231=""),0,AJ240*INDEX(Listes!$K$15:$P$26,MATCH(AF$231,Listes!$K$15:$K$26,0),MATCH(AM$232,Listes!$K$15:$P$15,0))*INDEX(Listes!$K$29:$O$31,MATCH(AG$231,Listes!$K$29:$K$31,0),MATCH(AM$232,Listes!$K$29:$O$29,0)))</f>
        <v>0</v>
      </c>
      <c r="AO240" s="463"/>
      <c r="AP240" s="3">
        <v>8</v>
      </c>
      <c r="AQ240" s="11">
        <f t="shared" si="117"/>
        <v>0</v>
      </c>
      <c r="AR240" s="11">
        <f t="shared" si="117"/>
        <v>0</v>
      </c>
      <c r="AS240" s="11">
        <f t="shared" si="117"/>
        <v>0</v>
      </c>
      <c r="AT240" s="11">
        <f>AQ240*VLOOKUP(AQ$232,Tableau17[],4,FALSE)+AR240*VLOOKUP(AR$232,Tableau17[],4,FALSE)+AS240*VLOOKUP(AS$232,Tableau17[],4,FALSE)</f>
        <v>0</v>
      </c>
      <c r="AU240" s="11">
        <f>AQ240*VLOOKUP(AQ$232,Tableau17[],3,FALSE)+AR240*VLOOKUP(AR$232,Tableau17[],3,FALSE)+AS240*VLOOKUP(AS$232,Tableau17[],3,FALSE)</f>
        <v>0</v>
      </c>
    </row>
    <row r="241" spans="1:52" x14ac:dyDescent="0.2">
      <c r="A241" s="463"/>
      <c r="B241" s="3">
        <v>9</v>
      </c>
      <c r="C241" s="45">
        <f t="shared" si="105"/>
        <v>0</v>
      </c>
      <c r="D241" s="45">
        <f t="shared" si="106"/>
        <v>0</v>
      </c>
      <c r="E241" s="45">
        <f>IF(OR(D241=0,D241="",B$116=0),0,D241*INDEX(Listes!$K$1:$Q$12,MATCH(B$116,Listes!$K$1:$K$12,0),MATCH(E$117,Listes!$K$1:$Q$1,0)))</f>
        <v>0</v>
      </c>
      <c r="F241" s="45">
        <f t="shared" si="107"/>
        <v>0</v>
      </c>
      <c r="G241" s="45">
        <f>IF(OR(B$231=0,B$231=""),0,F241*INDEX(Listes!$K$15:$P$26,MATCH(B$231,Listes!$K$15:$K$26,0),MATCH(G$232,Listes!$K$15:$P$15,0))*INDEX(Listes!$K$29:$O$31,MATCH(C$231,Listes!$K$29:$K$31,0),MATCH(G$232,Listes!$K$29:$O$29,0)))</f>
        <v>0</v>
      </c>
      <c r="H241" s="45">
        <f>IF(OR(B$231=0,B$231=""),0,F241*INDEX(Listes!$K$15:$P$26,MATCH(B$231,Listes!$K$15:$K$26,0),MATCH(H$232,Listes!$K$15:$P$15,0))*INDEX(Listes!$K$29:$O$31,MATCH(C$231,Listes!$K$29:$K$31,0),MATCH(H$232,Listes!$K$29:$O$29,0)))</f>
        <v>0</v>
      </c>
      <c r="I241" s="45">
        <f>IF(OR(B$231=0,B$231=""),0,F241*INDEX(Listes!$K$15:$P$26,MATCH(B$231,Listes!$K$15:$K$26,0),MATCH(I$232,Listes!$K$15:$P$15,0))*INDEX(Listes!$K$29:$O$31,MATCH(C$231,Listes!$K$29:$K$31,0),MATCH(I$232,Listes!$K$29:$O$29,0)))</f>
        <v>0</v>
      </c>
      <c r="K241" s="463"/>
      <c r="L241" s="3">
        <v>9</v>
      </c>
      <c r="M241" s="45">
        <f t="shared" si="108"/>
        <v>0</v>
      </c>
      <c r="N241" s="45">
        <f t="shared" si="109"/>
        <v>0</v>
      </c>
      <c r="O241" s="45">
        <f>IF(OR(N241=0,N241="",L$116=0),0,N241*INDEX(Listes!$K$1:$Q$12,MATCH(L$116,Listes!$K$1:$K$12,0),MATCH(O$117,Listes!$K$1:$Q$1,0)))</f>
        <v>0</v>
      </c>
      <c r="P241" s="45">
        <f t="shared" si="110"/>
        <v>0</v>
      </c>
      <c r="Q241" s="45">
        <f>IF(OR(L$231=0,L$231=""),0,P241*INDEX(Listes!$K$15:$P$26,MATCH(L$231,Listes!$K$15:$K$26,0),MATCH(Q$232,Listes!$K$15:$P$15,0))*INDEX(Listes!$K$29:$O$31,MATCH(M$231,Listes!$K$29:$K$31,0),MATCH(Q$232,Listes!$K$29:$O$29,0)))</f>
        <v>0</v>
      </c>
      <c r="R241" s="45">
        <f>IF(OR(L$231=0,L$231=""),0,P241*INDEX(Listes!$K$15:$P$26,MATCH(L$231,Listes!$K$15:$K$26,0),MATCH(R$232,Listes!$K$15:$P$15,0))*INDEX(Listes!$K$29:$O$31,MATCH(M$231,Listes!$K$29:$K$31,0),MATCH(R$232,Listes!$K$29:$O$29,0)))</f>
        <v>0</v>
      </c>
      <c r="S241" s="45">
        <f>IF(OR(L$231=0,L$231=""),0,P241*INDEX(Listes!$K$15:$P$26,MATCH(L$231,Listes!$K$15:$K$26,0),MATCH(S$232,Listes!$K$15:$P$15,0))*INDEX(Listes!$K$29:$O$31,MATCH(M$231,Listes!$K$29:$K$31,0),MATCH(S$232,Listes!$K$29:$O$29,0)))</f>
        <v>0</v>
      </c>
      <c r="U241" s="463"/>
      <c r="V241" s="3">
        <v>9</v>
      </c>
      <c r="W241" s="45">
        <f t="shared" si="111"/>
        <v>0</v>
      </c>
      <c r="X241" s="45">
        <f t="shared" si="112"/>
        <v>0</v>
      </c>
      <c r="Y241" s="45">
        <f>IF(OR(X241=0,X241="",V$116=0),0,X241*INDEX(Listes!$K$1:$Q$12,MATCH(V$116,Listes!$K$1:$K$12,0),MATCH(Y$117,Listes!$K$1:$Q$1,0)))</f>
        <v>0</v>
      </c>
      <c r="Z241" s="45">
        <f t="shared" si="113"/>
        <v>0</v>
      </c>
      <c r="AA241" s="45">
        <f>IF(OR(V$231=0,V$231=""),0,Z241*INDEX(Listes!$K$15:$P$26,MATCH(V$231,Listes!$K$15:$K$26,0),MATCH(AA$232,Listes!$K$15:$P$15,0))*INDEX(Listes!$K$29:$O$31,MATCH(W$231,Listes!$K$29:$K$31,0),MATCH(AA$232,Listes!$K$29:$O$29,0)))</f>
        <v>0</v>
      </c>
      <c r="AB241" s="45">
        <f>IF(OR(V$231=0,V$231=""),0,Z241*INDEX(Listes!$K$15:$P$26,MATCH(V$231,Listes!$K$15:$K$26,0),MATCH(AB$232,Listes!$K$15:$P$15,0))*INDEX(Listes!$K$29:$O$31,MATCH(W$231,Listes!$K$29:$K$31,0),MATCH(AB$232,Listes!$K$29:$O$29,0)))</f>
        <v>0</v>
      </c>
      <c r="AC241" s="45">
        <f>IF(OR(V$231=0,V$231=""),0,Z241*INDEX(Listes!$K$15:$P$26,MATCH(V$231,Listes!$K$15:$K$26,0),MATCH(AC$232,Listes!$K$15:$P$15,0))*INDEX(Listes!$K$29:$O$31,MATCH(W$231,Listes!$K$29:$K$31,0),MATCH(AC$232,Listes!$K$29:$O$29,0)))</f>
        <v>0</v>
      </c>
      <c r="AE241" s="463"/>
      <c r="AF241" s="3">
        <v>9</v>
      </c>
      <c r="AG241" s="45">
        <f t="shared" si="114"/>
        <v>0</v>
      </c>
      <c r="AH241" s="45">
        <f t="shared" si="115"/>
        <v>0</v>
      </c>
      <c r="AI241" s="45">
        <f>IF(OR(AH241=0,AH241="",AF$116=0),0,AH241*INDEX(Listes!$K$1:$Q$12,MATCH(AF$116,Listes!$K$1:$K$12,0),MATCH(AI$117,Listes!$K$1:$Q$1,0)))</f>
        <v>0</v>
      </c>
      <c r="AJ241" s="45">
        <f t="shared" si="116"/>
        <v>0</v>
      </c>
      <c r="AK241" s="45">
        <f>IF(OR(AF$231=0,AF$231=""),0,AJ241*INDEX(Listes!$K$15:$P$26,MATCH(AF$231,Listes!$K$15:$K$26,0),MATCH(AK$232,Listes!$K$15:$P$15,0))*INDEX(Listes!$K$29:$O$31,MATCH(AG$231,Listes!$K$29:$K$31,0),MATCH(AK$232,Listes!$K$29:$O$29,0)))</f>
        <v>0</v>
      </c>
      <c r="AL241" s="45">
        <f>IF(OR(AF$231=0,AF$231=""),0,AJ241*INDEX(Listes!$K$15:$P$26,MATCH(AF$231,Listes!$K$15:$K$26,0),MATCH(AL$232,Listes!$K$15:$P$15,0))*INDEX(Listes!$K$29:$O$31,MATCH(AG$231,Listes!$K$29:$K$31,0),MATCH(AL$232,Listes!$K$29:$O$29,0)))</f>
        <v>0</v>
      </c>
      <c r="AM241" s="45">
        <f>IF(OR(AF$231=0,AF$231=""),0,AJ241*INDEX(Listes!$K$15:$P$26,MATCH(AF$231,Listes!$K$15:$K$26,0),MATCH(AM$232,Listes!$K$15:$P$15,0))*INDEX(Listes!$K$29:$O$31,MATCH(AG$231,Listes!$K$29:$K$31,0),MATCH(AM$232,Listes!$K$29:$O$29,0)))</f>
        <v>0</v>
      </c>
      <c r="AO241" s="463"/>
      <c r="AP241" s="3">
        <v>9</v>
      </c>
      <c r="AQ241" s="11">
        <f t="shared" si="117"/>
        <v>0</v>
      </c>
      <c r="AR241" s="11">
        <f t="shared" si="117"/>
        <v>0</v>
      </c>
      <c r="AS241" s="11">
        <f t="shared" si="117"/>
        <v>0</v>
      </c>
      <c r="AT241" s="11">
        <f>AQ241*VLOOKUP(AQ$232,Tableau17[],4,FALSE)+AR241*VLOOKUP(AR$232,Tableau17[],4,FALSE)+AS241*VLOOKUP(AS$232,Tableau17[],4,FALSE)</f>
        <v>0</v>
      </c>
      <c r="AU241" s="11">
        <f>AQ241*VLOOKUP(AQ$232,Tableau17[],3,FALSE)+AR241*VLOOKUP(AR$232,Tableau17[],3,FALSE)+AS241*VLOOKUP(AS$232,Tableau17[],3,FALSE)</f>
        <v>0</v>
      </c>
    </row>
    <row r="242" spans="1:52" x14ac:dyDescent="0.2">
      <c r="A242" s="463"/>
      <c r="B242" s="3">
        <v>10</v>
      </c>
      <c r="C242" s="45">
        <f t="shared" si="105"/>
        <v>0</v>
      </c>
      <c r="D242" s="45">
        <f t="shared" si="106"/>
        <v>0</v>
      </c>
      <c r="E242" s="45">
        <f>IF(OR(D242=0,D242="",B$116=0),0,D242*INDEX(Listes!$K$1:$Q$12,MATCH(B$116,Listes!$K$1:$K$12,0),MATCH(E$117,Listes!$K$1:$Q$1,0)))</f>
        <v>0</v>
      </c>
      <c r="F242" s="45">
        <f t="shared" si="107"/>
        <v>0</v>
      </c>
      <c r="G242" s="45">
        <f>IF(OR(B$231=0,B$231=""),0,F242*INDEX(Listes!$K$15:$P$26,MATCH(B$231,Listes!$K$15:$K$26,0),MATCH(G$232,Listes!$K$15:$P$15,0))*INDEX(Listes!$K$29:$O$31,MATCH(C$231,Listes!$K$29:$K$31,0),MATCH(G$232,Listes!$K$29:$O$29,0)))</f>
        <v>0</v>
      </c>
      <c r="H242" s="45">
        <f>IF(OR(B$231=0,B$231=""),0,F242*INDEX(Listes!$K$15:$P$26,MATCH(B$231,Listes!$K$15:$K$26,0),MATCH(H$232,Listes!$K$15:$P$15,0))*INDEX(Listes!$K$29:$O$31,MATCH(C$231,Listes!$K$29:$K$31,0),MATCH(H$232,Listes!$K$29:$O$29,0)))</f>
        <v>0</v>
      </c>
      <c r="I242" s="45">
        <f>IF(OR(B$231=0,B$231=""),0,F242*INDEX(Listes!$K$15:$P$26,MATCH(B$231,Listes!$K$15:$K$26,0),MATCH(I$232,Listes!$K$15:$P$15,0))*INDEX(Listes!$K$29:$O$31,MATCH(C$231,Listes!$K$29:$K$31,0),MATCH(I$232,Listes!$K$29:$O$29,0)))</f>
        <v>0</v>
      </c>
      <c r="K242" s="463"/>
      <c r="L242" s="3">
        <v>10</v>
      </c>
      <c r="M242" s="45">
        <f t="shared" si="108"/>
        <v>0</v>
      </c>
      <c r="N242" s="45">
        <f t="shared" si="109"/>
        <v>0</v>
      </c>
      <c r="O242" s="45">
        <f>IF(OR(N242=0,N242="",L$116=0),0,N242*INDEX(Listes!$K$1:$Q$12,MATCH(L$116,Listes!$K$1:$K$12,0),MATCH(O$117,Listes!$K$1:$Q$1,0)))</f>
        <v>0</v>
      </c>
      <c r="P242" s="45">
        <f t="shared" si="110"/>
        <v>0</v>
      </c>
      <c r="Q242" s="45">
        <f>IF(OR(L$231=0,L$231=""),0,P242*INDEX(Listes!$K$15:$P$26,MATCH(L$231,Listes!$K$15:$K$26,0),MATCH(Q$232,Listes!$K$15:$P$15,0))*INDEX(Listes!$K$29:$O$31,MATCH(M$231,Listes!$K$29:$K$31,0),MATCH(Q$232,Listes!$K$29:$O$29,0)))</f>
        <v>0</v>
      </c>
      <c r="R242" s="45">
        <f>IF(OR(L$231=0,L$231=""),0,P242*INDEX(Listes!$K$15:$P$26,MATCH(L$231,Listes!$K$15:$K$26,0),MATCH(R$232,Listes!$K$15:$P$15,0))*INDEX(Listes!$K$29:$O$31,MATCH(M$231,Listes!$K$29:$K$31,0),MATCH(R$232,Listes!$K$29:$O$29,0)))</f>
        <v>0</v>
      </c>
      <c r="S242" s="45">
        <f>IF(OR(L$231=0,L$231=""),0,P242*INDEX(Listes!$K$15:$P$26,MATCH(L$231,Listes!$K$15:$K$26,0),MATCH(S$232,Listes!$K$15:$P$15,0))*INDEX(Listes!$K$29:$O$31,MATCH(M$231,Listes!$K$29:$K$31,0),MATCH(S$232,Listes!$K$29:$O$29,0)))</f>
        <v>0</v>
      </c>
      <c r="U242" s="463"/>
      <c r="V242" s="3">
        <v>10</v>
      </c>
      <c r="W242" s="45">
        <f t="shared" si="111"/>
        <v>0</v>
      </c>
      <c r="X242" s="45">
        <f t="shared" si="112"/>
        <v>0</v>
      </c>
      <c r="Y242" s="45">
        <f>IF(OR(X242=0,X242="",V$116=0),0,X242*INDEX(Listes!$K$1:$Q$12,MATCH(V$116,Listes!$K$1:$K$12,0),MATCH(Y$117,Listes!$K$1:$Q$1,0)))</f>
        <v>0</v>
      </c>
      <c r="Z242" s="45">
        <f t="shared" si="113"/>
        <v>0</v>
      </c>
      <c r="AA242" s="45">
        <f>IF(OR(V$231=0,V$231=""),0,Z242*INDEX(Listes!$K$15:$P$26,MATCH(V$231,Listes!$K$15:$K$26,0),MATCH(AA$232,Listes!$K$15:$P$15,0))*INDEX(Listes!$K$29:$O$31,MATCH(W$231,Listes!$K$29:$K$31,0),MATCH(AA$232,Listes!$K$29:$O$29,0)))</f>
        <v>0</v>
      </c>
      <c r="AB242" s="45">
        <f>IF(OR(V$231=0,V$231=""),0,Z242*INDEX(Listes!$K$15:$P$26,MATCH(V$231,Listes!$K$15:$K$26,0),MATCH(AB$232,Listes!$K$15:$P$15,0))*INDEX(Listes!$K$29:$O$31,MATCH(W$231,Listes!$K$29:$K$31,0),MATCH(AB$232,Listes!$K$29:$O$29,0)))</f>
        <v>0</v>
      </c>
      <c r="AC242" s="45">
        <f>IF(OR(V$231=0,V$231=""),0,Z242*INDEX(Listes!$K$15:$P$26,MATCH(V$231,Listes!$K$15:$K$26,0),MATCH(AC$232,Listes!$K$15:$P$15,0))*INDEX(Listes!$K$29:$O$31,MATCH(W$231,Listes!$K$29:$K$31,0),MATCH(AC$232,Listes!$K$29:$O$29,0)))</f>
        <v>0</v>
      </c>
      <c r="AE242" s="463"/>
      <c r="AF242" s="3">
        <v>10</v>
      </c>
      <c r="AG242" s="45">
        <f t="shared" si="114"/>
        <v>0</v>
      </c>
      <c r="AH242" s="45">
        <f t="shared" si="115"/>
        <v>0</v>
      </c>
      <c r="AI242" s="45">
        <f>IF(OR(AH242=0,AH242="",AF$116=0),0,AH242*INDEX(Listes!$K$1:$Q$12,MATCH(AF$116,Listes!$K$1:$K$12,0),MATCH(AI$117,Listes!$K$1:$Q$1,0)))</f>
        <v>0</v>
      </c>
      <c r="AJ242" s="45">
        <f t="shared" si="116"/>
        <v>0</v>
      </c>
      <c r="AK242" s="45">
        <f>IF(OR(AF$231=0,AF$231=""),0,AJ242*INDEX(Listes!$K$15:$P$26,MATCH(AF$231,Listes!$K$15:$K$26,0),MATCH(AK$232,Listes!$K$15:$P$15,0))*INDEX(Listes!$K$29:$O$31,MATCH(AG$231,Listes!$K$29:$K$31,0),MATCH(AK$232,Listes!$K$29:$O$29,0)))</f>
        <v>0</v>
      </c>
      <c r="AL242" s="45">
        <f>IF(OR(AF$231=0,AF$231=""),0,AJ242*INDEX(Listes!$K$15:$P$26,MATCH(AF$231,Listes!$K$15:$K$26,0),MATCH(AL$232,Listes!$K$15:$P$15,0))*INDEX(Listes!$K$29:$O$31,MATCH(AG$231,Listes!$K$29:$K$31,0),MATCH(AL$232,Listes!$K$29:$O$29,0)))</f>
        <v>0</v>
      </c>
      <c r="AM242" s="45">
        <f>IF(OR(AF$231=0,AF$231=""),0,AJ242*INDEX(Listes!$K$15:$P$26,MATCH(AF$231,Listes!$K$15:$K$26,0),MATCH(AM$232,Listes!$K$15:$P$15,0))*INDEX(Listes!$K$29:$O$31,MATCH(AG$231,Listes!$K$29:$K$31,0),MATCH(AM$232,Listes!$K$29:$O$29,0)))</f>
        <v>0</v>
      </c>
      <c r="AO242" s="463"/>
      <c r="AP242" s="3">
        <v>10</v>
      </c>
      <c r="AQ242" s="11">
        <f t="shared" si="117"/>
        <v>0</v>
      </c>
      <c r="AR242" s="11">
        <f t="shared" si="117"/>
        <v>0</v>
      </c>
      <c r="AS242" s="11">
        <f t="shared" si="117"/>
        <v>0</v>
      </c>
      <c r="AT242" s="11">
        <f>AQ242*VLOOKUP(AQ$232,Tableau17[],4,FALSE)+AR242*VLOOKUP(AR$232,Tableau17[],4,FALSE)+AS242*VLOOKUP(AS$232,Tableau17[],4,FALSE)</f>
        <v>0</v>
      </c>
      <c r="AU242" s="11">
        <f>AQ242*VLOOKUP(AQ$232,Tableau17[],3,FALSE)+AR242*VLOOKUP(AR$232,Tableau17[],3,FALSE)+AS242*VLOOKUP(AS$232,Tableau17[],3,FALSE)</f>
        <v>0</v>
      </c>
    </row>
    <row r="243" spans="1:52" x14ac:dyDescent="0.2">
      <c r="A243" s="463"/>
      <c r="B243" s="3">
        <v>11</v>
      </c>
      <c r="C243" s="45">
        <f t="shared" si="105"/>
        <v>0</v>
      </c>
      <c r="D243" s="45">
        <f t="shared" si="106"/>
        <v>0</v>
      </c>
      <c r="E243" s="45">
        <f>IF(OR(D243=0,D243="",B$116=0),0,D243*INDEX(Listes!$K$1:$Q$12,MATCH(B$116,Listes!$K$1:$K$12,0),MATCH(E$117,Listes!$K$1:$Q$1,0)))</f>
        <v>0</v>
      </c>
      <c r="F243" s="45">
        <f t="shared" si="107"/>
        <v>0</v>
      </c>
      <c r="G243" s="45">
        <f>IF(OR(B$231=0,B$231=""),0,F243*INDEX(Listes!$K$15:$P$26,MATCH(B$231,Listes!$K$15:$K$26,0),MATCH(G$232,Listes!$K$15:$P$15,0))*INDEX(Listes!$K$29:$O$31,MATCH(C$231,Listes!$K$29:$K$31,0),MATCH(G$232,Listes!$K$29:$O$29,0)))</f>
        <v>0</v>
      </c>
      <c r="H243" s="45">
        <f>IF(OR(B$231=0,B$231=""),0,F243*INDEX(Listes!$K$15:$P$26,MATCH(B$231,Listes!$K$15:$K$26,0),MATCH(H$232,Listes!$K$15:$P$15,0))*INDEX(Listes!$K$29:$O$31,MATCH(C$231,Listes!$K$29:$K$31,0),MATCH(H$232,Listes!$K$29:$O$29,0)))</f>
        <v>0</v>
      </c>
      <c r="I243" s="45">
        <f>IF(OR(B$231=0,B$231=""),0,F243*INDEX(Listes!$K$15:$P$26,MATCH(B$231,Listes!$K$15:$K$26,0),MATCH(I$232,Listes!$K$15:$P$15,0))*INDEX(Listes!$K$29:$O$31,MATCH(C$231,Listes!$K$29:$K$31,0),MATCH(I$232,Listes!$K$29:$O$29,0)))</f>
        <v>0</v>
      </c>
      <c r="K243" s="463"/>
      <c r="L243" s="3">
        <v>11</v>
      </c>
      <c r="M243" s="45">
        <f t="shared" si="108"/>
        <v>0</v>
      </c>
      <c r="N243" s="45">
        <f t="shared" si="109"/>
        <v>0</v>
      </c>
      <c r="O243" s="45">
        <f>IF(OR(N243=0,N243="",L$116=0),0,N243*INDEX(Listes!$K$1:$Q$12,MATCH(L$116,Listes!$K$1:$K$12,0),MATCH(O$117,Listes!$K$1:$Q$1,0)))</f>
        <v>0</v>
      </c>
      <c r="P243" s="45">
        <f t="shared" si="110"/>
        <v>0</v>
      </c>
      <c r="Q243" s="45">
        <f>IF(OR(L$231=0,L$231=""),0,P243*INDEX(Listes!$K$15:$P$26,MATCH(L$231,Listes!$K$15:$K$26,0),MATCH(Q$232,Listes!$K$15:$P$15,0))*INDEX(Listes!$K$29:$O$31,MATCH(M$231,Listes!$K$29:$K$31,0),MATCH(Q$232,Listes!$K$29:$O$29,0)))</f>
        <v>0</v>
      </c>
      <c r="R243" s="45">
        <f>IF(OR(L$231=0,L$231=""),0,P243*INDEX(Listes!$K$15:$P$26,MATCH(L$231,Listes!$K$15:$K$26,0),MATCH(R$232,Listes!$K$15:$P$15,0))*INDEX(Listes!$K$29:$O$31,MATCH(M$231,Listes!$K$29:$K$31,0),MATCH(R$232,Listes!$K$29:$O$29,0)))</f>
        <v>0</v>
      </c>
      <c r="S243" s="45">
        <f>IF(OR(L$231=0,L$231=""),0,P243*INDEX(Listes!$K$15:$P$26,MATCH(L$231,Listes!$K$15:$K$26,0),MATCH(S$232,Listes!$K$15:$P$15,0))*INDEX(Listes!$K$29:$O$31,MATCH(M$231,Listes!$K$29:$K$31,0),MATCH(S$232,Listes!$K$29:$O$29,0)))</f>
        <v>0</v>
      </c>
      <c r="U243" s="463"/>
      <c r="V243" s="3">
        <v>11</v>
      </c>
      <c r="W243" s="45">
        <f t="shared" si="111"/>
        <v>0</v>
      </c>
      <c r="X243" s="45">
        <f t="shared" si="112"/>
        <v>0</v>
      </c>
      <c r="Y243" s="45">
        <f>IF(OR(X243=0,X243="",V$116=0),0,X243*INDEX(Listes!$K$1:$Q$12,MATCH(V$116,Listes!$K$1:$K$12,0),MATCH(Y$117,Listes!$K$1:$Q$1,0)))</f>
        <v>0</v>
      </c>
      <c r="Z243" s="45">
        <f t="shared" si="113"/>
        <v>0</v>
      </c>
      <c r="AA243" s="45">
        <f>IF(OR(V$231=0,V$231=""),0,Z243*INDEX(Listes!$K$15:$P$26,MATCH(V$231,Listes!$K$15:$K$26,0),MATCH(AA$232,Listes!$K$15:$P$15,0))*INDEX(Listes!$K$29:$O$31,MATCH(W$231,Listes!$K$29:$K$31,0),MATCH(AA$232,Listes!$K$29:$O$29,0)))</f>
        <v>0</v>
      </c>
      <c r="AB243" s="45">
        <f>IF(OR(V$231=0,V$231=""),0,Z243*INDEX(Listes!$K$15:$P$26,MATCH(V$231,Listes!$K$15:$K$26,0),MATCH(AB$232,Listes!$K$15:$P$15,0))*INDEX(Listes!$K$29:$O$31,MATCH(W$231,Listes!$K$29:$K$31,0),MATCH(AB$232,Listes!$K$29:$O$29,0)))</f>
        <v>0</v>
      </c>
      <c r="AC243" s="45">
        <f>IF(OR(V$231=0,V$231=""),0,Z243*INDEX(Listes!$K$15:$P$26,MATCH(V$231,Listes!$K$15:$K$26,0),MATCH(AC$232,Listes!$K$15:$P$15,0))*INDEX(Listes!$K$29:$O$31,MATCH(W$231,Listes!$K$29:$K$31,0),MATCH(AC$232,Listes!$K$29:$O$29,0)))</f>
        <v>0</v>
      </c>
      <c r="AE243" s="463"/>
      <c r="AF243" s="3">
        <v>11</v>
      </c>
      <c r="AG243" s="45">
        <f t="shared" si="114"/>
        <v>0</v>
      </c>
      <c r="AH243" s="45">
        <f t="shared" si="115"/>
        <v>0</v>
      </c>
      <c r="AI243" s="45">
        <f>IF(OR(AH243=0,AH243="",AF$116=0),0,AH243*INDEX(Listes!$K$1:$Q$12,MATCH(AF$116,Listes!$K$1:$K$12,0),MATCH(AI$117,Listes!$K$1:$Q$1,0)))</f>
        <v>0</v>
      </c>
      <c r="AJ243" s="45">
        <f t="shared" si="116"/>
        <v>0</v>
      </c>
      <c r="AK243" s="45">
        <f>IF(OR(AF$231=0,AF$231=""),0,AJ243*INDEX(Listes!$K$15:$P$26,MATCH(AF$231,Listes!$K$15:$K$26,0),MATCH(AK$232,Listes!$K$15:$P$15,0))*INDEX(Listes!$K$29:$O$31,MATCH(AG$231,Listes!$K$29:$K$31,0),MATCH(AK$232,Listes!$K$29:$O$29,0)))</f>
        <v>0</v>
      </c>
      <c r="AL243" s="45">
        <f>IF(OR(AF$231=0,AF$231=""),0,AJ243*INDEX(Listes!$K$15:$P$26,MATCH(AF$231,Listes!$K$15:$K$26,0),MATCH(AL$232,Listes!$K$15:$P$15,0))*INDEX(Listes!$K$29:$O$31,MATCH(AG$231,Listes!$K$29:$K$31,0),MATCH(AL$232,Listes!$K$29:$O$29,0)))</f>
        <v>0</v>
      </c>
      <c r="AM243" s="45">
        <f>IF(OR(AF$231=0,AF$231=""),0,AJ243*INDEX(Listes!$K$15:$P$26,MATCH(AF$231,Listes!$K$15:$K$26,0),MATCH(AM$232,Listes!$K$15:$P$15,0))*INDEX(Listes!$K$29:$O$31,MATCH(AG$231,Listes!$K$29:$K$31,0),MATCH(AM$232,Listes!$K$29:$O$29,0)))</f>
        <v>0</v>
      </c>
      <c r="AO243" s="463"/>
      <c r="AP243" s="3">
        <v>11</v>
      </c>
      <c r="AQ243" s="11">
        <f t="shared" si="117"/>
        <v>0</v>
      </c>
      <c r="AR243" s="11">
        <f t="shared" si="117"/>
        <v>0</v>
      </c>
      <c r="AS243" s="11">
        <f t="shared" si="117"/>
        <v>0</v>
      </c>
      <c r="AT243" s="11">
        <f>AQ243*VLOOKUP(AQ$232,Tableau17[],4,FALSE)+AR243*VLOOKUP(AR$232,Tableau17[],4,FALSE)+AS243*VLOOKUP(AS$232,Tableau17[],4,FALSE)</f>
        <v>0</v>
      </c>
      <c r="AU243" s="11">
        <f>AQ243*VLOOKUP(AQ$232,Tableau17[],3,FALSE)+AR243*VLOOKUP(AR$232,Tableau17[],3,FALSE)+AS243*VLOOKUP(AS$232,Tableau17[],3,FALSE)</f>
        <v>0</v>
      </c>
    </row>
    <row r="244" spans="1:52" x14ac:dyDescent="0.2">
      <c r="A244" s="463"/>
      <c r="B244" s="3">
        <v>12</v>
      </c>
      <c r="C244" s="45">
        <f t="shared" si="105"/>
        <v>0</v>
      </c>
      <c r="D244" s="45">
        <f t="shared" si="106"/>
        <v>0</v>
      </c>
      <c r="E244" s="45">
        <f>IF(OR(D244=0,D244="",B$116=0),0,D244*INDEX(Listes!$K$1:$Q$12,MATCH(B$116,Listes!$K$1:$K$12,0),MATCH(E$117,Listes!$K$1:$Q$1,0)))</f>
        <v>0</v>
      </c>
      <c r="F244" s="45">
        <f t="shared" si="107"/>
        <v>0</v>
      </c>
      <c r="G244" s="45">
        <f>IF(OR(B$231=0,B$231=""),0,F244*INDEX(Listes!$K$15:$P$26,MATCH(B$231,Listes!$K$15:$K$26,0),MATCH(G$232,Listes!$K$15:$P$15,0))*INDEX(Listes!$K$29:$O$31,MATCH(C$231,Listes!$K$29:$K$31,0),MATCH(G$232,Listes!$K$29:$O$29,0)))</f>
        <v>0</v>
      </c>
      <c r="H244" s="45">
        <f>IF(OR(B$231=0,B$231=""),0,F244*INDEX(Listes!$K$15:$P$26,MATCH(B$231,Listes!$K$15:$K$26,0),MATCH(H$232,Listes!$K$15:$P$15,0))*INDEX(Listes!$K$29:$O$31,MATCH(C$231,Listes!$K$29:$K$31,0),MATCH(H$232,Listes!$K$29:$O$29,0)))</f>
        <v>0</v>
      </c>
      <c r="I244" s="45">
        <f>IF(OR(B$231=0,B$231=""),0,F244*INDEX(Listes!$K$15:$P$26,MATCH(B$231,Listes!$K$15:$K$26,0),MATCH(I$232,Listes!$K$15:$P$15,0))*INDEX(Listes!$K$29:$O$31,MATCH(C$231,Listes!$K$29:$K$31,0),MATCH(I$232,Listes!$K$29:$O$29,0)))</f>
        <v>0</v>
      </c>
      <c r="K244" s="463"/>
      <c r="L244" s="3">
        <v>12</v>
      </c>
      <c r="M244" s="45">
        <f t="shared" si="108"/>
        <v>0</v>
      </c>
      <c r="N244" s="45">
        <f t="shared" si="109"/>
        <v>0</v>
      </c>
      <c r="O244" s="45">
        <f>IF(OR(N244=0,N244="",L$116=0),0,N244*INDEX(Listes!$K$1:$Q$12,MATCH(L$116,Listes!$K$1:$K$12,0),MATCH(O$117,Listes!$K$1:$Q$1,0)))</f>
        <v>0</v>
      </c>
      <c r="P244" s="45">
        <f t="shared" si="110"/>
        <v>0</v>
      </c>
      <c r="Q244" s="45">
        <f>IF(OR(L$231=0,L$231=""),0,P244*INDEX(Listes!$K$15:$P$26,MATCH(L$231,Listes!$K$15:$K$26,0),MATCH(Q$232,Listes!$K$15:$P$15,0))*INDEX(Listes!$K$29:$O$31,MATCH(M$231,Listes!$K$29:$K$31,0),MATCH(Q$232,Listes!$K$29:$O$29,0)))</f>
        <v>0</v>
      </c>
      <c r="R244" s="45">
        <f>IF(OR(L$231=0,L$231=""),0,P244*INDEX(Listes!$K$15:$P$26,MATCH(L$231,Listes!$K$15:$K$26,0),MATCH(R$232,Listes!$K$15:$P$15,0))*INDEX(Listes!$K$29:$O$31,MATCH(M$231,Listes!$K$29:$K$31,0),MATCH(R$232,Listes!$K$29:$O$29,0)))</f>
        <v>0</v>
      </c>
      <c r="S244" s="45">
        <f>IF(OR(L$231=0,L$231=""),0,P244*INDEX(Listes!$K$15:$P$26,MATCH(L$231,Listes!$K$15:$K$26,0),MATCH(S$232,Listes!$K$15:$P$15,0))*INDEX(Listes!$K$29:$O$31,MATCH(M$231,Listes!$K$29:$K$31,0),MATCH(S$232,Listes!$K$29:$O$29,0)))</f>
        <v>0</v>
      </c>
      <c r="U244" s="463"/>
      <c r="V244" s="3">
        <v>12</v>
      </c>
      <c r="W244" s="45">
        <f t="shared" si="111"/>
        <v>0</v>
      </c>
      <c r="X244" s="45">
        <f t="shared" si="112"/>
        <v>0</v>
      </c>
      <c r="Y244" s="45">
        <f>IF(OR(X244=0,X244="",V$116=0),0,X244*INDEX(Listes!$K$1:$Q$12,MATCH(V$116,Listes!$K$1:$K$12,0),MATCH(Y$117,Listes!$K$1:$Q$1,0)))</f>
        <v>0</v>
      </c>
      <c r="Z244" s="45">
        <f t="shared" si="113"/>
        <v>0</v>
      </c>
      <c r="AA244" s="45">
        <f>IF(OR(V$231=0,V$231=""),0,Z244*INDEX(Listes!$K$15:$P$26,MATCH(V$231,Listes!$K$15:$K$26,0),MATCH(AA$232,Listes!$K$15:$P$15,0))*INDEX(Listes!$K$29:$O$31,MATCH(W$231,Listes!$K$29:$K$31,0),MATCH(AA$232,Listes!$K$29:$O$29,0)))</f>
        <v>0</v>
      </c>
      <c r="AB244" s="45">
        <f>IF(OR(V$231=0,V$231=""),0,Z244*INDEX(Listes!$K$15:$P$26,MATCH(V$231,Listes!$K$15:$K$26,0),MATCH(AB$232,Listes!$K$15:$P$15,0))*INDEX(Listes!$K$29:$O$31,MATCH(W$231,Listes!$K$29:$K$31,0),MATCH(AB$232,Listes!$K$29:$O$29,0)))</f>
        <v>0</v>
      </c>
      <c r="AC244" s="45">
        <f>IF(OR(V$231=0,V$231=""),0,Z244*INDEX(Listes!$K$15:$P$26,MATCH(V$231,Listes!$K$15:$K$26,0),MATCH(AC$232,Listes!$K$15:$P$15,0))*INDEX(Listes!$K$29:$O$31,MATCH(W$231,Listes!$K$29:$K$31,0),MATCH(AC$232,Listes!$K$29:$O$29,0)))</f>
        <v>0</v>
      </c>
      <c r="AE244" s="463"/>
      <c r="AF244" s="3">
        <v>12</v>
      </c>
      <c r="AG244" s="45">
        <f t="shared" si="114"/>
        <v>0</v>
      </c>
      <c r="AH244" s="45">
        <f t="shared" si="115"/>
        <v>0</v>
      </c>
      <c r="AI244" s="45">
        <f>IF(OR(AH244=0,AH244="",AF$116=0),0,AH244*INDEX(Listes!$K$1:$Q$12,MATCH(AF$116,Listes!$K$1:$K$12,0),MATCH(AI$117,Listes!$K$1:$Q$1,0)))</f>
        <v>0</v>
      </c>
      <c r="AJ244" s="45">
        <f t="shared" si="116"/>
        <v>0</v>
      </c>
      <c r="AK244" s="45">
        <f>IF(OR(AF$231=0,AF$231=""),0,AJ244*INDEX(Listes!$K$15:$P$26,MATCH(AF$231,Listes!$K$15:$K$26,0),MATCH(AK$232,Listes!$K$15:$P$15,0))*INDEX(Listes!$K$29:$O$31,MATCH(AG$231,Listes!$K$29:$K$31,0),MATCH(AK$232,Listes!$K$29:$O$29,0)))</f>
        <v>0</v>
      </c>
      <c r="AL244" s="45">
        <f>IF(OR(AF$231=0,AF$231=""),0,AJ244*INDEX(Listes!$K$15:$P$26,MATCH(AF$231,Listes!$K$15:$K$26,0),MATCH(AL$232,Listes!$K$15:$P$15,0))*INDEX(Listes!$K$29:$O$31,MATCH(AG$231,Listes!$K$29:$K$31,0),MATCH(AL$232,Listes!$K$29:$O$29,0)))</f>
        <v>0</v>
      </c>
      <c r="AM244" s="45">
        <f>IF(OR(AF$231=0,AF$231=""),0,AJ244*INDEX(Listes!$K$15:$P$26,MATCH(AF$231,Listes!$K$15:$K$26,0),MATCH(AM$232,Listes!$K$15:$P$15,0))*INDEX(Listes!$K$29:$O$31,MATCH(AG$231,Listes!$K$29:$K$31,0),MATCH(AM$232,Listes!$K$29:$O$29,0)))</f>
        <v>0</v>
      </c>
      <c r="AO244" s="463"/>
      <c r="AP244" s="3">
        <v>12</v>
      </c>
      <c r="AQ244" s="11">
        <f t="shared" si="117"/>
        <v>0</v>
      </c>
      <c r="AR244" s="11">
        <f t="shared" si="117"/>
        <v>0</v>
      </c>
      <c r="AS244" s="11">
        <f t="shared" si="117"/>
        <v>0</v>
      </c>
      <c r="AT244" s="11">
        <f>AQ244*VLOOKUP(AQ$232,Tableau17[],4,FALSE)+AR244*VLOOKUP(AR$232,Tableau17[],4,FALSE)+AS244*VLOOKUP(AS$232,Tableau17[],4,FALSE)</f>
        <v>0</v>
      </c>
      <c r="AU244" s="11">
        <f>AQ244*VLOOKUP(AQ$232,Tableau17[],3,FALSE)+AR244*VLOOKUP(AR$232,Tableau17[],3,FALSE)+AS244*VLOOKUP(AS$232,Tableau17[],3,FALSE)</f>
        <v>0</v>
      </c>
    </row>
    <row r="245" spans="1:52" x14ac:dyDescent="0.2">
      <c r="A245" s="463"/>
      <c r="B245" s="3">
        <v>13</v>
      </c>
      <c r="C245" s="45">
        <f t="shared" si="105"/>
        <v>0</v>
      </c>
      <c r="D245" s="45">
        <f t="shared" si="106"/>
        <v>0</v>
      </c>
      <c r="E245" s="45">
        <f>IF(OR(D245=0,D245="",B$116=0),0,D245*INDEX(Listes!$K$1:$Q$12,MATCH(B$116,Listes!$K$1:$K$12,0),MATCH(E$117,Listes!$K$1:$Q$1,0)))</f>
        <v>0</v>
      </c>
      <c r="F245" s="45">
        <f t="shared" si="107"/>
        <v>0</v>
      </c>
      <c r="G245" s="45">
        <f>IF(OR(B$231=0,B$231=""),0,F245*INDEX(Listes!$K$15:$P$26,MATCH(B$231,Listes!$K$15:$K$26,0),MATCH(G$232,Listes!$K$15:$P$15,0))*INDEX(Listes!$K$29:$O$31,MATCH(C$231,Listes!$K$29:$K$31,0),MATCH(G$232,Listes!$K$29:$O$29,0)))</f>
        <v>0</v>
      </c>
      <c r="H245" s="45">
        <f>IF(OR(B$231=0,B$231=""),0,F245*INDEX(Listes!$K$15:$P$26,MATCH(B$231,Listes!$K$15:$K$26,0),MATCH(H$232,Listes!$K$15:$P$15,0))*INDEX(Listes!$K$29:$O$31,MATCH(C$231,Listes!$K$29:$K$31,0),MATCH(H$232,Listes!$K$29:$O$29,0)))</f>
        <v>0</v>
      </c>
      <c r="I245" s="45">
        <f>IF(OR(B$231=0,B$231=""),0,F245*INDEX(Listes!$K$15:$P$26,MATCH(B$231,Listes!$K$15:$K$26,0),MATCH(I$232,Listes!$K$15:$P$15,0))*INDEX(Listes!$K$29:$O$31,MATCH(C$231,Listes!$K$29:$K$31,0),MATCH(I$232,Listes!$K$29:$O$29,0)))</f>
        <v>0</v>
      </c>
      <c r="K245" s="463"/>
      <c r="L245" s="3">
        <v>13</v>
      </c>
      <c r="M245" s="45">
        <f t="shared" si="108"/>
        <v>0</v>
      </c>
      <c r="N245" s="45">
        <f t="shared" si="109"/>
        <v>0</v>
      </c>
      <c r="O245" s="45">
        <f>IF(OR(N245=0,N245="",L$116=0),0,N245*INDEX(Listes!$K$1:$Q$12,MATCH(L$116,Listes!$K$1:$K$12,0),MATCH(O$117,Listes!$K$1:$Q$1,0)))</f>
        <v>0</v>
      </c>
      <c r="P245" s="45">
        <f t="shared" si="110"/>
        <v>0</v>
      </c>
      <c r="Q245" s="45">
        <f>IF(OR(L$231=0,L$231=""),0,P245*INDEX(Listes!$K$15:$P$26,MATCH(L$231,Listes!$K$15:$K$26,0),MATCH(Q$232,Listes!$K$15:$P$15,0))*INDEX(Listes!$K$29:$O$31,MATCH(M$231,Listes!$K$29:$K$31,0),MATCH(Q$232,Listes!$K$29:$O$29,0)))</f>
        <v>0</v>
      </c>
      <c r="R245" s="45">
        <f>IF(OR(L$231=0,L$231=""),0,P245*INDEX(Listes!$K$15:$P$26,MATCH(L$231,Listes!$K$15:$K$26,0),MATCH(R$232,Listes!$K$15:$P$15,0))*INDEX(Listes!$K$29:$O$31,MATCH(M$231,Listes!$K$29:$K$31,0),MATCH(R$232,Listes!$K$29:$O$29,0)))</f>
        <v>0</v>
      </c>
      <c r="S245" s="45">
        <f>IF(OR(L$231=0,L$231=""),0,P245*INDEX(Listes!$K$15:$P$26,MATCH(L$231,Listes!$K$15:$K$26,0),MATCH(S$232,Listes!$K$15:$P$15,0))*INDEX(Listes!$K$29:$O$31,MATCH(M$231,Listes!$K$29:$K$31,0),MATCH(S$232,Listes!$K$29:$O$29,0)))</f>
        <v>0</v>
      </c>
      <c r="U245" s="463"/>
      <c r="V245" s="3">
        <v>13</v>
      </c>
      <c r="W245" s="45">
        <f t="shared" si="111"/>
        <v>0</v>
      </c>
      <c r="X245" s="45">
        <f t="shared" si="112"/>
        <v>0</v>
      </c>
      <c r="Y245" s="45">
        <f>IF(OR(X245=0,X245="",V$116=0),0,X245*INDEX(Listes!$K$1:$Q$12,MATCH(V$116,Listes!$K$1:$K$12,0),MATCH(Y$117,Listes!$K$1:$Q$1,0)))</f>
        <v>0</v>
      </c>
      <c r="Z245" s="45">
        <f t="shared" si="113"/>
        <v>0</v>
      </c>
      <c r="AA245" s="45">
        <f>IF(OR(V$231=0,V$231=""),0,Z245*INDEX(Listes!$K$15:$P$26,MATCH(V$231,Listes!$K$15:$K$26,0),MATCH(AA$232,Listes!$K$15:$P$15,0))*INDEX(Listes!$K$29:$O$31,MATCH(W$231,Listes!$K$29:$K$31,0),MATCH(AA$232,Listes!$K$29:$O$29,0)))</f>
        <v>0</v>
      </c>
      <c r="AB245" s="45">
        <f>IF(OR(V$231=0,V$231=""),0,Z245*INDEX(Listes!$K$15:$P$26,MATCH(V$231,Listes!$K$15:$K$26,0),MATCH(AB$232,Listes!$K$15:$P$15,0))*INDEX(Listes!$K$29:$O$31,MATCH(W$231,Listes!$K$29:$K$31,0),MATCH(AB$232,Listes!$K$29:$O$29,0)))</f>
        <v>0</v>
      </c>
      <c r="AC245" s="45">
        <f>IF(OR(V$231=0,V$231=""),0,Z245*INDEX(Listes!$K$15:$P$26,MATCH(V$231,Listes!$K$15:$K$26,0),MATCH(AC$232,Listes!$K$15:$P$15,0))*INDEX(Listes!$K$29:$O$31,MATCH(W$231,Listes!$K$29:$K$31,0),MATCH(AC$232,Listes!$K$29:$O$29,0)))</f>
        <v>0</v>
      </c>
      <c r="AE245" s="463"/>
      <c r="AF245" s="3">
        <v>13</v>
      </c>
      <c r="AG245" s="45">
        <f t="shared" si="114"/>
        <v>0</v>
      </c>
      <c r="AH245" s="45">
        <f t="shared" si="115"/>
        <v>0</v>
      </c>
      <c r="AI245" s="45">
        <f>IF(OR(AH245=0,AH245="",AF$116=0),0,AH245*INDEX(Listes!$K$1:$Q$12,MATCH(AF$116,Listes!$K$1:$K$12,0),MATCH(AI$117,Listes!$K$1:$Q$1,0)))</f>
        <v>0</v>
      </c>
      <c r="AJ245" s="45">
        <f t="shared" si="116"/>
        <v>0</v>
      </c>
      <c r="AK245" s="45">
        <f>IF(OR(AF$231=0,AF$231=""),0,AJ245*INDEX(Listes!$K$15:$P$26,MATCH(AF$231,Listes!$K$15:$K$26,0),MATCH(AK$232,Listes!$K$15:$P$15,0))*INDEX(Listes!$K$29:$O$31,MATCH(AG$231,Listes!$K$29:$K$31,0),MATCH(AK$232,Listes!$K$29:$O$29,0)))</f>
        <v>0</v>
      </c>
      <c r="AL245" s="45">
        <f>IF(OR(AF$231=0,AF$231=""),0,AJ245*INDEX(Listes!$K$15:$P$26,MATCH(AF$231,Listes!$K$15:$K$26,0),MATCH(AL$232,Listes!$K$15:$P$15,0))*INDEX(Listes!$K$29:$O$31,MATCH(AG$231,Listes!$K$29:$K$31,0),MATCH(AL$232,Listes!$K$29:$O$29,0)))</f>
        <v>0</v>
      </c>
      <c r="AM245" s="45">
        <f>IF(OR(AF$231=0,AF$231=""),0,AJ245*INDEX(Listes!$K$15:$P$26,MATCH(AF$231,Listes!$K$15:$K$26,0),MATCH(AM$232,Listes!$K$15:$P$15,0))*INDEX(Listes!$K$29:$O$31,MATCH(AG$231,Listes!$K$29:$K$31,0),MATCH(AM$232,Listes!$K$29:$O$29,0)))</f>
        <v>0</v>
      </c>
      <c r="AO245" s="463"/>
      <c r="AP245" s="3">
        <v>13</v>
      </c>
      <c r="AQ245" s="11">
        <f t="shared" si="117"/>
        <v>0</v>
      </c>
      <c r="AR245" s="11">
        <f t="shared" si="117"/>
        <v>0</v>
      </c>
      <c r="AS245" s="11">
        <f t="shared" si="117"/>
        <v>0</v>
      </c>
      <c r="AT245" s="11">
        <f>AQ245*VLOOKUP(AQ$232,Tableau17[],4,FALSE)+AR245*VLOOKUP(AR$232,Tableau17[],4,FALSE)+AS245*VLOOKUP(AS$232,Tableau17[],4,FALSE)</f>
        <v>0</v>
      </c>
      <c r="AU245" s="11">
        <f>AQ245*VLOOKUP(AQ$232,Tableau17[],3,FALSE)+AR245*VLOOKUP(AR$232,Tableau17[],3,FALSE)+AS245*VLOOKUP(AS$232,Tableau17[],3,FALSE)</f>
        <v>0</v>
      </c>
    </row>
    <row r="246" spans="1:52" x14ac:dyDescent="0.2">
      <c r="A246" s="463"/>
      <c r="B246" s="3">
        <v>14</v>
      </c>
      <c r="C246" s="45">
        <f t="shared" si="105"/>
        <v>0</v>
      </c>
      <c r="D246" s="45">
        <f t="shared" si="106"/>
        <v>0</v>
      </c>
      <c r="E246" s="45">
        <f>IF(OR(D246=0,D246="",B$116=0),0,D246*INDEX(Listes!$K$1:$Q$12,MATCH(B$116,Listes!$K$1:$K$12,0),MATCH(E$117,Listes!$K$1:$Q$1,0)))</f>
        <v>0</v>
      </c>
      <c r="F246" s="45">
        <f t="shared" si="107"/>
        <v>0</v>
      </c>
      <c r="G246" s="45">
        <f>IF(OR(B$231=0,B$231=""),0,F246*INDEX(Listes!$K$15:$P$26,MATCH(B$231,Listes!$K$15:$K$26,0),MATCH(G$232,Listes!$K$15:$P$15,0))*INDEX(Listes!$K$29:$O$31,MATCH(C$231,Listes!$K$29:$K$31,0),MATCH(G$232,Listes!$K$29:$O$29,0)))</f>
        <v>0</v>
      </c>
      <c r="H246" s="45">
        <f>IF(OR(B$231=0,B$231=""),0,F246*INDEX(Listes!$K$15:$P$26,MATCH(B$231,Listes!$K$15:$K$26,0),MATCH(H$232,Listes!$K$15:$P$15,0))*INDEX(Listes!$K$29:$O$31,MATCH(C$231,Listes!$K$29:$K$31,0),MATCH(H$232,Listes!$K$29:$O$29,0)))</f>
        <v>0</v>
      </c>
      <c r="I246" s="45">
        <f>IF(OR(B$231=0,B$231=""),0,F246*INDEX(Listes!$K$15:$P$26,MATCH(B$231,Listes!$K$15:$K$26,0),MATCH(I$232,Listes!$K$15:$P$15,0))*INDEX(Listes!$K$29:$O$31,MATCH(C$231,Listes!$K$29:$K$31,0),MATCH(I$232,Listes!$K$29:$O$29,0)))</f>
        <v>0</v>
      </c>
      <c r="K246" s="463"/>
      <c r="L246" s="3">
        <v>14</v>
      </c>
      <c r="M246" s="45">
        <f t="shared" si="108"/>
        <v>0</v>
      </c>
      <c r="N246" s="45">
        <f t="shared" si="109"/>
        <v>0</v>
      </c>
      <c r="O246" s="45">
        <f>IF(OR(N246=0,N246="",L$116=0),0,N246*INDEX(Listes!$K$1:$Q$12,MATCH(L$116,Listes!$K$1:$K$12,0),MATCH(O$117,Listes!$K$1:$Q$1,0)))</f>
        <v>0</v>
      </c>
      <c r="P246" s="45">
        <f t="shared" si="110"/>
        <v>0</v>
      </c>
      <c r="Q246" s="45">
        <f>IF(OR(L$231=0,L$231=""),0,P246*INDEX(Listes!$K$15:$P$26,MATCH(L$231,Listes!$K$15:$K$26,0),MATCH(Q$232,Listes!$K$15:$P$15,0))*INDEX(Listes!$K$29:$O$31,MATCH(M$231,Listes!$K$29:$K$31,0),MATCH(Q$232,Listes!$K$29:$O$29,0)))</f>
        <v>0</v>
      </c>
      <c r="R246" s="45">
        <f>IF(OR(L$231=0,L$231=""),0,P246*INDEX(Listes!$K$15:$P$26,MATCH(L$231,Listes!$K$15:$K$26,0),MATCH(R$232,Listes!$K$15:$P$15,0))*INDEX(Listes!$K$29:$O$31,MATCH(M$231,Listes!$K$29:$K$31,0),MATCH(R$232,Listes!$K$29:$O$29,0)))</f>
        <v>0</v>
      </c>
      <c r="S246" s="45">
        <f>IF(OR(L$231=0,L$231=""),0,P246*INDEX(Listes!$K$15:$P$26,MATCH(L$231,Listes!$K$15:$K$26,0),MATCH(S$232,Listes!$K$15:$P$15,0))*INDEX(Listes!$K$29:$O$31,MATCH(M$231,Listes!$K$29:$K$31,0),MATCH(S$232,Listes!$K$29:$O$29,0)))</f>
        <v>0</v>
      </c>
      <c r="U246" s="463"/>
      <c r="V246" s="3">
        <v>14</v>
      </c>
      <c r="W246" s="45">
        <f t="shared" si="111"/>
        <v>0</v>
      </c>
      <c r="X246" s="45">
        <f t="shared" si="112"/>
        <v>0</v>
      </c>
      <c r="Y246" s="45">
        <f>IF(OR(X246=0,X246="",V$116=0),0,X246*INDEX(Listes!$K$1:$Q$12,MATCH(V$116,Listes!$K$1:$K$12,0),MATCH(Y$117,Listes!$K$1:$Q$1,0)))</f>
        <v>0</v>
      </c>
      <c r="Z246" s="45">
        <f t="shared" si="113"/>
        <v>0</v>
      </c>
      <c r="AA246" s="45">
        <f>IF(OR(V$231=0,V$231=""),0,Z246*INDEX(Listes!$K$15:$P$26,MATCH(V$231,Listes!$K$15:$K$26,0),MATCH(AA$232,Listes!$K$15:$P$15,0))*INDEX(Listes!$K$29:$O$31,MATCH(W$231,Listes!$K$29:$K$31,0),MATCH(AA$232,Listes!$K$29:$O$29,0)))</f>
        <v>0</v>
      </c>
      <c r="AB246" s="45">
        <f>IF(OR(V$231=0,V$231=""),0,Z246*INDEX(Listes!$K$15:$P$26,MATCH(V$231,Listes!$K$15:$K$26,0),MATCH(AB$232,Listes!$K$15:$P$15,0))*INDEX(Listes!$K$29:$O$31,MATCH(W$231,Listes!$K$29:$K$31,0),MATCH(AB$232,Listes!$K$29:$O$29,0)))</f>
        <v>0</v>
      </c>
      <c r="AC246" s="45">
        <f>IF(OR(V$231=0,V$231=""),0,Z246*INDEX(Listes!$K$15:$P$26,MATCH(V$231,Listes!$K$15:$K$26,0),MATCH(AC$232,Listes!$K$15:$P$15,0))*INDEX(Listes!$K$29:$O$31,MATCH(W$231,Listes!$K$29:$K$31,0),MATCH(AC$232,Listes!$K$29:$O$29,0)))</f>
        <v>0</v>
      </c>
      <c r="AE246" s="463"/>
      <c r="AF246" s="3">
        <v>14</v>
      </c>
      <c r="AG246" s="45">
        <f t="shared" si="114"/>
        <v>0</v>
      </c>
      <c r="AH246" s="45">
        <f t="shared" si="115"/>
        <v>0</v>
      </c>
      <c r="AI246" s="45">
        <f>IF(OR(AH246=0,AH246="",AF$116=0),0,AH246*INDEX(Listes!$K$1:$Q$12,MATCH(AF$116,Listes!$K$1:$K$12,0),MATCH(AI$117,Listes!$K$1:$Q$1,0)))</f>
        <v>0</v>
      </c>
      <c r="AJ246" s="45">
        <f t="shared" si="116"/>
        <v>0</v>
      </c>
      <c r="AK246" s="45">
        <f>IF(OR(AF$231=0,AF$231=""),0,AJ246*INDEX(Listes!$K$15:$P$26,MATCH(AF$231,Listes!$K$15:$K$26,0),MATCH(AK$232,Listes!$K$15:$P$15,0))*INDEX(Listes!$K$29:$O$31,MATCH(AG$231,Listes!$K$29:$K$31,0),MATCH(AK$232,Listes!$K$29:$O$29,0)))</f>
        <v>0</v>
      </c>
      <c r="AL246" s="45">
        <f>IF(OR(AF$231=0,AF$231=""),0,AJ246*INDEX(Listes!$K$15:$P$26,MATCH(AF$231,Listes!$K$15:$K$26,0),MATCH(AL$232,Listes!$K$15:$P$15,0))*INDEX(Listes!$K$29:$O$31,MATCH(AG$231,Listes!$K$29:$K$31,0),MATCH(AL$232,Listes!$K$29:$O$29,0)))</f>
        <v>0</v>
      </c>
      <c r="AM246" s="45">
        <f>IF(OR(AF$231=0,AF$231=""),0,AJ246*INDEX(Listes!$K$15:$P$26,MATCH(AF$231,Listes!$K$15:$K$26,0),MATCH(AM$232,Listes!$K$15:$P$15,0))*INDEX(Listes!$K$29:$O$31,MATCH(AG$231,Listes!$K$29:$K$31,0),MATCH(AM$232,Listes!$K$29:$O$29,0)))</f>
        <v>0</v>
      </c>
      <c r="AO246" s="463"/>
      <c r="AP246" s="3">
        <v>14</v>
      </c>
      <c r="AQ246" s="11">
        <f t="shared" si="117"/>
        <v>0</v>
      </c>
      <c r="AR246" s="11">
        <f t="shared" si="117"/>
        <v>0</v>
      </c>
      <c r="AS246" s="11">
        <f t="shared" si="117"/>
        <v>0</v>
      </c>
      <c r="AT246" s="11">
        <f>AQ246*VLOOKUP(AQ$232,Tableau17[],4,FALSE)+AR246*VLOOKUP(AR$232,Tableau17[],4,FALSE)+AS246*VLOOKUP(AS$232,Tableau17[],4,FALSE)</f>
        <v>0</v>
      </c>
      <c r="AU246" s="11">
        <f>AQ246*VLOOKUP(AQ$232,Tableau17[],3,FALSE)+AR246*VLOOKUP(AR$232,Tableau17[],3,FALSE)+AS246*VLOOKUP(AS$232,Tableau17[],3,FALSE)</f>
        <v>0</v>
      </c>
    </row>
    <row r="247" spans="1:52" x14ac:dyDescent="0.2">
      <c r="A247" s="463"/>
      <c r="B247" s="3">
        <v>15</v>
      </c>
      <c r="C247" s="45">
        <f t="shared" si="105"/>
        <v>0</v>
      </c>
      <c r="D247" s="45">
        <f t="shared" si="106"/>
        <v>0</v>
      </c>
      <c r="E247" s="45">
        <f>IF(OR(D247=0,D247="",B$116=0),0,D247*INDEX(Listes!$K$1:$Q$12,MATCH(B$116,Listes!$K$1:$K$12,0),MATCH(E$117,Listes!$K$1:$Q$1,0)))</f>
        <v>0</v>
      </c>
      <c r="F247" s="45">
        <f t="shared" si="107"/>
        <v>0</v>
      </c>
      <c r="G247" s="45">
        <f>IF(OR(B$231=0,B$231=""),0,F247*INDEX(Listes!$K$15:$P$26,MATCH(B$231,Listes!$K$15:$K$26,0),MATCH(G$232,Listes!$K$15:$P$15,0))*INDEX(Listes!$K$29:$O$31,MATCH(C$231,Listes!$K$29:$K$31,0),MATCH(G$232,Listes!$K$29:$O$29,0)))</f>
        <v>0</v>
      </c>
      <c r="H247" s="45">
        <f>IF(OR(B$231=0,B$231=""),0,F247*INDEX(Listes!$K$15:$P$26,MATCH(B$231,Listes!$K$15:$K$26,0),MATCH(H$232,Listes!$K$15:$P$15,0))*INDEX(Listes!$K$29:$O$31,MATCH(C$231,Listes!$K$29:$K$31,0),MATCH(H$232,Listes!$K$29:$O$29,0)))</f>
        <v>0</v>
      </c>
      <c r="I247" s="45">
        <f>IF(OR(B$231=0,B$231=""),0,F247*INDEX(Listes!$K$15:$P$26,MATCH(B$231,Listes!$K$15:$K$26,0),MATCH(I$232,Listes!$K$15:$P$15,0))*INDEX(Listes!$K$29:$O$31,MATCH(C$231,Listes!$K$29:$K$31,0),MATCH(I$232,Listes!$K$29:$O$29,0)))</f>
        <v>0</v>
      </c>
      <c r="K247" s="463"/>
      <c r="L247" s="3">
        <v>15</v>
      </c>
      <c r="M247" s="45">
        <f t="shared" si="108"/>
        <v>0</v>
      </c>
      <c r="N247" s="45">
        <f t="shared" si="109"/>
        <v>0</v>
      </c>
      <c r="O247" s="45">
        <f>IF(OR(N247=0,N247="",L$116=0),0,N247*INDEX(Listes!$K$1:$Q$12,MATCH(L$116,Listes!$K$1:$K$12,0),MATCH(O$117,Listes!$K$1:$Q$1,0)))</f>
        <v>0</v>
      </c>
      <c r="P247" s="45">
        <f t="shared" si="110"/>
        <v>0</v>
      </c>
      <c r="Q247" s="45">
        <f>IF(OR(L$231=0,L$231=""),0,P247*INDEX(Listes!$K$15:$P$26,MATCH(L$231,Listes!$K$15:$K$26,0),MATCH(Q$232,Listes!$K$15:$P$15,0))*INDEX(Listes!$K$29:$O$31,MATCH(M$231,Listes!$K$29:$K$31,0),MATCH(Q$232,Listes!$K$29:$O$29,0)))</f>
        <v>0</v>
      </c>
      <c r="R247" s="45">
        <f>IF(OR(L$231=0,L$231=""),0,P247*INDEX(Listes!$K$15:$P$26,MATCH(L$231,Listes!$K$15:$K$26,0),MATCH(R$232,Listes!$K$15:$P$15,0))*INDEX(Listes!$K$29:$O$31,MATCH(M$231,Listes!$K$29:$K$31,0),MATCH(R$232,Listes!$K$29:$O$29,0)))</f>
        <v>0</v>
      </c>
      <c r="S247" s="45">
        <f>IF(OR(L$231=0,L$231=""),0,P247*INDEX(Listes!$K$15:$P$26,MATCH(L$231,Listes!$K$15:$K$26,0),MATCH(S$232,Listes!$K$15:$P$15,0))*INDEX(Listes!$K$29:$O$31,MATCH(M$231,Listes!$K$29:$K$31,0),MATCH(S$232,Listes!$K$29:$O$29,0)))</f>
        <v>0</v>
      </c>
      <c r="U247" s="463"/>
      <c r="V247" s="3">
        <v>15</v>
      </c>
      <c r="W247" s="45">
        <f t="shared" si="111"/>
        <v>0</v>
      </c>
      <c r="X247" s="45">
        <f t="shared" si="112"/>
        <v>0</v>
      </c>
      <c r="Y247" s="45">
        <f>IF(OR(X247=0,X247="",V$116=0),0,X247*INDEX(Listes!$K$1:$Q$12,MATCH(V$116,Listes!$K$1:$K$12,0),MATCH(Y$117,Listes!$K$1:$Q$1,0)))</f>
        <v>0</v>
      </c>
      <c r="Z247" s="45">
        <f t="shared" si="113"/>
        <v>0</v>
      </c>
      <c r="AA247" s="45">
        <f>IF(OR(V$231=0,V$231=""),0,Z247*INDEX(Listes!$K$15:$P$26,MATCH(V$231,Listes!$K$15:$K$26,0),MATCH(AA$232,Listes!$K$15:$P$15,0))*INDEX(Listes!$K$29:$O$31,MATCH(W$231,Listes!$K$29:$K$31,0),MATCH(AA$232,Listes!$K$29:$O$29,0)))</f>
        <v>0</v>
      </c>
      <c r="AB247" s="45">
        <f>IF(OR(V$231=0,V$231=""),0,Z247*INDEX(Listes!$K$15:$P$26,MATCH(V$231,Listes!$K$15:$K$26,0),MATCH(AB$232,Listes!$K$15:$P$15,0))*INDEX(Listes!$K$29:$O$31,MATCH(W$231,Listes!$K$29:$K$31,0),MATCH(AB$232,Listes!$K$29:$O$29,0)))</f>
        <v>0</v>
      </c>
      <c r="AC247" s="45">
        <f>IF(OR(V$231=0,V$231=""),0,Z247*INDEX(Listes!$K$15:$P$26,MATCH(V$231,Listes!$K$15:$K$26,0),MATCH(AC$232,Listes!$K$15:$P$15,0))*INDEX(Listes!$K$29:$O$31,MATCH(W$231,Listes!$K$29:$K$31,0),MATCH(AC$232,Listes!$K$29:$O$29,0)))</f>
        <v>0</v>
      </c>
      <c r="AE247" s="463"/>
      <c r="AF247" s="3">
        <v>15</v>
      </c>
      <c r="AG247" s="45">
        <f t="shared" si="114"/>
        <v>0</v>
      </c>
      <c r="AH247" s="45">
        <f t="shared" si="115"/>
        <v>0</v>
      </c>
      <c r="AI247" s="45">
        <f>IF(OR(AH247=0,AH247="",AF$116=0),0,AH247*INDEX(Listes!$K$1:$Q$12,MATCH(AF$116,Listes!$K$1:$K$12,0),MATCH(AI$117,Listes!$K$1:$Q$1,0)))</f>
        <v>0</v>
      </c>
      <c r="AJ247" s="45">
        <f t="shared" si="116"/>
        <v>0</v>
      </c>
      <c r="AK247" s="45">
        <f>IF(OR(AF$231=0,AF$231=""),0,AJ247*INDEX(Listes!$K$15:$P$26,MATCH(AF$231,Listes!$K$15:$K$26,0),MATCH(AK$232,Listes!$K$15:$P$15,0))*INDEX(Listes!$K$29:$O$31,MATCH(AG$231,Listes!$K$29:$K$31,0),MATCH(AK$232,Listes!$K$29:$O$29,0)))</f>
        <v>0</v>
      </c>
      <c r="AL247" s="45">
        <f>IF(OR(AF$231=0,AF$231=""),0,AJ247*INDEX(Listes!$K$15:$P$26,MATCH(AF$231,Listes!$K$15:$K$26,0),MATCH(AL$232,Listes!$K$15:$P$15,0))*INDEX(Listes!$K$29:$O$31,MATCH(AG$231,Listes!$K$29:$K$31,0),MATCH(AL$232,Listes!$K$29:$O$29,0)))</f>
        <v>0</v>
      </c>
      <c r="AM247" s="45">
        <f>IF(OR(AF$231=0,AF$231=""),0,AJ247*INDEX(Listes!$K$15:$P$26,MATCH(AF$231,Listes!$K$15:$K$26,0),MATCH(AM$232,Listes!$K$15:$P$15,0))*INDEX(Listes!$K$29:$O$31,MATCH(AG$231,Listes!$K$29:$K$31,0),MATCH(AM$232,Listes!$K$29:$O$29,0)))</f>
        <v>0</v>
      </c>
      <c r="AO247" s="463"/>
      <c r="AP247" s="3">
        <v>15</v>
      </c>
      <c r="AQ247" s="11">
        <f t="shared" si="117"/>
        <v>0</v>
      </c>
      <c r="AR247" s="11">
        <f t="shared" si="117"/>
        <v>0</v>
      </c>
      <c r="AS247" s="11">
        <f t="shared" si="117"/>
        <v>0</v>
      </c>
      <c r="AT247" s="11">
        <f>AQ247*VLOOKUP(AQ$232,Tableau17[],4,FALSE)+AR247*VLOOKUP(AR$232,Tableau17[],4,FALSE)+AS247*VLOOKUP(AS$232,Tableau17[],4,FALSE)</f>
        <v>0</v>
      </c>
      <c r="AU247" s="11">
        <f>AQ247*VLOOKUP(AQ$232,Tableau17[],3,FALSE)+AR247*VLOOKUP(AR$232,Tableau17[],3,FALSE)+AS247*VLOOKUP(AS$232,Tableau17[],3,FALSE)</f>
        <v>0</v>
      </c>
    </row>
    <row r="248" spans="1:52" x14ac:dyDescent="0.2">
      <c r="A248" s="463"/>
      <c r="B248" s="3">
        <v>16</v>
      </c>
      <c r="C248" s="45">
        <f t="shared" si="105"/>
        <v>0</v>
      </c>
      <c r="D248" s="45">
        <f t="shared" si="106"/>
        <v>0</v>
      </c>
      <c r="E248" s="45">
        <f>IF(OR(D248=0,D248="",B$116=0),0,D248*INDEX(Listes!$K$1:$Q$12,MATCH(B$116,Listes!$K$1:$K$12,0),MATCH(E$117,Listes!$K$1:$Q$1,0)))</f>
        <v>0</v>
      </c>
      <c r="F248" s="45">
        <f t="shared" si="107"/>
        <v>0</v>
      </c>
      <c r="G248" s="45">
        <f>IF(OR(B$231=0,B$231=""),0,F248*INDEX(Listes!$K$15:$P$26,MATCH(B$231,Listes!$K$15:$K$26,0),MATCH(G$232,Listes!$K$15:$P$15,0))*INDEX(Listes!$K$29:$O$31,MATCH(C$231,Listes!$K$29:$K$31,0),MATCH(G$232,Listes!$K$29:$O$29,0)))</f>
        <v>0</v>
      </c>
      <c r="H248" s="45">
        <f>IF(OR(B$231=0,B$231=""),0,F248*INDEX(Listes!$K$15:$P$26,MATCH(B$231,Listes!$K$15:$K$26,0),MATCH(H$232,Listes!$K$15:$P$15,0))*INDEX(Listes!$K$29:$O$31,MATCH(C$231,Listes!$K$29:$K$31,0),MATCH(H$232,Listes!$K$29:$O$29,0)))</f>
        <v>0</v>
      </c>
      <c r="I248" s="45">
        <f>IF(OR(B$231=0,B$231=""),0,F248*INDEX(Listes!$K$15:$P$26,MATCH(B$231,Listes!$K$15:$K$26,0),MATCH(I$232,Listes!$K$15:$P$15,0))*INDEX(Listes!$K$29:$O$31,MATCH(C$231,Listes!$K$29:$K$31,0),MATCH(I$232,Listes!$K$29:$O$29,0)))</f>
        <v>0</v>
      </c>
      <c r="K248" s="463"/>
      <c r="L248" s="3">
        <v>16</v>
      </c>
      <c r="M248" s="45">
        <f t="shared" si="108"/>
        <v>0</v>
      </c>
      <c r="N248" s="45">
        <f t="shared" si="109"/>
        <v>0</v>
      </c>
      <c r="O248" s="45">
        <f>IF(OR(N248=0,N248="",L$116=0),0,N248*INDEX(Listes!$K$1:$Q$12,MATCH(L$116,Listes!$K$1:$K$12,0),MATCH(O$117,Listes!$K$1:$Q$1,0)))</f>
        <v>0</v>
      </c>
      <c r="P248" s="45">
        <f t="shared" si="110"/>
        <v>0</v>
      </c>
      <c r="Q248" s="45">
        <f>IF(OR(L$231=0,L$231=""),0,P248*INDEX(Listes!$K$15:$P$26,MATCH(L$231,Listes!$K$15:$K$26,0),MATCH(Q$232,Listes!$K$15:$P$15,0))*INDEX(Listes!$K$29:$O$31,MATCH(M$231,Listes!$K$29:$K$31,0),MATCH(Q$232,Listes!$K$29:$O$29,0)))</f>
        <v>0</v>
      </c>
      <c r="R248" s="45">
        <f>IF(OR(L$231=0,L$231=""),0,P248*INDEX(Listes!$K$15:$P$26,MATCH(L$231,Listes!$K$15:$K$26,0),MATCH(R$232,Listes!$K$15:$P$15,0))*INDEX(Listes!$K$29:$O$31,MATCH(M$231,Listes!$K$29:$K$31,0),MATCH(R$232,Listes!$K$29:$O$29,0)))</f>
        <v>0</v>
      </c>
      <c r="S248" s="45">
        <f>IF(OR(L$231=0,L$231=""),0,P248*INDEX(Listes!$K$15:$P$26,MATCH(L$231,Listes!$K$15:$K$26,0),MATCH(S$232,Listes!$K$15:$P$15,0))*INDEX(Listes!$K$29:$O$31,MATCH(M$231,Listes!$K$29:$K$31,0),MATCH(S$232,Listes!$K$29:$O$29,0)))</f>
        <v>0</v>
      </c>
      <c r="U248" s="463"/>
      <c r="V248" s="3">
        <v>16</v>
      </c>
      <c r="W248" s="45">
        <f t="shared" si="111"/>
        <v>0</v>
      </c>
      <c r="X248" s="45">
        <f t="shared" si="112"/>
        <v>0</v>
      </c>
      <c r="Y248" s="45">
        <f>IF(OR(X248=0,X248="",V$116=0),0,X248*INDEX(Listes!$K$1:$Q$12,MATCH(V$116,Listes!$K$1:$K$12,0),MATCH(Y$117,Listes!$K$1:$Q$1,0)))</f>
        <v>0</v>
      </c>
      <c r="Z248" s="45">
        <f t="shared" si="113"/>
        <v>0</v>
      </c>
      <c r="AA248" s="45">
        <f>IF(OR(V$231=0,V$231=""),0,Z248*INDEX(Listes!$K$15:$P$26,MATCH(V$231,Listes!$K$15:$K$26,0),MATCH(AA$232,Listes!$K$15:$P$15,0))*INDEX(Listes!$K$29:$O$31,MATCH(W$231,Listes!$K$29:$K$31,0),MATCH(AA$232,Listes!$K$29:$O$29,0)))</f>
        <v>0</v>
      </c>
      <c r="AB248" s="45">
        <f>IF(OR(V$231=0,V$231=""),0,Z248*INDEX(Listes!$K$15:$P$26,MATCH(V$231,Listes!$K$15:$K$26,0),MATCH(AB$232,Listes!$K$15:$P$15,0))*INDEX(Listes!$K$29:$O$31,MATCH(W$231,Listes!$K$29:$K$31,0),MATCH(AB$232,Listes!$K$29:$O$29,0)))</f>
        <v>0</v>
      </c>
      <c r="AC248" s="45">
        <f>IF(OR(V$231=0,V$231=""),0,Z248*INDEX(Listes!$K$15:$P$26,MATCH(V$231,Listes!$K$15:$K$26,0),MATCH(AC$232,Listes!$K$15:$P$15,0))*INDEX(Listes!$K$29:$O$31,MATCH(W$231,Listes!$K$29:$K$31,0),MATCH(AC$232,Listes!$K$29:$O$29,0)))</f>
        <v>0</v>
      </c>
      <c r="AE248" s="463"/>
      <c r="AF248" s="3">
        <v>16</v>
      </c>
      <c r="AG248" s="45">
        <f t="shared" si="114"/>
        <v>0</v>
      </c>
      <c r="AH248" s="45">
        <f t="shared" si="115"/>
        <v>0</v>
      </c>
      <c r="AI248" s="45">
        <f>IF(OR(AH248=0,AH248="",AF$116=0),0,AH248*INDEX(Listes!$K$1:$Q$12,MATCH(AF$116,Listes!$K$1:$K$12,0),MATCH(AI$117,Listes!$K$1:$Q$1,0)))</f>
        <v>0</v>
      </c>
      <c r="AJ248" s="45">
        <f t="shared" si="116"/>
        <v>0</v>
      </c>
      <c r="AK248" s="45">
        <f>IF(OR(AF$231=0,AF$231=""),0,AJ248*INDEX(Listes!$K$15:$P$26,MATCH(AF$231,Listes!$K$15:$K$26,0),MATCH(AK$232,Listes!$K$15:$P$15,0))*INDEX(Listes!$K$29:$O$31,MATCH(AG$231,Listes!$K$29:$K$31,0),MATCH(AK$232,Listes!$K$29:$O$29,0)))</f>
        <v>0</v>
      </c>
      <c r="AL248" s="45">
        <f>IF(OR(AF$231=0,AF$231=""),0,AJ248*INDEX(Listes!$K$15:$P$26,MATCH(AF$231,Listes!$K$15:$K$26,0),MATCH(AL$232,Listes!$K$15:$P$15,0))*INDEX(Listes!$K$29:$O$31,MATCH(AG$231,Listes!$K$29:$K$31,0),MATCH(AL$232,Listes!$K$29:$O$29,0)))</f>
        <v>0</v>
      </c>
      <c r="AM248" s="45">
        <f>IF(OR(AF$231=0,AF$231=""),0,AJ248*INDEX(Listes!$K$15:$P$26,MATCH(AF$231,Listes!$K$15:$K$26,0),MATCH(AM$232,Listes!$K$15:$P$15,0))*INDEX(Listes!$K$29:$O$31,MATCH(AG$231,Listes!$K$29:$K$31,0),MATCH(AM$232,Listes!$K$29:$O$29,0)))</f>
        <v>0</v>
      </c>
      <c r="AO248" s="463"/>
      <c r="AP248" s="3">
        <v>16</v>
      </c>
      <c r="AQ248" s="11">
        <f t="shared" si="117"/>
        <v>0</v>
      </c>
      <c r="AR248" s="11">
        <f t="shared" si="117"/>
        <v>0</v>
      </c>
      <c r="AS248" s="11">
        <f t="shared" si="117"/>
        <v>0</v>
      </c>
      <c r="AT248" s="11">
        <f>AQ248*VLOOKUP(AQ$232,Tableau17[],4,FALSE)+AR248*VLOOKUP(AR$232,Tableau17[],4,FALSE)+AS248*VLOOKUP(AS$232,Tableau17[],4,FALSE)</f>
        <v>0</v>
      </c>
      <c r="AU248" s="11">
        <f>AQ248*VLOOKUP(AQ$232,Tableau17[],3,FALSE)+AR248*VLOOKUP(AR$232,Tableau17[],3,FALSE)+AS248*VLOOKUP(AS$232,Tableau17[],3,FALSE)</f>
        <v>0</v>
      </c>
    </row>
    <row r="249" spans="1:52" x14ac:dyDescent="0.2">
      <c r="A249" s="463"/>
      <c r="B249" s="3">
        <v>17</v>
      </c>
      <c r="C249" s="45">
        <f t="shared" si="105"/>
        <v>0</v>
      </c>
      <c r="D249" s="45">
        <f t="shared" si="106"/>
        <v>0</v>
      </c>
      <c r="E249" s="45">
        <f>IF(OR(D249=0,D249="",B$116=0),0,D249*INDEX(Listes!$K$1:$Q$12,MATCH(B$116,Listes!$K$1:$K$12,0),MATCH(E$117,Listes!$K$1:$Q$1,0)))</f>
        <v>0</v>
      </c>
      <c r="F249" s="45">
        <f t="shared" si="107"/>
        <v>0</v>
      </c>
      <c r="G249" s="45">
        <f>IF(OR(B$231=0,B$231=""),0,F249*INDEX(Listes!$K$15:$P$26,MATCH(B$231,Listes!$K$15:$K$26,0),MATCH(G$232,Listes!$K$15:$P$15,0))*INDEX(Listes!$K$29:$O$31,MATCH(C$231,Listes!$K$29:$K$31,0),MATCH(G$232,Listes!$K$29:$O$29,0)))</f>
        <v>0</v>
      </c>
      <c r="H249" s="45">
        <f>IF(OR(B$231=0,B$231=""),0,F249*INDEX(Listes!$K$15:$P$26,MATCH(B$231,Listes!$K$15:$K$26,0),MATCH(H$232,Listes!$K$15:$P$15,0))*INDEX(Listes!$K$29:$O$31,MATCH(C$231,Listes!$K$29:$K$31,0),MATCH(H$232,Listes!$K$29:$O$29,0)))</f>
        <v>0</v>
      </c>
      <c r="I249" s="45">
        <f>IF(OR(B$231=0,B$231=""),0,F249*INDEX(Listes!$K$15:$P$26,MATCH(B$231,Listes!$K$15:$K$26,0),MATCH(I$232,Listes!$K$15:$P$15,0))*INDEX(Listes!$K$29:$O$31,MATCH(C$231,Listes!$K$29:$K$31,0),MATCH(I$232,Listes!$K$29:$O$29,0)))</f>
        <v>0</v>
      </c>
      <c r="K249" s="463"/>
      <c r="L249" s="3">
        <v>17</v>
      </c>
      <c r="M249" s="45">
        <f t="shared" si="108"/>
        <v>0</v>
      </c>
      <c r="N249" s="45">
        <f t="shared" si="109"/>
        <v>0</v>
      </c>
      <c r="O249" s="45">
        <f>IF(OR(N249=0,N249="",L$116=0),0,N249*INDEX(Listes!$K$1:$Q$12,MATCH(L$116,Listes!$K$1:$K$12,0),MATCH(O$117,Listes!$K$1:$Q$1,0)))</f>
        <v>0</v>
      </c>
      <c r="P249" s="45">
        <f t="shared" si="110"/>
        <v>0</v>
      </c>
      <c r="Q249" s="45">
        <f>IF(OR(L$231=0,L$231=""),0,P249*INDEX(Listes!$K$15:$P$26,MATCH(L$231,Listes!$K$15:$K$26,0),MATCH(Q$232,Listes!$K$15:$P$15,0))*INDEX(Listes!$K$29:$O$31,MATCH(M$231,Listes!$K$29:$K$31,0),MATCH(Q$232,Listes!$K$29:$O$29,0)))</f>
        <v>0</v>
      </c>
      <c r="R249" s="45">
        <f>IF(OR(L$231=0,L$231=""),0,P249*INDEX(Listes!$K$15:$P$26,MATCH(L$231,Listes!$K$15:$K$26,0),MATCH(R$232,Listes!$K$15:$P$15,0))*INDEX(Listes!$K$29:$O$31,MATCH(M$231,Listes!$K$29:$K$31,0),MATCH(R$232,Listes!$K$29:$O$29,0)))</f>
        <v>0</v>
      </c>
      <c r="S249" s="45">
        <f>IF(OR(L$231=0,L$231=""),0,P249*INDEX(Listes!$K$15:$P$26,MATCH(L$231,Listes!$K$15:$K$26,0),MATCH(S$232,Listes!$K$15:$P$15,0))*INDEX(Listes!$K$29:$O$31,MATCH(M$231,Listes!$K$29:$K$31,0),MATCH(S$232,Listes!$K$29:$O$29,0)))</f>
        <v>0</v>
      </c>
      <c r="U249" s="463"/>
      <c r="V249" s="3">
        <v>17</v>
      </c>
      <c r="W249" s="45">
        <f t="shared" si="111"/>
        <v>0</v>
      </c>
      <c r="X249" s="45">
        <f t="shared" si="112"/>
        <v>0</v>
      </c>
      <c r="Y249" s="45">
        <f>IF(OR(X249=0,X249="",V$116=0),0,X249*INDEX(Listes!$K$1:$Q$12,MATCH(V$116,Listes!$K$1:$K$12,0),MATCH(Y$117,Listes!$K$1:$Q$1,0)))</f>
        <v>0</v>
      </c>
      <c r="Z249" s="45">
        <f t="shared" si="113"/>
        <v>0</v>
      </c>
      <c r="AA249" s="45">
        <f>IF(OR(V$231=0,V$231=""),0,Z249*INDEX(Listes!$K$15:$P$26,MATCH(V$231,Listes!$K$15:$K$26,0),MATCH(AA$232,Listes!$K$15:$P$15,0))*INDEX(Listes!$K$29:$O$31,MATCH(W$231,Listes!$K$29:$K$31,0),MATCH(AA$232,Listes!$K$29:$O$29,0)))</f>
        <v>0</v>
      </c>
      <c r="AB249" s="45">
        <f>IF(OR(V$231=0,V$231=""),0,Z249*INDEX(Listes!$K$15:$P$26,MATCH(V$231,Listes!$K$15:$K$26,0),MATCH(AB$232,Listes!$K$15:$P$15,0))*INDEX(Listes!$K$29:$O$31,MATCH(W$231,Listes!$K$29:$K$31,0),MATCH(AB$232,Listes!$K$29:$O$29,0)))</f>
        <v>0</v>
      </c>
      <c r="AC249" s="45">
        <f>IF(OR(V$231=0,V$231=""),0,Z249*INDEX(Listes!$K$15:$P$26,MATCH(V$231,Listes!$K$15:$K$26,0),MATCH(AC$232,Listes!$K$15:$P$15,0))*INDEX(Listes!$K$29:$O$31,MATCH(W$231,Listes!$K$29:$K$31,0),MATCH(AC$232,Listes!$K$29:$O$29,0)))</f>
        <v>0</v>
      </c>
      <c r="AE249" s="463"/>
      <c r="AF249" s="3">
        <v>17</v>
      </c>
      <c r="AG249" s="45">
        <f t="shared" si="114"/>
        <v>0</v>
      </c>
      <c r="AH249" s="45">
        <f t="shared" si="115"/>
        <v>0</v>
      </c>
      <c r="AI249" s="45">
        <f>IF(OR(AH249=0,AH249="",AF$116=0),0,AH249*INDEX(Listes!$K$1:$Q$12,MATCH(AF$116,Listes!$K$1:$K$12,0),MATCH(AI$117,Listes!$K$1:$Q$1,0)))</f>
        <v>0</v>
      </c>
      <c r="AJ249" s="45">
        <f t="shared" si="116"/>
        <v>0</v>
      </c>
      <c r="AK249" s="45">
        <f>IF(OR(AF$231=0,AF$231=""),0,AJ249*INDEX(Listes!$K$15:$P$26,MATCH(AF$231,Listes!$K$15:$K$26,0),MATCH(AK$232,Listes!$K$15:$P$15,0))*INDEX(Listes!$K$29:$O$31,MATCH(AG$231,Listes!$K$29:$K$31,0),MATCH(AK$232,Listes!$K$29:$O$29,0)))</f>
        <v>0</v>
      </c>
      <c r="AL249" s="45">
        <f>IF(OR(AF$231=0,AF$231=""),0,AJ249*INDEX(Listes!$K$15:$P$26,MATCH(AF$231,Listes!$K$15:$K$26,0),MATCH(AL$232,Listes!$K$15:$P$15,0))*INDEX(Listes!$K$29:$O$31,MATCH(AG$231,Listes!$K$29:$K$31,0),MATCH(AL$232,Listes!$K$29:$O$29,0)))</f>
        <v>0</v>
      </c>
      <c r="AM249" s="45">
        <f>IF(OR(AF$231=0,AF$231=""),0,AJ249*INDEX(Listes!$K$15:$P$26,MATCH(AF$231,Listes!$K$15:$K$26,0),MATCH(AM$232,Listes!$K$15:$P$15,0))*INDEX(Listes!$K$29:$O$31,MATCH(AG$231,Listes!$K$29:$K$31,0),MATCH(AM$232,Listes!$K$29:$O$29,0)))</f>
        <v>0</v>
      </c>
      <c r="AO249" s="463"/>
      <c r="AP249" s="3">
        <v>17</v>
      </c>
      <c r="AQ249" s="11">
        <f t="shared" si="117"/>
        <v>0</v>
      </c>
      <c r="AR249" s="11">
        <f t="shared" si="117"/>
        <v>0</v>
      </c>
      <c r="AS249" s="11">
        <f t="shared" si="117"/>
        <v>0</v>
      </c>
      <c r="AT249" s="11">
        <f>AQ249*VLOOKUP(AQ$232,Tableau17[],4,FALSE)+AR249*VLOOKUP(AR$232,Tableau17[],4,FALSE)+AS249*VLOOKUP(AS$232,Tableau17[],4,FALSE)</f>
        <v>0</v>
      </c>
      <c r="AU249" s="11">
        <f>AQ249*VLOOKUP(AQ$232,Tableau17[],3,FALSE)+AR249*VLOOKUP(AR$232,Tableau17[],3,FALSE)+AS249*VLOOKUP(AS$232,Tableau17[],3,FALSE)</f>
        <v>0</v>
      </c>
    </row>
    <row r="250" spans="1:52" x14ac:dyDescent="0.2">
      <c r="A250" s="463"/>
      <c r="B250" s="3">
        <v>18</v>
      </c>
      <c r="C250" s="45">
        <f t="shared" si="105"/>
        <v>0</v>
      </c>
      <c r="D250" s="45">
        <f t="shared" si="106"/>
        <v>0</v>
      </c>
      <c r="E250" s="45">
        <f>IF(OR(D250=0,D250="",B$116=0),0,D250*INDEX(Listes!$K$1:$Q$12,MATCH(B$116,Listes!$K$1:$K$12,0),MATCH(E$117,Listes!$K$1:$Q$1,0)))</f>
        <v>0</v>
      </c>
      <c r="F250" s="45">
        <f t="shared" si="107"/>
        <v>0</v>
      </c>
      <c r="G250" s="45">
        <f>IF(OR(B$231=0,B$231=""),0,F250*INDEX(Listes!$K$15:$P$26,MATCH(B$231,Listes!$K$15:$K$26,0),MATCH(G$232,Listes!$K$15:$P$15,0))*INDEX(Listes!$K$29:$O$31,MATCH(C$231,Listes!$K$29:$K$31,0),MATCH(G$232,Listes!$K$29:$O$29,0)))</f>
        <v>0</v>
      </c>
      <c r="H250" s="45">
        <f>IF(OR(B$231=0,B$231=""),0,F250*INDEX(Listes!$K$15:$P$26,MATCH(B$231,Listes!$K$15:$K$26,0),MATCH(H$232,Listes!$K$15:$P$15,0))*INDEX(Listes!$K$29:$O$31,MATCH(C$231,Listes!$K$29:$K$31,0),MATCH(H$232,Listes!$K$29:$O$29,0)))</f>
        <v>0</v>
      </c>
      <c r="I250" s="45">
        <f>IF(OR(B$231=0,B$231=""),0,F250*INDEX(Listes!$K$15:$P$26,MATCH(B$231,Listes!$K$15:$K$26,0),MATCH(I$232,Listes!$K$15:$P$15,0))*INDEX(Listes!$K$29:$O$31,MATCH(C$231,Listes!$K$29:$K$31,0),MATCH(I$232,Listes!$K$29:$O$29,0)))</f>
        <v>0</v>
      </c>
      <c r="K250" s="463"/>
      <c r="L250" s="3">
        <v>18</v>
      </c>
      <c r="M250" s="45">
        <f t="shared" si="108"/>
        <v>0</v>
      </c>
      <c r="N250" s="45">
        <f t="shared" si="109"/>
        <v>0</v>
      </c>
      <c r="O250" s="45">
        <f>IF(OR(N250=0,N250="",L$116=0),0,N250*INDEX(Listes!$K$1:$Q$12,MATCH(L$116,Listes!$K$1:$K$12,0),MATCH(O$117,Listes!$K$1:$Q$1,0)))</f>
        <v>0</v>
      </c>
      <c r="P250" s="45">
        <f t="shared" si="110"/>
        <v>0</v>
      </c>
      <c r="Q250" s="45">
        <f>IF(OR(L$231=0,L$231=""),0,P250*INDEX(Listes!$K$15:$P$26,MATCH(L$231,Listes!$K$15:$K$26,0),MATCH(Q$232,Listes!$K$15:$P$15,0))*INDEX(Listes!$K$29:$O$31,MATCH(M$231,Listes!$K$29:$K$31,0),MATCH(Q$232,Listes!$K$29:$O$29,0)))</f>
        <v>0</v>
      </c>
      <c r="R250" s="45">
        <f>IF(OR(L$231=0,L$231=""),0,P250*INDEX(Listes!$K$15:$P$26,MATCH(L$231,Listes!$K$15:$K$26,0),MATCH(R$232,Listes!$K$15:$P$15,0))*INDEX(Listes!$K$29:$O$31,MATCH(M$231,Listes!$K$29:$K$31,0),MATCH(R$232,Listes!$K$29:$O$29,0)))</f>
        <v>0</v>
      </c>
      <c r="S250" s="45">
        <f>IF(OR(L$231=0,L$231=""),0,P250*INDEX(Listes!$K$15:$P$26,MATCH(L$231,Listes!$K$15:$K$26,0),MATCH(S$232,Listes!$K$15:$P$15,0))*INDEX(Listes!$K$29:$O$31,MATCH(M$231,Listes!$K$29:$K$31,0),MATCH(S$232,Listes!$K$29:$O$29,0)))</f>
        <v>0</v>
      </c>
      <c r="U250" s="463"/>
      <c r="V250" s="3">
        <v>18</v>
      </c>
      <c r="W250" s="45">
        <f t="shared" si="111"/>
        <v>0</v>
      </c>
      <c r="X250" s="45">
        <f t="shared" si="112"/>
        <v>0</v>
      </c>
      <c r="Y250" s="45">
        <f>IF(OR(X250=0,X250="",V$116=0),0,X250*INDEX(Listes!$K$1:$Q$12,MATCH(V$116,Listes!$K$1:$K$12,0),MATCH(Y$117,Listes!$K$1:$Q$1,0)))</f>
        <v>0</v>
      </c>
      <c r="Z250" s="45">
        <f t="shared" si="113"/>
        <v>0</v>
      </c>
      <c r="AA250" s="45">
        <f>IF(OR(V$231=0,V$231=""),0,Z250*INDEX(Listes!$K$15:$P$26,MATCH(V$231,Listes!$K$15:$K$26,0),MATCH(AA$232,Listes!$K$15:$P$15,0))*INDEX(Listes!$K$29:$O$31,MATCH(W$231,Listes!$K$29:$K$31,0),MATCH(AA$232,Listes!$K$29:$O$29,0)))</f>
        <v>0</v>
      </c>
      <c r="AB250" s="45">
        <f>IF(OR(V$231=0,V$231=""),0,Z250*INDEX(Listes!$K$15:$P$26,MATCH(V$231,Listes!$K$15:$K$26,0),MATCH(AB$232,Listes!$K$15:$P$15,0))*INDEX(Listes!$K$29:$O$31,MATCH(W$231,Listes!$K$29:$K$31,0),MATCH(AB$232,Listes!$K$29:$O$29,0)))</f>
        <v>0</v>
      </c>
      <c r="AC250" s="45">
        <f>IF(OR(V$231=0,V$231=""),0,Z250*INDEX(Listes!$K$15:$P$26,MATCH(V$231,Listes!$K$15:$K$26,0),MATCH(AC$232,Listes!$K$15:$P$15,0))*INDEX(Listes!$K$29:$O$31,MATCH(W$231,Listes!$K$29:$K$31,0),MATCH(AC$232,Listes!$K$29:$O$29,0)))</f>
        <v>0</v>
      </c>
      <c r="AE250" s="463"/>
      <c r="AF250" s="3">
        <v>18</v>
      </c>
      <c r="AG250" s="45">
        <f t="shared" si="114"/>
        <v>0</v>
      </c>
      <c r="AH250" s="45">
        <f t="shared" si="115"/>
        <v>0</v>
      </c>
      <c r="AI250" s="45">
        <f>IF(OR(AH250=0,AH250="",AF$116=0),0,AH250*INDEX(Listes!$K$1:$Q$12,MATCH(AF$116,Listes!$K$1:$K$12,0),MATCH(AI$117,Listes!$K$1:$Q$1,0)))</f>
        <v>0</v>
      </c>
      <c r="AJ250" s="45">
        <f t="shared" si="116"/>
        <v>0</v>
      </c>
      <c r="AK250" s="45">
        <f>IF(OR(AF$231=0,AF$231=""),0,AJ250*INDEX(Listes!$K$15:$P$26,MATCH(AF$231,Listes!$K$15:$K$26,0),MATCH(AK$232,Listes!$K$15:$P$15,0))*INDEX(Listes!$K$29:$O$31,MATCH(AG$231,Listes!$K$29:$K$31,0),MATCH(AK$232,Listes!$K$29:$O$29,0)))</f>
        <v>0</v>
      </c>
      <c r="AL250" s="45">
        <f>IF(OR(AF$231=0,AF$231=""),0,AJ250*INDEX(Listes!$K$15:$P$26,MATCH(AF$231,Listes!$K$15:$K$26,0),MATCH(AL$232,Listes!$K$15:$P$15,0))*INDEX(Listes!$K$29:$O$31,MATCH(AG$231,Listes!$K$29:$K$31,0),MATCH(AL$232,Listes!$K$29:$O$29,0)))</f>
        <v>0</v>
      </c>
      <c r="AM250" s="45">
        <f>IF(OR(AF$231=0,AF$231=""),0,AJ250*INDEX(Listes!$K$15:$P$26,MATCH(AF$231,Listes!$K$15:$K$26,0),MATCH(AM$232,Listes!$K$15:$P$15,0))*INDEX(Listes!$K$29:$O$31,MATCH(AG$231,Listes!$K$29:$K$31,0),MATCH(AM$232,Listes!$K$29:$O$29,0)))</f>
        <v>0</v>
      </c>
      <c r="AO250" s="463"/>
      <c r="AP250" s="3">
        <v>18</v>
      </c>
      <c r="AQ250" s="11">
        <f t="shared" si="117"/>
        <v>0</v>
      </c>
      <c r="AR250" s="11">
        <f t="shared" si="117"/>
        <v>0</v>
      </c>
      <c r="AS250" s="11">
        <f t="shared" si="117"/>
        <v>0</v>
      </c>
      <c r="AT250" s="11">
        <f>AQ250*VLOOKUP(AQ$232,Tableau17[],4,FALSE)+AR250*VLOOKUP(AR$232,Tableau17[],4,FALSE)+AS250*VLOOKUP(AS$232,Tableau17[],4,FALSE)</f>
        <v>0</v>
      </c>
      <c r="AU250" s="11">
        <f>AQ250*VLOOKUP(AQ$232,Tableau17[],3,FALSE)+AR250*VLOOKUP(AR$232,Tableau17[],3,FALSE)+AS250*VLOOKUP(AS$232,Tableau17[],3,FALSE)</f>
        <v>0</v>
      </c>
    </row>
    <row r="251" spans="1:52" x14ac:dyDescent="0.2">
      <c r="A251" s="463"/>
      <c r="B251" s="3">
        <v>19</v>
      </c>
      <c r="C251" s="45">
        <f t="shared" si="105"/>
        <v>0</v>
      </c>
      <c r="D251" s="45">
        <f t="shared" si="106"/>
        <v>0</v>
      </c>
      <c r="E251" s="45">
        <f>IF(OR(D251=0,D251="",B$116=0),0,D251*INDEX(Listes!$K$1:$Q$12,MATCH(B$116,Listes!$K$1:$K$12,0),MATCH(E$117,Listes!$K$1:$Q$1,0)))</f>
        <v>0</v>
      </c>
      <c r="F251" s="45">
        <f t="shared" si="107"/>
        <v>0</v>
      </c>
      <c r="G251" s="45">
        <f>IF(OR(B$231=0,B$231=""),0,F251*INDEX(Listes!$K$15:$P$26,MATCH(B$231,Listes!$K$15:$K$26,0),MATCH(G$232,Listes!$K$15:$P$15,0))*INDEX(Listes!$K$29:$O$31,MATCH(C$231,Listes!$K$29:$K$31,0),MATCH(G$232,Listes!$K$29:$O$29,0)))</f>
        <v>0</v>
      </c>
      <c r="H251" s="45">
        <f>IF(OR(B$231=0,B$231=""),0,F251*INDEX(Listes!$K$15:$P$26,MATCH(B$231,Listes!$K$15:$K$26,0),MATCH(H$232,Listes!$K$15:$P$15,0))*INDEX(Listes!$K$29:$O$31,MATCH(C$231,Listes!$K$29:$K$31,0),MATCH(H$232,Listes!$K$29:$O$29,0)))</f>
        <v>0</v>
      </c>
      <c r="I251" s="45">
        <f>IF(OR(B$231=0,B$231=""),0,F251*INDEX(Listes!$K$15:$P$26,MATCH(B$231,Listes!$K$15:$K$26,0),MATCH(I$232,Listes!$K$15:$P$15,0))*INDEX(Listes!$K$29:$O$31,MATCH(C$231,Listes!$K$29:$K$31,0),MATCH(I$232,Listes!$K$29:$O$29,0)))</f>
        <v>0</v>
      </c>
      <c r="K251" s="463"/>
      <c r="L251" s="3">
        <v>19</v>
      </c>
      <c r="M251" s="45">
        <f t="shared" si="108"/>
        <v>0</v>
      </c>
      <c r="N251" s="45">
        <f t="shared" si="109"/>
        <v>0</v>
      </c>
      <c r="O251" s="45">
        <f>IF(OR(N251=0,N251="",L$116=0),0,N251*INDEX(Listes!$K$1:$Q$12,MATCH(L$116,Listes!$K$1:$K$12,0),MATCH(O$117,Listes!$K$1:$Q$1,0)))</f>
        <v>0</v>
      </c>
      <c r="P251" s="45">
        <f t="shared" si="110"/>
        <v>0</v>
      </c>
      <c r="Q251" s="45">
        <f>IF(OR(L$231=0,L$231=""),0,P251*INDEX(Listes!$K$15:$P$26,MATCH(L$231,Listes!$K$15:$K$26,0),MATCH(Q$232,Listes!$K$15:$P$15,0))*INDEX(Listes!$K$29:$O$31,MATCH(M$231,Listes!$K$29:$K$31,0),MATCH(Q$232,Listes!$K$29:$O$29,0)))</f>
        <v>0</v>
      </c>
      <c r="R251" s="45">
        <f>IF(OR(L$231=0,L$231=""),0,P251*INDEX(Listes!$K$15:$P$26,MATCH(L$231,Listes!$K$15:$K$26,0),MATCH(R$232,Listes!$K$15:$P$15,0))*INDEX(Listes!$K$29:$O$31,MATCH(M$231,Listes!$K$29:$K$31,0),MATCH(R$232,Listes!$K$29:$O$29,0)))</f>
        <v>0</v>
      </c>
      <c r="S251" s="45">
        <f>IF(OR(L$231=0,L$231=""),0,P251*INDEX(Listes!$K$15:$P$26,MATCH(L$231,Listes!$K$15:$K$26,0),MATCH(S$232,Listes!$K$15:$P$15,0))*INDEX(Listes!$K$29:$O$31,MATCH(M$231,Listes!$K$29:$K$31,0),MATCH(S$232,Listes!$K$29:$O$29,0)))</f>
        <v>0</v>
      </c>
      <c r="U251" s="463"/>
      <c r="V251" s="3">
        <v>19</v>
      </c>
      <c r="W251" s="45">
        <f t="shared" si="111"/>
        <v>0</v>
      </c>
      <c r="X251" s="45">
        <f t="shared" si="112"/>
        <v>0</v>
      </c>
      <c r="Y251" s="45">
        <f>IF(OR(X251=0,X251="",V$116=0),0,X251*INDEX(Listes!$K$1:$Q$12,MATCH(V$116,Listes!$K$1:$K$12,0),MATCH(Y$117,Listes!$K$1:$Q$1,0)))</f>
        <v>0</v>
      </c>
      <c r="Z251" s="45">
        <f t="shared" si="113"/>
        <v>0</v>
      </c>
      <c r="AA251" s="45">
        <f>IF(OR(V$231=0,V$231=""),0,Z251*INDEX(Listes!$K$15:$P$26,MATCH(V$231,Listes!$K$15:$K$26,0),MATCH(AA$232,Listes!$K$15:$P$15,0))*INDEX(Listes!$K$29:$O$31,MATCH(W$231,Listes!$K$29:$K$31,0),MATCH(AA$232,Listes!$K$29:$O$29,0)))</f>
        <v>0</v>
      </c>
      <c r="AB251" s="45">
        <f>IF(OR(V$231=0,V$231=""),0,Z251*INDEX(Listes!$K$15:$P$26,MATCH(V$231,Listes!$K$15:$K$26,0),MATCH(AB$232,Listes!$K$15:$P$15,0))*INDEX(Listes!$K$29:$O$31,MATCH(W$231,Listes!$K$29:$K$31,0),MATCH(AB$232,Listes!$K$29:$O$29,0)))</f>
        <v>0</v>
      </c>
      <c r="AC251" s="45">
        <f>IF(OR(V$231=0,V$231=""),0,Z251*INDEX(Listes!$K$15:$P$26,MATCH(V$231,Listes!$K$15:$K$26,0),MATCH(AC$232,Listes!$K$15:$P$15,0))*INDEX(Listes!$K$29:$O$31,MATCH(W$231,Listes!$K$29:$K$31,0),MATCH(AC$232,Listes!$K$29:$O$29,0)))</f>
        <v>0</v>
      </c>
      <c r="AE251" s="463"/>
      <c r="AF251" s="3">
        <v>19</v>
      </c>
      <c r="AG251" s="45">
        <f t="shared" si="114"/>
        <v>0</v>
      </c>
      <c r="AH251" s="45">
        <f t="shared" si="115"/>
        <v>0</v>
      </c>
      <c r="AI251" s="45">
        <f>IF(OR(AH251=0,AH251="",AF$116=0),0,AH251*INDEX(Listes!$K$1:$Q$12,MATCH(AF$116,Listes!$K$1:$K$12,0),MATCH(AI$117,Listes!$K$1:$Q$1,0)))</f>
        <v>0</v>
      </c>
      <c r="AJ251" s="45">
        <f t="shared" si="116"/>
        <v>0</v>
      </c>
      <c r="AK251" s="45">
        <f>IF(OR(AF$231=0,AF$231=""),0,AJ251*INDEX(Listes!$K$15:$P$26,MATCH(AF$231,Listes!$K$15:$K$26,0),MATCH(AK$232,Listes!$K$15:$P$15,0))*INDEX(Listes!$K$29:$O$31,MATCH(AG$231,Listes!$K$29:$K$31,0),MATCH(AK$232,Listes!$K$29:$O$29,0)))</f>
        <v>0</v>
      </c>
      <c r="AL251" s="45">
        <f>IF(OR(AF$231=0,AF$231=""),0,AJ251*INDEX(Listes!$K$15:$P$26,MATCH(AF$231,Listes!$K$15:$K$26,0),MATCH(AL$232,Listes!$K$15:$P$15,0))*INDEX(Listes!$K$29:$O$31,MATCH(AG$231,Listes!$K$29:$K$31,0),MATCH(AL$232,Listes!$K$29:$O$29,0)))</f>
        <v>0</v>
      </c>
      <c r="AM251" s="45">
        <f>IF(OR(AF$231=0,AF$231=""),0,AJ251*INDEX(Listes!$K$15:$P$26,MATCH(AF$231,Listes!$K$15:$K$26,0),MATCH(AM$232,Listes!$K$15:$P$15,0))*INDEX(Listes!$K$29:$O$31,MATCH(AG$231,Listes!$K$29:$K$31,0),MATCH(AM$232,Listes!$K$29:$O$29,0)))</f>
        <v>0</v>
      </c>
      <c r="AO251" s="463"/>
      <c r="AP251" s="3">
        <v>19</v>
      </c>
      <c r="AQ251" s="11">
        <f t="shared" si="117"/>
        <v>0</v>
      </c>
      <c r="AR251" s="11">
        <f t="shared" si="117"/>
        <v>0</v>
      </c>
      <c r="AS251" s="11">
        <f t="shared" si="117"/>
        <v>0</v>
      </c>
      <c r="AT251" s="11">
        <f>AQ251*VLOOKUP(AQ$232,Tableau17[],4,FALSE)+AR251*VLOOKUP(AR$232,Tableau17[],4,FALSE)+AS251*VLOOKUP(AS$232,Tableau17[],4,FALSE)</f>
        <v>0</v>
      </c>
      <c r="AU251" s="11">
        <f>AQ251*VLOOKUP(AQ$232,Tableau17[],3,FALSE)+AR251*VLOOKUP(AR$232,Tableau17[],3,FALSE)+AS251*VLOOKUP(AS$232,Tableau17[],3,FALSE)</f>
        <v>0</v>
      </c>
    </row>
    <row r="252" spans="1:52" x14ac:dyDescent="0.2">
      <c r="A252" s="463"/>
      <c r="B252" s="3">
        <v>20</v>
      </c>
      <c r="C252" s="45">
        <f t="shared" si="105"/>
        <v>0</v>
      </c>
      <c r="D252" s="45">
        <f t="shared" si="106"/>
        <v>0</v>
      </c>
      <c r="E252" s="45">
        <f>IF(OR(D252=0,D252="",B$116=0),0,D252*INDEX(Listes!$K$1:$Q$12,MATCH(B$116,Listes!$K$1:$K$12,0),MATCH(E$117,Listes!$K$1:$Q$1,0)))</f>
        <v>0</v>
      </c>
      <c r="F252" s="45">
        <f t="shared" si="107"/>
        <v>0</v>
      </c>
      <c r="G252" s="45">
        <f>IF(OR(B$231=0,B$231=""),0,F252*INDEX(Listes!$K$15:$P$26,MATCH(B$231,Listes!$K$15:$K$26,0),MATCH(G$232,Listes!$K$15:$P$15,0))*INDEX(Listes!$K$29:$O$31,MATCH(C$231,Listes!$K$29:$K$31,0),MATCH(G$232,Listes!$K$29:$O$29,0)))</f>
        <v>0</v>
      </c>
      <c r="H252" s="45">
        <f>IF(OR(B$231=0,B$231=""),0,F252*INDEX(Listes!$K$15:$P$26,MATCH(B$231,Listes!$K$15:$K$26,0),MATCH(H$232,Listes!$K$15:$P$15,0))*INDEX(Listes!$K$29:$O$31,MATCH(C$231,Listes!$K$29:$K$31,0),MATCH(H$232,Listes!$K$29:$O$29,0)))</f>
        <v>0</v>
      </c>
      <c r="I252" s="45">
        <f>IF(OR(B$231=0,B$231=""),0,F252*INDEX(Listes!$K$15:$P$26,MATCH(B$231,Listes!$K$15:$K$26,0),MATCH(I$232,Listes!$K$15:$P$15,0))*INDEX(Listes!$K$29:$O$31,MATCH(C$231,Listes!$K$29:$K$31,0),MATCH(I$232,Listes!$K$29:$O$29,0)))</f>
        <v>0</v>
      </c>
      <c r="K252" s="463"/>
      <c r="L252" s="3">
        <v>20</v>
      </c>
      <c r="M252" s="45">
        <f t="shared" si="108"/>
        <v>0</v>
      </c>
      <c r="N252" s="45">
        <f t="shared" si="109"/>
        <v>0</v>
      </c>
      <c r="O252" s="45">
        <f>IF(OR(N252=0,N252="",L$116=0),0,N252*INDEX(Listes!$K$1:$Q$12,MATCH(L$116,Listes!$K$1:$K$12,0),MATCH(O$117,Listes!$K$1:$Q$1,0)))</f>
        <v>0</v>
      </c>
      <c r="P252" s="45">
        <f t="shared" si="110"/>
        <v>0</v>
      </c>
      <c r="Q252" s="45">
        <f>IF(OR(L$231=0,L$231=""),0,P252*INDEX(Listes!$K$15:$P$26,MATCH(L$231,Listes!$K$15:$K$26,0),MATCH(Q$232,Listes!$K$15:$P$15,0))*INDEX(Listes!$K$29:$O$31,MATCH(M$231,Listes!$K$29:$K$31,0),MATCH(Q$232,Listes!$K$29:$O$29,0)))</f>
        <v>0</v>
      </c>
      <c r="R252" s="45">
        <f>IF(OR(L$231=0,L$231=""),0,P252*INDEX(Listes!$K$15:$P$26,MATCH(L$231,Listes!$K$15:$K$26,0),MATCH(R$232,Listes!$K$15:$P$15,0))*INDEX(Listes!$K$29:$O$31,MATCH(M$231,Listes!$K$29:$K$31,0),MATCH(R$232,Listes!$K$29:$O$29,0)))</f>
        <v>0</v>
      </c>
      <c r="S252" s="45">
        <f>IF(OR(L$231=0,L$231=""),0,P252*INDEX(Listes!$K$15:$P$26,MATCH(L$231,Listes!$K$15:$K$26,0),MATCH(S$232,Listes!$K$15:$P$15,0))*INDEX(Listes!$K$29:$O$31,MATCH(M$231,Listes!$K$29:$K$31,0),MATCH(S$232,Listes!$K$29:$O$29,0)))</f>
        <v>0</v>
      </c>
      <c r="U252" s="463"/>
      <c r="V252" s="3">
        <v>20</v>
      </c>
      <c r="W252" s="45">
        <f t="shared" si="111"/>
        <v>0</v>
      </c>
      <c r="X252" s="45">
        <f t="shared" si="112"/>
        <v>0</v>
      </c>
      <c r="Y252" s="45">
        <f>IF(OR(X252=0,X252="",V$116=0),0,X252*INDEX(Listes!$K$1:$Q$12,MATCH(V$116,Listes!$K$1:$K$12,0),MATCH(Y$117,Listes!$K$1:$Q$1,0)))</f>
        <v>0</v>
      </c>
      <c r="Z252" s="45">
        <f t="shared" si="113"/>
        <v>0</v>
      </c>
      <c r="AA252" s="45">
        <f>IF(OR(V$231=0,V$231=""),0,Z252*INDEX(Listes!$K$15:$P$26,MATCH(V$231,Listes!$K$15:$K$26,0),MATCH(AA$232,Listes!$K$15:$P$15,0))*INDEX(Listes!$K$29:$O$31,MATCH(W$231,Listes!$K$29:$K$31,0),MATCH(AA$232,Listes!$K$29:$O$29,0)))</f>
        <v>0</v>
      </c>
      <c r="AB252" s="45">
        <f>IF(OR(V$231=0,V$231=""),0,Z252*INDEX(Listes!$K$15:$P$26,MATCH(V$231,Listes!$K$15:$K$26,0),MATCH(AB$232,Listes!$K$15:$P$15,0))*INDEX(Listes!$K$29:$O$31,MATCH(W$231,Listes!$K$29:$K$31,0),MATCH(AB$232,Listes!$K$29:$O$29,0)))</f>
        <v>0</v>
      </c>
      <c r="AC252" s="45">
        <f>IF(OR(V$231=0,V$231=""),0,Z252*INDEX(Listes!$K$15:$P$26,MATCH(V$231,Listes!$K$15:$K$26,0),MATCH(AC$232,Listes!$K$15:$P$15,0))*INDEX(Listes!$K$29:$O$31,MATCH(W$231,Listes!$K$29:$K$31,0),MATCH(AC$232,Listes!$K$29:$O$29,0)))</f>
        <v>0</v>
      </c>
      <c r="AE252" s="463"/>
      <c r="AF252" s="3">
        <v>20</v>
      </c>
      <c r="AG252" s="45">
        <f t="shared" si="114"/>
        <v>0</v>
      </c>
      <c r="AH252" s="45">
        <f t="shared" si="115"/>
        <v>0</v>
      </c>
      <c r="AI252" s="45">
        <f>IF(OR(AH252=0,AH252="",AF$116=0),0,AH252*INDEX(Listes!$K$1:$Q$12,MATCH(AF$116,Listes!$K$1:$K$12,0),MATCH(AI$117,Listes!$K$1:$Q$1,0)))</f>
        <v>0</v>
      </c>
      <c r="AJ252" s="45">
        <f t="shared" si="116"/>
        <v>0</v>
      </c>
      <c r="AK252" s="45">
        <f>IF(OR(AF$231=0,AF$231=""),0,AJ252*INDEX(Listes!$K$15:$P$26,MATCH(AF$231,Listes!$K$15:$K$26,0),MATCH(AK$232,Listes!$K$15:$P$15,0))*INDEX(Listes!$K$29:$O$31,MATCH(AG$231,Listes!$K$29:$K$31,0),MATCH(AK$232,Listes!$K$29:$O$29,0)))</f>
        <v>0</v>
      </c>
      <c r="AL252" s="45">
        <f>IF(OR(AF$231=0,AF$231=""),0,AJ252*INDEX(Listes!$K$15:$P$26,MATCH(AF$231,Listes!$K$15:$K$26,0),MATCH(AL$232,Listes!$K$15:$P$15,0))*INDEX(Listes!$K$29:$O$31,MATCH(AG$231,Listes!$K$29:$K$31,0),MATCH(AL$232,Listes!$K$29:$O$29,0)))</f>
        <v>0</v>
      </c>
      <c r="AM252" s="45">
        <f>IF(OR(AF$231=0,AF$231=""),0,AJ252*INDEX(Listes!$K$15:$P$26,MATCH(AF$231,Listes!$K$15:$K$26,0),MATCH(AM$232,Listes!$K$15:$P$15,0))*INDEX(Listes!$K$29:$O$31,MATCH(AG$231,Listes!$K$29:$K$31,0),MATCH(AM$232,Listes!$K$29:$O$29,0)))</f>
        <v>0</v>
      </c>
      <c r="AO252" s="463"/>
      <c r="AP252" s="3">
        <v>20</v>
      </c>
      <c r="AQ252" s="11">
        <f t="shared" si="117"/>
        <v>0</v>
      </c>
      <c r="AR252" s="11">
        <f t="shared" si="117"/>
        <v>0</v>
      </c>
      <c r="AS252" s="11">
        <f t="shared" si="117"/>
        <v>0</v>
      </c>
      <c r="AT252" s="11">
        <f>AQ252*VLOOKUP(AQ$232,Tableau17[],4,FALSE)+AR252*VLOOKUP(AR$232,Tableau17[],4,FALSE)+AS252*VLOOKUP(AS$232,Tableau17[],4,FALSE)</f>
        <v>0</v>
      </c>
      <c r="AU252" s="11">
        <f>AQ252*VLOOKUP(AQ$232,Tableau17[],3,FALSE)+AR252*VLOOKUP(AR$232,Tableau17[],3,FALSE)+AS252*VLOOKUP(AS$232,Tableau17[],3,FALSE)</f>
        <v>0</v>
      </c>
    </row>
    <row r="254" spans="1:52" x14ac:dyDescent="0.2">
      <c r="A254" s="136" t="s">
        <v>633</v>
      </c>
      <c r="B254" s="136"/>
      <c r="C254" s="136"/>
      <c r="D254" s="136"/>
      <c r="E254" s="136"/>
      <c r="F254" s="136"/>
      <c r="G254" s="136"/>
      <c r="H254" s="136"/>
      <c r="I254" s="136"/>
      <c r="J254" s="136"/>
      <c r="K254" s="136"/>
      <c r="L254" s="136"/>
      <c r="M254" s="49"/>
      <c r="N254" s="49"/>
      <c r="O254" s="49"/>
      <c r="P254" s="49"/>
      <c r="Q254" s="49"/>
      <c r="R254" s="49"/>
      <c r="S254" s="49"/>
      <c r="T254" s="49"/>
      <c r="U254" s="49"/>
      <c r="V254" s="49"/>
      <c r="W254" s="49"/>
      <c r="X254" s="49"/>
      <c r="Y254" s="49"/>
      <c r="Z254" s="49"/>
      <c r="AA254" s="49"/>
      <c r="AB254" s="49"/>
      <c r="AC254" s="49"/>
      <c r="AD254" s="49"/>
      <c r="AE254" s="49"/>
      <c r="AF254" s="49"/>
      <c r="AG254" s="49"/>
      <c r="AH254" s="49"/>
      <c r="AI254" s="49"/>
      <c r="AJ254" s="49"/>
      <c r="AK254" s="49"/>
      <c r="AL254" s="49"/>
      <c r="AM254" s="49"/>
      <c r="AN254" s="49"/>
      <c r="AO254" s="49"/>
      <c r="AP254" s="49"/>
      <c r="AQ254" s="49"/>
      <c r="AR254" s="49"/>
      <c r="AS254" s="49"/>
      <c r="AT254" s="49"/>
      <c r="AU254" s="49"/>
      <c r="AV254" s="49"/>
      <c r="AW254" s="49"/>
      <c r="AX254" s="49"/>
      <c r="AY254" s="49"/>
      <c r="AZ254" s="49"/>
    </row>
    <row r="256" spans="1:52" x14ac:dyDescent="0.2">
      <c r="A256" s="463" t="s">
        <v>185</v>
      </c>
      <c r="B256" s="3" t="s">
        <v>28</v>
      </c>
      <c r="C256" s="3">
        <v>1</v>
      </c>
      <c r="D256" s="3">
        <v>2</v>
      </c>
      <c r="E256" s="3">
        <v>3</v>
      </c>
      <c r="F256" s="3">
        <v>4</v>
      </c>
      <c r="G256" s="3">
        <v>5</v>
      </c>
      <c r="H256" s="3">
        <v>6</v>
      </c>
      <c r="I256" s="3">
        <v>7</v>
      </c>
      <c r="J256" s="3">
        <v>8</v>
      </c>
      <c r="K256" s="3">
        <v>9</v>
      </c>
      <c r="L256" s="3">
        <v>10</v>
      </c>
      <c r="M256" s="3">
        <v>11</v>
      </c>
      <c r="N256" s="3">
        <v>12</v>
      </c>
      <c r="O256" s="3">
        <v>13</v>
      </c>
      <c r="P256" s="3">
        <v>14</v>
      </c>
      <c r="Q256" s="3">
        <v>15</v>
      </c>
      <c r="R256" s="3">
        <v>16</v>
      </c>
      <c r="S256" s="3">
        <v>17</v>
      </c>
      <c r="T256" s="3">
        <v>18</v>
      </c>
      <c r="U256" s="3">
        <v>19</v>
      </c>
      <c r="V256" s="3">
        <v>20</v>
      </c>
    </row>
    <row r="257" spans="1:32" x14ac:dyDescent="0.2">
      <c r="A257" s="463"/>
      <c r="B257" s="3" t="s">
        <v>86</v>
      </c>
      <c r="C257" s="11">
        <f>VLOOKUP(C256,Tableau4668167392431[],6,FALSE)</f>
        <v>0</v>
      </c>
      <c r="D257" s="11">
        <f>VLOOKUP(D256,Tableau4668167392431[],6,FALSE)</f>
        <v>0</v>
      </c>
      <c r="E257" s="11">
        <f>VLOOKUP(E256,Tableau4668167392431[],6,FALSE)</f>
        <v>0</v>
      </c>
      <c r="F257" s="11">
        <f>VLOOKUP(F256,Tableau4668167392431[],6,FALSE)</f>
        <v>0</v>
      </c>
      <c r="G257" s="11">
        <f>VLOOKUP(G256,Tableau4668167392431[],6,FALSE)</f>
        <v>0</v>
      </c>
      <c r="H257" s="11">
        <f>VLOOKUP(H256,Tableau4668167392431[],6,FALSE)</f>
        <v>0</v>
      </c>
      <c r="I257" s="11">
        <f>VLOOKUP(I256,Tableau4668167392431[],6,FALSE)</f>
        <v>0</v>
      </c>
      <c r="J257" s="11">
        <f>VLOOKUP(J256,Tableau4668167392431[],6,FALSE)</f>
        <v>0</v>
      </c>
      <c r="K257" s="11">
        <f>VLOOKUP(K256,Tableau4668167392431[],6,FALSE)</f>
        <v>0</v>
      </c>
      <c r="L257" s="11">
        <f>VLOOKUP(L256,Tableau4668167392431[],6,FALSE)</f>
        <v>0</v>
      </c>
      <c r="M257" s="11">
        <f>VLOOKUP(M256,Tableau4668167392431[],6,FALSE)</f>
        <v>0</v>
      </c>
      <c r="N257" s="11">
        <f>VLOOKUP(N256,Tableau4668167392431[],6,FALSE)</f>
        <v>0</v>
      </c>
      <c r="O257" s="11">
        <f>VLOOKUP(O256,Tableau4668167392431[],6,FALSE)</f>
        <v>0</v>
      </c>
      <c r="P257" s="11">
        <f>VLOOKUP(P256,Tableau4668167392431[],6,FALSE)</f>
        <v>0</v>
      </c>
      <c r="Q257" s="11">
        <f>VLOOKUP(Q256,Tableau4668167392431[],6,FALSE)</f>
        <v>0</v>
      </c>
      <c r="R257" s="11">
        <f>VLOOKUP(R256,Tableau4668167392431[],6,FALSE)</f>
        <v>0</v>
      </c>
      <c r="S257" s="11">
        <f>VLOOKUP(S256,Tableau4668167392431[],6,FALSE)</f>
        <v>0</v>
      </c>
      <c r="T257" s="11">
        <f>VLOOKUP(T256,Tableau4668167392431[],6,FALSE)</f>
        <v>0</v>
      </c>
      <c r="U257" s="11">
        <f>VLOOKUP(U256,Tableau4668167392431[],6,FALSE)</f>
        <v>0</v>
      </c>
      <c r="V257" s="11">
        <f>VLOOKUP(V256,Tableau4668167392431[],6,FALSE)</f>
        <v>0</v>
      </c>
      <c r="W257" s="11"/>
      <c r="X257" s="11"/>
      <c r="Y257" s="11"/>
      <c r="Z257" s="11"/>
      <c r="AA257" s="11"/>
      <c r="AB257" s="11"/>
      <c r="AC257" s="11"/>
      <c r="AD257" s="11"/>
      <c r="AE257" s="11"/>
      <c r="AF257" s="11"/>
    </row>
    <row r="259" spans="1:32" ht="16" customHeight="1" x14ac:dyDescent="0.2">
      <c r="A259" s="463" t="s">
        <v>186</v>
      </c>
      <c r="B259" s="3" t="s">
        <v>28</v>
      </c>
      <c r="C259" s="3" t="s">
        <v>27</v>
      </c>
      <c r="D259" s="3" t="s">
        <v>29</v>
      </c>
      <c r="E259" s="3" t="s">
        <v>30</v>
      </c>
      <c r="F259" s="3" t="s">
        <v>31</v>
      </c>
      <c r="G259" s="3" t="s">
        <v>32</v>
      </c>
      <c r="H259" s="3" t="s">
        <v>33</v>
      </c>
      <c r="I259" s="3" t="s">
        <v>34</v>
      </c>
      <c r="J259" s="3" t="s">
        <v>35</v>
      </c>
      <c r="K259" s="3" t="s">
        <v>36</v>
      </c>
      <c r="L259" s="3" t="s">
        <v>37</v>
      </c>
      <c r="M259" s="3" t="s">
        <v>38</v>
      </c>
      <c r="N259" s="3" t="s">
        <v>39</v>
      </c>
      <c r="O259" s="3" t="s">
        <v>40</v>
      </c>
      <c r="P259" s="3" t="s">
        <v>41</v>
      </c>
      <c r="Q259" s="3" t="s">
        <v>42</v>
      </c>
      <c r="R259" s="3" t="s">
        <v>43</v>
      </c>
      <c r="S259" s="3" t="s">
        <v>44</v>
      </c>
      <c r="T259" s="3" t="s">
        <v>45</v>
      </c>
      <c r="U259" s="3" t="s">
        <v>46</v>
      </c>
      <c r="V259" s="3" t="s">
        <v>47</v>
      </c>
      <c r="W259" s="3" t="s">
        <v>48</v>
      </c>
      <c r="X259" s="3" t="s">
        <v>49</v>
      </c>
    </row>
    <row r="260" spans="1:32" x14ac:dyDescent="0.2">
      <c r="A260" s="463"/>
      <c r="B260" s="3">
        <v>1</v>
      </c>
      <c r="C260" s="45">
        <f t="shared" ref="C260:C279" si="118">AT233+IF($B260=1,0,C259)</f>
        <v>0</v>
      </c>
      <c r="D260" s="45">
        <f t="shared" ref="D260:W272" si="119">IF($B260&gt;=C$256,IF($B260=C$256,C$257,C$257*((20+C$256)-$B260)/20),0)*IF((20+C$256)-$B260&lt;0,0,1)</f>
        <v>0</v>
      </c>
      <c r="E260" s="45">
        <f t="shared" si="119"/>
        <v>0</v>
      </c>
      <c r="F260" s="45">
        <f t="shared" si="119"/>
        <v>0</v>
      </c>
      <c r="G260" s="45">
        <f t="shared" si="119"/>
        <v>0</v>
      </c>
      <c r="H260" s="45">
        <f t="shared" si="119"/>
        <v>0</v>
      </c>
      <c r="I260" s="45">
        <f t="shared" si="119"/>
        <v>0</v>
      </c>
      <c r="J260" s="45">
        <f t="shared" si="119"/>
        <v>0</v>
      </c>
      <c r="K260" s="45">
        <f t="shared" si="119"/>
        <v>0</v>
      </c>
      <c r="L260" s="45">
        <f t="shared" si="119"/>
        <v>0</v>
      </c>
      <c r="M260" s="45">
        <f t="shared" si="119"/>
        <v>0</v>
      </c>
      <c r="N260" s="45">
        <f t="shared" si="119"/>
        <v>0</v>
      </c>
      <c r="O260" s="45">
        <f t="shared" si="119"/>
        <v>0</v>
      </c>
      <c r="P260" s="45">
        <f t="shared" si="119"/>
        <v>0</v>
      </c>
      <c r="Q260" s="45">
        <f t="shared" si="119"/>
        <v>0</v>
      </c>
      <c r="R260" s="45">
        <f t="shared" si="119"/>
        <v>0</v>
      </c>
      <c r="S260" s="45">
        <f t="shared" si="119"/>
        <v>0</v>
      </c>
      <c r="T260" s="45">
        <f t="shared" si="119"/>
        <v>0</v>
      </c>
      <c r="U260" s="45">
        <f t="shared" si="119"/>
        <v>0</v>
      </c>
      <c r="V260" s="45">
        <f t="shared" si="119"/>
        <v>0</v>
      </c>
      <c r="W260" s="45">
        <f t="shared" si="119"/>
        <v>0</v>
      </c>
      <c r="X260" s="45">
        <f t="shared" ref="X260:X279" si="120">SUM(C260:W260)*44/12</f>
        <v>0</v>
      </c>
    </row>
    <row r="261" spans="1:32" x14ac:dyDescent="0.2">
      <c r="A261" s="463"/>
      <c r="B261" s="3">
        <v>2</v>
      </c>
      <c r="C261" s="11">
        <f t="shared" si="118"/>
        <v>0</v>
      </c>
      <c r="D261" s="45">
        <f t="shared" si="119"/>
        <v>0</v>
      </c>
      <c r="E261" s="45">
        <f t="shared" si="119"/>
        <v>0</v>
      </c>
      <c r="F261" s="45">
        <f t="shared" si="119"/>
        <v>0</v>
      </c>
      <c r="G261" s="45">
        <f t="shared" si="119"/>
        <v>0</v>
      </c>
      <c r="H261" s="45">
        <f t="shared" si="119"/>
        <v>0</v>
      </c>
      <c r="I261" s="45">
        <f t="shared" si="119"/>
        <v>0</v>
      </c>
      <c r="J261" s="45">
        <f t="shared" si="119"/>
        <v>0</v>
      </c>
      <c r="K261" s="45">
        <f t="shared" si="119"/>
        <v>0</v>
      </c>
      <c r="L261" s="45">
        <f t="shared" si="119"/>
        <v>0</v>
      </c>
      <c r="M261" s="11">
        <f t="shared" si="119"/>
        <v>0</v>
      </c>
      <c r="N261" s="11">
        <f t="shared" si="119"/>
        <v>0</v>
      </c>
      <c r="O261" s="11">
        <f t="shared" si="119"/>
        <v>0</v>
      </c>
      <c r="P261" s="11">
        <f t="shared" si="119"/>
        <v>0</v>
      </c>
      <c r="Q261" s="11">
        <f t="shared" si="119"/>
        <v>0</v>
      </c>
      <c r="R261" s="11">
        <f t="shared" si="119"/>
        <v>0</v>
      </c>
      <c r="S261" s="11">
        <f t="shared" si="119"/>
        <v>0</v>
      </c>
      <c r="T261" s="11">
        <f t="shared" si="119"/>
        <v>0</v>
      </c>
      <c r="U261" s="11">
        <f t="shared" si="119"/>
        <v>0</v>
      </c>
      <c r="V261" s="11">
        <f t="shared" si="119"/>
        <v>0</v>
      </c>
      <c r="W261" s="11">
        <f t="shared" si="119"/>
        <v>0</v>
      </c>
      <c r="X261" s="11">
        <f t="shared" si="120"/>
        <v>0</v>
      </c>
    </row>
    <row r="262" spans="1:32" x14ac:dyDescent="0.2">
      <c r="A262" s="463"/>
      <c r="B262" s="3">
        <v>3</v>
      </c>
      <c r="C262" s="11">
        <f t="shared" si="118"/>
        <v>0</v>
      </c>
      <c r="D262" s="45">
        <f t="shared" si="119"/>
        <v>0</v>
      </c>
      <c r="E262" s="45">
        <f t="shared" si="119"/>
        <v>0</v>
      </c>
      <c r="F262" s="45">
        <f t="shared" si="119"/>
        <v>0</v>
      </c>
      <c r="G262" s="45">
        <f t="shared" si="119"/>
        <v>0</v>
      </c>
      <c r="H262" s="45">
        <f t="shared" si="119"/>
        <v>0</v>
      </c>
      <c r="I262" s="45">
        <f t="shared" si="119"/>
        <v>0</v>
      </c>
      <c r="J262" s="45">
        <f t="shared" si="119"/>
        <v>0</v>
      </c>
      <c r="K262" s="45">
        <f t="shared" si="119"/>
        <v>0</v>
      </c>
      <c r="L262" s="45">
        <f t="shared" si="119"/>
        <v>0</v>
      </c>
      <c r="M262" s="11">
        <f t="shared" si="119"/>
        <v>0</v>
      </c>
      <c r="N262" s="11">
        <f t="shared" si="119"/>
        <v>0</v>
      </c>
      <c r="O262" s="11">
        <f t="shared" si="119"/>
        <v>0</v>
      </c>
      <c r="P262" s="11">
        <f t="shared" si="119"/>
        <v>0</v>
      </c>
      <c r="Q262" s="11">
        <f t="shared" si="119"/>
        <v>0</v>
      </c>
      <c r="R262" s="11">
        <f t="shared" si="119"/>
        <v>0</v>
      </c>
      <c r="S262" s="11">
        <f t="shared" si="119"/>
        <v>0</v>
      </c>
      <c r="T262" s="11">
        <f t="shared" si="119"/>
        <v>0</v>
      </c>
      <c r="U262" s="11">
        <f t="shared" si="119"/>
        <v>0</v>
      </c>
      <c r="V262" s="11">
        <f t="shared" si="119"/>
        <v>0</v>
      </c>
      <c r="W262" s="11">
        <f t="shared" si="119"/>
        <v>0</v>
      </c>
      <c r="X262" s="11">
        <f t="shared" si="120"/>
        <v>0</v>
      </c>
    </row>
    <row r="263" spans="1:32" x14ac:dyDescent="0.2">
      <c r="A263" s="463"/>
      <c r="B263" s="3">
        <v>4</v>
      </c>
      <c r="C263" s="11">
        <f t="shared" si="118"/>
        <v>0</v>
      </c>
      <c r="D263" s="45">
        <f t="shared" si="119"/>
        <v>0</v>
      </c>
      <c r="E263" s="45">
        <f t="shared" si="119"/>
        <v>0</v>
      </c>
      <c r="F263" s="45">
        <f t="shared" si="119"/>
        <v>0</v>
      </c>
      <c r="G263" s="45">
        <f t="shared" si="119"/>
        <v>0</v>
      </c>
      <c r="H263" s="45">
        <f t="shared" si="119"/>
        <v>0</v>
      </c>
      <c r="I263" s="45">
        <f t="shared" si="119"/>
        <v>0</v>
      </c>
      <c r="J263" s="45">
        <f t="shared" si="119"/>
        <v>0</v>
      </c>
      <c r="K263" s="45">
        <f t="shared" si="119"/>
        <v>0</v>
      </c>
      <c r="L263" s="45">
        <f t="shared" si="119"/>
        <v>0</v>
      </c>
      <c r="M263" s="11">
        <f t="shared" si="119"/>
        <v>0</v>
      </c>
      <c r="N263" s="11">
        <f t="shared" si="119"/>
        <v>0</v>
      </c>
      <c r="O263" s="11">
        <f t="shared" si="119"/>
        <v>0</v>
      </c>
      <c r="P263" s="11">
        <f t="shared" si="119"/>
        <v>0</v>
      </c>
      <c r="Q263" s="11">
        <f t="shared" si="119"/>
        <v>0</v>
      </c>
      <c r="R263" s="11">
        <f t="shared" si="119"/>
        <v>0</v>
      </c>
      <c r="S263" s="11">
        <f t="shared" si="119"/>
        <v>0</v>
      </c>
      <c r="T263" s="11">
        <f t="shared" si="119"/>
        <v>0</v>
      </c>
      <c r="U263" s="11">
        <f t="shared" si="119"/>
        <v>0</v>
      </c>
      <c r="V263" s="11">
        <f t="shared" si="119"/>
        <v>0</v>
      </c>
      <c r="W263" s="11">
        <f t="shared" si="119"/>
        <v>0</v>
      </c>
      <c r="X263" s="11">
        <f t="shared" si="120"/>
        <v>0</v>
      </c>
    </row>
    <row r="264" spans="1:32" x14ac:dyDescent="0.2">
      <c r="A264" s="463"/>
      <c r="B264" s="3">
        <v>5</v>
      </c>
      <c r="C264" s="11">
        <f t="shared" si="118"/>
        <v>0</v>
      </c>
      <c r="D264" s="45">
        <f t="shared" si="119"/>
        <v>0</v>
      </c>
      <c r="E264" s="45">
        <f t="shared" si="119"/>
        <v>0</v>
      </c>
      <c r="F264" s="45">
        <f t="shared" si="119"/>
        <v>0</v>
      </c>
      <c r="G264" s="45">
        <f t="shared" si="119"/>
        <v>0</v>
      </c>
      <c r="H264" s="45">
        <f t="shared" si="119"/>
        <v>0</v>
      </c>
      <c r="I264" s="45">
        <f t="shared" si="119"/>
        <v>0</v>
      </c>
      <c r="J264" s="45">
        <f t="shared" si="119"/>
        <v>0</v>
      </c>
      <c r="K264" s="45">
        <f t="shared" si="119"/>
        <v>0</v>
      </c>
      <c r="L264" s="45">
        <f t="shared" si="119"/>
        <v>0</v>
      </c>
      <c r="M264" s="11">
        <f t="shared" si="119"/>
        <v>0</v>
      </c>
      <c r="N264" s="11">
        <f t="shared" si="119"/>
        <v>0</v>
      </c>
      <c r="O264" s="11">
        <f t="shared" si="119"/>
        <v>0</v>
      </c>
      <c r="P264" s="11">
        <f t="shared" si="119"/>
        <v>0</v>
      </c>
      <c r="Q264" s="11">
        <f t="shared" si="119"/>
        <v>0</v>
      </c>
      <c r="R264" s="11">
        <f t="shared" si="119"/>
        <v>0</v>
      </c>
      <c r="S264" s="11">
        <f t="shared" si="119"/>
        <v>0</v>
      </c>
      <c r="T264" s="11">
        <f t="shared" si="119"/>
        <v>0</v>
      </c>
      <c r="U264" s="11">
        <f t="shared" si="119"/>
        <v>0</v>
      </c>
      <c r="V264" s="11">
        <f t="shared" si="119"/>
        <v>0</v>
      </c>
      <c r="W264" s="11">
        <f t="shared" si="119"/>
        <v>0</v>
      </c>
      <c r="X264" s="11">
        <f t="shared" si="120"/>
        <v>0</v>
      </c>
    </row>
    <row r="265" spans="1:32" x14ac:dyDescent="0.2">
      <c r="A265" s="463"/>
      <c r="B265" s="3">
        <v>6</v>
      </c>
      <c r="C265" s="11">
        <f t="shared" si="118"/>
        <v>0</v>
      </c>
      <c r="D265" s="45">
        <f t="shared" si="119"/>
        <v>0</v>
      </c>
      <c r="E265" s="45">
        <f t="shared" si="119"/>
        <v>0</v>
      </c>
      <c r="F265" s="45">
        <f t="shared" si="119"/>
        <v>0</v>
      </c>
      <c r="G265" s="45">
        <f t="shared" si="119"/>
        <v>0</v>
      </c>
      <c r="H265" s="45">
        <f t="shared" si="119"/>
        <v>0</v>
      </c>
      <c r="I265" s="45">
        <f t="shared" si="119"/>
        <v>0</v>
      </c>
      <c r="J265" s="45">
        <f t="shared" si="119"/>
        <v>0</v>
      </c>
      <c r="K265" s="45">
        <f t="shared" si="119"/>
        <v>0</v>
      </c>
      <c r="L265" s="45">
        <f t="shared" si="119"/>
        <v>0</v>
      </c>
      <c r="M265" s="11">
        <f t="shared" si="119"/>
        <v>0</v>
      </c>
      <c r="N265" s="11">
        <f t="shared" si="119"/>
        <v>0</v>
      </c>
      <c r="O265" s="11">
        <f t="shared" si="119"/>
        <v>0</v>
      </c>
      <c r="P265" s="11">
        <f t="shared" si="119"/>
        <v>0</v>
      </c>
      <c r="Q265" s="11">
        <f t="shared" si="119"/>
        <v>0</v>
      </c>
      <c r="R265" s="11">
        <f t="shared" si="119"/>
        <v>0</v>
      </c>
      <c r="S265" s="11">
        <f t="shared" si="119"/>
        <v>0</v>
      </c>
      <c r="T265" s="11">
        <f t="shared" si="119"/>
        <v>0</v>
      </c>
      <c r="U265" s="11">
        <f t="shared" si="119"/>
        <v>0</v>
      </c>
      <c r="V265" s="11">
        <f t="shared" si="119"/>
        <v>0</v>
      </c>
      <c r="W265" s="11">
        <f t="shared" si="119"/>
        <v>0</v>
      </c>
      <c r="X265" s="11">
        <f t="shared" si="120"/>
        <v>0</v>
      </c>
    </row>
    <row r="266" spans="1:32" x14ac:dyDescent="0.2">
      <c r="A266" s="463"/>
      <c r="B266" s="3">
        <v>7</v>
      </c>
      <c r="C266" s="11">
        <f t="shared" si="118"/>
        <v>0</v>
      </c>
      <c r="D266" s="45">
        <f t="shared" si="119"/>
        <v>0</v>
      </c>
      <c r="E266" s="45">
        <f t="shared" si="119"/>
        <v>0</v>
      </c>
      <c r="F266" s="45">
        <f t="shared" si="119"/>
        <v>0</v>
      </c>
      <c r="G266" s="45">
        <f t="shared" si="119"/>
        <v>0</v>
      </c>
      <c r="H266" s="45">
        <f t="shared" si="119"/>
        <v>0</v>
      </c>
      <c r="I266" s="45">
        <f t="shared" si="119"/>
        <v>0</v>
      </c>
      <c r="J266" s="45">
        <f t="shared" si="119"/>
        <v>0</v>
      </c>
      <c r="K266" s="45">
        <f t="shared" si="119"/>
        <v>0</v>
      </c>
      <c r="L266" s="45">
        <f t="shared" si="119"/>
        <v>0</v>
      </c>
      <c r="M266" s="11">
        <f t="shared" si="119"/>
        <v>0</v>
      </c>
      <c r="N266" s="11">
        <f t="shared" si="119"/>
        <v>0</v>
      </c>
      <c r="O266" s="11">
        <f t="shared" si="119"/>
        <v>0</v>
      </c>
      <c r="P266" s="11">
        <f t="shared" si="119"/>
        <v>0</v>
      </c>
      <c r="Q266" s="11">
        <f t="shared" si="119"/>
        <v>0</v>
      </c>
      <c r="R266" s="11">
        <f t="shared" si="119"/>
        <v>0</v>
      </c>
      <c r="S266" s="11">
        <f t="shared" si="119"/>
        <v>0</v>
      </c>
      <c r="T266" s="11">
        <f t="shared" si="119"/>
        <v>0</v>
      </c>
      <c r="U266" s="11">
        <f t="shared" si="119"/>
        <v>0</v>
      </c>
      <c r="V266" s="11">
        <f t="shared" si="119"/>
        <v>0</v>
      </c>
      <c r="W266" s="11">
        <f t="shared" si="119"/>
        <v>0</v>
      </c>
      <c r="X266" s="11">
        <f t="shared" si="120"/>
        <v>0</v>
      </c>
    </row>
    <row r="267" spans="1:32" x14ac:dyDescent="0.2">
      <c r="A267" s="463"/>
      <c r="B267" s="3">
        <v>8</v>
      </c>
      <c r="C267" s="11">
        <f t="shared" si="118"/>
        <v>0</v>
      </c>
      <c r="D267" s="45">
        <f t="shared" si="119"/>
        <v>0</v>
      </c>
      <c r="E267" s="45">
        <f t="shared" si="119"/>
        <v>0</v>
      </c>
      <c r="F267" s="45">
        <f t="shared" si="119"/>
        <v>0</v>
      </c>
      <c r="G267" s="45">
        <f t="shared" si="119"/>
        <v>0</v>
      </c>
      <c r="H267" s="45">
        <f t="shared" si="119"/>
        <v>0</v>
      </c>
      <c r="I267" s="45">
        <f t="shared" si="119"/>
        <v>0</v>
      </c>
      <c r="J267" s="45">
        <f t="shared" si="119"/>
        <v>0</v>
      </c>
      <c r="K267" s="45">
        <f t="shared" si="119"/>
        <v>0</v>
      </c>
      <c r="L267" s="45">
        <f t="shared" si="119"/>
        <v>0</v>
      </c>
      <c r="M267" s="11">
        <f t="shared" si="119"/>
        <v>0</v>
      </c>
      <c r="N267" s="11">
        <f t="shared" si="119"/>
        <v>0</v>
      </c>
      <c r="O267" s="11">
        <f t="shared" si="119"/>
        <v>0</v>
      </c>
      <c r="P267" s="11">
        <f t="shared" si="119"/>
        <v>0</v>
      </c>
      <c r="Q267" s="11">
        <f t="shared" si="119"/>
        <v>0</v>
      </c>
      <c r="R267" s="11">
        <f t="shared" si="119"/>
        <v>0</v>
      </c>
      <c r="S267" s="11">
        <f t="shared" si="119"/>
        <v>0</v>
      </c>
      <c r="T267" s="11">
        <f t="shared" si="119"/>
        <v>0</v>
      </c>
      <c r="U267" s="11">
        <f t="shared" si="119"/>
        <v>0</v>
      </c>
      <c r="V267" s="11">
        <f t="shared" si="119"/>
        <v>0</v>
      </c>
      <c r="W267" s="11">
        <f t="shared" si="119"/>
        <v>0</v>
      </c>
      <c r="X267" s="11">
        <f t="shared" si="120"/>
        <v>0</v>
      </c>
    </row>
    <row r="268" spans="1:32" x14ac:dyDescent="0.2">
      <c r="A268" s="463"/>
      <c r="B268" s="3">
        <v>9</v>
      </c>
      <c r="C268" s="11">
        <f t="shared" si="118"/>
        <v>0</v>
      </c>
      <c r="D268" s="45">
        <f t="shared" si="119"/>
        <v>0</v>
      </c>
      <c r="E268" s="45">
        <f t="shared" si="119"/>
        <v>0</v>
      </c>
      <c r="F268" s="45">
        <f t="shared" si="119"/>
        <v>0</v>
      </c>
      <c r="G268" s="45">
        <f t="shared" si="119"/>
        <v>0</v>
      </c>
      <c r="H268" s="45">
        <f t="shared" si="119"/>
        <v>0</v>
      </c>
      <c r="I268" s="45">
        <f t="shared" si="119"/>
        <v>0</v>
      </c>
      <c r="J268" s="45">
        <f t="shared" si="119"/>
        <v>0</v>
      </c>
      <c r="K268" s="45">
        <f t="shared" si="119"/>
        <v>0</v>
      </c>
      <c r="L268" s="45">
        <f t="shared" si="119"/>
        <v>0</v>
      </c>
      <c r="M268" s="11">
        <f t="shared" si="119"/>
        <v>0</v>
      </c>
      <c r="N268" s="11">
        <f t="shared" si="119"/>
        <v>0</v>
      </c>
      <c r="O268" s="11">
        <f t="shared" si="119"/>
        <v>0</v>
      </c>
      <c r="P268" s="11">
        <f t="shared" si="119"/>
        <v>0</v>
      </c>
      <c r="Q268" s="11">
        <f t="shared" si="119"/>
        <v>0</v>
      </c>
      <c r="R268" s="11">
        <f t="shared" si="119"/>
        <v>0</v>
      </c>
      <c r="S268" s="11">
        <f t="shared" si="119"/>
        <v>0</v>
      </c>
      <c r="T268" s="11">
        <f t="shared" si="119"/>
        <v>0</v>
      </c>
      <c r="U268" s="11">
        <f t="shared" si="119"/>
        <v>0</v>
      </c>
      <c r="V268" s="11">
        <f t="shared" si="119"/>
        <v>0</v>
      </c>
      <c r="W268" s="11">
        <f t="shared" si="119"/>
        <v>0</v>
      </c>
      <c r="X268" s="11">
        <f t="shared" si="120"/>
        <v>0</v>
      </c>
    </row>
    <row r="269" spans="1:32" x14ac:dyDescent="0.2">
      <c r="A269" s="463"/>
      <c r="B269" s="3">
        <v>10</v>
      </c>
      <c r="C269" s="11">
        <f t="shared" si="118"/>
        <v>0</v>
      </c>
      <c r="D269" s="45">
        <f t="shared" si="119"/>
        <v>0</v>
      </c>
      <c r="E269" s="45">
        <f t="shared" si="119"/>
        <v>0</v>
      </c>
      <c r="F269" s="45">
        <f t="shared" si="119"/>
        <v>0</v>
      </c>
      <c r="G269" s="45">
        <f t="shared" si="119"/>
        <v>0</v>
      </c>
      <c r="H269" s="45">
        <f t="shared" si="119"/>
        <v>0</v>
      </c>
      <c r="I269" s="45">
        <f t="shared" si="119"/>
        <v>0</v>
      </c>
      <c r="J269" s="45">
        <f t="shared" si="119"/>
        <v>0</v>
      </c>
      <c r="K269" s="45">
        <f t="shared" si="119"/>
        <v>0</v>
      </c>
      <c r="L269" s="45">
        <f t="shared" si="119"/>
        <v>0</v>
      </c>
      <c r="M269" s="11">
        <f t="shared" si="119"/>
        <v>0</v>
      </c>
      <c r="N269" s="11">
        <f t="shared" si="119"/>
        <v>0</v>
      </c>
      <c r="O269" s="11">
        <f t="shared" si="119"/>
        <v>0</v>
      </c>
      <c r="P269" s="11">
        <f t="shared" si="119"/>
        <v>0</v>
      </c>
      <c r="Q269" s="11">
        <f t="shared" si="119"/>
        <v>0</v>
      </c>
      <c r="R269" s="11">
        <f t="shared" si="119"/>
        <v>0</v>
      </c>
      <c r="S269" s="11">
        <f t="shared" si="119"/>
        <v>0</v>
      </c>
      <c r="T269" s="11">
        <f t="shared" si="119"/>
        <v>0</v>
      </c>
      <c r="U269" s="11">
        <f t="shared" si="119"/>
        <v>0</v>
      </c>
      <c r="V269" s="11">
        <f t="shared" si="119"/>
        <v>0</v>
      </c>
      <c r="W269" s="11">
        <f t="shared" si="119"/>
        <v>0</v>
      </c>
      <c r="X269" s="11">
        <f t="shared" si="120"/>
        <v>0</v>
      </c>
    </row>
    <row r="270" spans="1:32" x14ac:dyDescent="0.2">
      <c r="A270" s="463"/>
      <c r="B270" s="3">
        <v>11</v>
      </c>
      <c r="C270" s="11">
        <f t="shared" si="118"/>
        <v>0</v>
      </c>
      <c r="D270" s="45">
        <f t="shared" si="119"/>
        <v>0</v>
      </c>
      <c r="E270" s="45">
        <f t="shared" si="119"/>
        <v>0</v>
      </c>
      <c r="F270" s="45">
        <f t="shared" si="119"/>
        <v>0</v>
      </c>
      <c r="G270" s="45">
        <f t="shared" si="119"/>
        <v>0</v>
      </c>
      <c r="H270" s="45">
        <f t="shared" si="119"/>
        <v>0</v>
      </c>
      <c r="I270" s="45">
        <f t="shared" si="119"/>
        <v>0</v>
      </c>
      <c r="J270" s="45">
        <f t="shared" si="119"/>
        <v>0</v>
      </c>
      <c r="K270" s="45">
        <f t="shared" si="119"/>
        <v>0</v>
      </c>
      <c r="L270" s="45">
        <f t="shared" si="119"/>
        <v>0</v>
      </c>
      <c r="M270" s="11">
        <f t="shared" si="119"/>
        <v>0</v>
      </c>
      <c r="N270" s="11">
        <f t="shared" si="119"/>
        <v>0</v>
      </c>
      <c r="O270" s="11">
        <f t="shared" si="119"/>
        <v>0</v>
      </c>
      <c r="P270" s="11">
        <f t="shared" si="119"/>
        <v>0</v>
      </c>
      <c r="Q270" s="11">
        <f t="shared" si="119"/>
        <v>0</v>
      </c>
      <c r="R270" s="11">
        <f t="shared" si="119"/>
        <v>0</v>
      </c>
      <c r="S270" s="11">
        <f t="shared" si="119"/>
        <v>0</v>
      </c>
      <c r="T270" s="11">
        <f t="shared" si="119"/>
        <v>0</v>
      </c>
      <c r="U270" s="11">
        <f t="shared" si="119"/>
        <v>0</v>
      </c>
      <c r="V270" s="11">
        <f t="shared" si="119"/>
        <v>0</v>
      </c>
      <c r="W270" s="11">
        <f t="shared" si="119"/>
        <v>0</v>
      </c>
      <c r="X270" s="11">
        <f t="shared" si="120"/>
        <v>0</v>
      </c>
    </row>
    <row r="271" spans="1:32" x14ac:dyDescent="0.2">
      <c r="A271" s="463"/>
      <c r="B271" s="3">
        <v>12</v>
      </c>
      <c r="C271" s="11">
        <f t="shared" si="118"/>
        <v>0</v>
      </c>
      <c r="D271" s="45">
        <f t="shared" si="119"/>
        <v>0</v>
      </c>
      <c r="E271" s="45">
        <f t="shared" si="119"/>
        <v>0</v>
      </c>
      <c r="F271" s="45">
        <f t="shared" si="119"/>
        <v>0</v>
      </c>
      <c r="G271" s="45">
        <f t="shared" si="119"/>
        <v>0</v>
      </c>
      <c r="H271" s="45">
        <f t="shared" si="119"/>
        <v>0</v>
      </c>
      <c r="I271" s="45">
        <f t="shared" si="119"/>
        <v>0</v>
      </c>
      <c r="J271" s="45">
        <f t="shared" si="119"/>
        <v>0</v>
      </c>
      <c r="K271" s="45">
        <f t="shared" si="119"/>
        <v>0</v>
      </c>
      <c r="L271" s="45">
        <f t="shared" si="119"/>
        <v>0</v>
      </c>
      <c r="M271" s="11">
        <f t="shared" si="119"/>
        <v>0</v>
      </c>
      <c r="N271" s="11">
        <f t="shared" si="119"/>
        <v>0</v>
      </c>
      <c r="O271" s="11">
        <f t="shared" si="119"/>
        <v>0</v>
      </c>
      <c r="P271" s="11">
        <f t="shared" si="119"/>
        <v>0</v>
      </c>
      <c r="Q271" s="11">
        <f t="shared" si="119"/>
        <v>0</v>
      </c>
      <c r="R271" s="11">
        <f t="shared" si="119"/>
        <v>0</v>
      </c>
      <c r="S271" s="11">
        <f t="shared" si="119"/>
        <v>0</v>
      </c>
      <c r="T271" s="11">
        <f t="shared" si="119"/>
        <v>0</v>
      </c>
      <c r="U271" s="11">
        <f t="shared" si="119"/>
        <v>0</v>
      </c>
      <c r="V271" s="11">
        <f t="shared" si="119"/>
        <v>0</v>
      </c>
      <c r="W271" s="11">
        <f t="shared" si="119"/>
        <v>0</v>
      </c>
      <c r="X271" s="11">
        <f t="shared" si="120"/>
        <v>0</v>
      </c>
    </row>
    <row r="272" spans="1:32" x14ac:dyDescent="0.2">
      <c r="A272" s="463"/>
      <c r="B272" s="3">
        <v>13</v>
      </c>
      <c r="C272" s="11">
        <f t="shared" si="118"/>
        <v>0</v>
      </c>
      <c r="D272" s="45">
        <f t="shared" si="119"/>
        <v>0</v>
      </c>
      <c r="E272" s="45">
        <f t="shared" si="119"/>
        <v>0</v>
      </c>
      <c r="F272" s="45">
        <f t="shared" si="119"/>
        <v>0</v>
      </c>
      <c r="G272" s="45">
        <f t="shared" si="119"/>
        <v>0</v>
      </c>
      <c r="H272" s="45">
        <f t="shared" si="119"/>
        <v>0</v>
      </c>
      <c r="I272" s="45">
        <f t="shared" si="119"/>
        <v>0</v>
      </c>
      <c r="J272" s="45">
        <f t="shared" si="119"/>
        <v>0</v>
      </c>
      <c r="K272" s="45">
        <f t="shared" si="119"/>
        <v>0</v>
      </c>
      <c r="L272" s="45">
        <f t="shared" si="119"/>
        <v>0</v>
      </c>
      <c r="M272" s="11">
        <f t="shared" si="119"/>
        <v>0</v>
      </c>
      <c r="N272" s="11">
        <f t="shared" si="119"/>
        <v>0</v>
      </c>
      <c r="O272" s="11">
        <f t="shared" si="119"/>
        <v>0</v>
      </c>
      <c r="P272" s="11">
        <f t="shared" si="119"/>
        <v>0</v>
      </c>
      <c r="Q272" s="11">
        <f t="shared" si="119"/>
        <v>0</v>
      </c>
      <c r="R272" s="11">
        <f t="shared" si="119"/>
        <v>0</v>
      </c>
      <c r="S272" s="11">
        <f t="shared" ref="S272:W279" si="121">IF($B272&gt;=R$256,IF($B272=R$256,R$257,R$257*((20+R$256)-$B272)/20),0)*IF((20+R$256)-$B272&lt;0,0,1)</f>
        <v>0</v>
      </c>
      <c r="T272" s="11">
        <f t="shared" si="121"/>
        <v>0</v>
      </c>
      <c r="U272" s="11">
        <f t="shared" si="121"/>
        <v>0</v>
      </c>
      <c r="V272" s="11">
        <f t="shared" si="121"/>
        <v>0</v>
      </c>
      <c r="W272" s="11">
        <f t="shared" si="121"/>
        <v>0</v>
      </c>
      <c r="X272" s="11">
        <f t="shared" si="120"/>
        <v>0</v>
      </c>
    </row>
    <row r="273" spans="1:24" x14ac:dyDescent="0.2">
      <c r="A273" s="463"/>
      <c r="B273" s="3">
        <v>14</v>
      </c>
      <c r="C273" s="11">
        <f t="shared" si="118"/>
        <v>0</v>
      </c>
      <c r="D273" s="45">
        <f t="shared" ref="D273:R279" si="122">IF($B273&gt;=C$256,IF($B273=C$256,C$257,C$257*((20+C$256)-$B273)/20),0)*IF((20+C$256)-$B273&lt;0,0,1)</f>
        <v>0</v>
      </c>
      <c r="E273" s="45">
        <f t="shared" si="122"/>
        <v>0</v>
      </c>
      <c r="F273" s="45">
        <f t="shared" si="122"/>
        <v>0</v>
      </c>
      <c r="G273" s="45">
        <f t="shared" si="122"/>
        <v>0</v>
      </c>
      <c r="H273" s="45">
        <f t="shared" si="122"/>
        <v>0</v>
      </c>
      <c r="I273" s="45">
        <f t="shared" si="122"/>
        <v>0</v>
      </c>
      <c r="J273" s="45">
        <f t="shared" si="122"/>
        <v>0</v>
      </c>
      <c r="K273" s="45">
        <f t="shared" si="122"/>
        <v>0</v>
      </c>
      <c r="L273" s="45">
        <f t="shared" si="122"/>
        <v>0</v>
      </c>
      <c r="M273" s="11">
        <f t="shared" si="122"/>
        <v>0</v>
      </c>
      <c r="N273" s="11">
        <f t="shared" si="122"/>
        <v>0</v>
      </c>
      <c r="O273" s="11">
        <f t="shared" si="122"/>
        <v>0</v>
      </c>
      <c r="P273" s="11">
        <f t="shared" si="122"/>
        <v>0</v>
      </c>
      <c r="Q273" s="11">
        <f t="shared" si="122"/>
        <v>0</v>
      </c>
      <c r="R273" s="11">
        <f t="shared" si="122"/>
        <v>0</v>
      </c>
      <c r="S273" s="11">
        <f t="shared" si="121"/>
        <v>0</v>
      </c>
      <c r="T273" s="11">
        <f t="shared" si="121"/>
        <v>0</v>
      </c>
      <c r="U273" s="11">
        <f t="shared" si="121"/>
        <v>0</v>
      </c>
      <c r="V273" s="11">
        <f t="shared" si="121"/>
        <v>0</v>
      </c>
      <c r="W273" s="11">
        <f t="shared" si="121"/>
        <v>0</v>
      </c>
      <c r="X273" s="11">
        <f t="shared" si="120"/>
        <v>0</v>
      </c>
    </row>
    <row r="274" spans="1:24" x14ac:dyDescent="0.2">
      <c r="A274" s="463"/>
      <c r="B274" s="3">
        <v>15</v>
      </c>
      <c r="C274" s="11">
        <f t="shared" si="118"/>
        <v>0</v>
      </c>
      <c r="D274" s="45">
        <f t="shared" si="122"/>
        <v>0</v>
      </c>
      <c r="E274" s="45">
        <f t="shared" si="122"/>
        <v>0</v>
      </c>
      <c r="F274" s="45">
        <f t="shared" si="122"/>
        <v>0</v>
      </c>
      <c r="G274" s="45">
        <f t="shared" si="122"/>
        <v>0</v>
      </c>
      <c r="H274" s="45">
        <f t="shared" si="122"/>
        <v>0</v>
      </c>
      <c r="I274" s="45">
        <f t="shared" si="122"/>
        <v>0</v>
      </c>
      <c r="J274" s="45">
        <f t="shared" si="122"/>
        <v>0</v>
      </c>
      <c r="K274" s="45">
        <f t="shared" si="122"/>
        <v>0</v>
      </c>
      <c r="L274" s="45">
        <f t="shared" si="122"/>
        <v>0</v>
      </c>
      <c r="M274" s="11">
        <f t="shared" si="122"/>
        <v>0</v>
      </c>
      <c r="N274" s="11">
        <f t="shared" si="122"/>
        <v>0</v>
      </c>
      <c r="O274" s="11">
        <f t="shared" si="122"/>
        <v>0</v>
      </c>
      <c r="P274" s="11">
        <f t="shared" si="122"/>
        <v>0</v>
      </c>
      <c r="Q274" s="11">
        <f t="shared" si="122"/>
        <v>0</v>
      </c>
      <c r="R274" s="11">
        <f t="shared" si="122"/>
        <v>0</v>
      </c>
      <c r="S274" s="11">
        <f t="shared" si="121"/>
        <v>0</v>
      </c>
      <c r="T274" s="11">
        <f t="shared" si="121"/>
        <v>0</v>
      </c>
      <c r="U274" s="11">
        <f t="shared" si="121"/>
        <v>0</v>
      </c>
      <c r="V274" s="11">
        <f t="shared" si="121"/>
        <v>0</v>
      </c>
      <c r="W274" s="11">
        <f t="shared" si="121"/>
        <v>0</v>
      </c>
      <c r="X274" s="11">
        <f t="shared" si="120"/>
        <v>0</v>
      </c>
    </row>
    <row r="275" spans="1:24" x14ac:dyDescent="0.2">
      <c r="A275" s="463"/>
      <c r="B275" s="3">
        <v>16</v>
      </c>
      <c r="C275" s="11">
        <f t="shared" si="118"/>
        <v>0</v>
      </c>
      <c r="D275" s="45">
        <f t="shared" si="122"/>
        <v>0</v>
      </c>
      <c r="E275" s="45">
        <f t="shared" si="122"/>
        <v>0</v>
      </c>
      <c r="F275" s="45">
        <f t="shared" si="122"/>
        <v>0</v>
      </c>
      <c r="G275" s="45">
        <f t="shared" si="122"/>
        <v>0</v>
      </c>
      <c r="H275" s="45">
        <f t="shared" si="122"/>
        <v>0</v>
      </c>
      <c r="I275" s="45">
        <f t="shared" si="122"/>
        <v>0</v>
      </c>
      <c r="J275" s="45">
        <f t="shared" si="122"/>
        <v>0</v>
      </c>
      <c r="K275" s="45">
        <f t="shared" si="122"/>
        <v>0</v>
      </c>
      <c r="L275" s="45">
        <f t="shared" si="122"/>
        <v>0</v>
      </c>
      <c r="M275" s="11">
        <f t="shared" si="122"/>
        <v>0</v>
      </c>
      <c r="N275" s="11">
        <f t="shared" si="122"/>
        <v>0</v>
      </c>
      <c r="O275" s="11">
        <f t="shared" si="122"/>
        <v>0</v>
      </c>
      <c r="P275" s="11">
        <f t="shared" si="122"/>
        <v>0</v>
      </c>
      <c r="Q275" s="11">
        <f t="shared" si="122"/>
        <v>0</v>
      </c>
      <c r="R275" s="11">
        <f t="shared" si="122"/>
        <v>0</v>
      </c>
      <c r="S275" s="11">
        <f t="shared" si="121"/>
        <v>0</v>
      </c>
      <c r="T275" s="11">
        <f t="shared" si="121"/>
        <v>0</v>
      </c>
      <c r="U275" s="11">
        <f t="shared" si="121"/>
        <v>0</v>
      </c>
      <c r="V275" s="11">
        <f t="shared" si="121"/>
        <v>0</v>
      </c>
      <c r="W275" s="11">
        <f t="shared" si="121"/>
        <v>0</v>
      </c>
      <c r="X275" s="11">
        <f t="shared" si="120"/>
        <v>0</v>
      </c>
    </row>
    <row r="276" spans="1:24" x14ac:dyDescent="0.2">
      <c r="A276" s="463"/>
      <c r="B276" s="3">
        <v>17</v>
      </c>
      <c r="C276" s="11">
        <f t="shared" si="118"/>
        <v>0</v>
      </c>
      <c r="D276" s="45">
        <f t="shared" si="122"/>
        <v>0</v>
      </c>
      <c r="E276" s="45">
        <f t="shared" si="122"/>
        <v>0</v>
      </c>
      <c r="F276" s="45">
        <f t="shared" si="122"/>
        <v>0</v>
      </c>
      <c r="G276" s="45">
        <f t="shared" si="122"/>
        <v>0</v>
      </c>
      <c r="H276" s="45">
        <f t="shared" si="122"/>
        <v>0</v>
      </c>
      <c r="I276" s="45">
        <f t="shared" si="122"/>
        <v>0</v>
      </c>
      <c r="J276" s="45">
        <f t="shared" si="122"/>
        <v>0</v>
      </c>
      <c r="K276" s="45">
        <f t="shared" si="122"/>
        <v>0</v>
      </c>
      <c r="L276" s="45">
        <f t="shared" si="122"/>
        <v>0</v>
      </c>
      <c r="M276" s="11">
        <f t="shared" si="122"/>
        <v>0</v>
      </c>
      <c r="N276" s="11">
        <f t="shared" si="122"/>
        <v>0</v>
      </c>
      <c r="O276" s="11">
        <f t="shared" si="122"/>
        <v>0</v>
      </c>
      <c r="P276" s="11">
        <f t="shared" si="122"/>
        <v>0</v>
      </c>
      <c r="Q276" s="11">
        <f t="shared" si="122"/>
        <v>0</v>
      </c>
      <c r="R276" s="11">
        <f t="shared" si="122"/>
        <v>0</v>
      </c>
      <c r="S276" s="11">
        <f t="shared" si="121"/>
        <v>0</v>
      </c>
      <c r="T276" s="11">
        <f t="shared" si="121"/>
        <v>0</v>
      </c>
      <c r="U276" s="11">
        <f t="shared" si="121"/>
        <v>0</v>
      </c>
      <c r="V276" s="11">
        <f t="shared" si="121"/>
        <v>0</v>
      </c>
      <c r="W276" s="11">
        <f t="shared" si="121"/>
        <v>0</v>
      </c>
      <c r="X276" s="11">
        <f t="shared" si="120"/>
        <v>0</v>
      </c>
    </row>
    <row r="277" spans="1:24" x14ac:dyDescent="0.2">
      <c r="A277" s="463"/>
      <c r="B277" s="3">
        <v>18</v>
      </c>
      <c r="C277" s="11">
        <f t="shared" si="118"/>
        <v>0</v>
      </c>
      <c r="D277" s="45">
        <f t="shared" si="122"/>
        <v>0</v>
      </c>
      <c r="E277" s="45">
        <f t="shared" si="122"/>
        <v>0</v>
      </c>
      <c r="F277" s="45">
        <f t="shared" si="122"/>
        <v>0</v>
      </c>
      <c r="G277" s="45">
        <f t="shared" si="122"/>
        <v>0</v>
      </c>
      <c r="H277" s="45">
        <f t="shared" si="122"/>
        <v>0</v>
      </c>
      <c r="I277" s="45">
        <f t="shared" si="122"/>
        <v>0</v>
      </c>
      <c r="J277" s="45">
        <f t="shared" si="122"/>
        <v>0</v>
      </c>
      <c r="K277" s="45">
        <f t="shared" si="122"/>
        <v>0</v>
      </c>
      <c r="L277" s="45">
        <f t="shared" si="122"/>
        <v>0</v>
      </c>
      <c r="M277" s="11">
        <f t="shared" si="122"/>
        <v>0</v>
      </c>
      <c r="N277" s="11">
        <f t="shared" si="122"/>
        <v>0</v>
      </c>
      <c r="O277" s="11">
        <f t="shared" si="122"/>
        <v>0</v>
      </c>
      <c r="P277" s="11">
        <f t="shared" si="122"/>
        <v>0</v>
      </c>
      <c r="Q277" s="11">
        <f t="shared" si="122"/>
        <v>0</v>
      </c>
      <c r="R277" s="11">
        <f t="shared" si="122"/>
        <v>0</v>
      </c>
      <c r="S277" s="11">
        <f t="shared" si="121"/>
        <v>0</v>
      </c>
      <c r="T277" s="11">
        <f t="shared" si="121"/>
        <v>0</v>
      </c>
      <c r="U277" s="11">
        <f t="shared" si="121"/>
        <v>0</v>
      </c>
      <c r="V277" s="11">
        <f t="shared" si="121"/>
        <v>0</v>
      </c>
      <c r="W277" s="11">
        <f t="shared" si="121"/>
        <v>0</v>
      </c>
      <c r="X277" s="11">
        <f t="shared" si="120"/>
        <v>0</v>
      </c>
    </row>
    <row r="278" spans="1:24" x14ac:dyDescent="0.2">
      <c r="A278" s="463"/>
      <c r="B278" s="3">
        <v>19</v>
      </c>
      <c r="C278" s="11">
        <f t="shared" si="118"/>
        <v>0</v>
      </c>
      <c r="D278" s="45">
        <f t="shared" si="122"/>
        <v>0</v>
      </c>
      <c r="E278" s="45">
        <f t="shared" si="122"/>
        <v>0</v>
      </c>
      <c r="F278" s="45">
        <f t="shared" si="122"/>
        <v>0</v>
      </c>
      <c r="G278" s="45">
        <f t="shared" si="122"/>
        <v>0</v>
      </c>
      <c r="H278" s="45">
        <f t="shared" si="122"/>
        <v>0</v>
      </c>
      <c r="I278" s="45">
        <f t="shared" si="122"/>
        <v>0</v>
      </c>
      <c r="J278" s="45">
        <f t="shared" si="122"/>
        <v>0</v>
      </c>
      <c r="K278" s="45">
        <f t="shared" si="122"/>
        <v>0</v>
      </c>
      <c r="L278" s="45">
        <f t="shared" si="122"/>
        <v>0</v>
      </c>
      <c r="M278" s="11">
        <f t="shared" si="122"/>
        <v>0</v>
      </c>
      <c r="N278" s="11">
        <f t="shared" si="122"/>
        <v>0</v>
      </c>
      <c r="O278" s="11">
        <f t="shared" si="122"/>
        <v>0</v>
      </c>
      <c r="P278" s="11">
        <f t="shared" si="122"/>
        <v>0</v>
      </c>
      <c r="Q278" s="11">
        <f t="shared" si="122"/>
        <v>0</v>
      </c>
      <c r="R278" s="11">
        <f t="shared" si="122"/>
        <v>0</v>
      </c>
      <c r="S278" s="11">
        <f t="shared" si="121"/>
        <v>0</v>
      </c>
      <c r="T278" s="11">
        <f t="shared" si="121"/>
        <v>0</v>
      </c>
      <c r="U278" s="11">
        <f t="shared" si="121"/>
        <v>0</v>
      </c>
      <c r="V278" s="11">
        <f t="shared" si="121"/>
        <v>0</v>
      </c>
      <c r="W278" s="11">
        <f t="shared" si="121"/>
        <v>0</v>
      </c>
      <c r="X278" s="11">
        <f t="shared" si="120"/>
        <v>0</v>
      </c>
    </row>
    <row r="279" spans="1:24" x14ac:dyDescent="0.2">
      <c r="A279" s="463"/>
      <c r="B279" s="3">
        <v>20</v>
      </c>
      <c r="C279" s="11">
        <f t="shared" si="118"/>
        <v>0</v>
      </c>
      <c r="D279" s="45">
        <f t="shared" si="122"/>
        <v>0</v>
      </c>
      <c r="E279" s="45">
        <f t="shared" si="122"/>
        <v>0</v>
      </c>
      <c r="F279" s="45">
        <f t="shared" si="122"/>
        <v>0</v>
      </c>
      <c r="G279" s="45">
        <f t="shared" si="122"/>
        <v>0</v>
      </c>
      <c r="H279" s="45">
        <f t="shared" si="122"/>
        <v>0</v>
      </c>
      <c r="I279" s="45">
        <f t="shared" si="122"/>
        <v>0</v>
      </c>
      <c r="J279" s="45">
        <f t="shared" si="122"/>
        <v>0</v>
      </c>
      <c r="K279" s="45">
        <f t="shared" si="122"/>
        <v>0</v>
      </c>
      <c r="L279" s="45">
        <f t="shared" si="122"/>
        <v>0</v>
      </c>
      <c r="M279" s="11">
        <f t="shared" si="122"/>
        <v>0</v>
      </c>
      <c r="N279" s="11">
        <f t="shared" si="122"/>
        <v>0</v>
      </c>
      <c r="O279" s="11">
        <f t="shared" si="122"/>
        <v>0</v>
      </c>
      <c r="P279" s="11">
        <f t="shared" si="122"/>
        <v>0</v>
      </c>
      <c r="Q279" s="11">
        <f t="shared" si="122"/>
        <v>0</v>
      </c>
      <c r="R279" s="11">
        <f t="shared" si="122"/>
        <v>0</v>
      </c>
      <c r="S279" s="11">
        <f t="shared" si="121"/>
        <v>0</v>
      </c>
      <c r="T279" s="11">
        <f t="shared" si="121"/>
        <v>0</v>
      </c>
      <c r="U279" s="11">
        <f t="shared" si="121"/>
        <v>0</v>
      </c>
      <c r="V279" s="11">
        <f t="shared" si="121"/>
        <v>0</v>
      </c>
      <c r="W279" s="11">
        <f t="shared" si="121"/>
        <v>0</v>
      </c>
      <c r="X279" s="11">
        <f t="shared" si="120"/>
        <v>0</v>
      </c>
    </row>
    <row r="281" spans="1:24" x14ac:dyDescent="0.2">
      <c r="A281" s="464" t="s">
        <v>51</v>
      </c>
      <c r="B281" s="464"/>
      <c r="C281" s="51"/>
      <c r="D281" s="51"/>
      <c r="E281" s="51"/>
      <c r="F281" s="51"/>
      <c r="G281" s="51"/>
      <c r="H281" s="51"/>
      <c r="I281" s="51"/>
      <c r="J281" s="51"/>
      <c r="K281" s="51"/>
      <c r="L281" s="51"/>
      <c r="M281" s="51"/>
      <c r="N281" s="51"/>
      <c r="O281" s="51"/>
      <c r="P281" s="51"/>
      <c r="Q281" s="51"/>
    </row>
    <row r="282" spans="1:24" x14ac:dyDescent="0.2">
      <c r="A282" s="464"/>
      <c r="B282" s="464"/>
      <c r="C282" s="51"/>
      <c r="D282" s="51"/>
      <c r="E282" s="51"/>
      <c r="F282" s="51"/>
      <c r="G282" s="51"/>
      <c r="H282" s="51"/>
      <c r="I282" s="51"/>
      <c r="J282" s="51"/>
      <c r="K282" s="51"/>
      <c r="L282" s="51"/>
      <c r="M282" s="51"/>
      <c r="N282" s="51"/>
      <c r="O282" s="51"/>
      <c r="P282" s="51"/>
      <c r="Q282" s="51"/>
    </row>
    <row r="284" spans="1:24" ht="16" customHeight="1" x14ac:dyDescent="0.2">
      <c r="A284" s="460" t="s">
        <v>635</v>
      </c>
      <c r="B284" s="3" t="s">
        <v>15</v>
      </c>
      <c r="C284" s="3" t="s">
        <v>55</v>
      </c>
      <c r="D284" s="3" t="s">
        <v>154</v>
      </c>
      <c r="E284" s="3" t="s">
        <v>54</v>
      </c>
      <c r="F284" s="3" t="s">
        <v>53</v>
      </c>
      <c r="G284" s="3" t="s">
        <v>155</v>
      </c>
      <c r="H284" s="3" t="s">
        <v>52</v>
      </c>
      <c r="I284" s="3" t="s">
        <v>57</v>
      </c>
      <c r="K284" s="460" t="s">
        <v>636</v>
      </c>
      <c r="L284" s="3" t="s">
        <v>15</v>
      </c>
      <c r="M284" s="3" t="s">
        <v>90</v>
      </c>
      <c r="N284" s="3" t="s">
        <v>89</v>
      </c>
      <c r="O284" s="3" t="s">
        <v>156</v>
      </c>
    </row>
    <row r="285" spans="1:24" x14ac:dyDescent="0.2">
      <c r="A285" s="460"/>
      <c r="B285" s="3">
        <v>1</v>
      </c>
      <c r="C285" s="45">
        <f>SUM(H61,Q61,Z61,AI61)</f>
        <v>0</v>
      </c>
      <c r="D285" s="45">
        <f t="shared" ref="D285:D304" si="123">Y92</f>
        <v>0</v>
      </c>
      <c r="E285" s="11">
        <f t="shared" ref="E285:E304" si="124">X145</f>
        <v>0</v>
      </c>
      <c r="F285" s="11">
        <f t="shared" ref="F285:F304" si="125">SUM(H177,Q177,Z177,AI177)</f>
        <v>0</v>
      </c>
      <c r="G285" s="11">
        <f t="shared" ref="G285:G304" si="126">Y208</f>
        <v>0</v>
      </c>
      <c r="H285" s="11">
        <f t="shared" ref="H285:H304" si="127">X260</f>
        <v>0</v>
      </c>
      <c r="I285" s="11">
        <f t="shared" ref="I285:I304" si="128">F285-C285+G285-D285+H285-E285</f>
        <v>0</v>
      </c>
      <c r="J285" s="11"/>
      <c r="K285" s="460"/>
      <c r="L285" s="3">
        <v>1</v>
      </c>
      <c r="M285" s="11">
        <f>F285-C285</f>
        <v>0</v>
      </c>
      <c r="N285" s="11">
        <f t="shared" ref="N285:N304" si="129">H285-E285</f>
        <v>0</v>
      </c>
      <c r="O285" s="11">
        <f t="shared" ref="O285:O304" si="130">G285-D285</f>
        <v>0</v>
      </c>
      <c r="W285" s="11"/>
      <c r="X285" s="11"/>
    </row>
    <row r="286" spans="1:24" x14ac:dyDescent="0.2">
      <c r="A286" s="460"/>
      <c r="B286" s="3">
        <v>2</v>
      </c>
      <c r="C286" s="45">
        <f t="shared" ref="C286:C304" si="131">SUM(H62,Q62,Z62,AI62)</f>
        <v>0</v>
      </c>
      <c r="D286" s="45">
        <f t="shared" si="123"/>
        <v>0</v>
      </c>
      <c r="E286" s="11">
        <f t="shared" si="124"/>
        <v>0</v>
      </c>
      <c r="F286" s="11">
        <f t="shared" si="125"/>
        <v>0</v>
      </c>
      <c r="G286" s="11">
        <f t="shared" si="126"/>
        <v>0</v>
      </c>
      <c r="H286" s="11">
        <f t="shared" si="127"/>
        <v>0</v>
      </c>
      <c r="I286" s="11">
        <f t="shared" si="128"/>
        <v>0</v>
      </c>
      <c r="J286" s="11"/>
      <c r="K286" s="460"/>
      <c r="L286" s="3">
        <v>2</v>
      </c>
      <c r="M286" s="11">
        <f t="shared" ref="M286:M304" si="132">F286-C286</f>
        <v>0</v>
      </c>
      <c r="N286" s="11">
        <f t="shared" si="129"/>
        <v>0</v>
      </c>
      <c r="O286" s="11">
        <f t="shared" si="130"/>
        <v>0</v>
      </c>
      <c r="W286" s="11"/>
      <c r="X286" s="11"/>
    </row>
    <row r="287" spans="1:24" x14ac:dyDescent="0.2">
      <c r="A287" s="460"/>
      <c r="B287" s="3">
        <v>3</v>
      </c>
      <c r="C287" s="11">
        <f t="shared" si="131"/>
        <v>0</v>
      </c>
      <c r="D287" s="11">
        <f t="shared" si="123"/>
        <v>0</v>
      </c>
      <c r="E287" s="11">
        <f t="shared" si="124"/>
        <v>0</v>
      </c>
      <c r="F287" s="11">
        <f t="shared" si="125"/>
        <v>0</v>
      </c>
      <c r="G287" s="11">
        <f t="shared" si="126"/>
        <v>0</v>
      </c>
      <c r="H287" s="11">
        <f t="shared" si="127"/>
        <v>0</v>
      </c>
      <c r="I287" s="11">
        <f t="shared" si="128"/>
        <v>0</v>
      </c>
      <c r="J287" s="11"/>
      <c r="K287" s="460"/>
      <c r="L287" s="3">
        <v>3</v>
      </c>
      <c r="M287" s="11">
        <f t="shared" si="132"/>
        <v>0</v>
      </c>
      <c r="N287" s="11">
        <f t="shared" si="129"/>
        <v>0</v>
      </c>
      <c r="O287" s="11">
        <f t="shared" si="130"/>
        <v>0</v>
      </c>
      <c r="W287" s="11"/>
      <c r="X287" s="11"/>
    </row>
    <row r="288" spans="1:24" x14ac:dyDescent="0.2">
      <c r="A288" s="460"/>
      <c r="B288" s="3">
        <v>4</v>
      </c>
      <c r="C288" s="11">
        <f t="shared" si="131"/>
        <v>0</v>
      </c>
      <c r="D288" s="11">
        <f t="shared" si="123"/>
        <v>0</v>
      </c>
      <c r="E288" s="11">
        <f t="shared" si="124"/>
        <v>0</v>
      </c>
      <c r="F288" s="11">
        <f t="shared" si="125"/>
        <v>0</v>
      </c>
      <c r="G288" s="11">
        <f t="shared" si="126"/>
        <v>0</v>
      </c>
      <c r="H288" s="11">
        <f t="shared" si="127"/>
        <v>0</v>
      </c>
      <c r="I288" s="11">
        <f t="shared" si="128"/>
        <v>0</v>
      </c>
      <c r="J288" s="11"/>
      <c r="K288" s="460"/>
      <c r="L288" s="3">
        <v>4</v>
      </c>
      <c r="M288" s="11">
        <f t="shared" si="132"/>
        <v>0</v>
      </c>
      <c r="N288" s="11">
        <f t="shared" si="129"/>
        <v>0</v>
      </c>
      <c r="O288" s="11">
        <f t="shared" si="130"/>
        <v>0</v>
      </c>
      <c r="W288" s="11"/>
      <c r="X288" s="11"/>
    </row>
    <row r="289" spans="1:24" x14ac:dyDescent="0.2">
      <c r="A289" s="460"/>
      <c r="B289" s="3">
        <v>5</v>
      </c>
      <c r="C289" s="11">
        <f t="shared" si="131"/>
        <v>0</v>
      </c>
      <c r="D289" s="11">
        <f t="shared" si="123"/>
        <v>0</v>
      </c>
      <c r="E289" s="11">
        <f t="shared" si="124"/>
        <v>0</v>
      </c>
      <c r="F289" s="11">
        <f t="shared" si="125"/>
        <v>0</v>
      </c>
      <c r="G289" s="11">
        <f t="shared" si="126"/>
        <v>0</v>
      </c>
      <c r="H289" s="11">
        <f t="shared" si="127"/>
        <v>0</v>
      </c>
      <c r="I289" s="11">
        <f t="shared" si="128"/>
        <v>0</v>
      </c>
      <c r="J289" s="11"/>
      <c r="K289" s="460"/>
      <c r="L289" s="3">
        <v>5</v>
      </c>
      <c r="M289" s="11">
        <f t="shared" si="132"/>
        <v>0</v>
      </c>
      <c r="N289" s="11">
        <f t="shared" si="129"/>
        <v>0</v>
      </c>
      <c r="O289" s="11">
        <f t="shared" si="130"/>
        <v>0</v>
      </c>
      <c r="W289" s="11"/>
      <c r="X289" s="11"/>
    </row>
    <row r="290" spans="1:24" x14ac:dyDescent="0.2">
      <c r="A290" s="460"/>
      <c r="B290" s="3">
        <v>6</v>
      </c>
      <c r="C290" s="11">
        <f t="shared" si="131"/>
        <v>0</v>
      </c>
      <c r="D290" s="11">
        <f t="shared" si="123"/>
        <v>0</v>
      </c>
      <c r="E290" s="11">
        <f t="shared" si="124"/>
        <v>0</v>
      </c>
      <c r="F290" s="11">
        <f t="shared" si="125"/>
        <v>0</v>
      </c>
      <c r="G290" s="11">
        <f t="shared" si="126"/>
        <v>0</v>
      </c>
      <c r="H290" s="11">
        <f t="shared" si="127"/>
        <v>0</v>
      </c>
      <c r="I290" s="11">
        <f t="shared" si="128"/>
        <v>0</v>
      </c>
      <c r="J290" s="11"/>
      <c r="K290" s="460"/>
      <c r="L290" s="3">
        <v>6</v>
      </c>
      <c r="M290" s="11">
        <f t="shared" si="132"/>
        <v>0</v>
      </c>
      <c r="N290" s="11">
        <f t="shared" si="129"/>
        <v>0</v>
      </c>
      <c r="O290" s="11">
        <f t="shared" si="130"/>
        <v>0</v>
      </c>
      <c r="W290" s="11"/>
      <c r="X290" s="11"/>
    </row>
    <row r="291" spans="1:24" x14ac:dyDescent="0.2">
      <c r="A291" s="460"/>
      <c r="B291" s="3">
        <v>7</v>
      </c>
      <c r="C291" s="11">
        <f t="shared" si="131"/>
        <v>0</v>
      </c>
      <c r="D291" s="11">
        <f t="shared" si="123"/>
        <v>0</v>
      </c>
      <c r="E291" s="11">
        <f t="shared" si="124"/>
        <v>0</v>
      </c>
      <c r="F291" s="11">
        <f t="shared" si="125"/>
        <v>0</v>
      </c>
      <c r="G291" s="11">
        <f t="shared" si="126"/>
        <v>0</v>
      </c>
      <c r="H291" s="11">
        <f t="shared" si="127"/>
        <v>0</v>
      </c>
      <c r="I291" s="11">
        <f t="shared" si="128"/>
        <v>0</v>
      </c>
      <c r="J291" s="11"/>
      <c r="K291" s="460"/>
      <c r="L291" s="3">
        <v>7</v>
      </c>
      <c r="M291" s="11">
        <f t="shared" si="132"/>
        <v>0</v>
      </c>
      <c r="N291" s="11">
        <f t="shared" si="129"/>
        <v>0</v>
      </c>
      <c r="O291" s="11">
        <f t="shared" si="130"/>
        <v>0</v>
      </c>
      <c r="W291" s="11"/>
      <c r="X291" s="11"/>
    </row>
    <row r="292" spans="1:24" x14ac:dyDescent="0.2">
      <c r="A292" s="460"/>
      <c r="B292" s="3">
        <v>8</v>
      </c>
      <c r="C292" s="11">
        <f t="shared" si="131"/>
        <v>0</v>
      </c>
      <c r="D292" s="11">
        <f t="shared" si="123"/>
        <v>0</v>
      </c>
      <c r="E292" s="11">
        <f t="shared" si="124"/>
        <v>0</v>
      </c>
      <c r="F292" s="11">
        <f t="shared" si="125"/>
        <v>0</v>
      </c>
      <c r="G292" s="11">
        <f t="shared" si="126"/>
        <v>0</v>
      </c>
      <c r="H292" s="11">
        <f t="shared" si="127"/>
        <v>0</v>
      </c>
      <c r="I292" s="11">
        <f t="shared" si="128"/>
        <v>0</v>
      </c>
      <c r="J292" s="11"/>
      <c r="K292" s="460"/>
      <c r="L292" s="3">
        <v>8</v>
      </c>
      <c r="M292" s="11">
        <f t="shared" si="132"/>
        <v>0</v>
      </c>
      <c r="N292" s="11">
        <f t="shared" si="129"/>
        <v>0</v>
      </c>
      <c r="O292" s="11">
        <f t="shared" si="130"/>
        <v>0</v>
      </c>
      <c r="W292" s="11"/>
      <c r="X292" s="11"/>
    </row>
    <row r="293" spans="1:24" x14ac:dyDescent="0.2">
      <c r="A293" s="460"/>
      <c r="B293" s="3">
        <v>9</v>
      </c>
      <c r="C293" s="11">
        <f t="shared" si="131"/>
        <v>0</v>
      </c>
      <c r="D293" s="11">
        <f t="shared" si="123"/>
        <v>0</v>
      </c>
      <c r="E293" s="11">
        <f t="shared" si="124"/>
        <v>0</v>
      </c>
      <c r="F293" s="11">
        <f t="shared" si="125"/>
        <v>0</v>
      </c>
      <c r="G293" s="11">
        <f t="shared" si="126"/>
        <v>0</v>
      </c>
      <c r="H293" s="11">
        <f t="shared" si="127"/>
        <v>0</v>
      </c>
      <c r="I293" s="11">
        <f t="shared" si="128"/>
        <v>0</v>
      </c>
      <c r="J293" s="11"/>
      <c r="K293" s="460"/>
      <c r="L293" s="3">
        <v>9</v>
      </c>
      <c r="M293" s="11">
        <f t="shared" si="132"/>
        <v>0</v>
      </c>
      <c r="N293" s="11">
        <f t="shared" si="129"/>
        <v>0</v>
      </c>
      <c r="O293" s="11">
        <f t="shared" si="130"/>
        <v>0</v>
      </c>
      <c r="W293" s="11"/>
      <c r="X293" s="11"/>
    </row>
    <row r="294" spans="1:24" x14ac:dyDescent="0.2">
      <c r="A294" s="460"/>
      <c r="B294" s="3">
        <v>10</v>
      </c>
      <c r="C294" s="11">
        <f t="shared" si="131"/>
        <v>0</v>
      </c>
      <c r="D294" s="11">
        <f t="shared" si="123"/>
        <v>0</v>
      </c>
      <c r="E294" s="11">
        <f t="shared" si="124"/>
        <v>0</v>
      </c>
      <c r="F294" s="11">
        <f t="shared" si="125"/>
        <v>0</v>
      </c>
      <c r="G294" s="11">
        <f t="shared" si="126"/>
        <v>0</v>
      </c>
      <c r="H294" s="11">
        <f t="shared" si="127"/>
        <v>0</v>
      </c>
      <c r="I294" s="11">
        <f t="shared" si="128"/>
        <v>0</v>
      </c>
      <c r="J294" s="11"/>
      <c r="K294" s="460"/>
      <c r="L294" s="3">
        <v>10</v>
      </c>
      <c r="M294" s="11">
        <f t="shared" si="132"/>
        <v>0</v>
      </c>
      <c r="N294" s="11">
        <f t="shared" si="129"/>
        <v>0</v>
      </c>
      <c r="O294" s="11">
        <f t="shared" si="130"/>
        <v>0</v>
      </c>
      <c r="W294" s="11"/>
      <c r="X294" s="11"/>
    </row>
    <row r="295" spans="1:24" x14ac:dyDescent="0.2">
      <c r="A295" s="460"/>
      <c r="B295" s="3">
        <v>11</v>
      </c>
      <c r="C295" s="11">
        <f t="shared" si="131"/>
        <v>0</v>
      </c>
      <c r="D295" s="11">
        <f t="shared" si="123"/>
        <v>0</v>
      </c>
      <c r="E295" s="11">
        <f t="shared" si="124"/>
        <v>0</v>
      </c>
      <c r="F295" s="11">
        <f t="shared" si="125"/>
        <v>0</v>
      </c>
      <c r="G295" s="11">
        <f t="shared" si="126"/>
        <v>0</v>
      </c>
      <c r="H295" s="11">
        <f t="shared" si="127"/>
        <v>0</v>
      </c>
      <c r="I295" s="11">
        <f t="shared" si="128"/>
        <v>0</v>
      </c>
      <c r="J295" s="11"/>
      <c r="K295" s="460"/>
      <c r="L295" s="3">
        <v>11</v>
      </c>
      <c r="M295" s="11">
        <f t="shared" si="132"/>
        <v>0</v>
      </c>
      <c r="N295" s="11">
        <f t="shared" si="129"/>
        <v>0</v>
      </c>
      <c r="O295" s="11">
        <f t="shared" si="130"/>
        <v>0</v>
      </c>
      <c r="W295" s="11"/>
      <c r="X295" s="11"/>
    </row>
    <row r="296" spans="1:24" x14ac:dyDescent="0.2">
      <c r="A296" s="460"/>
      <c r="B296" s="3">
        <v>12</v>
      </c>
      <c r="C296" s="11">
        <f t="shared" si="131"/>
        <v>0</v>
      </c>
      <c r="D296" s="11">
        <f t="shared" si="123"/>
        <v>0</v>
      </c>
      <c r="E296" s="11">
        <f t="shared" si="124"/>
        <v>0</v>
      </c>
      <c r="F296" s="11">
        <f t="shared" si="125"/>
        <v>0</v>
      </c>
      <c r="G296" s="11">
        <f t="shared" si="126"/>
        <v>0</v>
      </c>
      <c r="H296" s="11">
        <f t="shared" si="127"/>
        <v>0</v>
      </c>
      <c r="I296" s="11">
        <f t="shared" si="128"/>
        <v>0</v>
      </c>
      <c r="J296" s="11"/>
      <c r="K296" s="460"/>
      <c r="L296" s="3">
        <v>12</v>
      </c>
      <c r="M296" s="11">
        <f t="shared" si="132"/>
        <v>0</v>
      </c>
      <c r="N296" s="11">
        <f t="shared" si="129"/>
        <v>0</v>
      </c>
      <c r="O296" s="11">
        <f t="shared" si="130"/>
        <v>0</v>
      </c>
      <c r="W296" s="11"/>
      <c r="X296" s="11"/>
    </row>
    <row r="297" spans="1:24" x14ac:dyDescent="0.2">
      <c r="A297" s="460"/>
      <c r="B297" s="3">
        <v>13</v>
      </c>
      <c r="C297" s="11">
        <f t="shared" si="131"/>
        <v>0</v>
      </c>
      <c r="D297" s="11">
        <f t="shared" si="123"/>
        <v>0</v>
      </c>
      <c r="E297" s="11">
        <f t="shared" si="124"/>
        <v>0</v>
      </c>
      <c r="F297" s="11">
        <f t="shared" si="125"/>
        <v>0</v>
      </c>
      <c r="G297" s="11">
        <f t="shared" si="126"/>
        <v>0</v>
      </c>
      <c r="H297" s="11">
        <f t="shared" si="127"/>
        <v>0</v>
      </c>
      <c r="I297" s="11">
        <f t="shared" si="128"/>
        <v>0</v>
      </c>
      <c r="J297" s="11"/>
      <c r="K297" s="460"/>
      <c r="L297" s="3">
        <v>13</v>
      </c>
      <c r="M297" s="11">
        <f t="shared" si="132"/>
        <v>0</v>
      </c>
      <c r="N297" s="11">
        <f t="shared" si="129"/>
        <v>0</v>
      </c>
      <c r="O297" s="11">
        <f t="shared" si="130"/>
        <v>0</v>
      </c>
      <c r="W297" s="11"/>
      <c r="X297" s="11"/>
    </row>
    <row r="298" spans="1:24" x14ac:dyDescent="0.2">
      <c r="A298" s="460"/>
      <c r="B298" s="3">
        <v>14</v>
      </c>
      <c r="C298" s="11">
        <f t="shared" si="131"/>
        <v>0</v>
      </c>
      <c r="D298" s="11">
        <f t="shared" si="123"/>
        <v>0</v>
      </c>
      <c r="E298" s="11">
        <f t="shared" si="124"/>
        <v>0</v>
      </c>
      <c r="F298" s="11">
        <f t="shared" si="125"/>
        <v>0</v>
      </c>
      <c r="G298" s="11">
        <f t="shared" si="126"/>
        <v>0</v>
      </c>
      <c r="H298" s="11">
        <f t="shared" si="127"/>
        <v>0</v>
      </c>
      <c r="I298" s="11">
        <f t="shared" si="128"/>
        <v>0</v>
      </c>
      <c r="J298" s="11"/>
      <c r="K298" s="460"/>
      <c r="L298" s="3">
        <v>14</v>
      </c>
      <c r="M298" s="11">
        <f t="shared" si="132"/>
        <v>0</v>
      </c>
      <c r="N298" s="11">
        <f t="shared" si="129"/>
        <v>0</v>
      </c>
      <c r="O298" s="11">
        <f t="shared" si="130"/>
        <v>0</v>
      </c>
      <c r="W298" s="11"/>
      <c r="X298" s="11"/>
    </row>
    <row r="299" spans="1:24" x14ac:dyDescent="0.2">
      <c r="A299" s="460"/>
      <c r="B299" s="3">
        <v>15</v>
      </c>
      <c r="C299" s="11">
        <f t="shared" si="131"/>
        <v>0</v>
      </c>
      <c r="D299" s="11">
        <f t="shared" si="123"/>
        <v>0</v>
      </c>
      <c r="E299" s="11">
        <f t="shared" si="124"/>
        <v>0</v>
      </c>
      <c r="F299" s="11">
        <f t="shared" si="125"/>
        <v>0</v>
      </c>
      <c r="G299" s="11">
        <f t="shared" si="126"/>
        <v>0</v>
      </c>
      <c r="H299" s="11">
        <f t="shared" si="127"/>
        <v>0</v>
      </c>
      <c r="I299" s="11">
        <f t="shared" si="128"/>
        <v>0</v>
      </c>
      <c r="J299" s="11"/>
      <c r="K299" s="460"/>
      <c r="L299" s="3">
        <v>15</v>
      </c>
      <c r="M299" s="11">
        <f t="shared" si="132"/>
        <v>0</v>
      </c>
      <c r="N299" s="11">
        <f t="shared" si="129"/>
        <v>0</v>
      </c>
      <c r="O299" s="11">
        <f t="shared" si="130"/>
        <v>0</v>
      </c>
      <c r="W299" s="11"/>
      <c r="X299" s="11"/>
    </row>
    <row r="300" spans="1:24" x14ac:dyDescent="0.2">
      <c r="A300" s="460"/>
      <c r="B300" s="3">
        <v>16</v>
      </c>
      <c r="C300" s="11">
        <f t="shared" si="131"/>
        <v>0</v>
      </c>
      <c r="D300" s="11">
        <f t="shared" si="123"/>
        <v>0</v>
      </c>
      <c r="E300" s="11">
        <f t="shared" si="124"/>
        <v>0</v>
      </c>
      <c r="F300" s="11">
        <f t="shared" si="125"/>
        <v>0</v>
      </c>
      <c r="G300" s="11">
        <f t="shared" si="126"/>
        <v>0</v>
      </c>
      <c r="H300" s="11">
        <f t="shared" si="127"/>
        <v>0</v>
      </c>
      <c r="I300" s="11">
        <f t="shared" si="128"/>
        <v>0</v>
      </c>
      <c r="J300" s="11"/>
      <c r="K300" s="460"/>
      <c r="L300" s="3">
        <v>16</v>
      </c>
      <c r="M300" s="11">
        <f t="shared" si="132"/>
        <v>0</v>
      </c>
      <c r="N300" s="11">
        <f t="shared" si="129"/>
        <v>0</v>
      </c>
      <c r="O300" s="11">
        <f t="shared" si="130"/>
        <v>0</v>
      </c>
      <c r="W300" s="11"/>
      <c r="X300" s="11"/>
    </row>
    <row r="301" spans="1:24" x14ac:dyDescent="0.2">
      <c r="A301" s="460"/>
      <c r="B301" s="3">
        <v>17</v>
      </c>
      <c r="C301" s="11">
        <f t="shared" si="131"/>
        <v>0</v>
      </c>
      <c r="D301" s="11">
        <f t="shared" si="123"/>
        <v>0</v>
      </c>
      <c r="E301" s="11">
        <f t="shared" si="124"/>
        <v>0</v>
      </c>
      <c r="F301" s="11">
        <f t="shared" si="125"/>
        <v>0</v>
      </c>
      <c r="G301" s="11">
        <f t="shared" si="126"/>
        <v>0</v>
      </c>
      <c r="H301" s="11">
        <f t="shared" si="127"/>
        <v>0</v>
      </c>
      <c r="I301" s="11">
        <f t="shared" si="128"/>
        <v>0</v>
      </c>
      <c r="J301" s="11"/>
      <c r="K301" s="460"/>
      <c r="L301" s="3">
        <v>17</v>
      </c>
      <c r="M301" s="11">
        <f t="shared" si="132"/>
        <v>0</v>
      </c>
      <c r="N301" s="11">
        <f t="shared" si="129"/>
        <v>0</v>
      </c>
      <c r="O301" s="11">
        <f t="shared" si="130"/>
        <v>0</v>
      </c>
      <c r="W301" s="11"/>
      <c r="X301" s="11"/>
    </row>
    <row r="302" spans="1:24" x14ac:dyDescent="0.2">
      <c r="A302" s="460"/>
      <c r="B302" s="3">
        <v>18</v>
      </c>
      <c r="C302" s="11">
        <f t="shared" si="131"/>
        <v>0</v>
      </c>
      <c r="D302" s="11">
        <f t="shared" si="123"/>
        <v>0</v>
      </c>
      <c r="E302" s="11">
        <f t="shared" si="124"/>
        <v>0</v>
      </c>
      <c r="F302" s="11">
        <f t="shared" si="125"/>
        <v>0</v>
      </c>
      <c r="G302" s="11">
        <f t="shared" si="126"/>
        <v>0</v>
      </c>
      <c r="H302" s="11">
        <f t="shared" si="127"/>
        <v>0</v>
      </c>
      <c r="I302" s="11">
        <f t="shared" si="128"/>
        <v>0</v>
      </c>
      <c r="J302" s="11"/>
      <c r="K302" s="460"/>
      <c r="L302" s="3">
        <v>18</v>
      </c>
      <c r="M302" s="11">
        <f t="shared" si="132"/>
        <v>0</v>
      </c>
      <c r="N302" s="11">
        <f t="shared" si="129"/>
        <v>0</v>
      </c>
      <c r="O302" s="11">
        <f t="shared" si="130"/>
        <v>0</v>
      </c>
      <c r="W302" s="11"/>
      <c r="X302" s="11"/>
    </row>
    <row r="303" spans="1:24" x14ac:dyDescent="0.2">
      <c r="A303" s="460"/>
      <c r="B303" s="3">
        <v>19</v>
      </c>
      <c r="C303" s="11">
        <f t="shared" si="131"/>
        <v>0</v>
      </c>
      <c r="D303" s="11">
        <f t="shared" si="123"/>
        <v>0</v>
      </c>
      <c r="E303" s="11">
        <f t="shared" si="124"/>
        <v>0</v>
      </c>
      <c r="F303" s="11">
        <f t="shared" si="125"/>
        <v>0</v>
      </c>
      <c r="G303" s="11">
        <f t="shared" si="126"/>
        <v>0</v>
      </c>
      <c r="H303" s="11">
        <f t="shared" si="127"/>
        <v>0</v>
      </c>
      <c r="I303" s="11">
        <f t="shared" si="128"/>
        <v>0</v>
      </c>
      <c r="J303" s="11"/>
      <c r="K303" s="460"/>
      <c r="L303" s="3">
        <v>19</v>
      </c>
      <c r="M303" s="11">
        <f t="shared" si="132"/>
        <v>0</v>
      </c>
      <c r="N303" s="11">
        <f t="shared" si="129"/>
        <v>0</v>
      </c>
      <c r="O303" s="11">
        <f t="shared" si="130"/>
        <v>0</v>
      </c>
      <c r="W303" s="11"/>
      <c r="X303" s="11"/>
    </row>
    <row r="304" spans="1:24" x14ac:dyDescent="0.2">
      <c r="A304" s="460"/>
      <c r="B304" s="3">
        <v>20</v>
      </c>
      <c r="C304" s="11">
        <f t="shared" si="131"/>
        <v>0</v>
      </c>
      <c r="D304" s="11">
        <f t="shared" si="123"/>
        <v>0</v>
      </c>
      <c r="E304" s="11">
        <f t="shared" si="124"/>
        <v>0</v>
      </c>
      <c r="F304" s="11">
        <f t="shared" si="125"/>
        <v>0</v>
      </c>
      <c r="G304" s="11">
        <f t="shared" si="126"/>
        <v>0</v>
      </c>
      <c r="H304" s="11">
        <f t="shared" si="127"/>
        <v>0</v>
      </c>
      <c r="I304" s="11">
        <f t="shared" si="128"/>
        <v>0</v>
      </c>
      <c r="J304" s="11"/>
      <c r="K304" s="460"/>
      <c r="L304" s="3">
        <v>20</v>
      </c>
      <c r="M304" s="11">
        <f t="shared" si="132"/>
        <v>0</v>
      </c>
      <c r="N304" s="11">
        <f t="shared" si="129"/>
        <v>0</v>
      </c>
      <c r="O304" s="11">
        <f t="shared" si="130"/>
        <v>0</v>
      </c>
      <c r="W304" s="11"/>
      <c r="X304" s="11"/>
    </row>
    <row r="306" spans="1:11" x14ac:dyDescent="0.2">
      <c r="A306" s="467" t="s">
        <v>667</v>
      </c>
      <c r="B306" s="73" t="s">
        <v>670</v>
      </c>
      <c r="C306" s="151">
        <f>BILAN_FORET!C12</f>
        <v>0.25</v>
      </c>
      <c r="D306" s="149"/>
      <c r="E306" s="52"/>
      <c r="F306" s="150"/>
    </row>
    <row r="307" spans="1:11" x14ac:dyDescent="0.2">
      <c r="A307" s="467"/>
      <c r="B307" s="73" t="s">
        <v>669</v>
      </c>
      <c r="C307" s="151">
        <f>IF(OR($C$6=0,$C$6=""),0,VLOOKUP(C1,Tableau619[],5,FALSE))</f>
        <v>0</v>
      </c>
    </row>
    <row r="308" spans="1:11" x14ac:dyDescent="0.2">
      <c r="A308" s="467"/>
      <c r="B308" s="73" t="s">
        <v>668</v>
      </c>
      <c r="C308" s="151" t="e">
        <f>BILAN_FORET!$C$28</f>
        <v>#VALUE!</v>
      </c>
      <c r="D308" s="149"/>
      <c r="E308" s="52"/>
      <c r="F308" s="150"/>
    </row>
    <row r="310" spans="1:11" ht="15.5" customHeight="1" x14ac:dyDescent="0.2">
      <c r="A310" s="217" t="s">
        <v>187</v>
      </c>
      <c r="B310" s="3" t="s">
        <v>15</v>
      </c>
      <c r="C310" s="3" t="s">
        <v>650</v>
      </c>
      <c r="D310" s="3" t="s">
        <v>651</v>
      </c>
      <c r="E310" s="3" t="s">
        <v>652</v>
      </c>
      <c r="F310" s="3" t="s">
        <v>656</v>
      </c>
      <c r="G310" s="3" t="s">
        <v>268</v>
      </c>
      <c r="H310" s="3" t="s">
        <v>658</v>
      </c>
      <c r="I310" s="3" t="s">
        <v>657</v>
      </c>
      <c r="J310" s="3" t="s">
        <v>660</v>
      </c>
      <c r="K310" s="3" t="s">
        <v>281</v>
      </c>
    </row>
    <row r="311" spans="1:11" x14ac:dyDescent="0.2">
      <c r="A311" s="218"/>
      <c r="B311" s="3">
        <v>1</v>
      </c>
      <c r="C311" s="11">
        <f t="shared" ref="C311:C330" si="133">IF(B311=1,M285,M285-M284)</f>
        <v>0</v>
      </c>
      <c r="D311" s="11">
        <f t="shared" ref="D311:D330" si="134">IF(B311=1,O285,O285-O284)</f>
        <v>0</v>
      </c>
      <c r="E311" s="11">
        <f t="shared" ref="E311:E330" si="135">IF(B311=1,N285,N285-N284)</f>
        <v>0</v>
      </c>
      <c r="F311" s="11">
        <f t="shared" ref="F311:F330" si="136">SUM(C311:E311)</f>
        <v>0</v>
      </c>
      <c r="G311" s="52">
        <f t="shared" ref="G311:G330" si="137">F311*$C$306</f>
        <v>0</v>
      </c>
      <c r="H311" s="52">
        <f t="shared" ref="H311:H330" si="138">(F311-G311)*$C$307</f>
        <v>0</v>
      </c>
      <c r="I311" s="52" t="e">
        <f>(F311-G311-H311)*$C$308</f>
        <v>#VALUE!</v>
      </c>
      <c r="J311" s="74" t="e">
        <f t="shared" ref="J311:J330" si="139">F311-G311-H311-I311</f>
        <v>#VALUE!</v>
      </c>
      <c r="K311" s="74" t="e">
        <f t="shared" ref="K311:K330" si="140">C$336</f>
        <v>#VALUE!</v>
      </c>
    </row>
    <row r="312" spans="1:11" x14ac:dyDescent="0.2">
      <c r="A312" s="218"/>
      <c r="B312" s="3">
        <v>2</v>
      </c>
      <c r="C312" s="11">
        <f t="shared" si="133"/>
        <v>0</v>
      </c>
      <c r="D312" s="11">
        <f t="shared" si="134"/>
        <v>0</v>
      </c>
      <c r="E312" s="11">
        <f t="shared" si="135"/>
        <v>0</v>
      </c>
      <c r="F312" s="11">
        <f t="shared" si="136"/>
        <v>0</v>
      </c>
      <c r="G312" s="52">
        <f t="shared" si="137"/>
        <v>0</v>
      </c>
      <c r="H312" s="52">
        <f t="shared" si="138"/>
        <v>0</v>
      </c>
      <c r="I312" s="52" t="e">
        <f t="shared" ref="I312:I330" si="141">(F312-G312-H312)*$C$308</f>
        <v>#VALUE!</v>
      </c>
      <c r="J312" s="74" t="e">
        <f t="shared" si="139"/>
        <v>#VALUE!</v>
      </c>
      <c r="K312" s="74" t="e">
        <f t="shared" si="140"/>
        <v>#VALUE!</v>
      </c>
    </row>
    <row r="313" spans="1:11" x14ac:dyDescent="0.2">
      <c r="A313" s="218"/>
      <c r="B313" s="3">
        <v>3</v>
      </c>
      <c r="C313" s="11">
        <f t="shared" si="133"/>
        <v>0</v>
      </c>
      <c r="D313" s="11">
        <f t="shared" si="134"/>
        <v>0</v>
      </c>
      <c r="E313" s="11">
        <f t="shared" si="135"/>
        <v>0</v>
      </c>
      <c r="F313" s="11">
        <f t="shared" si="136"/>
        <v>0</v>
      </c>
      <c r="G313" s="52">
        <f t="shared" si="137"/>
        <v>0</v>
      </c>
      <c r="H313" s="52">
        <f t="shared" si="138"/>
        <v>0</v>
      </c>
      <c r="I313" s="52" t="e">
        <f t="shared" si="141"/>
        <v>#VALUE!</v>
      </c>
      <c r="J313" s="74" t="e">
        <f t="shared" si="139"/>
        <v>#VALUE!</v>
      </c>
      <c r="K313" s="74" t="e">
        <f t="shared" si="140"/>
        <v>#VALUE!</v>
      </c>
    </row>
    <row r="314" spans="1:11" x14ac:dyDescent="0.2">
      <c r="A314" s="218"/>
      <c r="B314" s="3">
        <v>4</v>
      </c>
      <c r="C314" s="11">
        <f t="shared" si="133"/>
        <v>0</v>
      </c>
      <c r="D314" s="11">
        <f t="shared" si="134"/>
        <v>0</v>
      </c>
      <c r="E314" s="11">
        <f t="shared" si="135"/>
        <v>0</v>
      </c>
      <c r="F314" s="11">
        <f t="shared" si="136"/>
        <v>0</v>
      </c>
      <c r="G314" s="52">
        <f t="shared" si="137"/>
        <v>0</v>
      </c>
      <c r="H314" s="52">
        <f t="shared" si="138"/>
        <v>0</v>
      </c>
      <c r="I314" s="52" t="e">
        <f t="shared" si="141"/>
        <v>#VALUE!</v>
      </c>
      <c r="J314" s="74" t="e">
        <f t="shared" si="139"/>
        <v>#VALUE!</v>
      </c>
      <c r="K314" s="74" t="e">
        <f t="shared" si="140"/>
        <v>#VALUE!</v>
      </c>
    </row>
    <row r="315" spans="1:11" x14ac:dyDescent="0.2">
      <c r="A315" s="218"/>
      <c r="B315" s="3">
        <v>5</v>
      </c>
      <c r="C315" s="11">
        <f t="shared" si="133"/>
        <v>0</v>
      </c>
      <c r="D315" s="11">
        <f t="shared" si="134"/>
        <v>0</v>
      </c>
      <c r="E315" s="11">
        <f t="shared" si="135"/>
        <v>0</v>
      </c>
      <c r="F315" s="11">
        <f t="shared" si="136"/>
        <v>0</v>
      </c>
      <c r="G315" s="52">
        <f t="shared" si="137"/>
        <v>0</v>
      </c>
      <c r="H315" s="52">
        <f t="shared" si="138"/>
        <v>0</v>
      </c>
      <c r="I315" s="52" t="e">
        <f t="shared" si="141"/>
        <v>#VALUE!</v>
      </c>
      <c r="J315" s="74" t="e">
        <f t="shared" si="139"/>
        <v>#VALUE!</v>
      </c>
      <c r="K315" s="74" t="e">
        <f t="shared" si="140"/>
        <v>#VALUE!</v>
      </c>
    </row>
    <row r="316" spans="1:11" x14ac:dyDescent="0.2">
      <c r="A316" s="218"/>
      <c r="B316" s="3">
        <v>6</v>
      </c>
      <c r="C316" s="11">
        <f t="shared" si="133"/>
        <v>0</v>
      </c>
      <c r="D316" s="11">
        <f t="shared" si="134"/>
        <v>0</v>
      </c>
      <c r="E316" s="11">
        <f t="shared" si="135"/>
        <v>0</v>
      </c>
      <c r="F316" s="11">
        <f t="shared" si="136"/>
        <v>0</v>
      </c>
      <c r="G316" s="52">
        <f t="shared" si="137"/>
        <v>0</v>
      </c>
      <c r="H316" s="52">
        <f t="shared" si="138"/>
        <v>0</v>
      </c>
      <c r="I316" s="52" t="e">
        <f t="shared" si="141"/>
        <v>#VALUE!</v>
      </c>
      <c r="J316" s="74" t="e">
        <f t="shared" si="139"/>
        <v>#VALUE!</v>
      </c>
      <c r="K316" s="74" t="e">
        <f t="shared" si="140"/>
        <v>#VALUE!</v>
      </c>
    </row>
    <row r="317" spans="1:11" x14ac:dyDescent="0.2">
      <c r="A317" s="218"/>
      <c r="B317" s="3">
        <v>7</v>
      </c>
      <c r="C317" s="11">
        <f t="shared" si="133"/>
        <v>0</v>
      </c>
      <c r="D317" s="11">
        <f t="shared" si="134"/>
        <v>0</v>
      </c>
      <c r="E317" s="11">
        <f t="shared" si="135"/>
        <v>0</v>
      </c>
      <c r="F317" s="11">
        <f t="shared" si="136"/>
        <v>0</v>
      </c>
      <c r="G317" s="52">
        <f t="shared" si="137"/>
        <v>0</v>
      </c>
      <c r="H317" s="52">
        <f t="shared" si="138"/>
        <v>0</v>
      </c>
      <c r="I317" s="52" t="e">
        <f t="shared" si="141"/>
        <v>#VALUE!</v>
      </c>
      <c r="J317" s="74" t="e">
        <f t="shared" si="139"/>
        <v>#VALUE!</v>
      </c>
      <c r="K317" s="74" t="e">
        <f t="shared" si="140"/>
        <v>#VALUE!</v>
      </c>
    </row>
    <row r="318" spans="1:11" x14ac:dyDescent="0.2">
      <c r="A318" s="218"/>
      <c r="B318" s="3">
        <v>8</v>
      </c>
      <c r="C318" s="11">
        <f t="shared" si="133"/>
        <v>0</v>
      </c>
      <c r="D318" s="11">
        <f t="shared" si="134"/>
        <v>0</v>
      </c>
      <c r="E318" s="11">
        <f t="shared" si="135"/>
        <v>0</v>
      </c>
      <c r="F318" s="11">
        <f t="shared" si="136"/>
        <v>0</v>
      </c>
      <c r="G318" s="52">
        <f t="shared" si="137"/>
        <v>0</v>
      </c>
      <c r="H318" s="52">
        <f t="shared" si="138"/>
        <v>0</v>
      </c>
      <c r="I318" s="52" t="e">
        <f t="shared" si="141"/>
        <v>#VALUE!</v>
      </c>
      <c r="J318" s="74" t="e">
        <f t="shared" si="139"/>
        <v>#VALUE!</v>
      </c>
      <c r="K318" s="74" t="e">
        <f t="shared" si="140"/>
        <v>#VALUE!</v>
      </c>
    </row>
    <row r="319" spans="1:11" x14ac:dyDescent="0.2">
      <c r="A319" s="218"/>
      <c r="B319" s="3">
        <v>9</v>
      </c>
      <c r="C319" s="11">
        <f t="shared" si="133"/>
        <v>0</v>
      </c>
      <c r="D319" s="11">
        <f t="shared" si="134"/>
        <v>0</v>
      </c>
      <c r="E319" s="11">
        <f t="shared" si="135"/>
        <v>0</v>
      </c>
      <c r="F319" s="11">
        <f t="shared" si="136"/>
        <v>0</v>
      </c>
      <c r="G319" s="52">
        <f t="shared" si="137"/>
        <v>0</v>
      </c>
      <c r="H319" s="52">
        <f t="shared" si="138"/>
        <v>0</v>
      </c>
      <c r="I319" s="52" t="e">
        <f t="shared" si="141"/>
        <v>#VALUE!</v>
      </c>
      <c r="J319" s="74" t="e">
        <f t="shared" si="139"/>
        <v>#VALUE!</v>
      </c>
      <c r="K319" s="74" t="e">
        <f t="shared" si="140"/>
        <v>#VALUE!</v>
      </c>
    </row>
    <row r="320" spans="1:11" x14ac:dyDescent="0.2">
      <c r="A320" s="218"/>
      <c r="B320" s="3">
        <v>10</v>
      </c>
      <c r="C320" s="11">
        <f t="shared" si="133"/>
        <v>0</v>
      </c>
      <c r="D320" s="11">
        <f t="shared" si="134"/>
        <v>0</v>
      </c>
      <c r="E320" s="11">
        <f t="shared" si="135"/>
        <v>0</v>
      </c>
      <c r="F320" s="11">
        <f t="shared" si="136"/>
        <v>0</v>
      </c>
      <c r="G320" s="52">
        <f t="shared" si="137"/>
        <v>0</v>
      </c>
      <c r="H320" s="52">
        <f t="shared" si="138"/>
        <v>0</v>
      </c>
      <c r="I320" s="52" t="e">
        <f t="shared" si="141"/>
        <v>#VALUE!</v>
      </c>
      <c r="J320" s="74" t="e">
        <f t="shared" si="139"/>
        <v>#VALUE!</v>
      </c>
      <c r="K320" s="74" t="e">
        <f t="shared" si="140"/>
        <v>#VALUE!</v>
      </c>
    </row>
    <row r="321" spans="1:11" x14ac:dyDescent="0.2">
      <c r="A321" s="218"/>
      <c r="B321" s="3">
        <v>11</v>
      </c>
      <c r="C321" s="11">
        <f t="shared" si="133"/>
        <v>0</v>
      </c>
      <c r="D321" s="11">
        <f t="shared" si="134"/>
        <v>0</v>
      </c>
      <c r="E321" s="11">
        <f t="shared" si="135"/>
        <v>0</v>
      </c>
      <c r="F321" s="11">
        <f t="shared" si="136"/>
        <v>0</v>
      </c>
      <c r="G321" s="52">
        <f t="shared" si="137"/>
        <v>0</v>
      </c>
      <c r="H321" s="52">
        <f t="shared" si="138"/>
        <v>0</v>
      </c>
      <c r="I321" s="52" t="e">
        <f t="shared" si="141"/>
        <v>#VALUE!</v>
      </c>
      <c r="J321" s="74" t="e">
        <f t="shared" si="139"/>
        <v>#VALUE!</v>
      </c>
      <c r="K321" s="74" t="e">
        <f t="shared" si="140"/>
        <v>#VALUE!</v>
      </c>
    </row>
    <row r="322" spans="1:11" x14ac:dyDescent="0.2">
      <c r="A322" s="218"/>
      <c r="B322" s="3">
        <v>12</v>
      </c>
      <c r="C322" s="11">
        <f t="shared" si="133"/>
        <v>0</v>
      </c>
      <c r="D322" s="11">
        <f t="shared" si="134"/>
        <v>0</v>
      </c>
      <c r="E322" s="11">
        <f t="shared" si="135"/>
        <v>0</v>
      </c>
      <c r="F322" s="11">
        <f t="shared" si="136"/>
        <v>0</v>
      </c>
      <c r="G322" s="52">
        <f t="shared" si="137"/>
        <v>0</v>
      </c>
      <c r="H322" s="52">
        <f t="shared" si="138"/>
        <v>0</v>
      </c>
      <c r="I322" s="52" t="e">
        <f t="shared" si="141"/>
        <v>#VALUE!</v>
      </c>
      <c r="J322" s="74" t="e">
        <f t="shared" si="139"/>
        <v>#VALUE!</v>
      </c>
      <c r="K322" s="74" t="e">
        <f t="shared" si="140"/>
        <v>#VALUE!</v>
      </c>
    </row>
    <row r="323" spans="1:11" x14ac:dyDescent="0.2">
      <c r="A323" s="218"/>
      <c r="B323" s="3">
        <v>13</v>
      </c>
      <c r="C323" s="11">
        <f t="shared" si="133"/>
        <v>0</v>
      </c>
      <c r="D323" s="11">
        <f t="shared" si="134"/>
        <v>0</v>
      </c>
      <c r="E323" s="11">
        <f t="shared" si="135"/>
        <v>0</v>
      </c>
      <c r="F323" s="11">
        <f t="shared" si="136"/>
        <v>0</v>
      </c>
      <c r="G323" s="52">
        <f t="shared" si="137"/>
        <v>0</v>
      </c>
      <c r="H323" s="52">
        <f t="shared" si="138"/>
        <v>0</v>
      </c>
      <c r="I323" s="52" t="e">
        <f t="shared" si="141"/>
        <v>#VALUE!</v>
      </c>
      <c r="J323" s="74" t="e">
        <f t="shared" si="139"/>
        <v>#VALUE!</v>
      </c>
      <c r="K323" s="74" t="e">
        <f t="shared" si="140"/>
        <v>#VALUE!</v>
      </c>
    </row>
    <row r="324" spans="1:11" x14ac:dyDescent="0.2">
      <c r="A324" s="218"/>
      <c r="B324" s="3">
        <v>14</v>
      </c>
      <c r="C324" s="11">
        <f t="shared" si="133"/>
        <v>0</v>
      </c>
      <c r="D324" s="11">
        <f t="shared" si="134"/>
        <v>0</v>
      </c>
      <c r="E324" s="11">
        <f t="shared" si="135"/>
        <v>0</v>
      </c>
      <c r="F324" s="11">
        <f t="shared" si="136"/>
        <v>0</v>
      </c>
      <c r="G324" s="52">
        <f t="shared" si="137"/>
        <v>0</v>
      </c>
      <c r="H324" s="52">
        <f t="shared" si="138"/>
        <v>0</v>
      </c>
      <c r="I324" s="52" t="e">
        <f t="shared" si="141"/>
        <v>#VALUE!</v>
      </c>
      <c r="J324" s="74" t="e">
        <f t="shared" si="139"/>
        <v>#VALUE!</v>
      </c>
      <c r="K324" s="74" t="e">
        <f t="shared" si="140"/>
        <v>#VALUE!</v>
      </c>
    </row>
    <row r="325" spans="1:11" x14ac:dyDescent="0.2">
      <c r="A325" s="218"/>
      <c r="B325" s="3">
        <v>15</v>
      </c>
      <c r="C325" s="11">
        <f t="shared" si="133"/>
        <v>0</v>
      </c>
      <c r="D325" s="11">
        <f t="shared" si="134"/>
        <v>0</v>
      </c>
      <c r="E325" s="11">
        <f t="shared" si="135"/>
        <v>0</v>
      </c>
      <c r="F325" s="11">
        <f t="shared" si="136"/>
        <v>0</v>
      </c>
      <c r="G325" s="52">
        <f t="shared" si="137"/>
        <v>0</v>
      </c>
      <c r="H325" s="52">
        <f t="shared" si="138"/>
        <v>0</v>
      </c>
      <c r="I325" s="52" t="e">
        <f t="shared" si="141"/>
        <v>#VALUE!</v>
      </c>
      <c r="J325" s="74" t="e">
        <f t="shared" si="139"/>
        <v>#VALUE!</v>
      </c>
      <c r="K325" s="74" t="e">
        <f t="shared" si="140"/>
        <v>#VALUE!</v>
      </c>
    </row>
    <row r="326" spans="1:11" x14ac:dyDescent="0.2">
      <c r="A326" s="218"/>
      <c r="B326" s="3">
        <v>16</v>
      </c>
      <c r="C326" s="11">
        <f t="shared" si="133"/>
        <v>0</v>
      </c>
      <c r="D326" s="11">
        <f t="shared" si="134"/>
        <v>0</v>
      </c>
      <c r="E326" s="11">
        <f t="shared" si="135"/>
        <v>0</v>
      </c>
      <c r="F326" s="11">
        <f t="shared" si="136"/>
        <v>0</v>
      </c>
      <c r="G326" s="52">
        <f t="shared" si="137"/>
        <v>0</v>
      </c>
      <c r="H326" s="52">
        <f t="shared" si="138"/>
        <v>0</v>
      </c>
      <c r="I326" s="52" t="e">
        <f t="shared" si="141"/>
        <v>#VALUE!</v>
      </c>
      <c r="J326" s="74" t="e">
        <f t="shared" si="139"/>
        <v>#VALUE!</v>
      </c>
      <c r="K326" s="74" t="e">
        <f t="shared" si="140"/>
        <v>#VALUE!</v>
      </c>
    </row>
    <row r="327" spans="1:11" x14ac:dyDescent="0.2">
      <c r="A327" s="218"/>
      <c r="B327" s="3">
        <v>17</v>
      </c>
      <c r="C327" s="11">
        <f t="shared" si="133"/>
        <v>0</v>
      </c>
      <c r="D327" s="11">
        <f t="shared" si="134"/>
        <v>0</v>
      </c>
      <c r="E327" s="11">
        <f t="shared" si="135"/>
        <v>0</v>
      </c>
      <c r="F327" s="11">
        <f t="shared" si="136"/>
        <v>0</v>
      </c>
      <c r="G327" s="52">
        <f t="shared" si="137"/>
        <v>0</v>
      </c>
      <c r="H327" s="52">
        <f t="shared" si="138"/>
        <v>0</v>
      </c>
      <c r="I327" s="52" t="e">
        <f t="shared" si="141"/>
        <v>#VALUE!</v>
      </c>
      <c r="J327" s="74" t="e">
        <f t="shared" si="139"/>
        <v>#VALUE!</v>
      </c>
      <c r="K327" s="74" t="e">
        <f t="shared" si="140"/>
        <v>#VALUE!</v>
      </c>
    </row>
    <row r="328" spans="1:11" x14ac:dyDescent="0.2">
      <c r="A328" s="218"/>
      <c r="B328" s="3">
        <v>18</v>
      </c>
      <c r="C328" s="11">
        <f t="shared" si="133"/>
        <v>0</v>
      </c>
      <c r="D328" s="11">
        <f t="shared" si="134"/>
        <v>0</v>
      </c>
      <c r="E328" s="11">
        <f t="shared" si="135"/>
        <v>0</v>
      </c>
      <c r="F328" s="11">
        <f t="shared" si="136"/>
        <v>0</v>
      </c>
      <c r="G328" s="52">
        <f t="shared" si="137"/>
        <v>0</v>
      </c>
      <c r="H328" s="52">
        <f t="shared" si="138"/>
        <v>0</v>
      </c>
      <c r="I328" s="52" t="e">
        <f t="shared" si="141"/>
        <v>#VALUE!</v>
      </c>
      <c r="J328" s="74" t="e">
        <f t="shared" si="139"/>
        <v>#VALUE!</v>
      </c>
      <c r="K328" s="74" t="e">
        <f t="shared" si="140"/>
        <v>#VALUE!</v>
      </c>
    </row>
    <row r="329" spans="1:11" x14ac:dyDescent="0.2">
      <c r="A329" s="218"/>
      <c r="B329" s="3">
        <v>19</v>
      </c>
      <c r="C329" s="11">
        <f t="shared" si="133"/>
        <v>0</v>
      </c>
      <c r="D329" s="11">
        <f t="shared" si="134"/>
        <v>0</v>
      </c>
      <c r="E329" s="11">
        <f t="shared" si="135"/>
        <v>0</v>
      </c>
      <c r="F329" s="11">
        <f t="shared" si="136"/>
        <v>0</v>
      </c>
      <c r="G329" s="52">
        <f t="shared" si="137"/>
        <v>0</v>
      </c>
      <c r="H329" s="52">
        <f t="shared" si="138"/>
        <v>0</v>
      </c>
      <c r="I329" s="52" t="e">
        <f t="shared" si="141"/>
        <v>#VALUE!</v>
      </c>
      <c r="J329" s="74" t="e">
        <f t="shared" si="139"/>
        <v>#VALUE!</v>
      </c>
      <c r="K329" s="74" t="e">
        <f t="shared" si="140"/>
        <v>#VALUE!</v>
      </c>
    </row>
    <row r="330" spans="1:11" x14ac:dyDescent="0.2">
      <c r="A330" s="218"/>
      <c r="B330" s="3">
        <v>20</v>
      </c>
      <c r="C330" s="11">
        <f t="shared" si="133"/>
        <v>0</v>
      </c>
      <c r="D330" s="11">
        <f t="shared" si="134"/>
        <v>0</v>
      </c>
      <c r="E330" s="11">
        <f t="shared" si="135"/>
        <v>0</v>
      </c>
      <c r="F330" s="11">
        <f t="shared" si="136"/>
        <v>0</v>
      </c>
      <c r="G330" s="52">
        <f t="shared" si="137"/>
        <v>0</v>
      </c>
      <c r="H330" s="52">
        <f t="shared" si="138"/>
        <v>0</v>
      </c>
      <c r="I330" s="52" t="e">
        <f t="shared" si="141"/>
        <v>#VALUE!</v>
      </c>
      <c r="J330" s="74" t="e">
        <f t="shared" si="139"/>
        <v>#VALUE!</v>
      </c>
      <c r="K330" s="74" t="e">
        <f t="shared" si="140"/>
        <v>#VALUE!</v>
      </c>
    </row>
    <row r="332" spans="1:11" x14ac:dyDescent="0.2">
      <c r="B332" s="94" t="s">
        <v>662</v>
      </c>
      <c r="C332" s="95">
        <f t="shared" ref="C332:K332" si="142">SUM(C311:C330)</f>
        <v>0</v>
      </c>
      <c r="D332" s="95">
        <f t="shared" si="142"/>
        <v>0</v>
      </c>
      <c r="E332" s="95">
        <f t="shared" si="142"/>
        <v>0</v>
      </c>
      <c r="F332" s="95">
        <f t="shared" si="142"/>
        <v>0</v>
      </c>
      <c r="G332" s="105">
        <f t="shared" si="142"/>
        <v>0</v>
      </c>
      <c r="H332" s="105">
        <f t="shared" si="142"/>
        <v>0</v>
      </c>
      <c r="I332" s="105" t="e">
        <f t="shared" si="142"/>
        <v>#VALUE!</v>
      </c>
      <c r="J332" s="106" t="e">
        <f t="shared" si="142"/>
        <v>#VALUE!</v>
      </c>
      <c r="K332" s="106" t="e">
        <f t="shared" si="142"/>
        <v>#VALUE!</v>
      </c>
    </row>
    <row r="333" spans="1:11" x14ac:dyDescent="0.2">
      <c r="B333" s="94" t="s">
        <v>661</v>
      </c>
      <c r="C333" s="3" t="s">
        <v>653</v>
      </c>
      <c r="D333" s="3" t="s">
        <v>654</v>
      </c>
      <c r="E333" s="3" t="s">
        <v>655</v>
      </c>
      <c r="F333" s="3" t="s">
        <v>659</v>
      </c>
      <c r="G333" s="53" t="s">
        <v>663</v>
      </c>
      <c r="H333" s="53" t="s">
        <v>664</v>
      </c>
      <c r="I333" s="53" t="s">
        <v>665</v>
      </c>
      <c r="J333" s="462" t="s">
        <v>666</v>
      </c>
      <c r="K333" s="462"/>
    </row>
    <row r="335" spans="1:11" ht="16" customHeight="1" x14ac:dyDescent="0.2">
      <c r="B335" s="465" t="s">
        <v>257</v>
      </c>
      <c r="C335" s="107" t="e">
        <f>J332</f>
        <v>#VALUE!</v>
      </c>
      <c r="D335" s="64" t="s">
        <v>91</v>
      </c>
      <c r="E335" s="74"/>
      <c r="F335" s="75"/>
    </row>
    <row r="336" spans="1:11" ht="16" customHeight="1" x14ac:dyDescent="0.2">
      <c r="B336" s="466"/>
      <c r="C336" s="415" t="e">
        <f>C335/20</f>
        <v>#VALUE!</v>
      </c>
      <c r="D336" s="65" t="s">
        <v>93</v>
      </c>
    </row>
    <row r="337" spans="1:30" ht="16" customHeight="1" x14ac:dyDescent="0.2">
      <c r="B337" s="466"/>
      <c r="C337" s="228">
        <f>IF(OR($C$6=0,$C$6=""),0,C336/C6)</f>
        <v>0</v>
      </c>
      <c r="D337" s="65" t="s">
        <v>806</v>
      </c>
    </row>
    <row r="338" spans="1:30" x14ac:dyDescent="0.2">
      <c r="B338" s="466"/>
      <c r="C338" s="228" t="e">
        <f>IF(C336=0,0,C336/IF($C$4="IRR",$C$6,SUM($I$19:$I$38)))</f>
        <v>#VALUE!</v>
      </c>
      <c r="D338" s="63" t="s">
        <v>807</v>
      </c>
    </row>
    <row r="341" spans="1:30" x14ac:dyDescent="0.2">
      <c r="A341" s="146"/>
      <c r="B341" s="146"/>
      <c r="C341" s="146"/>
      <c r="D341" s="146"/>
      <c r="E341" s="146"/>
      <c r="F341" s="146"/>
      <c r="G341" s="146"/>
      <c r="H341" s="146"/>
      <c r="I341" s="146"/>
      <c r="J341" s="146"/>
      <c r="K341" s="146"/>
      <c r="L341" s="146"/>
      <c r="M341" s="146"/>
      <c r="N341" s="146"/>
      <c r="O341" s="146"/>
      <c r="P341" s="146"/>
      <c r="Q341" s="146"/>
      <c r="R341" s="146"/>
      <c r="S341" s="146"/>
      <c r="T341" s="146"/>
      <c r="U341" s="146"/>
      <c r="V341" s="146"/>
      <c r="W341" s="146"/>
      <c r="X341" s="146"/>
      <c r="Y341" s="146"/>
      <c r="Z341" s="146"/>
      <c r="AA341" s="146"/>
      <c r="AB341" s="146"/>
      <c r="AC341" s="146"/>
      <c r="AD341" s="146"/>
    </row>
    <row r="343" spans="1:30" ht="31" customHeight="1" x14ac:dyDescent="0.2">
      <c r="A343" s="63" t="s">
        <v>649</v>
      </c>
      <c r="B343" s="148"/>
      <c r="C343" s="148"/>
      <c r="D343" s="148"/>
      <c r="E343" s="148"/>
      <c r="F343" s="148"/>
      <c r="G343" s="148"/>
      <c r="H343" s="148"/>
      <c r="I343" s="148"/>
      <c r="J343" s="148"/>
      <c r="K343" s="148"/>
    </row>
    <row r="344" spans="1:30" x14ac:dyDescent="0.2">
      <c r="A344" s="461" t="s">
        <v>775</v>
      </c>
      <c r="B344" s="461"/>
      <c r="C344" s="461"/>
      <c r="D344" s="461"/>
    </row>
    <row r="345" spans="1:30" x14ac:dyDescent="0.2">
      <c r="A345" s="3" t="s">
        <v>94</v>
      </c>
      <c r="B345" s="3" t="s">
        <v>777</v>
      </c>
      <c r="C345" s="3" t="s">
        <v>766</v>
      </c>
      <c r="D345" s="3" t="s">
        <v>767</v>
      </c>
    </row>
    <row r="346" spans="1:30" x14ac:dyDescent="0.2">
      <c r="A346" s="3">
        <v>0</v>
      </c>
      <c r="B346" s="95">
        <f t="shared" ref="B346:B366" si="143">IF(A346=0,SUM($S$4:$S$7),C284+D284+E284)</f>
        <v>0</v>
      </c>
      <c r="C346" s="95">
        <f t="shared" ref="C346:C366" si="144">IF(A346=0,SUM($S$4:$S$7),F284+G284+H284)</f>
        <v>0</v>
      </c>
      <c r="D346" s="95">
        <f>C346-B346</f>
        <v>0</v>
      </c>
    </row>
    <row r="347" spans="1:30" x14ac:dyDescent="0.2">
      <c r="A347" s="3">
        <v>1</v>
      </c>
      <c r="B347" s="95">
        <f t="shared" si="143"/>
        <v>0</v>
      </c>
      <c r="C347" s="95">
        <f t="shared" si="144"/>
        <v>0</v>
      </c>
      <c r="D347" s="95">
        <f>C347-B347</f>
        <v>0</v>
      </c>
    </row>
    <row r="348" spans="1:30" x14ac:dyDescent="0.2">
      <c r="A348" s="3">
        <v>2</v>
      </c>
      <c r="B348" s="95">
        <f t="shared" si="143"/>
        <v>0</v>
      </c>
      <c r="C348" s="95">
        <f t="shared" si="144"/>
        <v>0</v>
      </c>
      <c r="D348" s="95">
        <f t="shared" ref="D348:D366" si="145">C348-B348</f>
        <v>0</v>
      </c>
      <c r="K348" s="11"/>
      <c r="L348" s="11"/>
      <c r="M348" s="11"/>
    </row>
    <row r="349" spans="1:30" x14ac:dyDescent="0.2">
      <c r="A349" s="3">
        <v>3</v>
      </c>
      <c r="B349" s="95">
        <f t="shared" si="143"/>
        <v>0</v>
      </c>
      <c r="C349" s="95">
        <f t="shared" si="144"/>
        <v>0</v>
      </c>
      <c r="D349" s="95">
        <f t="shared" si="145"/>
        <v>0</v>
      </c>
      <c r="K349" s="11"/>
      <c r="L349" s="11"/>
      <c r="M349" s="11"/>
    </row>
    <row r="350" spans="1:30" x14ac:dyDescent="0.2">
      <c r="A350" s="3">
        <v>4</v>
      </c>
      <c r="B350" s="95">
        <f t="shared" si="143"/>
        <v>0</v>
      </c>
      <c r="C350" s="95">
        <f t="shared" si="144"/>
        <v>0</v>
      </c>
      <c r="D350" s="95">
        <f t="shared" si="145"/>
        <v>0</v>
      </c>
      <c r="K350" s="11"/>
      <c r="L350" s="11"/>
      <c r="M350" s="11"/>
    </row>
    <row r="351" spans="1:30" x14ac:dyDescent="0.2">
      <c r="A351" s="3">
        <v>5</v>
      </c>
      <c r="B351" s="95">
        <f t="shared" si="143"/>
        <v>0</v>
      </c>
      <c r="C351" s="95">
        <f t="shared" si="144"/>
        <v>0</v>
      </c>
      <c r="D351" s="95">
        <f t="shared" si="145"/>
        <v>0</v>
      </c>
      <c r="K351" s="11"/>
      <c r="L351" s="11"/>
      <c r="M351" s="11"/>
    </row>
    <row r="352" spans="1:30" x14ac:dyDescent="0.2">
      <c r="A352" s="3">
        <v>6</v>
      </c>
      <c r="B352" s="95">
        <f t="shared" si="143"/>
        <v>0</v>
      </c>
      <c r="C352" s="95">
        <f t="shared" si="144"/>
        <v>0</v>
      </c>
      <c r="D352" s="95">
        <f t="shared" si="145"/>
        <v>0</v>
      </c>
      <c r="K352" s="11"/>
      <c r="L352" s="11"/>
      <c r="M352" s="11"/>
    </row>
    <row r="353" spans="1:13" x14ac:dyDescent="0.2">
      <c r="A353" s="3">
        <v>7</v>
      </c>
      <c r="B353" s="95">
        <f t="shared" si="143"/>
        <v>0</v>
      </c>
      <c r="C353" s="95">
        <f t="shared" si="144"/>
        <v>0</v>
      </c>
      <c r="D353" s="95">
        <f t="shared" si="145"/>
        <v>0</v>
      </c>
      <c r="K353" s="11"/>
      <c r="L353" s="11"/>
      <c r="M353" s="11"/>
    </row>
    <row r="354" spans="1:13" x14ac:dyDescent="0.2">
      <c r="A354" s="3">
        <v>8</v>
      </c>
      <c r="B354" s="95">
        <f t="shared" si="143"/>
        <v>0</v>
      </c>
      <c r="C354" s="95">
        <f t="shared" si="144"/>
        <v>0</v>
      </c>
      <c r="D354" s="95">
        <f t="shared" si="145"/>
        <v>0</v>
      </c>
      <c r="K354" s="11"/>
      <c r="L354" s="11"/>
      <c r="M354" s="11"/>
    </row>
    <row r="355" spans="1:13" x14ac:dyDescent="0.2">
      <c r="A355" s="3">
        <v>9</v>
      </c>
      <c r="B355" s="95">
        <f t="shared" si="143"/>
        <v>0</v>
      </c>
      <c r="C355" s="95">
        <f t="shared" si="144"/>
        <v>0</v>
      </c>
      <c r="D355" s="95">
        <f t="shared" si="145"/>
        <v>0</v>
      </c>
      <c r="K355" s="11"/>
      <c r="L355" s="11"/>
      <c r="M355" s="11"/>
    </row>
    <row r="356" spans="1:13" x14ac:dyDescent="0.2">
      <c r="A356" s="3">
        <v>10</v>
      </c>
      <c r="B356" s="95">
        <f t="shared" si="143"/>
        <v>0</v>
      </c>
      <c r="C356" s="95">
        <f t="shared" si="144"/>
        <v>0</v>
      </c>
      <c r="D356" s="95">
        <f t="shared" si="145"/>
        <v>0</v>
      </c>
      <c r="K356" s="11"/>
      <c r="L356" s="11"/>
      <c r="M356" s="11"/>
    </row>
    <row r="357" spans="1:13" x14ac:dyDescent="0.2">
      <c r="A357" s="3">
        <v>11</v>
      </c>
      <c r="B357" s="95">
        <f t="shared" si="143"/>
        <v>0</v>
      </c>
      <c r="C357" s="95">
        <f t="shared" si="144"/>
        <v>0</v>
      </c>
      <c r="D357" s="95">
        <f t="shared" si="145"/>
        <v>0</v>
      </c>
      <c r="K357" s="11"/>
      <c r="L357" s="11"/>
      <c r="M357" s="11"/>
    </row>
    <row r="358" spans="1:13" x14ac:dyDescent="0.2">
      <c r="A358" s="3">
        <v>12</v>
      </c>
      <c r="B358" s="95">
        <f t="shared" si="143"/>
        <v>0</v>
      </c>
      <c r="C358" s="95">
        <f t="shared" si="144"/>
        <v>0</v>
      </c>
      <c r="D358" s="95">
        <f t="shared" si="145"/>
        <v>0</v>
      </c>
      <c r="K358" s="11"/>
      <c r="L358" s="11"/>
      <c r="M358" s="11"/>
    </row>
    <row r="359" spans="1:13" x14ac:dyDescent="0.2">
      <c r="A359" s="3">
        <v>13</v>
      </c>
      <c r="B359" s="95">
        <f t="shared" si="143"/>
        <v>0</v>
      </c>
      <c r="C359" s="95">
        <f t="shared" si="144"/>
        <v>0</v>
      </c>
      <c r="D359" s="95">
        <f t="shared" si="145"/>
        <v>0</v>
      </c>
      <c r="K359" s="11"/>
      <c r="L359" s="11"/>
      <c r="M359" s="11"/>
    </row>
    <row r="360" spans="1:13" x14ac:dyDescent="0.2">
      <c r="A360" s="3">
        <v>14</v>
      </c>
      <c r="B360" s="95">
        <f t="shared" si="143"/>
        <v>0</v>
      </c>
      <c r="C360" s="95">
        <f t="shared" si="144"/>
        <v>0</v>
      </c>
      <c r="D360" s="95">
        <f t="shared" si="145"/>
        <v>0</v>
      </c>
      <c r="K360" s="11"/>
      <c r="L360" s="11"/>
      <c r="M360" s="11"/>
    </row>
    <row r="361" spans="1:13" x14ac:dyDescent="0.2">
      <c r="A361" s="3">
        <v>15</v>
      </c>
      <c r="B361" s="95">
        <f t="shared" si="143"/>
        <v>0</v>
      </c>
      <c r="C361" s="95">
        <f t="shared" si="144"/>
        <v>0</v>
      </c>
      <c r="D361" s="95">
        <f t="shared" si="145"/>
        <v>0</v>
      </c>
      <c r="K361" s="11"/>
      <c r="L361" s="11"/>
      <c r="M361" s="11"/>
    </row>
    <row r="362" spans="1:13" x14ac:dyDescent="0.2">
      <c r="A362" s="3">
        <v>16</v>
      </c>
      <c r="B362" s="95">
        <f t="shared" si="143"/>
        <v>0</v>
      </c>
      <c r="C362" s="95">
        <f t="shared" si="144"/>
        <v>0</v>
      </c>
      <c r="D362" s="95">
        <f t="shared" si="145"/>
        <v>0</v>
      </c>
      <c r="K362" s="11"/>
      <c r="L362" s="11"/>
      <c r="M362" s="11"/>
    </row>
    <row r="363" spans="1:13" x14ac:dyDescent="0.2">
      <c r="A363" s="3">
        <v>17</v>
      </c>
      <c r="B363" s="95">
        <f t="shared" si="143"/>
        <v>0</v>
      </c>
      <c r="C363" s="95">
        <f t="shared" si="144"/>
        <v>0</v>
      </c>
      <c r="D363" s="95">
        <f t="shared" si="145"/>
        <v>0</v>
      </c>
      <c r="K363" s="11"/>
      <c r="L363" s="11"/>
      <c r="M363" s="11"/>
    </row>
    <row r="364" spans="1:13" x14ac:dyDescent="0.2">
      <c r="A364" s="3">
        <v>18</v>
      </c>
      <c r="B364" s="95">
        <f t="shared" si="143"/>
        <v>0</v>
      </c>
      <c r="C364" s="95">
        <f t="shared" si="144"/>
        <v>0</v>
      </c>
      <c r="D364" s="95">
        <f t="shared" si="145"/>
        <v>0</v>
      </c>
      <c r="K364" s="11"/>
      <c r="L364" s="11"/>
      <c r="M364" s="11"/>
    </row>
    <row r="365" spans="1:13" x14ac:dyDescent="0.2">
      <c r="A365" s="3">
        <v>19</v>
      </c>
      <c r="B365" s="95">
        <f t="shared" si="143"/>
        <v>0</v>
      </c>
      <c r="C365" s="95">
        <f t="shared" si="144"/>
        <v>0</v>
      </c>
      <c r="D365" s="95">
        <f t="shared" si="145"/>
        <v>0</v>
      </c>
      <c r="K365" s="11"/>
      <c r="L365" s="11"/>
      <c r="M365" s="11"/>
    </row>
    <row r="366" spans="1:13" s="94" customFormat="1" x14ac:dyDescent="0.2">
      <c r="A366" s="94">
        <v>20</v>
      </c>
      <c r="B366" s="96">
        <f t="shared" si="143"/>
        <v>0</v>
      </c>
      <c r="C366" s="96">
        <f t="shared" si="144"/>
        <v>0</v>
      </c>
      <c r="D366" s="96">
        <f t="shared" si="145"/>
        <v>0</v>
      </c>
      <c r="K366" s="221"/>
      <c r="L366" s="221"/>
      <c r="M366" s="221"/>
    </row>
    <row r="368" spans="1:13" x14ac:dyDescent="0.2">
      <c r="A368" s="461" t="s">
        <v>638</v>
      </c>
      <c r="B368" s="461"/>
      <c r="C368" s="461"/>
      <c r="D368" s="461"/>
    </row>
    <row r="369" spans="1:4" x14ac:dyDescent="0.2">
      <c r="A369" s="3" t="s">
        <v>94</v>
      </c>
      <c r="B369" s="3" t="s">
        <v>285</v>
      </c>
      <c r="C369" s="3" t="s">
        <v>286</v>
      </c>
      <c r="D369" s="3" t="s">
        <v>287</v>
      </c>
    </row>
    <row r="370" spans="1:4" x14ac:dyDescent="0.2">
      <c r="A370" s="3">
        <v>1</v>
      </c>
      <c r="B370" s="95">
        <f t="shared" ref="B370:B389" si="146">M285</f>
        <v>0</v>
      </c>
      <c r="C370" s="95">
        <f t="shared" ref="C370:C389" si="147">N285</f>
        <v>0</v>
      </c>
      <c r="D370" s="95">
        <f t="shared" ref="D370:D389" si="148">O285</f>
        <v>0</v>
      </c>
    </row>
    <row r="371" spans="1:4" x14ac:dyDescent="0.2">
      <c r="A371" s="3">
        <v>2</v>
      </c>
      <c r="B371" s="95">
        <f t="shared" si="146"/>
        <v>0</v>
      </c>
      <c r="C371" s="95">
        <f t="shared" si="147"/>
        <v>0</v>
      </c>
      <c r="D371" s="95">
        <f t="shared" si="148"/>
        <v>0</v>
      </c>
    </row>
    <row r="372" spans="1:4" x14ac:dyDescent="0.2">
      <c r="A372" s="3">
        <v>3</v>
      </c>
      <c r="B372" s="95">
        <f t="shared" si="146"/>
        <v>0</v>
      </c>
      <c r="C372" s="95">
        <f t="shared" si="147"/>
        <v>0</v>
      </c>
      <c r="D372" s="95">
        <f t="shared" si="148"/>
        <v>0</v>
      </c>
    </row>
    <row r="373" spans="1:4" x14ac:dyDescent="0.2">
      <c r="A373" s="3">
        <v>4</v>
      </c>
      <c r="B373" s="95">
        <f t="shared" si="146"/>
        <v>0</v>
      </c>
      <c r="C373" s="95">
        <f t="shared" si="147"/>
        <v>0</v>
      </c>
      <c r="D373" s="95">
        <f t="shared" si="148"/>
        <v>0</v>
      </c>
    </row>
    <row r="374" spans="1:4" x14ac:dyDescent="0.2">
      <c r="A374" s="3">
        <v>5</v>
      </c>
      <c r="B374" s="95">
        <f t="shared" si="146"/>
        <v>0</v>
      </c>
      <c r="C374" s="95">
        <f t="shared" si="147"/>
        <v>0</v>
      </c>
      <c r="D374" s="95">
        <f t="shared" si="148"/>
        <v>0</v>
      </c>
    </row>
    <row r="375" spans="1:4" x14ac:dyDescent="0.2">
      <c r="A375" s="3">
        <v>6</v>
      </c>
      <c r="B375" s="95">
        <f t="shared" si="146"/>
        <v>0</v>
      </c>
      <c r="C375" s="95">
        <f t="shared" si="147"/>
        <v>0</v>
      </c>
      <c r="D375" s="95">
        <f t="shared" si="148"/>
        <v>0</v>
      </c>
    </row>
    <row r="376" spans="1:4" x14ac:dyDescent="0.2">
      <c r="A376" s="3">
        <v>7</v>
      </c>
      <c r="B376" s="95">
        <f t="shared" si="146"/>
        <v>0</v>
      </c>
      <c r="C376" s="95">
        <f t="shared" si="147"/>
        <v>0</v>
      </c>
      <c r="D376" s="95">
        <f t="shared" si="148"/>
        <v>0</v>
      </c>
    </row>
    <row r="377" spans="1:4" x14ac:dyDescent="0.2">
      <c r="A377" s="3">
        <v>8</v>
      </c>
      <c r="B377" s="95">
        <f t="shared" si="146"/>
        <v>0</v>
      </c>
      <c r="C377" s="95">
        <f t="shared" si="147"/>
        <v>0</v>
      </c>
      <c r="D377" s="95">
        <f t="shared" si="148"/>
        <v>0</v>
      </c>
    </row>
    <row r="378" spans="1:4" x14ac:dyDescent="0.2">
      <c r="A378" s="3">
        <v>9</v>
      </c>
      <c r="B378" s="95">
        <f t="shared" si="146"/>
        <v>0</v>
      </c>
      <c r="C378" s="95">
        <f t="shared" si="147"/>
        <v>0</v>
      </c>
      <c r="D378" s="95">
        <f t="shared" si="148"/>
        <v>0</v>
      </c>
    </row>
    <row r="379" spans="1:4" x14ac:dyDescent="0.2">
      <c r="A379" s="3">
        <v>10</v>
      </c>
      <c r="B379" s="95">
        <f t="shared" si="146"/>
        <v>0</v>
      </c>
      <c r="C379" s="95">
        <f t="shared" si="147"/>
        <v>0</v>
      </c>
      <c r="D379" s="95">
        <f t="shared" si="148"/>
        <v>0</v>
      </c>
    </row>
    <row r="380" spans="1:4" x14ac:dyDescent="0.2">
      <c r="A380" s="3">
        <v>11</v>
      </c>
      <c r="B380" s="95">
        <f t="shared" si="146"/>
        <v>0</v>
      </c>
      <c r="C380" s="95">
        <f t="shared" si="147"/>
        <v>0</v>
      </c>
      <c r="D380" s="95">
        <f t="shared" si="148"/>
        <v>0</v>
      </c>
    </row>
    <row r="381" spans="1:4" x14ac:dyDescent="0.2">
      <c r="A381" s="3">
        <v>12</v>
      </c>
      <c r="B381" s="95">
        <f t="shared" si="146"/>
        <v>0</v>
      </c>
      <c r="C381" s="95">
        <f t="shared" si="147"/>
        <v>0</v>
      </c>
      <c r="D381" s="95">
        <f t="shared" si="148"/>
        <v>0</v>
      </c>
    </row>
    <row r="382" spans="1:4" x14ac:dyDescent="0.2">
      <c r="A382" s="3">
        <v>13</v>
      </c>
      <c r="B382" s="95">
        <f t="shared" si="146"/>
        <v>0</v>
      </c>
      <c r="C382" s="95">
        <f t="shared" si="147"/>
        <v>0</v>
      </c>
      <c r="D382" s="95">
        <f t="shared" si="148"/>
        <v>0</v>
      </c>
    </row>
    <row r="383" spans="1:4" x14ac:dyDescent="0.2">
      <c r="A383" s="3">
        <v>14</v>
      </c>
      <c r="B383" s="95">
        <f t="shared" si="146"/>
        <v>0</v>
      </c>
      <c r="C383" s="95">
        <f t="shared" si="147"/>
        <v>0</v>
      </c>
      <c r="D383" s="95">
        <f t="shared" si="148"/>
        <v>0</v>
      </c>
    </row>
    <row r="384" spans="1:4" x14ac:dyDescent="0.2">
      <c r="A384" s="3">
        <v>15</v>
      </c>
      <c r="B384" s="95">
        <f t="shared" si="146"/>
        <v>0</v>
      </c>
      <c r="C384" s="95">
        <f t="shared" si="147"/>
        <v>0</v>
      </c>
      <c r="D384" s="95">
        <f t="shared" si="148"/>
        <v>0</v>
      </c>
    </row>
    <row r="385" spans="1:11" x14ac:dyDescent="0.2">
      <c r="A385" s="3">
        <v>16</v>
      </c>
      <c r="B385" s="95">
        <f t="shared" si="146"/>
        <v>0</v>
      </c>
      <c r="C385" s="95">
        <f t="shared" si="147"/>
        <v>0</v>
      </c>
      <c r="D385" s="95">
        <f t="shared" si="148"/>
        <v>0</v>
      </c>
    </row>
    <row r="386" spans="1:11" x14ac:dyDescent="0.2">
      <c r="A386" s="3">
        <v>17</v>
      </c>
      <c r="B386" s="95">
        <f t="shared" si="146"/>
        <v>0</v>
      </c>
      <c r="C386" s="95">
        <f t="shared" si="147"/>
        <v>0</v>
      </c>
      <c r="D386" s="95">
        <f t="shared" si="148"/>
        <v>0</v>
      </c>
    </row>
    <row r="387" spans="1:11" x14ac:dyDescent="0.2">
      <c r="A387" s="3">
        <v>18</v>
      </c>
      <c r="B387" s="95">
        <f t="shared" si="146"/>
        <v>0</v>
      </c>
      <c r="C387" s="95">
        <f t="shared" si="147"/>
        <v>0</v>
      </c>
      <c r="D387" s="95">
        <f t="shared" si="148"/>
        <v>0</v>
      </c>
    </row>
    <row r="388" spans="1:11" x14ac:dyDescent="0.2">
      <c r="A388" s="3">
        <v>19</v>
      </c>
      <c r="B388" s="95">
        <f t="shared" si="146"/>
        <v>0</v>
      </c>
      <c r="C388" s="95">
        <f t="shared" si="147"/>
        <v>0</v>
      </c>
      <c r="D388" s="95">
        <f t="shared" si="148"/>
        <v>0</v>
      </c>
    </row>
    <row r="389" spans="1:11" x14ac:dyDescent="0.2">
      <c r="A389" s="94">
        <v>20</v>
      </c>
      <c r="B389" s="96">
        <f t="shared" si="146"/>
        <v>0</v>
      </c>
      <c r="C389" s="96">
        <f t="shared" si="147"/>
        <v>0</v>
      </c>
      <c r="D389" s="96">
        <f t="shared" si="148"/>
        <v>0</v>
      </c>
    </row>
    <row r="391" spans="1:11" ht="31" customHeight="1" x14ac:dyDescent="0.2">
      <c r="A391" s="63" t="s">
        <v>639</v>
      </c>
      <c r="B391" s="148"/>
      <c r="C391" s="148"/>
      <c r="D391" s="148"/>
      <c r="E391" s="148"/>
      <c r="F391" s="148"/>
      <c r="G391" s="148"/>
      <c r="H391" s="148"/>
      <c r="I391" s="148"/>
      <c r="J391" s="148"/>
      <c r="K391" s="148"/>
    </row>
    <row r="392" spans="1:11" x14ac:dyDescent="0.2">
      <c r="A392" s="147"/>
    </row>
    <row r="393" spans="1:11" x14ac:dyDescent="0.2">
      <c r="A393" s="81" t="s">
        <v>94</v>
      </c>
      <c r="B393" s="81" t="s">
        <v>761</v>
      </c>
      <c r="C393" s="81" t="s">
        <v>795</v>
      </c>
      <c r="D393" s="81" t="s">
        <v>792</v>
      </c>
      <c r="E393" s="81" t="s">
        <v>791</v>
      </c>
      <c r="F393" s="81" t="s">
        <v>762</v>
      </c>
      <c r="G393" s="81" t="s">
        <v>763</v>
      </c>
    </row>
    <row r="394" spans="1:11" x14ac:dyDescent="0.2">
      <c r="A394" s="3">
        <v>1</v>
      </c>
      <c r="B394" s="95">
        <f>D$15</f>
        <v>0</v>
      </c>
      <c r="C394" s="95">
        <f t="shared" ref="C394:C413" si="149">D$16+D$15</f>
        <v>0</v>
      </c>
      <c r="D394" s="95">
        <f t="shared" ref="D394:D413" si="150">AS61</f>
        <v>0</v>
      </c>
      <c r="E394" s="95">
        <f t="shared" ref="E394:E413" si="151">AS177</f>
        <v>0</v>
      </c>
      <c r="F394" s="95">
        <f t="shared" ref="F394:F413" si="152">IF($C$4="iRR",D394+B394,D394)</f>
        <v>0</v>
      </c>
      <c r="G394" s="95">
        <f t="shared" ref="G394:G413" si="153">IF($C$4="IRR",B394+E394,E394)</f>
        <v>0</v>
      </c>
    </row>
    <row r="395" spans="1:11" x14ac:dyDescent="0.2">
      <c r="A395" s="3">
        <v>2</v>
      </c>
      <c r="B395" s="95">
        <f t="shared" ref="B395:B413" si="154">D$15</f>
        <v>0</v>
      </c>
      <c r="C395" s="95">
        <f t="shared" si="149"/>
        <v>0</v>
      </c>
      <c r="D395" s="95">
        <f t="shared" si="150"/>
        <v>0</v>
      </c>
      <c r="E395" s="95">
        <f t="shared" si="151"/>
        <v>0</v>
      </c>
      <c r="F395" s="95">
        <f t="shared" si="152"/>
        <v>0</v>
      </c>
      <c r="G395" s="95">
        <f t="shared" si="153"/>
        <v>0</v>
      </c>
    </row>
    <row r="396" spans="1:11" x14ac:dyDescent="0.2">
      <c r="A396" s="3">
        <v>3</v>
      </c>
      <c r="B396" s="95">
        <f t="shared" si="154"/>
        <v>0</v>
      </c>
      <c r="C396" s="95">
        <f t="shared" si="149"/>
        <v>0</v>
      </c>
      <c r="D396" s="95">
        <f t="shared" si="150"/>
        <v>0</v>
      </c>
      <c r="E396" s="95">
        <f t="shared" si="151"/>
        <v>0</v>
      </c>
      <c r="F396" s="95">
        <f t="shared" si="152"/>
        <v>0</v>
      </c>
      <c r="G396" s="95">
        <f t="shared" si="153"/>
        <v>0</v>
      </c>
    </row>
    <row r="397" spans="1:11" x14ac:dyDescent="0.2">
      <c r="A397" s="3">
        <v>4</v>
      </c>
      <c r="B397" s="95">
        <f t="shared" si="154"/>
        <v>0</v>
      </c>
      <c r="C397" s="95">
        <f t="shared" si="149"/>
        <v>0</v>
      </c>
      <c r="D397" s="95">
        <f t="shared" si="150"/>
        <v>0</v>
      </c>
      <c r="E397" s="95">
        <f t="shared" si="151"/>
        <v>0</v>
      </c>
      <c r="F397" s="95">
        <f t="shared" si="152"/>
        <v>0</v>
      </c>
      <c r="G397" s="95">
        <f t="shared" si="153"/>
        <v>0</v>
      </c>
    </row>
    <row r="398" spans="1:11" x14ac:dyDescent="0.2">
      <c r="A398" s="3">
        <v>5</v>
      </c>
      <c r="B398" s="95">
        <f t="shared" si="154"/>
        <v>0</v>
      </c>
      <c r="C398" s="95">
        <f t="shared" si="149"/>
        <v>0</v>
      </c>
      <c r="D398" s="95">
        <f t="shared" si="150"/>
        <v>0</v>
      </c>
      <c r="E398" s="95">
        <f t="shared" si="151"/>
        <v>0</v>
      </c>
      <c r="F398" s="95">
        <f t="shared" si="152"/>
        <v>0</v>
      </c>
      <c r="G398" s="95">
        <f t="shared" si="153"/>
        <v>0</v>
      </c>
    </row>
    <row r="399" spans="1:11" x14ac:dyDescent="0.2">
      <c r="A399" s="3">
        <v>6</v>
      </c>
      <c r="B399" s="95">
        <f t="shared" si="154"/>
        <v>0</v>
      </c>
      <c r="C399" s="95">
        <f t="shared" si="149"/>
        <v>0</v>
      </c>
      <c r="D399" s="95">
        <f t="shared" si="150"/>
        <v>0</v>
      </c>
      <c r="E399" s="95">
        <f t="shared" si="151"/>
        <v>0</v>
      </c>
      <c r="F399" s="95">
        <f t="shared" si="152"/>
        <v>0</v>
      </c>
      <c r="G399" s="95">
        <f t="shared" si="153"/>
        <v>0</v>
      </c>
    </row>
    <row r="400" spans="1:11" x14ac:dyDescent="0.2">
      <c r="A400" s="3">
        <v>7</v>
      </c>
      <c r="B400" s="95">
        <f t="shared" si="154"/>
        <v>0</v>
      </c>
      <c r="C400" s="95">
        <f t="shared" si="149"/>
        <v>0</v>
      </c>
      <c r="D400" s="95">
        <f t="shared" si="150"/>
        <v>0</v>
      </c>
      <c r="E400" s="95">
        <f t="shared" si="151"/>
        <v>0</v>
      </c>
      <c r="F400" s="95">
        <f t="shared" si="152"/>
        <v>0</v>
      </c>
      <c r="G400" s="95">
        <f t="shared" si="153"/>
        <v>0</v>
      </c>
    </row>
    <row r="401" spans="1:7" x14ac:dyDescent="0.2">
      <c r="A401" s="3">
        <v>8</v>
      </c>
      <c r="B401" s="95">
        <f t="shared" si="154"/>
        <v>0</v>
      </c>
      <c r="C401" s="95">
        <f t="shared" si="149"/>
        <v>0</v>
      </c>
      <c r="D401" s="95">
        <f t="shared" si="150"/>
        <v>0</v>
      </c>
      <c r="E401" s="95">
        <f t="shared" si="151"/>
        <v>0</v>
      </c>
      <c r="F401" s="95">
        <f t="shared" si="152"/>
        <v>0</v>
      </c>
      <c r="G401" s="95">
        <f t="shared" si="153"/>
        <v>0</v>
      </c>
    </row>
    <row r="402" spans="1:7" x14ac:dyDescent="0.2">
      <c r="A402" s="3">
        <v>9</v>
      </c>
      <c r="B402" s="95">
        <f t="shared" si="154"/>
        <v>0</v>
      </c>
      <c r="C402" s="95">
        <f t="shared" si="149"/>
        <v>0</v>
      </c>
      <c r="D402" s="95">
        <f t="shared" si="150"/>
        <v>0</v>
      </c>
      <c r="E402" s="95">
        <f t="shared" si="151"/>
        <v>0</v>
      </c>
      <c r="F402" s="95">
        <f t="shared" si="152"/>
        <v>0</v>
      </c>
      <c r="G402" s="95">
        <f t="shared" si="153"/>
        <v>0</v>
      </c>
    </row>
    <row r="403" spans="1:7" x14ac:dyDescent="0.2">
      <c r="A403" s="3">
        <v>10</v>
      </c>
      <c r="B403" s="95">
        <f t="shared" si="154"/>
        <v>0</v>
      </c>
      <c r="C403" s="95">
        <f t="shared" si="149"/>
        <v>0</v>
      </c>
      <c r="D403" s="95">
        <f t="shared" si="150"/>
        <v>0</v>
      </c>
      <c r="E403" s="95">
        <f t="shared" si="151"/>
        <v>0</v>
      </c>
      <c r="F403" s="95">
        <f t="shared" si="152"/>
        <v>0</v>
      </c>
      <c r="G403" s="95">
        <f t="shared" si="153"/>
        <v>0</v>
      </c>
    </row>
    <row r="404" spans="1:7" x14ac:dyDescent="0.2">
      <c r="A404" s="3">
        <v>11</v>
      </c>
      <c r="B404" s="95">
        <f t="shared" si="154"/>
        <v>0</v>
      </c>
      <c r="C404" s="95">
        <f t="shared" si="149"/>
        <v>0</v>
      </c>
      <c r="D404" s="95">
        <f t="shared" si="150"/>
        <v>0</v>
      </c>
      <c r="E404" s="95">
        <f t="shared" si="151"/>
        <v>0</v>
      </c>
      <c r="F404" s="95">
        <f t="shared" si="152"/>
        <v>0</v>
      </c>
      <c r="G404" s="95">
        <f t="shared" si="153"/>
        <v>0</v>
      </c>
    </row>
    <row r="405" spans="1:7" x14ac:dyDescent="0.2">
      <c r="A405" s="3">
        <v>12</v>
      </c>
      <c r="B405" s="95">
        <f t="shared" si="154"/>
        <v>0</v>
      </c>
      <c r="C405" s="95">
        <f t="shared" si="149"/>
        <v>0</v>
      </c>
      <c r="D405" s="95">
        <f t="shared" si="150"/>
        <v>0</v>
      </c>
      <c r="E405" s="95">
        <f t="shared" si="151"/>
        <v>0</v>
      </c>
      <c r="F405" s="95">
        <f t="shared" si="152"/>
        <v>0</v>
      </c>
      <c r="G405" s="95">
        <f t="shared" si="153"/>
        <v>0</v>
      </c>
    </row>
    <row r="406" spans="1:7" x14ac:dyDescent="0.2">
      <c r="A406" s="3">
        <v>13</v>
      </c>
      <c r="B406" s="95">
        <f t="shared" si="154"/>
        <v>0</v>
      </c>
      <c r="C406" s="95">
        <f t="shared" si="149"/>
        <v>0</v>
      </c>
      <c r="D406" s="95">
        <f t="shared" si="150"/>
        <v>0</v>
      </c>
      <c r="E406" s="95">
        <f t="shared" si="151"/>
        <v>0</v>
      </c>
      <c r="F406" s="95">
        <f t="shared" si="152"/>
        <v>0</v>
      </c>
      <c r="G406" s="95">
        <f t="shared" si="153"/>
        <v>0</v>
      </c>
    </row>
    <row r="407" spans="1:7" x14ac:dyDescent="0.2">
      <c r="A407" s="3">
        <v>14</v>
      </c>
      <c r="B407" s="95">
        <f t="shared" si="154"/>
        <v>0</v>
      </c>
      <c r="C407" s="95">
        <f t="shared" si="149"/>
        <v>0</v>
      </c>
      <c r="D407" s="95">
        <f t="shared" si="150"/>
        <v>0</v>
      </c>
      <c r="E407" s="95">
        <f t="shared" si="151"/>
        <v>0</v>
      </c>
      <c r="F407" s="95">
        <f t="shared" si="152"/>
        <v>0</v>
      </c>
      <c r="G407" s="95">
        <f t="shared" si="153"/>
        <v>0</v>
      </c>
    </row>
    <row r="408" spans="1:7" x14ac:dyDescent="0.2">
      <c r="A408" s="3">
        <v>15</v>
      </c>
      <c r="B408" s="95">
        <f t="shared" si="154"/>
        <v>0</v>
      </c>
      <c r="C408" s="95">
        <f t="shared" si="149"/>
        <v>0</v>
      </c>
      <c r="D408" s="95">
        <f t="shared" si="150"/>
        <v>0</v>
      </c>
      <c r="E408" s="95">
        <f t="shared" si="151"/>
        <v>0</v>
      </c>
      <c r="F408" s="95">
        <f t="shared" si="152"/>
        <v>0</v>
      </c>
      <c r="G408" s="95">
        <f t="shared" si="153"/>
        <v>0</v>
      </c>
    </row>
    <row r="409" spans="1:7" x14ac:dyDescent="0.2">
      <c r="A409" s="3">
        <v>16</v>
      </c>
      <c r="B409" s="95">
        <f t="shared" si="154"/>
        <v>0</v>
      </c>
      <c r="C409" s="95">
        <f t="shared" si="149"/>
        <v>0</v>
      </c>
      <c r="D409" s="95">
        <f t="shared" si="150"/>
        <v>0</v>
      </c>
      <c r="E409" s="95">
        <f t="shared" si="151"/>
        <v>0</v>
      </c>
      <c r="F409" s="95">
        <f t="shared" si="152"/>
        <v>0</v>
      </c>
      <c r="G409" s="95">
        <f t="shared" si="153"/>
        <v>0</v>
      </c>
    </row>
    <row r="410" spans="1:7" x14ac:dyDescent="0.2">
      <c r="A410" s="3">
        <v>17</v>
      </c>
      <c r="B410" s="95">
        <f t="shared" si="154"/>
        <v>0</v>
      </c>
      <c r="C410" s="95">
        <f t="shared" si="149"/>
        <v>0</v>
      </c>
      <c r="D410" s="95">
        <f t="shared" si="150"/>
        <v>0</v>
      </c>
      <c r="E410" s="95">
        <f t="shared" si="151"/>
        <v>0</v>
      </c>
      <c r="F410" s="95">
        <f t="shared" si="152"/>
        <v>0</v>
      </c>
      <c r="G410" s="95">
        <f t="shared" si="153"/>
        <v>0</v>
      </c>
    </row>
    <row r="411" spans="1:7" x14ac:dyDescent="0.2">
      <c r="A411" s="3">
        <v>18</v>
      </c>
      <c r="B411" s="95">
        <f t="shared" si="154"/>
        <v>0</v>
      </c>
      <c r="C411" s="95">
        <f t="shared" si="149"/>
        <v>0</v>
      </c>
      <c r="D411" s="95">
        <f t="shared" si="150"/>
        <v>0</v>
      </c>
      <c r="E411" s="95">
        <f t="shared" si="151"/>
        <v>0</v>
      </c>
      <c r="F411" s="95">
        <f t="shared" si="152"/>
        <v>0</v>
      </c>
      <c r="G411" s="95">
        <f t="shared" si="153"/>
        <v>0</v>
      </c>
    </row>
    <row r="412" spans="1:7" x14ac:dyDescent="0.2">
      <c r="A412" s="3">
        <v>19</v>
      </c>
      <c r="B412" s="95">
        <f t="shared" si="154"/>
        <v>0</v>
      </c>
      <c r="C412" s="95">
        <f t="shared" si="149"/>
        <v>0</v>
      </c>
      <c r="D412" s="95">
        <f t="shared" si="150"/>
        <v>0</v>
      </c>
      <c r="E412" s="95">
        <f t="shared" si="151"/>
        <v>0</v>
      </c>
      <c r="F412" s="95">
        <f t="shared" si="152"/>
        <v>0</v>
      </c>
      <c r="G412" s="95">
        <f t="shared" si="153"/>
        <v>0</v>
      </c>
    </row>
    <row r="413" spans="1:7" x14ac:dyDescent="0.2">
      <c r="A413" s="3">
        <v>20</v>
      </c>
      <c r="B413" s="95">
        <f t="shared" si="154"/>
        <v>0</v>
      </c>
      <c r="C413" s="95">
        <f t="shared" si="149"/>
        <v>0</v>
      </c>
      <c r="D413" s="95">
        <f t="shared" si="150"/>
        <v>0</v>
      </c>
      <c r="E413" s="95">
        <f t="shared" si="151"/>
        <v>0</v>
      </c>
      <c r="F413" s="95">
        <f t="shared" si="152"/>
        <v>0</v>
      </c>
      <c r="G413" s="95">
        <f t="shared" si="153"/>
        <v>0</v>
      </c>
    </row>
    <row r="414" spans="1:7" x14ac:dyDescent="0.2">
      <c r="B414" s="95"/>
      <c r="C414" s="95"/>
      <c r="D414" s="95"/>
      <c r="E414" s="95"/>
      <c r="F414" s="95"/>
      <c r="G414" s="95"/>
    </row>
    <row r="415" spans="1:7" x14ac:dyDescent="0.2">
      <c r="A415" s="476" t="s">
        <v>800</v>
      </c>
      <c r="B415" s="476"/>
      <c r="C415" s="476"/>
      <c r="D415" s="476"/>
      <c r="E415" s="476"/>
      <c r="F415" s="476"/>
      <c r="G415" s="476"/>
    </row>
    <row r="416" spans="1:7" x14ac:dyDescent="0.2">
      <c r="A416" s="81" t="s">
        <v>94</v>
      </c>
      <c r="B416" s="81" t="s">
        <v>761</v>
      </c>
      <c r="C416" s="81" t="s">
        <v>795</v>
      </c>
      <c r="D416" s="81" t="s">
        <v>792</v>
      </c>
      <c r="E416" s="81" t="s">
        <v>791</v>
      </c>
      <c r="F416" s="81" t="s">
        <v>762</v>
      </c>
      <c r="G416" s="81" t="s">
        <v>763</v>
      </c>
    </row>
    <row r="417" spans="1:7" x14ac:dyDescent="0.2">
      <c r="A417" s="3">
        <v>1</v>
      </c>
      <c r="B417" s="95" t="e">
        <f t="shared" ref="B417:B436" si="155">D$15/$C$6</f>
        <v>#DIV/0!</v>
      </c>
      <c r="C417" s="95" t="e">
        <f t="shared" ref="C417:C436" si="156">(D$16+D$15)/$C$6</f>
        <v>#DIV/0!</v>
      </c>
      <c r="D417" s="95" t="e">
        <f t="shared" ref="D417:D436" si="157">AS61/$C$6</f>
        <v>#DIV/0!</v>
      </c>
      <c r="E417" s="95" t="e">
        <f t="shared" ref="E417:E436" si="158">AS177/$C$6</f>
        <v>#DIV/0!</v>
      </c>
      <c r="F417" s="95" t="e">
        <f t="shared" ref="F417:F436" si="159">IF($C$4="iRR",D417+B417,D417)</f>
        <v>#DIV/0!</v>
      </c>
      <c r="G417" s="95" t="e">
        <f t="shared" ref="G417:G436" si="160">IF($C$4="IRR",B417+E417,E417)</f>
        <v>#DIV/0!</v>
      </c>
    </row>
    <row r="418" spans="1:7" x14ac:dyDescent="0.2">
      <c r="A418" s="3">
        <v>2</v>
      </c>
      <c r="B418" s="95" t="e">
        <f t="shared" si="155"/>
        <v>#DIV/0!</v>
      </c>
      <c r="C418" s="95" t="e">
        <f t="shared" si="156"/>
        <v>#DIV/0!</v>
      </c>
      <c r="D418" s="95" t="e">
        <f t="shared" si="157"/>
        <v>#DIV/0!</v>
      </c>
      <c r="E418" s="95" t="e">
        <f t="shared" si="158"/>
        <v>#DIV/0!</v>
      </c>
      <c r="F418" s="95" t="e">
        <f t="shared" si="159"/>
        <v>#DIV/0!</v>
      </c>
      <c r="G418" s="95" t="e">
        <f t="shared" si="160"/>
        <v>#DIV/0!</v>
      </c>
    </row>
    <row r="419" spans="1:7" x14ac:dyDescent="0.2">
      <c r="A419" s="3">
        <v>3</v>
      </c>
      <c r="B419" s="95" t="e">
        <f t="shared" si="155"/>
        <v>#DIV/0!</v>
      </c>
      <c r="C419" s="95" t="e">
        <f t="shared" si="156"/>
        <v>#DIV/0!</v>
      </c>
      <c r="D419" s="95" t="e">
        <f t="shared" si="157"/>
        <v>#DIV/0!</v>
      </c>
      <c r="E419" s="95" t="e">
        <f t="shared" si="158"/>
        <v>#DIV/0!</v>
      </c>
      <c r="F419" s="95" t="e">
        <f t="shared" si="159"/>
        <v>#DIV/0!</v>
      </c>
      <c r="G419" s="95" t="e">
        <f t="shared" si="160"/>
        <v>#DIV/0!</v>
      </c>
    </row>
    <row r="420" spans="1:7" x14ac:dyDescent="0.2">
      <c r="A420" s="3">
        <v>4</v>
      </c>
      <c r="B420" s="95" t="e">
        <f t="shared" si="155"/>
        <v>#DIV/0!</v>
      </c>
      <c r="C420" s="95" t="e">
        <f t="shared" si="156"/>
        <v>#DIV/0!</v>
      </c>
      <c r="D420" s="95" t="e">
        <f t="shared" si="157"/>
        <v>#DIV/0!</v>
      </c>
      <c r="E420" s="95" t="e">
        <f t="shared" si="158"/>
        <v>#DIV/0!</v>
      </c>
      <c r="F420" s="95" t="e">
        <f t="shared" si="159"/>
        <v>#DIV/0!</v>
      </c>
      <c r="G420" s="95" t="e">
        <f t="shared" si="160"/>
        <v>#DIV/0!</v>
      </c>
    </row>
    <row r="421" spans="1:7" x14ac:dyDescent="0.2">
      <c r="A421" s="3">
        <v>5</v>
      </c>
      <c r="B421" s="95" t="e">
        <f t="shared" si="155"/>
        <v>#DIV/0!</v>
      </c>
      <c r="C421" s="95" t="e">
        <f t="shared" si="156"/>
        <v>#DIV/0!</v>
      </c>
      <c r="D421" s="95" t="e">
        <f t="shared" si="157"/>
        <v>#DIV/0!</v>
      </c>
      <c r="E421" s="95" t="e">
        <f t="shared" si="158"/>
        <v>#DIV/0!</v>
      </c>
      <c r="F421" s="95" t="e">
        <f t="shared" si="159"/>
        <v>#DIV/0!</v>
      </c>
      <c r="G421" s="95" t="e">
        <f t="shared" si="160"/>
        <v>#DIV/0!</v>
      </c>
    </row>
    <row r="422" spans="1:7" x14ac:dyDescent="0.2">
      <c r="A422" s="3">
        <v>6</v>
      </c>
      <c r="B422" s="95" t="e">
        <f t="shared" si="155"/>
        <v>#DIV/0!</v>
      </c>
      <c r="C422" s="95" t="e">
        <f t="shared" si="156"/>
        <v>#DIV/0!</v>
      </c>
      <c r="D422" s="95" t="e">
        <f t="shared" si="157"/>
        <v>#DIV/0!</v>
      </c>
      <c r="E422" s="95" t="e">
        <f t="shared" si="158"/>
        <v>#DIV/0!</v>
      </c>
      <c r="F422" s="95" t="e">
        <f t="shared" si="159"/>
        <v>#DIV/0!</v>
      </c>
      <c r="G422" s="95" t="e">
        <f t="shared" si="160"/>
        <v>#DIV/0!</v>
      </c>
    </row>
    <row r="423" spans="1:7" x14ac:dyDescent="0.2">
      <c r="A423" s="3">
        <v>7</v>
      </c>
      <c r="B423" s="95" t="e">
        <f t="shared" si="155"/>
        <v>#DIV/0!</v>
      </c>
      <c r="C423" s="95" t="e">
        <f t="shared" si="156"/>
        <v>#DIV/0!</v>
      </c>
      <c r="D423" s="95" t="e">
        <f t="shared" si="157"/>
        <v>#DIV/0!</v>
      </c>
      <c r="E423" s="95" t="e">
        <f t="shared" si="158"/>
        <v>#DIV/0!</v>
      </c>
      <c r="F423" s="95" t="e">
        <f t="shared" si="159"/>
        <v>#DIV/0!</v>
      </c>
      <c r="G423" s="95" t="e">
        <f t="shared" si="160"/>
        <v>#DIV/0!</v>
      </c>
    </row>
    <row r="424" spans="1:7" x14ac:dyDescent="0.2">
      <c r="A424" s="3">
        <v>8</v>
      </c>
      <c r="B424" s="95" t="e">
        <f t="shared" si="155"/>
        <v>#DIV/0!</v>
      </c>
      <c r="C424" s="95" t="e">
        <f t="shared" si="156"/>
        <v>#DIV/0!</v>
      </c>
      <c r="D424" s="95" t="e">
        <f t="shared" si="157"/>
        <v>#DIV/0!</v>
      </c>
      <c r="E424" s="95" t="e">
        <f t="shared" si="158"/>
        <v>#DIV/0!</v>
      </c>
      <c r="F424" s="95" t="e">
        <f t="shared" si="159"/>
        <v>#DIV/0!</v>
      </c>
      <c r="G424" s="95" t="e">
        <f t="shared" si="160"/>
        <v>#DIV/0!</v>
      </c>
    </row>
    <row r="425" spans="1:7" x14ac:dyDescent="0.2">
      <c r="A425" s="3">
        <v>9</v>
      </c>
      <c r="B425" s="95" t="e">
        <f t="shared" si="155"/>
        <v>#DIV/0!</v>
      </c>
      <c r="C425" s="95" t="e">
        <f t="shared" si="156"/>
        <v>#DIV/0!</v>
      </c>
      <c r="D425" s="95" t="e">
        <f t="shared" si="157"/>
        <v>#DIV/0!</v>
      </c>
      <c r="E425" s="95" t="e">
        <f t="shared" si="158"/>
        <v>#DIV/0!</v>
      </c>
      <c r="F425" s="95" t="e">
        <f t="shared" si="159"/>
        <v>#DIV/0!</v>
      </c>
      <c r="G425" s="95" t="e">
        <f t="shared" si="160"/>
        <v>#DIV/0!</v>
      </c>
    </row>
    <row r="426" spans="1:7" x14ac:dyDescent="0.2">
      <c r="A426" s="3">
        <v>10</v>
      </c>
      <c r="B426" s="95" t="e">
        <f t="shared" si="155"/>
        <v>#DIV/0!</v>
      </c>
      <c r="C426" s="95" t="e">
        <f t="shared" si="156"/>
        <v>#DIV/0!</v>
      </c>
      <c r="D426" s="95" t="e">
        <f t="shared" si="157"/>
        <v>#DIV/0!</v>
      </c>
      <c r="E426" s="95" t="e">
        <f t="shared" si="158"/>
        <v>#DIV/0!</v>
      </c>
      <c r="F426" s="95" t="e">
        <f t="shared" si="159"/>
        <v>#DIV/0!</v>
      </c>
      <c r="G426" s="95" t="e">
        <f t="shared" si="160"/>
        <v>#DIV/0!</v>
      </c>
    </row>
    <row r="427" spans="1:7" x14ac:dyDescent="0.2">
      <c r="A427" s="3">
        <v>11</v>
      </c>
      <c r="B427" s="95" t="e">
        <f t="shared" si="155"/>
        <v>#DIV/0!</v>
      </c>
      <c r="C427" s="95" t="e">
        <f t="shared" si="156"/>
        <v>#DIV/0!</v>
      </c>
      <c r="D427" s="95" t="e">
        <f t="shared" si="157"/>
        <v>#DIV/0!</v>
      </c>
      <c r="E427" s="95" t="e">
        <f t="shared" si="158"/>
        <v>#DIV/0!</v>
      </c>
      <c r="F427" s="95" t="e">
        <f t="shared" si="159"/>
        <v>#DIV/0!</v>
      </c>
      <c r="G427" s="95" t="e">
        <f t="shared" si="160"/>
        <v>#DIV/0!</v>
      </c>
    </row>
    <row r="428" spans="1:7" x14ac:dyDescent="0.2">
      <c r="A428" s="3">
        <v>12</v>
      </c>
      <c r="B428" s="95" t="e">
        <f t="shared" si="155"/>
        <v>#DIV/0!</v>
      </c>
      <c r="C428" s="95" t="e">
        <f t="shared" si="156"/>
        <v>#DIV/0!</v>
      </c>
      <c r="D428" s="95" t="e">
        <f t="shared" si="157"/>
        <v>#DIV/0!</v>
      </c>
      <c r="E428" s="95" t="e">
        <f t="shared" si="158"/>
        <v>#DIV/0!</v>
      </c>
      <c r="F428" s="95" t="e">
        <f t="shared" si="159"/>
        <v>#DIV/0!</v>
      </c>
      <c r="G428" s="95" t="e">
        <f t="shared" si="160"/>
        <v>#DIV/0!</v>
      </c>
    </row>
    <row r="429" spans="1:7" x14ac:dyDescent="0.2">
      <c r="A429" s="3">
        <v>13</v>
      </c>
      <c r="B429" s="95" t="e">
        <f t="shared" si="155"/>
        <v>#DIV/0!</v>
      </c>
      <c r="C429" s="95" t="e">
        <f t="shared" si="156"/>
        <v>#DIV/0!</v>
      </c>
      <c r="D429" s="95" t="e">
        <f t="shared" si="157"/>
        <v>#DIV/0!</v>
      </c>
      <c r="E429" s="95" t="e">
        <f t="shared" si="158"/>
        <v>#DIV/0!</v>
      </c>
      <c r="F429" s="95" t="e">
        <f t="shared" si="159"/>
        <v>#DIV/0!</v>
      </c>
      <c r="G429" s="95" t="e">
        <f t="shared" si="160"/>
        <v>#DIV/0!</v>
      </c>
    </row>
    <row r="430" spans="1:7" x14ac:dyDescent="0.2">
      <c r="A430" s="3">
        <v>14</v>
      </c>
      <c r="B430" s="95" t="e">
        <f t="shared" si="155"/>
        <v>#DIV/0!</v>
      </c>
      <c r="C430" s="95" t="e">
        <f t="shared" si="156"/>
        <v>#DIV/0!</v>
      </c>
      <c r="D430" s="95" t="e">
        <f t="shared" si="157"/>
        <v>#DIV/0!</v>
      </c>
      <c r="E430" s="95" t="e">
        <f t="shared" si="158"/>
        <v>#DIV/0!</v>
      </c>
      <c r="F430" s="95" t="e">
        <f t="shared" si="159"/>
        <v>#DIV/0!</v>
      </c>
      <c r="G430" s="95" t="e">
        <f t="shared" si="160"/>
        <v>#DIV/0!</v>
      </c>
    </row>
    <row r="431" spans="1:7" x14ac:dyDescent="0.2">
      <c r="A431" s="3">
        <v>15</v>
      </c>
      <c r="B431" s="95" t="e">
        <f t="shared" si="155"/>
        <v>#DIV/0!</v>
      </c>
      <c r="C431" s="95" t="e">
        <f t="shared" si="156"/>
        <v>#DIV/0!</v>
      </c>
      <c r="D431" s="95" t="e">
        <f t="shared" si="157"/>
        <v>#DIV/0!</v>
      </c>
      <c r="E431" s="95" t="e">
        <f t="shared" si="158"/>
        <v>#DIV/0!</v>
      </c>
      <c r="F431" s="95" t="e">
        <f t="shared" si="159"/>
        <v>#DIV/0!</v>
      </c>
      <c r="G431" s="95" t="e">
        <f t="shared" si="160"/>
        <v>#DIV/0!</v>
      </c>
    </row>
    <row r="432" spans="1:7" x14ac:dyDescent="0.2">
      <c r="A432" s="3">
        <v>16</v>
      </c>
      <c r="B432" s="95" t="e">
        <f t="shared" si="155"/>
        <v>#DIV/0!</v>
      </c>
      <c r="C432" s="95" t="e">
        <f t="shared" si="156"/>
        <v>#DIV/0!</v>
      </c>
      <c r="D432" s="95" t="e">
        <f t="shared" si="157"/>
        <v>#DIV/0!</v>
      </c>
      <c r="E432" s="95" t="e">
        <f t="shared" si="158"/>
        <v>#DIV/0!</v>
      </c>
      <c r="F432" s="95" t="e">
        <f t="shared" si="159"/>
        <v>#DIV/0!</v>
      </c>
      <c r="G432" s="95" t="e">
        <f t="shared" si="160"/>
        <v>#DIV/0!</v>
      </c>
    </row>
    <row r="433" spans="1:7" x14ac:dyDescent="0.2">
      <c r="A433" s="3">
        <v>17</v>
      </c>
      <c r="B433" s="95" t="e">
        <f t="shared" si="155"/>
        <v>#DIV/0!</v>
      </c>
      <c r="C433" s="95" t="e">
        <f t="shared" si="156"/>
        <v>#DIV/0!</v>
      </c>
      <c r="D433" s="95" t="e">
        <f t="shared" si="157"/>
        <v>#DIV/0!</v>
      </c>
      <c r="E433" s="95" t="e">
        <f t="shared" si="158"/>
        <v>#DIV/0!</v>
      </c>
      <c r="F433" s="95" t="e">
        <f t="shared" si="159"/>
        <v>#DIV/0!</v>
      </c>
      <c r="G433" s="95" t="e">
        <f t="shared" si="160"/>
        <v>#DIV/0!</v>
      </c>
    </row>
    <row r="434" spans="1:7" x14ac:dyDescent="0.2">
      <c r="A434" s="3">
        <v>18</v>
      </c>
      <c r="B434" s="95" t="e">
        <f t="shared" si="155"/>
        <v>#DIV/0!</v>
      </c>
      <c r="C434" s="95" t="e">
        <f t="shared" si="156"/>
        <v>#DIV/0!</v>
      </c>
      <c r="D434" s="95" t="e">
        <f t="shared" si="157"/>
        <v>#DIV/0!</v>
      </c>
      <c r="E434" s="95" t="e">
        <f t="shared" si="158"/>
        <v>#DIV/0!</v>
      </c>
      <c r="F434" s="95" t="e">
        <f t="shared" si="159"/>
        <v>#DIV/0!</v>
      </c>
      <c r="G434" s="95" t="e">
        <f t="shared" si="160"/>
        <v>#DIV/0!</v>
      </c>
    </row>
    <row r="435" spans="1:7" x14ac:dyDescent="0.2">
      <c r="A435" s="3">
        <v>19</v>
      </c>
      <c r="B435" s="95" t="e">
        <f t="shared" si="155"/>
        <v>#DIV/0!</v>
      </c>
      <c r="C435" s="95" t="e">
        <f t="shared" si="156"/>
        <v>#DIV/0!</v>
      </c>
      <c r="D435" s="95" t="e">
        <f t="shared" si="157"/>
        <v>#DIV/0!</v>
      </c>
      <c r="E435" s="95" t="e">
        <f t="shared" si="158"/>
        <v>#DIV/0!</v>
      </c>
      <c r="F435" s="95" t="e">
        <f t="shared" si="159"/>
        <v>#DIV/0!</v>
      </c>
      <c r="G435" s="95" t="e">
        <f t="shared" si="160"/>
        <v>#DIV/0!</v>
      </c>
    </row>
    <row r="436" spans="1:7" x14ac:dyDescent="0.2">
      <c r="A436" s="3">
        <v>20</v>
      </c>
      <c r="B436" s="95" t="e">
        <f t="shared" si="155"/>
        <v>#DIV/0!</v>
      </c>
      <c r="C436" s="95" t="e">
        <f t="shared" si="156"/>
        <v>#DIV/0!</v>
      </c>
      <c r="D436" s="95" t="e">
        <f t="shared" si="157"/>
        <v>#DIV/0!</v>
      </c>
      <c r="E436" s="95" t="e">
        <f t="shared" si="158"/>
        <v>#DIV/0!</v>
      </c>
      <c r="F436" s="95" t="e">
        <f t="shared" si="159"/>
        <v>#DIV/0!</v>
      </c>
      <c r="G436" s="95" t="e">
        <f t="shared" si="160"/>
        <v>#DIV/0!</v>
      </c>
    </row>
    <row r="438" spans="1:7" x14ac:dyDescent="0.2">
      <c r="F438" s="95" t="e">
        <f>F436-F417</f>
        <v>#DIV/0!</v>
      </c>
      <c r="G438" s="95" t="e">
        <f>G436-G417</f>
        <v>#DIV/0!</v>
      </c>
    </row>
    <row r="439" spans="1:7" x14ac:dyDescent="0.2">
      <c r="G439" s="95" t="e">
        <f>G438-F438</f>
        <v>#DIV/0!</v>
      </c>
    </row>
  </sheetData>
  <sheetProtection algorithmName="SHA-512" hashValue="+uBwz5Po9fXbGacq2VTjpyFmUxFQIF1ETRi7A4SEDJ7YYXRjs3uLx6H+nl+/NSO3LEitQdZoevWrr4QSSdt/AQ==" saltValue="GRYxHEECUxylHkU88ZcyEQ==" spinCount="100000" sheet="1" objects="1" scenarios="1"/>
  <mergeCells count="59">
    <mergeCell ref="A415:G415"/>
    <mergeCell ref="A200:A205"/>
    <mergeCell ref="A207:A227"/>
    <mergeCell ref="AB209:AE214"/>
    <mergeCell ref="A232:A252"/>
    <mergeCell ref="A344:D344"/>
    <mergeCell ref="A368:D368"/>
    <mergeCell ref="A306:A308"/>
    <mergeCell ref="J333:K333"/>
    <mergeCell ref="B335:B338"/>
    <mergeCell ref="A256:A257"/>
    <mergeCell ref="A259:A279"/>
    <mergeCell ref="A281:B282"/>
    <mergeCell ref="A284:A304"/>
    <mergeCell ref="K284:K304"/>
    <mergeCell ref="J173:J174"/>
    <mergeCell ref="S173:S174"/>
    <mergeCell ref="AB173:AB174"/>
    <mergeCell ref="A176:A196"/>
    <mergeCell ref="J176:J196"/>
    <mergeCell ref="S176:S196"/>
    <mergeCell ref="AB176:AB196"/>
    <mergeCell ref="AO117:AO137"/>
    <mergeCell ref="AK60:AK80"/>
    <mergeCell ref="K232:K252"/>
    <mergeCell ref="U232:U252"/>
    <mergeCell ref="AE232:AE252"/>
    <mergeCell ref="AK176:AK196"/>
    <mergeCell ref="AB91:AE97"/>
    <mergeCell ref="K117:K137"/>
    <mergeCell ref="U117:U137"/>
    <mergeCell ref="AE117:AE137"/>
    <mergeCell ref="AO232:AO252"/>
    <mergeCell ref="J60:J80"/>
    <mergeCell ref="S60:S80"/>
    <mergeCell ref="AB60:AB80"/>
    <mergeCell ref="S57:S58"/>
    <mergeCell ref="AQ60:AQ80"/>
    <mergeCell ref="G18:G38"/>
    <mergeCell ref="A52:A53"/>
    <mergeCell ref="A57:A58"/>
    <mergeCell ref="J57:J58"/>
    <mergeCell ref="AB57:AB58"/>
    <mergeCell ref="A18:A49"/>
    <mergeCell ref="B15:C15"/>
    <mergeCell ref="A1:A2"/>
    <mergeCell ref="E3:E7"/>
    <mergeCell ref="A10:A11"/>
    <mergeCell ref="B13:C13"/>
    <mergeCell ref="A3:A7"/>
    <mergeCell ref="A141:A142"/>
    <mergeCell ref="A144:A164"/>
    <mergeCell ref="A167:A169"/>
    <mergeCell ref="A173:A174"/>
    <mergeCell ref="B16:C16"/>
    <mergeCell ref="A117:A137"/>
    <mergeCell ref="A84:A89"/>
    <mergeCell ref="A91:A111"/>
    <mergeCell ref="A60:A80"/>
  </mergeCells>
  <pageMargins left="0.7" right="0.7" top="0.75" bottom="0.75" header="0.3" footer="0.3"/>
  <pageSetup paperSize="9" orientation="portrait" r:id="rId1"/>
  <drawing r:id="rId2"/>
  <tableParts count="38">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 r:id="rId23"/>
    <tablePart r:id="rId24"/>
    <tablePart r:id="rId25"/>
    <tablePart r:id="rId26"/>
    <tablePart r:id="rId27"/>
    <tablePart r:id="rId28"/>
    <tablePart r:id="rId29"/>
    <tablePart r:id="rId30"/>
    <tablePart r:id="rId31"/>
    <tablePart r:id="rId32"/>
    <tablePart r:id="rId33"/>
    <tablePart r:id="rId34"/>
    <tablePart r:id="rId35"/>
    <tablePart r:id="rId36"/>
    <tablePart r:id="rId37"/>
    <tablePart r:id="rId38"/>
    <tablePart r:id="rId39"/>
    <tablePart r:id="rId40"/>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273C4F-E861-C145-8067-65507C1A25C6}">
  <sheetPr>
    <tabColor rgb="FF00B050"/>
  </sheetPr>
  <dimension ref="A1:AZ439"/>
  <sheetViews>
    <sheetView topLeftCell="A179" zoomScale="94" zoomScaleNormal="50" workbookViewId="0">
      <selection activeCell="C205" sqref="C205"/>
    </sheetView>
  </sheetViews>
  <sheetFormatPr baseColWidth="10" defaultColWidth="11.1640625" defaultRowHeight="16" x14ac:dyDescent="0.2"/>
  <cols>
    <col min="1" max="1" width="16" style="3" customWidth="1"/>
    <col min="2" max="2" width="26" style="3" bestFit="1" customWidth="1"/>
    <col min="3" max="3" width="20.1640625" style="3" bestFit="1" customWidth="1"/>
    <col min="4" max="4" width="13.83203125" style="3" customWidth="1"/>
    <col min="5" max="5" width="19.6640625" style="3" bestFit="1" customWidth="1"/>
    <col min="6" max="6" width="20.1640625" style="3" bestFit="1" customWidth="1"/>
    <col min="7" max="7" width="14" style="3" customWidth="1"/>
    <col min="8" max="8" width="14.5" style="3" customWidth="1"/>
    <col min="9" max="9" width="15.1640625" style="3" customWidth="1"/>
    <col min="10" max="10" width="15.5" style="3" customWidth="1"/>
    <col min="11" max="11" width="15.1640625" style="3" customWidth="1"/>
    <col min="12" max="12" width="16.5" style="3" customWidth="1"/>
    <col min="13" max="13" width="17" style="3" customWidth="1"/>
    <col min="14" max="14" width="17" style="3" bestFit="1" customWidth="1"/>
    <col min="15" max="15" width="20.6640625" style="3" bestFit="1" customWidth="1"/>
    <col min="16" max="17" width="11.1640625" style="3"/>
    <col min="18" max="18" width="14.1640625" style="3" bestFit="1" customWidth="1"/>
    <col min="19" max="19" width="13.1640625" style="3" customWidth="1"/>
    <col min="20" max="26" width="11.1640625" style="3"/>
    <col min="27" max="27" width="13" style="3" customWidth="1"/>
    <col min="28" max="28" width="12.1640625" style="3" customWidth="1"/>
    <col min="29" max="29" width="12.5" style="3" customWidth="1"/>
    <col min="30" max="30" width="11.1640625" style="3"/>
    <col min="31" max="31" width="11.83203125" style="3" customWidth="1"/>
    <col min="32" max="32" width="12.33203125" style="3" customWidth="1"/>
    <col min="33" max="43" width="11.1640625" style="3"/>
    <col min="44" max="44" width="15.5" style="3" bestFit="1" customWidth="1"/>
    <col min="45" max="16384" width="11.1640625" style="3"/>
  </cols>
  <sheetData>
    <row r="1" spans="1:19" s="212" customFormat="1" x14ac:dyDescent="0.2">
      <c r="A1" s="468" t="s">
        <v>222</v>
      </c>
      <c r="B1" s="212" t="s">
        <v>223</v>
      </c>
      <c r="C1" s="212" t="s">
        <v>192</v>
      </c>
    </row>
    <row r="2" spans="1:19" s="212" customFormat="1" x14ac:dyDescent="0.2">
      <c r="A2" s="468"/>
      <c r="B2" s="213"/>
      <c r="C2" s="213"/>
    </row>
    <row r="3" spans="1:19" ht="16" customHeight="1" x14ac:dyDescent="0.2">
      <c r="A3" s="469" t="s">
        <v>612</v>
      </c>
      <c r="B3" s="4" t="s">
        <v>5</v>
      </c>
      <c r="C3" s="4" t="s">
        <v>12</v>
      </c>
      <c r="D3" s="4"/>
      <c r="E3" s="471" t="s">
        <v>613</v>
      </c>
      <c r="F3" s="4" t="s">
        <v>0</v>
      </c>
      <c r="G3" s="4" t="s">
        <v>8</v>
      </c>
      <c r="H3" s="4" t="s">
        <v>171</v>
      </c>
      <c r="I3" s="39" t="s">
        <v>616</v>
      </c>
      <c r="J3" s="39" t="s">
        <v>790</v>
      </c>
      <c r="K3" s="39" t="s">
        <v>788</v>
      </c>
      <c r="L3" s="39" t="s">
        <v>789</v>
      </c>
      <c r="M3" s="39" t="s">
        <v>783</v>
      </c>
      <c r="N3" s="39" t="s">
        <v>779</v>
      </c>
      <c r="O3" s="39" t="s">
        <v>793</v>
      </c>
      <c r="P3" s="81" t="s">
        <v>228</v>
      </c>
      <c r="Q3" s="39" t="s">
        <v>772</v>
      </c>
      <c r="R3" s="39" t="s">
        <v>773</v>
      </c>
      <c r="S3" s="81" t="s">
        <v>774</v>
      </c>
    </row>
    <row r="4" spans="1:19" ht="16" customHeight="1" x14ac:dyDescent="0.2">
      <c r="A4" s="469"/>
      <c r="B4" s="4" t="s">
        <v>6</v>
      </c>
      <c r="C4" s="4" t="str">
        <f>VLOOKUP(C1,Tableau619[],3,FALSE)</f>
        <v/>
      </c>
      <c r="D4" s="4"/>
      <c r="E4" s="469"/>
      <c r="F4" s="4" t="str">
        <f>C$1</f>
        <v>D</v>
      </c>
      <c r="G4" s="4" t="str">
        <f>INITIAL_FORET!Y14</f>
        <v/>
      </c>
      <c r="H4" s="58" t="str">
        <f>IF(OR(G4=0,G4=""),"",VLOOKUP(G4,Tableau45[],3,FALSE))</f>
        <v/>
      </c>
      <c r="I4" s="103" t="str">
        <f>IF(OR(F4="",G4=""),"",VLOOKUP(CONCATENATE(F4,"_",G4),INITIAL_FORET!$AB$40:$AQ$55,5,FALSE))</f>
        <v/>
      </c>
      <c r="J4" s="16" t="str">
        <f>IF(OR(I4=0,I4=""),"",VLOOKUP(G4,Tableau45[[Essence]:[RiskEss_choisi]],2,FALSE))</f>
        <v/>
      </c>
      <c r="K4" s="130" t="str">
        <f>IF(OR(G4=0,G4=""),"",I4*(1-J4))</f>
        <v/>
      </c>
      <c r="L4" s="227" t="str">
        <f>IF(OR(G4=0,G4=""),"",VLOOKUP(CONCATENATE(F4,"_",G4),INITIAL_FORET!$AB$40:$AQ$55,10,FALSE))</f>
        <v/>
      </c>
      <c r="M4" s="103" t="str">
        <f>IF(OR(G4=0,G4=""),"",VLOOKUP(CONCATENATE(F4,"_",G4),INITIAL_FORET!$AB$40:$AQ$55,12,FALSE))</f>
        <v/>
      </c>
      <c r="N4" s="103" t="str">
        <f>IF(OR(G4=0,G4=""),"",VLOOKUP(CONCATENATE(F4,"_",G4),INITIAL_FORET!$AB$40:$AQ$55,11,FALSE))</f>
        <v/>
      </c>
      <c r="O4" s="103" t="str">
        <f>IF(OR(G4=0,G4=""),"",IF($C$4="IRR",VLOOKUP(CONCATENATE(F4,"_",G4),INITIAL_FORET!$AB$40:$AQ$55,13,FALSE),K4-(K4/$C$6)*SUM($I$19:$I$38)))</f>
        <v/>
      </c>
      <c r="P4" s="3" t="str">
        <f>IF(OR(G4=0,G4=""),"",IF(VLOOKUP(G4,Tableau45[],5,FALSE)="Feuillus","Feuillus","Résineux"))</f>
        <v/>
      </c>
      <c r="Q4" s="103">
        <f>IF(L4="",0,L4*VLOOKUP(G4,Tableau44[[Code_ess]:[FEB]],4,FALSE))</f>
        <v>0</v>
      </c>
      <c r="R4" s="226">
        <f>IF(Q4&gt;0,EXP(-1.0587+0.8836*LN(Q4)+0.284),0)</f>
        <v>0</v>
      </c>
      <c r="S4" s="226">
        <f>SUM(Q4:R4)*0.475*44/12</f>
        <v>0</v>
      </c>
    </row>
    <row r="5" spans="1:19" x14ac:dyDescent="0.2">
      <c r="A5" s="469"/>
      <c r="B5" s="4" t="s">
        <v>87</v>
      </c>
      <c r="C5" s="22" t="str">
        <f>Niv_engt</f>
        <v/>
      </c>
      <c r="D5" s="4"/>
      <c r="E5" s="469"/>
      <c r="F5" s="4" t="str">
        <f>C$1</f>
        <v>D</v>
      </c>
      <c r="G5" s="4" t="str">
        <f>INITIAL_FORET!Y15</f>
        <v/>
      </c>
      <c r="H5" s="58" t="str">
        <f>IF(OR(G5=0,G5=""),"",VLOOKUP(G5,Tableau45[],3,FALSE))</f>
        <v/>
      </c>
      <c r="I5" s="131" t="str">
        <f>IF(OR(F5="",G5=""),"",VLOOKUP(CONCATENATE(F5,"_",G5),INITIAL_FORET!$AB$40:$AQ$55,5,FALSE))</f>
        <v/>
      </c>
      <c r="J5" s="246" t="str">
        <f>IF(OR(I5=0,I5=""),"",VLOOKUP(G5,Tableau45[[Essence]:[RiskEss_choisi]],2,FALSE))</f>
        <v/>
      </c>
      <c r="K5" s="130" t="str">
        <f t="shared" ref="K5:K7" si="0">IF(OR(G5=0,G5=""),"",I5*(1-J5))</f>
        <v/>
      </c>
      <c r="L5" s="227" t="str">
        <f>IF(OR(G5=0,G5=""),"",VLOOKUP(CONCATENATE(F5,"_",G5),INITIAL_FORET!$AB$40:$AQ$55,10,FALSE))</f>
        <v/>
      </c>
      <c r="M5" s="103" t="str">
        <f>IF(OR(G5=0,G5=""),"",VLOOKUP(CONCATENATE(F5,"_",G5),INITIAL_FORET!$AB$40:$AQ$55,12,FALSE))</f>
        <v/>
      </c>
      <c r="N5" s="103" t="str">
        <f>IF(OR(G5=0,G5=""),"",VLOOKUP(CONCATENATE(F5,"_",G5),INITIAL_FORET!$AB$40:$AQ$55,11,FALSE))</f>
        <v/>
      </c>
      <c r="O5" s="103" t="str">
        <f>IF(OR(G5=0,G5=""),"",IF($C$4="IRR",VLOOKUP(CONCATENATE(F5,"_",G5),INITIAL_FORET!$AB$40:$AQ$55,13,FALSE),K5-(K5/$C$6)*SUM($I$19:$I$38)))</f>
        <v/>
      </c>
      <c r="P5" s="3" t="str">
        <f>IF(OR(G5=0,G5=""),"",IF(VLOOKUP(G5,Tableau45[],5,FALSE)="Feuillus","Feuillus","Résineux"))</f>
        <v/>
      </c>
      <c r="Q5" s="103">
        <f>IF(L5="",0,L5*VLOOKUP(G5,Tableau44[[Code_ess]:[FEB]],4,FALSE))</f>
        <v>0</v>
      </c>
      <c r="R5" s="103">
        <f t="shared" ref="R5:R7" si="1">IF(Q5&gt;0,EXP(-1.0587+0.8836*LN(Q5)+0.284),0)</f>
        <v>0</v>
      </c>
      <c r="S5" s="95">
        <f t="shared" ref="S5:S7" si="2">SUM(Q5:R5)*0.475*44/12</f>
        <v>0</v>
      </c>
    </row>
    <row r="6" spans="1:19" x14ac:dyDescent="0.2">
      <c r="A6" s="469"/>
      <c r="B6" s="5" t="s">
        <v>226</v>
      </c>
      <c r="C6" s="29">
        <f>VLOOKUP(C1,Tableau619[],4,FALSE)</f>
        <v>0</v>
      </c>
      <c r="D6" s="4"/>
      <c r="E6" s="469"/>
      <c r="F6" s="4" t="str">
        <f>C$1</f>
        <v>D</v>
      </c>
      <c r="G6" s="4" t="str">
        <f>INITIAL_FORET!Y16</f>
        <v/>
      </c>
      <c r="H6" s="58" t="str">
        <f>IF(OR(G6=0,G6=""),"",VLOOKUP(G6,Tableau45[],3,FALSE))</f>
        <v/>
      </c>
      <c r="I6" s="131" t="str">
        <f>IF(OR(F6="",G6=""),"",VLOOKUP(CONCATENATE(F6,"_",G6),INITIAL_FORET!$AB$40:$AQ$55,5,FALSE))</f>
        <v/>
      </c>
      <c r="J6" s="246" t="str">
        <f>IF(OR(I6=0,I6=""),"",VLOOKUP(G6,Tableau45[[Essence]:[RiskEss_choisi]],2,FALSE))</f>
        <v/>
      </c>
      <c r="K6" s="130" t="str">
        <f t="shared" si="0"/>
        <v/>
      </c>
      <c r="L6" s="227" t="str">
        <f>IF(OR(G6=0,G6=""),"",VLOOKUP(CONCATENATE(F6,"_",G6),INITIAL_FORET!$AB$40:$AQ$55,10,FALSE))</f>
        <v/>
      </c>
      <c r="M6" s="103" t="str">
        <f>IF(OR(G6=0,G6=""),"",VLOOKUP(CONCATENATE(F6,"_",G6),INITIAL_FORET!$AB$40:$AQ$55,12,FALSE))</f>
        <v/>
      </c>
      <c r="N6" s="103" t="str">
        <f>IF(OR(G6=0,G6=""),"",VLOOKUP(CONCATENATE(F6,"_",G6),INITIAL_FORET!$AB$40:$AQ$55,11,FALSE))</f>
        <v/>
      </c>
      <c r="O6" s="103" t="str">
        <f>IF(OR(G6=0,G6=""),"",IF($C$4="IRR",VLOOKUP(CONCATENATE(F6,"_",G6),INITIAL_FORET!$AB$40:$AQ$55,13,FALSE),K6-(K6/$C$6)*SUM($I$19:$I$38)))</f>
        <v/>
      </c>
      <c r="P6" s="3" t="str">
        <f>IF(OR(G6=0,G6=""),"",IF(VLOOKUP(G6,Tableau45[],5,FALSE)="Feuillus","Feuillus","Résineux"))</f>
        <v/>
      </c>
      <c r="Q6" s="103">
        <f>IF(L6="",0,L6*VLOOKUP(G6,Tableau44[[Code_ess]:[FEB]],4,FALSE))</f>
        <v>0</v>
      </c>
      <c r="R6" s="103">
        <f t="shared" si="1"/>
        <v>0</v>
      </c>
      <c r="S6" s="95">
        <f t="shared" si="2"/>
        <v>0</v>
      </c>
    </row>
    <row r="7" spans="1:19" x14ac:dyDescent="0.2">
      <c r="A7" s="469"/>
      <c r="B7" s="5" t="s">
        <v>756</v>
      </c>
      <c r="C7" s="30">
        <f>IF(VLOOKUP(C1,Tableau223[],5,FALSE)="",0,VLOOKUP(C1,Tableau223[],5,FALSE))</f>
        <v>0</v>
      </c>
      <c r="D7" s="4"/>
      <c r="E7" s="469"/>
      <c r="F7" s="4" t="str">
        <f>C$1</f>
        <v>D</v>
      </c>
      <c r="G7" s="4" t="str">
        <f>INITIAL_FORET!Y17</f>
        <v/>
      </c>
      <c r="H7" s="22" t="str">
        <f>IF(OR(G7=0,G7=""),"",VLOOKUP(G7,Tableau45[],3,FALSE))</f>
        <v/>
      </c>
      <c r="I7" s="131" t="str">
        <f>IF(OR(F7="",G7=""),"",VLOOKUP(CONCATENATE(F7,"_",G7),INITIAL_FORET!$AB$40:$AQ$55,5,FALSE))</f>
        <v/>
      </c>
      <c r="J7" s="246" t="str">
        <f>IF(OR(I7=0,I7=""),"",VLOOKUP(G7,Tableau45[[Essence]:[RiskEss_choisi]],2,FALSE))</f>
        <v/>
      </c>
      <c r="K7" s="130" t="str">
        <f t="shared" si="0"/>
        <v/>
      </c>
      <c r="L7" s="227" t="str">
        <f>IF(OR(G7=0,G7=""),"",VLOOKUP(CONCATENATE(F7,"_",G7),INITIAL_FORET!$AB$40:$AQ$55,10,FALSE))</f>
        <v/>
      </c>
      <c r="M7" s="103" t="str">
        <f>IF(OR(G7=0,G7=""),"",VLOOKUP(CONCATENATE(F7,"_",G7),INITIAL_FORET!$AB$40:$AQ$55,12,FALSE))</f>
        <v/>
      </c>
      <c r="N7" s="103" t="str">
        <f>IF(OR(G7=0,G7=""),"",VLOOKUP(CONCATENATE(F7,"_",G7),INITIAL_FORET!$AB$40:$AQ$55,11,FALSE))</f>
        <v/>
      </c>
      <c r="O7" s="103" t="str">
        <f>IF(OR(G7=0,G7=""),"",IF($C$4="IRR",VLOOKUP(CONCATENATE(F7,"_",G7),INITIAL_FORET!$AB$40:$AQ$55,13,FALSE),K7-(K7/$C$6)*SUM($I$19:$I$38)))</f>
        <v/>
      </c>
      <c r="P7" s="3" t="str">
        <f>IF(OR(G7=0,G7=""),"",IF(VLOOKUP(G7,Tableau45[],5,FALSE)="Feuillus","Feuillus","Résineux"))</f>
        <v/>
      </c>
      <c r="Q7" s="103">
        <f>IF(L7="",0,L7*VLOOKUP(G7,Tableau44[[Code_ess]:[FEB]],4,FALSE))</f>
        <v>0</v>
      </c>
      <c r="R7" s="103">
        <f t="shared" si="1"/>
        <v>0</v>
      </c>
      <c r="S7" s="95">
        <f t="shared" si="2"/>
        <v>0</v>
      </c>
    </row>
    <row r="8" spans="1:19" x14ac:dyDescent="0.2">
      <c r="A8" s="330"/>
      <c r="B8" s="5"/>
      <c r="C8" s="32"/>
      <c r="D8" s="4"/>
      <c r="E8" s="60"/>
      <c r="I8" s="11"/>
      <c r="O8" s="4"/>
      <c r="P8" s="4"/>
    </row>
    <row r="9" spans="1:19" x14ac:dyDescent="0.2">
      <c r="A9" s="4"/>
      <c r="B9" s="4"/>
      <c r="C9" s="4"/>
      <c r="D9" s="4"/>
      <c r="E9" s="4"/>
      <c r="F9" s="4"/>
      <c r="G9" s="4"/>
      <c r="I9" s="62" t="s">
        <v>615</v>
      </c>
      <c r="J9" s="4"/>
      <c r="K9" s="102"/>
      <c r="L9" s="4"/>
      <c r="M9" s="12"/>
      <c r="N9" s="4"/>
      <c r="O9" s="4"/>
      <c r="P9" s="4"/>
    </row>
    <row r="10" spans="1:19" ht="16" customHeight="1" x14ac:dyDescent="0.2">
      <c r="A10" s="469" t="s">
        <v>614</v>
      </c>
      <c r="B10" s="4" t="s">
        <v>170</v>
      </c>
      <c r="C10" s="3" t="s">
        <v>17</v>
      </c>
      <c r="D10" s="3" t="s">
        <v>61</v>
      </c>
      <c r="I10" s="132">
        <f>MAX(Tableau15615178406445484[Vol_tot])</f>
        <v>0</v>
      </c>
      <c r="J10" s="57"/>
      <c r="K10" s="229"/>
      <c r="L10" s="57"/>
      <c r="M10" s="97"/>
      <c r="N10" s="98"/>
    </row>
    <row r="11" spans="1:19" ht="16" customHeight="1" x14ac:dyDescent="0.2">
      <c r="A11" s="469"/>
      <c r="B11" s="4" t="str">
        <f>IF(I4=I10,G4,IF(I5=I10,G5,IF(I6=I10,G6,G7)))</f>
        <v/>
      </c>
      <c r="C11" s="3">
        <f>IF(OR(B11=0,B11=""),0,VLOOKUP(B11,Tableau44[[Code_ess]:[FEB]],4,FALSE))</f>
        <v>0</v>
      </c>
      <c r="D11" s="3">
        <f>IF(OR(B11=0,B11=""),0,VLOOKUP(B11,Tableau44[[Code_ess]:[FEB]],5,FALSE))</f>
        <v>0</v>
      </c>
      <c r="J11" s="57"/>
      <c r="K11" s="230"/>
      <c r="L11" s="57"/>
      <c r="M11" s="57"/>
    </row>
    <row r="12" spans="1:19" ht="16" customHeight="1" x14ac:dyDescent="0.2">
      <c r="A12" s="39"/>
      <c r="B12" s="4"/>
      <c r="C12" s="4"/>
      <c r="D12" s="4"/>
      <c r="J12" s="4"/>
      <c r="K12" s="57"/>
      <c r="L12" s="57"/>
      <c r="M12" s="57"/>
    </row>
    <row r="13" spans="1:19" ht="16" customHeight="1" x14ac:dyDescent="0.2">
      <c r="A13" s="4"/>
      <c r="B13" s="470" t="s">
        <v>625</v>
      </c>
      <c r="C13" s="470"/>
      <c r="D13" s="61">
        <f>IF(C4="REG",75%,IF(C4="RASE",90%,50%))</f>
        <v>0.5</v>
      </c>
      <c r="J13" s="4"/>
      <c r="K13" s="57"/>
      <c r="L13" s="57"/>
      <c r="M13" s="57"/>
    </row>
    <row r="14" spans="1:19" ht="16" customHeight="1" x14ac:dyDescent="0.2">
      <c r="A14" s="4"/>
      <c r="B14" s="4"/>
      <c r="C14" s="4"/>
      <c r="D14" s="22"/>
      <c r="J14" s="4"/>
      <c r="K14" s="57"/>
      <c r="L14" s="57"/>
      <c r="M14" s="57"/>
    </row>
    <row r="15" spans="1:19" ht="16" customHeight="1" x14ac:dyDescent="0.2">
      <c r="A15" s="4"/>
      <c r="B15" s="470" t="s">
        <v>757</v>
      </c>
      <c r="C15" s="470"/>
      <c r="D15" s="132">
        <f>SUM(K4:K7)-SUM(L4:L7)</f>
        <v>0</v>
      </c>
      <c r="E15" s="220"/>
      <c r="F15" s="81"/>
      <c r="J15" s="4"/>
      <c r="K15" s="57"/>
      <c r="L15" s="57"/>
      <c r="M15" s="57"/>
    </row>
    <row r="16" spans="1:19" ht="16" customHeight="1" x14ac:dyDescent="0.2">
      <c r="A16" s="4"/>
      <c r="B16" s="470" t="s">
        <v>794</v>
      </c>
      <c r="C16" s="470"/>
      <c r="D16" s="132">
        <f>SUM(O4:O7)-D15</f>
        <v>0</v>
      </c>
      <c r="E16" s="220"/>
      <c r="F16" s="81"/>
      <c r="J16" s="4"/>
      <c r="K16" s="57"/>
      <c r="L16" s="57"/>
      <c r="M16" s="57"/>
    </row>
    <row r="17" spans="1:16" ht="16" customHeight="1" x14ac:dyDescent="0.2">
      <c r="J17" s="4"/>
      <c r="K17" s="57"/>
      <c r="L17" s="57"/>
      <c r="M17" s="57"/>
    </row>
    <row r="18" spans="1:16" ht="16" customHeight="1" x14ac:dyDescent="0.2">
      <c r="A18" s="471" t="str">
        <f>CONCATENATE("RYTHME CROISSANCE REGE_",B11)</f>
        <v>RYTHME CROISSANCE REGE_</v>
      </c>
      <c r="B18" s="4" t="s">
        <v>94</v>
      </c>
      <c r="C18" s="4" t="s">
        <v>153</v>
      </c>
      <c r="D18" s="4" t="s">
        <v>152</v>
      </c>
      <c r="E18" s="4" t="s">
        <v>151</v>
      </c>
      <c r="G18" s="471" t="s">
        <v>748</v>
      </c>
      <c r="H18" s="3" t="s">
        <v>5</v>
      </c>
      <c r="I18" s="3" t="s">
        <v>749</v>
      </c>
      <c r="J18" s="4" t="s">
        <v>744</v>
      </c>
      <c r="K18" s="4" t="s">
        <v>745</v>
      </c>
      <c r="L18" s="4" t="s">
        <v>746</v>
      </c>
      <c r="M18" s="4" t="s">
        <v>747</v>
      </c>
      <c r="N18" s="4" t="s">
        <v>288</v>
      </c>
      <c r="O18" s="4"/>
      <c r="P18" s="4"/>
    </row>
    <row r="19" spans="1:16" x14ac:dyDescent="0.2">
      <c r="A19" s="471"/>
      <c r="B19" s="4">
        <v>0</v>
      </c>
      <c r="C19" s="10">
        <f>'3.ESS_RÉGÉ'!U22</f>
        <v>0</v>
      </c>
      <c r="D19" s="10">
        <f>'3.ESS_RÉGÉ'!V22</f>
        <v>0</v>
      </c>
      <c r="E19" s="10">
        <f>'3.ESS_RÉGÉ'!W22</f>
        <v>0</v>
      </c>
      <c r="G19" s="471"/>
      <c r="H19" s="3">
        <v>1</v>
      </c>
      <c r="I19" s="11">
        <f>IF($C$4="REG",$C$7*INITIAL_FORET!K21,IF($C$4="RASE",$C$7*INITIAL_FORET!L24,0))</f>
        <v>0</v>
      </c>
      <c r="J19" s="11" cm="1">
        <f t="array" ref="J19">IF($C$6=0,0,IF(INDEX($G$4:$M$7,RIGHT(J$18,1),6)="",0,IF($C$4="IRR",INDEX($G$4:$M$7,RIGHT(J$18,1),7)*80%/20,((INDEX($G$4:$M$7,RIGHT(J$18,1),7))/$C$6)*$I19)))</f>
        <v>0</v>
      </c>
      <c r="K19" s="11" cm="1">
        <f t="array" ref="K19">IF($C$6=0,0,IF(INDEX($G$4:$M$7,RIGHT(K$18,1),6)="",0,IF($C$4="IRR",INDEX($G$4:$M$7,RIGHT(K$18,1),7)*80%/20,((INDEX($G$4:$M$7,RIGHT(K$18,1),7))/$C$6)*$I19)))</f>
        <v>0</v>
      </c>
      <c r="L19" s="11" cm="1">
        <f t="array" ref="L19">IF($C$6=0,0,IF(INDEX($G$4:$M$7,RIGHT(L$18,1),6)="",0,IF($C$4="IRR",INDEX($G$4:$M$7,RIGHT(L$18,1),7)*80%/20,((INDEX($G$4:$M$7,RIGHT(L$18,1),7))/$C$6)*$I19)))</f>
        <v>0</v>
      </c>
      <c r="M19" s="11" cm="1">
        <f t="array" ref="M19">IF($C$6=0,0,IF(INDEX($G$4:$M$7,RIGHT(M$18,1),6)="",0,IF($C$4="IRR",INDEX($G$4:$M$7,RIGHT(M$18,1),7)*80%/20,((INDEX($G$4:$M$7,RIGHT(M$18,1),7))/$C$6)*$I19)))</f>
        <v>0</v>
      </c>
      <c r="N19" s="11">
        <f t="shared" ref="N19:N38" si="3">SUM(J19:M19)</f>
        <v>0</v>
      </c>
      <c r="O19" s="4"/>
      <c r="P19" s="4"/>
    </row>
    <row r="20" spans="1:16" x14ac:dyDescent="0.2">
      <c r="A20" s="471"/>
      <c r="B20" s="12">
        <v>1</v>
      </c>
      <c r="C20" s="10">
        <f>'3.ESS_RÉGÉ'!U23</f>
        <v>0</v>
      </c>
      <c r="D20" s="10">
        <f>'3.ESS_RÉGÉ'!V23</f>
        <v>0</v>
      </c>
      <c r="E20" s="10">
        <f>'3.ESS_RÉGÉ'!W23</f>
        <v>0</v>
      </c>
      <c r="G20" s="471"/>
      <c r="H20" s="3">
        <v>2</v>
      </c>
      <c r="I20" s="11">
        <f>IF($C$4="REG",$C$7*INITIAL_FORET!K22,IF($C$4="RASE",$C$7*INITIAL_FORET!L25,0))</f>
        <v>0</v>
      </c>
      <c r="J20" s="11" cm="1">
        <f t="array" ref="J20">IF($C$6=0,0,IF(INDEX($G$4:$M$7,RIGHT(J$18,1),6)="",0,IF($C$4="IRR",INDEX($G$4:$M$7,RIGHT(J$18,1),7)*80%/20,((INDEX($G$4:$M$7,RIGHT(J$18,1),7))/$C$6)*$I20)))</f>
        <v>0</v>
      </c>
      <c r="K20" s="11" cm="1">
        <f t="array" ref="K20">IF($C$6=0,0,IF(INDEX($G$4:$M$7,RIGHT(K$18,1),6)="",0,IF($C$4="IRR",INDEX($G$4:$M$7,RIGHT(K$18,1),7)*80%/20,((INDEX($G$4:$M$7,RIGHT(K$18,1),7))/$C$6)*$I20)))</f>
        <v>0</v>
      </c>
      <c r="L20" s="11" cm="1">
        <f t="array" ref="L20">IF($C$6=0,0,IF(INDEX($G$4:$M$7,RIGHT(L$18,1),6)="",0,IF($C$4="IRR",INDEX($G$4:$M$7,RIGHT(L$18,1),7)*80%/20,((INDEX($G$4:$M$7,RIGHT(L$18,1),7))/$C$6)*$I20)))</f>
        <v>0</v>
      </c>
      <c r="M20" s="11" cm="1">
        <f t="array" ref="M20">IF($C$6=0,0,IF(INDEX($G$4:$M$7,RIGHT(M$18,1),6)="",0,IF($C$4="IRR",INDEX($G$4:$M$7,RIGHT(M$18,1),7)*80%/20,((INDEX($G$4:$M$7,RIGHT(M$18,1),7))/$C$6)*$I20)))</f>
        <v>0</v>
      </c>
      <c r="N20" s="11">
        <f t="shared" si="3"/>
        <v>0</v>
      </c>
      <c r="O20" s="4"/>
      <c r="P20" s="4"/>
    </row>
    <row r="21" spans="1:16" x14ac:dyDescent="0.2">
      <c r="A21" s="471"/>
      <c r="B21" s="12">
        <v>2</v>
      </c>
      <c r="C21" s="10">
        <f>'3.ESS_RÉGÉ'!U24</f>
        <v>0</v>
      </c>
      <c r="D21" s="10">
        <f>'3.ESS_RÉGÉ'!V24</f>
        <v>0</v>
      </c>
      <c r="E21" s="10">
        <f>'3.ESS_RÉGÉ'!W24</f>
        <v>0</v>
      </c>
      <c r="G21" s="471"/>
      <c r="H21" s="3">
        <v>3</v>
      </c>
      <c r="I21" s="11">
        <f>IF($C$4="REG",$C$7*INITIAL_FORET!K23,IF($C$4="RASE",$C$7*INITIAL_FORET!L26,0))</f>
        <v>0</v>
      </c>
      <c r="J21" s="11" cm="1">
        <f t="array" ref="J21">IF($C$6=0,0,IF(INDEX($G$4:$M$7,RIGHT(J$18,1),6)="",0,IF($C$4="IRR",INDEX($G$4:$M$7,RIGHT(J$18,1),7)*80%/20,((INDEX($G$4:$M$7,RIGHT(J$18,1),7))/$C$6)*$I21)))</f>
        <v>0</v>
      </c>
      <c r="K21" s="11" cm="1">
        <f t="array" ref="K21">IF($C$6=0,0,IF(INDEX($G$4:$M$7,RIGHT(K$18,1),6)="",0,IF($C$4="IRR",INDEX($G$4:$M$7,RIGHT(K$18,1),7)*80%/20,((INDEX($G$4:$M$7,RIGHT(K$18,1),7))/$C$6)*$I21)))</f>
        <v>0</v>
      </c>
      <c r="L21" s="11" cm="1">
        <f t="array" ref="L21">IF($C$6=0,0,IF(INDEX($G$4:$M$7,RIGHT(L$18,1),6)="",0,IF($C$4="IRR",INDEX($G$4:$M$7,RIGHT(L$18,1),7)*80%/20,((INDEX($G$4:$M$7,RIGHT(L$18,1),7))/$C$6)*$I21)))</f>
        <v>0</v>
      </c>
      <c r="M21" s="11" cm="1">
        <f t="array" ref="M21">IF($C$6=0,0,IF(INDEX($G$4:$M$7,RIGHT(M$18,1),6)="",0,IF($C$4="IRR",INDEX($G$4:$M$7,RIGHT(M$18,1),7)*80%/20,((INDEX($G$4:$M$7,RIGHT(M$18,1),7))/$C$6)*$I21)))</f>
        <v>0</v>
      </c>
      <c r="N21" s="11">
        <f t="shared" si="3"/>
        <v>0</v>
      </c>
    </row>
    <row r="22" spans="1:16" x14ac:dyDescent="0.2">
      <c r="A22" s="471"/>
      <c r="B22" s="12">
        <v>3</v>
      </c>
      <c r="C22" s="10">
        <f>'3.ESS_RÉGÉ'!U25</f>
        <v>0</v>
      </c>
      <c r="D22" s="10">
        <f>'3.ESS_RÉGÉ'!V25</f>
        <v>0</v>
      </c>
      <c r="E22" s="10">
        <f>'3.ESS_RÉGÉ'!W25</f>
        <v>0</v>
      </c>
      <c r="G22" s="471"/>
      <c r="H22" s="3">
        <v>4</v>
      </c>
      <c r="I22" s="11">
        <f>IF($C$4="REG",$C$7*INITIAL_FORET!K24,IF($C$4="RASE",$C$7*INITIAL_FORET!L27,0))</f>
        <v>0</v>
      </c>
      <c r="J22" s="11" cm="1">
        <f t="array" ref="J22">IF($C$6=0,0,IF(INDEX($G$4:$M$7,RIGHT(J$18,1),6)="",0,IF($C$4="IRR",INDEX($G$4:$M$7,RIGHT(J$18,1),7)*80%/20,((INDEX($G$4:$M$7,RIGHT(J$18,1),7))/$C$6)*$I22)))</f>
        <v>0</v>
      </c>
      <c r="K22" s="11" cm="1">
        <f t="array" ref="K22">IF($C$6=0,0,IF(INDEX($G$4:$M$7,RIGHT(K$18,1),6)="",0,IF($C$4="IRR",INDEX($G$4:$M$7,RIGHT(K$18,1),7)*80%/20,((INDEX($G$4:$M$7,RIGHT(K$18,1),7))/$C$6)*$I22)))</f>
        <v>0</v>
      </c>
      <c r="L22" s="11" cm="1">
        <f t="array" ref="L22">IF($C$6=0,0,IF(INDEX($G$4:$M$7,RIGHT(L$18,1),6)="",0,IF($C$4="IRR",INDEX($G$4:$M$7,RIGHT(L$18,1),7)*80%/20,((INDEX($G$4:$M$7,RIGHT(L$18,1),7))/$C$6)*$I22)))</f>
        <v>0</v>
      </c>
      <c r="M22" s="11" cm="1">
        <f t="array" ref="M22">IF($C$6=0,0,IF(INDEX($G$4:$M$7,RIGHT(M$18,1),6)="",0,IF($C$4="IRR",INDEX($G$4:$M$7,RIGHT(M$18,1),7)*80%/20,((INDEX($G$4:$M$7,RIGHT(M$18,1),7))/$C$6)*$I22)))</f>
        <v>0</v>
      </c>
      <c r="N22" s="11">
        <f t="shared" si="3"/>
        <v>0</v>
      </c>
    </row>
    <row r="23" spans="1:16" x14ac:dyDescent="0.2">
      <c r="A23" s="471"/>
      <c r="B23" s="12">
        <v>4</v>
      </c>
      <c r="C23" s="10">
        <f>'3.ESS_RÉGÉ'!U26</f>
        <v>0</v>
      </c>
      <c r="D23" s="10">
        <f>'3.ESS_RÉGÉ'!V26</f>
        <v>0</v>
      </c>
      <c r="E23" s="10">
        <f>'3.ESS_RÉGÉ'!W26</f>
        <v>0</v>
      </c>
      <c r="G23" s="471"/>
      <c r="H23" s="3">
        <v>5</v>
      </c>
      <c r="I23" s="11">
        <f>IF($C$4="REG",$C$7*INITIAL_FORET!K25,IF($C$4="RASE",$C$7*INITIAL_FORET!L28,0))</f>
        <v>0</v>
      </c>
      <c r="J23" s="11" cm="1">
        <f t="array" ref="J23">IF($C$6=0,0,IF(INDEX($G$4:$M$7,RIGHT(J$18,1),6)="",0,IF($C$4="IRR",INDEX($G$4:$M$7,RIGHT(J$18,1),7)*80%/20,((INDEX($G$4:$M$7,RIGHT(J$18,1),7))/$C$6)*$I23)))</f>
        <v>0</v>
      </c>
      <c r="K23" s="11" cm="1">
        <f t="array" ref="K23">IF($C$6=0,0,IF(INDEX($G$4:$M$7,RIGHT(K$18,1),6)="",0,IF($C$4="IRR",INDEX($G$4:$M$7,RIGHT(K$18,1),7)*80%/20,((INDEX($G$4:$M$7,RIGHT(K$18,1),7))/$C$6)*$I23)))</f>
        <v>0</v>
      </c>
      <c r="L23" s="11" cm="1">
        <f t="array" ref="L23">IF($C$6=0,0,IF(INDEX($G$4:$M$7,RIGHT(L$18,1),6)="",0,IF($C$4="IRR",INDEX($G$4:$M$7,RIGHT(L$18,1),7)*80%/20,((INDEX($G$4:$M$7,RIGHT(L$18,1),7))/$C$6)*$I23)))</f>
        <v>0</v>
      </c>
      <c r="M23" s="11" cm="1">
        <f t="array" ref="M23">IF($C$6=0,0,IF(INDEX($G$4:$M$7,RIGHT(M$18,1),6)="",0,IF($C$4="IRR",INDEX($G$4:$M$7,RIGHT(M$18,1),7)*80%/20,((INDEX($G$4:$M$7,RIGHT(M$18,1),7))/$C$6)*$I23)))</f>
        <v>0</v>
      </c>
      <c r="N23" s="11">
        <f t="shared" si="3"/>
        <v>0</v>
      </c>
    </row>
    <row r="24" spans="1:16" x14ac:dyDescent="0.2">
      <c r="A24" s="471"/>
      <c r="B24" s="12">
        <v>5</v>
      </c>
      <c r="C24" s="10">
        <f>'3.ESS_RÉGÉ'!U27</f>
        <v>0</v>
      </c>
      <c r="D24" s="10">
        <f>'3.ESS_RÉGÉ'!V27</f>
        <v>0</v>
      </c>
      <c r="E24" s="10">
        <f>'3.ESS_RÉGÉ'!W27</f>
        <v>0</v>
      </c>
      <c r="G24" s="471"/>
      <c r="H24" s="3">
        <v>6</v>
      </c>
      <c r="I24" s="11">
        <f>IF($C$4="REG",$C$7*INITIAL_FORET!K26,IF($C$4="RASE",$C$7*INITIAL_FORET!L29,0))</f>
        <v>0</v>
      </c>
      <c r="J24" s="11" cm="1">
        <f t="array" ref="J24">IF($C$6=0,0,IF(INDEX($G$4:$M$7,RIGHT(J$18,1),6)="",0,IF($C$4="IRR",INDEX($G$4:$M$7,RIGHT(J$18,1),7)*80%/20,((INDEX($G$4:$M$7,RIGHT(J$18,1),7))/$C$6)*$I24)))</f>
        <v>0</v>
      </c>
      <c r="K24" s="11" cm="1">
        <f t="array" ref="K24">IF($C$6=0,0,IF(INDEX($G$4:$M$7,RIGHT(K$18,1),6)="",0,IF($C$4="IRR",INDEX($G$4:$M$7,RIGHT(K$18,1),7)*80%/20,((INDEX($G$4:$M$7,RIGHT(K$18,1),7))/$C$6)*$I24)))</f>
        <v>0</v>
      </c>
      <c r="L24" s="11" cm="1">
        <f t="array" ref="L24">IF($C$6=0,0,IF(INDEX($G$4:$M$7,RIGHT(L$18,1),6)="",0,IF($C$4="IRR",INDEX($G$4:$M$7,RIGHT(L$18,1),7)*80%/20,((INDEX($G$4:$M$7,RIGHT(L$18,1),7))/$C$6)*$I24)))</f>
        <v>0</v>
      </c>
      <c r="M24" s="11" cm="1">
        <f t="array" ref="M24">IF($C$6=0,0,IF(INDEX($G$4:$M$7,RIGHT(M$18,1),6)="",0,IF($C$4="IRR",INDEX($G$4:$M$7,RIGHT(M$18,1),7)*80%/20,((INDEX($G$4:$M$7,RIGHT(M$18,1),7))/$C$6)*$I24)))</f>
        <v>0</v>
      </c>
      <c r="N24" s="11">
        <f t="shared" si="3"/>
        <v>0</v>
      </c>
    </row>
    <row r="25" spans="1:16" x14ac:dyDescent="0.2">
      <c r="A25" s="471"/>
      <c r="B25" s="12">
        <v>6</v>
      </c>
      <c r="C25" s="10">
        <f>'3.ESS_RÉGÉ'!U28</f>
        <v>0</v>
      </c>
      <c r="D25" s="10">
        <f>'3.ESS_RÉGÉ'!V28</f>
        <v>0</v>
      </c>
      <c r="E25" s="10">
        <f>'3.ESS_RÉGÉ'!W28</f>
        <v>0</v>
      </c>
      <c r="G25" s="471"/>
      <c r="H25" s="3">
        <v>7</v>
      </c>
      <c r="I25" s="11">
        <f>IF($C$4="REG",$C$7*INITIAL_FORET!K27,IF($C$4="RASE",$C$7*INITIAL_FORET!L30,0))</f>
        <v>0</v>
      </c>
      <c r="J25" s="11" cm="1">
        <f t="array" ref="J25">IF($C$6=0,0,IF(INDEX($G$4:$M$7,RIGHT(J$18,1),6)="",0,IF($C$4="IRR",INDEX($G$4:$M$7,RIGHT(J$18,1),7)*80%/20,((INDEX($G$4:$M$7,RIGHT(J$18,1),7))/$C$6)*$I25)))</f>
        <v>0</v>
      </c>
      <c r="K25" s="11" cm="1">
        <f t="array" ref="K25">IF($C$6=0,0,IF(INDEX($G$4:$M$7,RIGHT(K$18,1),6)="",0,IF($C$4="IRR",INDEX($G$4:$M$7,RIGHT(K$18,1),7)*80%/20,((INDEX($G$4:$M$7,RIGHT(K$18,1),7))/$C$6)*$I25)))</f>
        <v>0</v>
      </c>
      <c r="L25" s="11" cm="1">
        <f t="array" ref="L25">IF($C$6=0,0,IF(INDEX($G$4:$M$7,RIGHT(L$18,1),6)="",0,IF($C$4="IRR",INDEX($G$4:$M$7,RIGHT(L$18,1),7)*80%/20,((INDEX($G$4:$M$7,RIGHT(L$18,1),7))/$C$6)*$I25)))</f>
        <v>0</v>
      </c>
      <c r="M25" s="11" cm="1">
        <f t="array" ref="M25">IF($C$6=0,0,IF(INDEX($G$4:$M$7,RIGHT(M$18,1),6)="",0,IF($C$4="IRR",INDEX($G$4:$M$7,RIGHT(M$18,1),7)*80%/20,((INDEX($G$4:$M$7,RIGHT(M$18,1),7))/$C$6)*$I25)))</f>
        <v>0</v>
      </c>
      <c r="N25" s="11">
        <f t="shared" si="3"/>
        <v>0</v>
      </c>
    </row>
    <row r="26" spans="1:16" x14ac:dyDescent="0.2">
      <c r="A26" s="471"/>
      <c r="B26" s="12">
        <v>7</v>
      </c>
      <c r="C26" s="10">
        <f>'3.ESS_RÉGÉ'!U29</f>
        <v>0</v>
      </c>
      <c r="D26" s="10">
        <f>'3.ESS_RÉGÉ'!V29</f>
        <v>0</v>
      </c>
      <c r="E26" s="10">
        <f>'3.ESS_RÉGÉ'!W29</f>
        <v>0</v>
      </c>
      <c r="G26" s="471"/>
      <c r="H26" s="3">
        <v>8</v>
      </c>
      <c r="I26" s="11">
        <f>IF($C$4="REG",$C$7*INITIAL_FORET!K28,IF($C$4="RASE",$C$7*INITIAL_FORET!L31,0))</f>
        <v>0</v>
      </c>
      <c r="J26" s="11" cm="1">
        <f t="array" ref="J26">IF($C$6=0,0,IF(INDEX($G$4:$M$7,RIGHT(J$18,1),6)="",0,IF($C$4="IRR",INDEX($G$4:$M$7,RIGHT(J$18,1),7)*80%/20,((INDEX($G$4:$M$7,RIGHT(J$18,1),7))/$C$6)*$I26)))</f>
        <v>0</v>
      </c>
      <c r="K26" s="11" cm="1">
        <f t="array" ref="K26">IF($C$6=0,0,IF(INDEX($G$4:$M$7,RIGHT(K$18,1),6)="",0,IF($C$4="IRR",INDEX($G$4:$M$7,RIGHT(K$18,1),7)*80%/20,((INDEX($G$4:$M$7,RIGHT(K$18,1),7))/$C$6)*$I26)))</f>
        <v>0</v>
      </c>
      <c r="L26" s="11" cm="1">
        <f t="array" ref="L26">IF($C$6=0,0,IF(INDEX($G$4:$M$7,RIGHT(L$18,1),6)="",0,IF($C$4="IRR",INDEX($G$4:$M$7,RIGHT(L$18,1),7)*80%/20,((INDEX($G$4:$M$7,RIGHT(L$18,1),7))/$C$6)*$I26)))</f>
        <v>0</v>
      </c>
      <c r="M26" s="11" cm="1">
        <f t="array" ref="M26">IF($C$6=0,0,IF(INDEX($G$4:$M$7,RIGHT(M$18,1),6)="",0,IF($C$4="IRR",INDEX($G$4:$M$7,RIGHT(M$18,1),7)*80%/20,((INDEX($G$4:$M$7,RIGHT(M$18,1),7))/$C$6)*$I26)))</f>
        <v>0</v>
      </c>
      <c r="N26" s="11">
        <f t="shared" si="3"/>
        <v>0</v>
      </c>
    </row>
    <row r="27" spans="1:16" x14ac:dyDescent="0.2">
      <c r="A27" s="471"/>
      <c r="B27" s="12">
        <v>8</v>
      </c>
      <c r="C27" s="10">
        <f>'3.ESS_RÉGÉ'!U30</f>
        <v>0</v>
      </c>
      <c r="D27" s="10">
        <f>'3.ESS_RÉGÉ'!V30</f>
        <v>0</v>
      </c>
      <c r="E27" s="10">
        <f>'3.ESS_RÉGÉ'!W30</f>
        <v>0</v>
      </c>
      <c r="G27" s="471"/>
      <c r="H27" s="3">
        <v>9</v>
      </c>
      <c r="I27" s="11">
        <f>IF($C$4="REG",$C$7*INITIAL_FORET!K29,IF($C$4="RASE",$C$7*INITIAL_FORET!L32,0))</f>
        <v>0</v>
      </c>
      <c r="J27" s="11" cm="1">
        <f t="array" ref="J27">IF($C$6=0,0,IF(INDEX($G$4:$M$7,RIGHT(J$18,1),6)="",0,IF($C$4="IRR",INDEX($G$4:$M$7,RIGHT(J$18,1),7)*80%/20,((INDEX($G$4:$M$7,RIGHT(J$18,1),7))/$C$6)*$I27)))</f>
        <v>0</v>
      </c>
      <c r="K27" s="11" cm="1">
        <f t="array" ref="K27">IF($C$6=0,0,IF(INDEX($G$4:$M$7,RIGHT(K$18,1),6)="",0,IF($C$4="IRR",INDEX($G$4:$M$7,RIGHT(K$18,1),7)*80%/20,((INDEX($G$4:$M$7,RIGHT(K$18,1),7))/$C$6)*$I27)))</f>
        <v>0</v>
      </c>
      <c r="L27" s="11" cm="1">
        <f t="array" ref="L27">IF($C$6=0,0,IF(INDEX($G$4:$M$7,RIGHT(L$18,1),6)="",0,IF($C$4="IRR",INDEX($G$4:$M$7,RIGHT(L$18,1),7)*80%/20,((INDEX($G$4:$M$7,RIGHT(L$18,1),7))/$C$6)*$I27)))</f>
        <v>0</v>
      </c>
      <c r="M27" s="11" cm="1">
        <f t="array" ref="M27">IF($C$6=0,0,IF(INDEX($G$4:$M$7,RIGHT(M$18,1),6)="",0,IF($C$4="IRR",INDEX($G$4:$M$7,RIGHT(M$18,1),7)*80%/20,((INDEX($G$4:$M$7,RIGHT(M$18,1),7))/$C$6)*$I27)))</f>
        <v>0</v>
      </c>
      <c r="N27" s="11">
        <f t="shared" si="3"/>
        <v>0</v>
      </c>
    </row>
    <row r="28" spans="1:16" x14ac:dyDescent="0.2">
      <c r="A28" s="471"/>
      <c r="B28" s="12">
        <v>9</v>
      </c>
      <c r="C28" s="10">
        <f>'3.ESS_RÉGÉ'!U31</f>
        <v>0</v>
      </c>
      <c r="D28" s="10">
        <f>'3.ESS_RÉGÉ'!V31</f>
        <v>0</v>
      </c>
      <c r="E28" s="10">
        <f>'3.ESS_RÉGÉ'!W31</f>
        <v>0</v>
      </c>
      <c r="G28" s="471"/>
      <c r="H28" s="3">
        <v>10</v>
      </c>
      <c r="I28" s="11">
        <f>IF($C$4="REG",$C$7*INITIAL_FORET!K30,IF($C$4="RASE",$C$7*INITIAL_FORET!L33,0))</f>
        <v>0</v>
      </c>
      <c r="J28" s="11" cm="1">
        <f t="array" ref="J28">IF($C$6=0,0,IF(INDEX($G$4:$M$7,RIGHT(J$18,1),6)="",0,IF($C$4="IRR",INDEX($G$4:$M$7,RIGHT(J$18,1),7)*80%/20,((INDEX($G$4:$M$7,RIGHT(J$18,1),7))/$C$6)*$I28)))</f>
        <v>0</v>
      </c>
      <c r="K28" s="11" cm="1">
        <f t="array" ref="K28">IF($C$6=0,0,IF(INDEX($G$4:$M$7,RIGHT(K$18,1),6)="",0,IF($C$4="IRR",INDEX($G$4:$M$7,RIGHT(K$18,1),7)*80%/20,((INDEX($G$4:$M$7,RIGHT(K$18,1),7))/$C$6)*$I28)))</f>
        <v>0</v>
      </c>
      <c r="L28" s="11" cm="1">
        <f t="array" ref="L28">IF($C$6=0,0,IF(INDEX($G$4:$M$7,RIGHT(L$18,1),6)="",0,IF($C$4="IRR",INDEX($G$4:$M$7,RIGHT(L$18,1),7)*80%/20,((INDEX($G$4:$M$7,RIGHT(L$18,1),7))/$C$6)*$I28)))</f>
        <v>0</v>
      </c>
      <c r="M28" s="11" cm="1">
        <f t="array" ref="M28">IF($C$6=0,0,IF(INDEX($G$4:$M$7,RIGHT(M$18,1),6)="",0,IF($C$4="IRR",INDEX($G$4:$M$7,RIGHT(M$18,1),7)*80%/20,((INDEX($G$4:$M$7,RIGHT(M$18,1),7))/$C$6)*$I28)))</f>
        <v>0</v>
      </c>
      <c r="N28" s="11">
        <f t="shared" si="3"/>
        <v>0</v>
      </c>
    </row>
    <row r="29" spans="1:16" x14ac:dyDescent="0.2">
      <c r="A29" s="471"/>
      <c r="B29" s="12">
        <v>10</v>
      </c>
      <c r="C29" s="10">
        <f>'3.ESS_RÉGÉ'!U32</f>
        <v>0</v>
      </c>
      <c r="D29" s="10">
        <f>'3.ESS_RÉGÉ'!V32</f>
        <v>0</v>
      </c>
      <c r="E29" s="10">
        <f>'3.ESS_RÉGÉ'!W32</f>
        <v>0</v>
      </c>
      <c r="G29" s="471"/>
      <c r="H29" s="3">
        <v>11</v>
      </c>
      <c r="I29" s="11">
        <f>IF($C$4="REG",$C$7*INITIAL_FORET!K31,IF($C$4="RASE",$C$7*INITIAL_FORET!L34,0))</f>
        <v>0</v>
      </c>
      <c r="J29" s="11" cm="1">
        <f t="array" ref="J29">IF($C$6=0,0,IF(INDEX($G$4:$M$7,RIGHT(J$18,1),6)="",0,IF($C$4="IRR",INDEX($G$4:$M$7,RIGHT(J$18,1),7)*80%/20,((INDEX($G$4:$M$7,RIGHT(J$18,1),7))/$C$6)*$I29)))</f>
        <v>0</v>
      </c>
      <c r="K29" s="11" cm="1">
        <f t="array" ref="K29">IF($C$6=0,0,IF(INDEX($G$4:$M$7,RIGHT(K$18,1),6)="",0,IF($C$4="IRR",INDEX($G$4:$M$7,RIGHT(K$18,1),7)*80%/20,((INDEX($G$4:$M$7,RIGHT(K$18,1),7))/$C$6)*$I29)))</f>
        <v>0</v>
      </c>
      <c r="L29" s="11" cm="1">
        <f t="array" ref="L29">IF($C$6=0,0,IF(INDEX($G$4:$M$7,RIGHT(L$18,1),6)="",0,IF($C$4="IRR",INDEX($G$4:$M$7,RIGHT(L$18,1),7)*80%/20,((INDEX($G$4:$M$7,RIGHT(L$18,1),7))/$C$6)*$I29)))</f>
        <v>0</v>
      </c>
      <c r="M29" s="11" cm="1">
        <f t="array" ref="M29">IF($C$6=0,0,IF(INDEX($G$4:$M$7,RIGHT(M$18,1),6)="",0,IF($C$4="IRR",INDEX($G$4:$M$7,RIGHT(M$18,1),7)*80%/20,((INDEX($G$4:$M$7,RIGHT(M$18,1),7))/$C$6)*$I29)))</f>
        <v>0</v>
      </c>
      <c r="N29" s="11">
        <f t="shared" si="3"/>
        <v>0</v>
      </c>
    </row>
    <row r="30" spans="1:16" x14ac:dyDescent="0.2">
      <c r="A30" s="471"/>
      <c r="B30" s="12">
        <v>11</v>
      </c>
      <c r="C30" s="10">
        <f>'3.ESS_RÉGÉ'!U33</f>
        <v>0</v>
      </c>
      <c r="D30" s="10">
        <f>'3.ESS_RÉGÉ'!V33</f>
        <v>0</v>
      </c>
      <c r="E30" s="10">
        <f>'3.ESS_RÉGÉ'!W33</f>
        <v>0</v>
      </c>
      <c r="G30" s="471"/>
      <c r="H30" s="3">
        <v>12</v>
      </c>
      <c r="I30" s="11">
        <f>IF($C$4="REG",$C$7*INITIAL_FORET!K32,IF($C$4="RASE",$C$7*INITIAL_FORET!L35,0))</f>
        <v>0</v>
      </c>
      <c r="J30" s="11" cm="1">
        <f t="array" ref="J30">IF($C$6=0,0,IF(INDEX($G$4:$M$7,RIGHT(J$18,1),6)="",0,IF($C$4="IRR",INDEX($G$4:$M$7,RIGHT(J$18,1),7)*80%/20,((INDEX($G$4:$M$7,RIGHT(J$18,1),7))/$C$6)*$I30)))</f>
        <v>0</v>
      </c>
      <c r="K30" s="11" cm="1">
        <f t="array" ref="K30">IF($C$6=0,0,IF(INDEX($G$4:$M$7,RIGHT(K$18,1),6)="",0,IF($C$4="IRR",INDEX($G$4:$M$7,RIGHT(K$18,1),7)*80%/20,((INDEX($G$4:$M$7,RIGHT(K$18,1),7))/$C$6)*$I30)))</f>
        <v>0</v>
      </c>
      <c r="L30" s="11" cm="1">
        <f t="array" ref="L30">IF($C$6=0,0,IF(INDEX($G$4:$M$7,RIGHT(L$18,1),6)="",0,IF($C$4="IRR",INDEX($G$4:$M$7,RIGHT(L$18,1),7)*80%/20,((INDEX($G$4:$M$7,RIGHT(L$18,1),7))/$C$6)*$I30)))</f>
        <v>0</v>
      </c>
      <c r="M30" s="11" cm="1">
        <f t="array" ref="M30">IF($C$6=0,0,IF(INDEX($G$4:$M$7,RIGHT(M$18,1),6)="",0,IF($C$4="IRR",INDEX($G$4:$M$7,RIGHT(M$18,1),7)*80%/20,((INDEX($G$4:$M$7,RIGHT(M$18,1),7))/$C$6)*$I30)))</f>
        <v>0</v>
      </c>
      <c r="N30" s="11">
        <f t="shared" si="3"/>
        <v>0</v>
      </c>
    </row>
    <row r="31" spans="1:16" x14ac:dyDescent="0.2">
      <c r="A31" s="471"/>
      <c r="B31" s="12">
        <v>12</v>
      </c>
      <c r="C31" s="10">
        <f>'3.ESS_RÉGÉ'!U34</f>
        <v>0</v>
      </c>
      <c r="D31" s="10">
        <f>'3.ESS_RÉGÉ'!V34</f>
        <v>0</v>
      </c>
      <c r="E31" s="10">
        <f>'3.ESS_RÉGÉ'!W34</f>
        <v>0</v>
      </c>
      <c r="G31" s="471"/>
      <c r="H31" s="3">
        <v>13</v>
      </c>
      <c r="I31" s="11">
        <f>IF($C$4="REG",$C$7*INITIAL_FORET!K33,IF($C$4="RASE",$C$7*INITIAL_FORET!L36,0))</f>
        <v>0</v>
      </c>
      <c r="J31" s="11" cm="1">
        <f t="array" ref="J31">IF($C$6=0,0,IF(INDEX($G$4:$M$7,RIGHT(J$18,1),6)="",0,IF($C$4="IRR",INDEX($G$4:$M$7,RIGHT(J$18,1),7)*80%/20,((INDEX($G$4:$M$7,RIGHT(J$18,1),7))/$C$6)*$I31)))</f>
        <v>0</v>
      </c>
      <c r="K31" s="11" cm="1">
        <f t="array" ref="K31">IF($C$6=0,0,IF(INDEX($G$4:$M$7,RIGHT(K$18,1),6)="",0,IF($C$4="IRR",INDEX($G$4:$M$7,RIGHT(K$18,1),7)*80%/20,((INDEX($G$4:$M$7,RIGHT(K$18,1),7))/$C$6)*$I31)))</f>
        <v>0</v>
      </c>
      <c r="L31" s="11" cm="1">
        <f t="array" ref="L31">IF($C$6=0,0,IF(INDEX($G$4:$M$7,RIGHT(L$18,1),6)="",0,IF($C$4="IRR",INDEX($G$4:$M$7,RIGHT(L$18,1),7)*80%/20,((INDEX($G$4:$M$7,RIGHT(L$18,1),7))/$C$6)*$I31)))</f>
        <v>0</v>
      </c>
      <c r="M31" s="11" cm="1">
        <f t="array" ref="M31">IF($C$6=0,0,IF(INDEX($G$4:$M$7,RIGHT(M$18,1),6)="",0,IF($C$4="IRR",INDEX($G$4:$M$7,RIGHT(M$18,1),7)*80%/20,((INDEX($G$4:$M$7,RIGHT(M$18,1),7))/$C$6)*$I31)))</f>
        <v>0</v>
      </c>
      <c r="N31" s="11">
        <f t="shared" si="3"/>
        <v>0</v>
      </c>
    </row>
    <row r="32" spans="1:16" x14ac:dyDescent="0.2">
      <c r="A32" s="471"/>
      <c r="B32" s="12">
        <v>13</v>
      </c>
      <c r="C32" s="10">
        <f>'3.ESS_RÉGÉ'!U35</f>
        <v>0</v>
      </c>
      <c r="D32" s="10">
        <f>'3.ESS_RÉGÉ'!V35</f>
        <v>0</v>
      </c>
      <c r="E32" s="10">
        <f>'3.ESS_RÉGÉ'!W35</f>
        <v>0</v>
      </c>
      <c r="G32" s="471"/>
      <c r="H32" s="3">
        <v>14</v>
      </c>
      <c r="I32" s="11">
        <f>IF($C$4="REG",$C$7*INITIAL_FORET!K34,IF($C$4="RASE",$C$7*INITIAL_FORET!L37,0))</f>
        <v>0</v>
      </c>
      <c r="J32" s="11" cm="1">
        <f t="array" ref="J32">IF($C$6=0,0,IF(INDEX($G$4:$M$7,RIGHT(J$18,1),6)="",0,IF($C$4="IRR",INDEX($G$4:$M$7,RIGHT(J$18,1),7)*80%/20,((INDEX($G$4:$M$7,RIGHT(J$18,1),7))/$C$6)*$I32)))</f>
        <v>0</v>
      </c>
      <c r="K32" s="11" cm="1">
        <f t="array" ref="K32">IF($C$6=0,0,IF(INDEX($G$4:$M$7,RIGHT(K$18,1),6)="",0,IF($C$4="IRR",INDEX($G$4:$M$7,RIGHT(K$18,1),7)*80%/20,((INDEX($G$4:$M$7,RIGHT(K$18,1),7))/$C$6)*$I32)))</f>
        <v>0</v>
      </c>
      <c r="L32" s="11" cm="1">
        <f t="array" ref="L32">IF($C$6=0,0,IF(INDEX($G$4:$M$7,RIGHT(L$18,1),6)="",0,IF($C$4="IRR",INDEX($G$4:$M$7,RIGHT(L$18,1),7)*80%/20,((INDEX($G$4:$M$7,RIGHT(L$18,1),7))/$C$6)*$I32)))</f>
        <v>0</v>
      </c>
      <c r="M32" s="11" cm="1">
        <f t="array" ref="M32">IF($C$6=0,0,IF(INDEX($G$4:$M$7,RIGHT(M$18,1),6)="",0,IF($C$4="IRR",INDEX($G$4:$M$7,RIGHT(M$18,1),7)*80%/20,((INDEX($G$4:$M$7,RIGHT(M$18,1),7))/$C$6)*$I32)))</f>
        <v>0</v>
      </c>
      <c r="N32" s="11">
        <f t="shared" si="3"/>
        <v>0</v>
      </c>
    </row>
    <row r="33" spans="1:14" x14ac:dyDescent="0.2">
      <c r="A33" s="471"/>
      <c r="B33" s="12">
        <v>14</v>
      </c>
      <c r="C33" s="10">
        <f>'3.ESS_RÉGÉ'!U36</f>
        <v>0</v>
      </c>
      <c r="D33" s="10">
        <f>'3.ESS_RÉGÉ'!V36</f>
        <v>0</v>
      </c>
      <c r="E33" s="10">
        <f>'3.ESS_RÉGÉ'!W36</f>
        <v>0</v>
      </c>
      <c r="G33" s="471"/>
      <c r="H33" s="3">
        <v>15</v>
      </c>
      <c r="I33" s="11">
        <f>IF($C$4="REG",$C$7*INITIAL_FORET!K35,IF($C$4="RASE",$C$7*INITIAL_FORET!L38,0))</f>
        <v>0</v>
      </c>
      <c r="J33" s="11" cm="1">
        <f t="array" ref="J33">IF($C$6=0,0,IF(INDEX($G$4:$M$7,RIGHT(J$18,1),6)="",0,IF($C$4="IRR",INDEX($G$4:$M$7,RIGHT(J$18,1),7)*80%/20,((INDEX($G$4:$M$7,RIGHT(J$18,1),7))/$C$6)*$I33)))</f>
        <v>0</v>
      </c>
      <c r="K33" s="11" cm="1">
        <f t="array" ref="K33">IF($C$6=0,0,IF(INDEX($G$4:$M$7,RIGHT(K$18,1),6)="",0,IF($C$4="IRR",INDEX($G$4:$M$7,RIGHT(K$18,1),7)*80%/20,((INDEX($G$4:$M$7,RIGHT(K$18,1),7))/$C$6)*$I33)))</f>
        <v>0</v>
      </c>
      <c r="L33" s="11" cm="1">
        <f t="array" ref="L33">IF($C$6=0,0,IF(INDEX($G$4:$M$7,RIGHT(L$18,1),6)="",0,IF($C$4="IRR",INDEX($G$4:$M$7,RIGHT(L$18,1),7)*80%/20,((INDEX($G$4:$M$7,RIGHT(L$18,1),7))/$C$6)*$I33)))</f>
        <v>0</v>
      </c>
      <c r="M33" s="11" cm="1">
        <f t="array" ref="M33">IF($C$6=0,0,IF(INDEX($G$4:$M$7,RIGHT(M$18,1),6)="",0,IF($C$4="IRR",INDEX($G$4:$M$7,RIGHT(M$18,1),7)*80%/20,((INDEX($G$4:$M$7,RIGHT(M$18,1),7))/$C$6)*$I33)))</f>
        <v>0</v>
      </c>
      <c r="N33" s="11">
        <f t="shared" si="3"/>
        <v>0</v>
      </c>
    </row>
    <row r="34" spans="1:14" x14ac:dyDescent="0.2">
      <c r="A34" s="471"/>
      <c r="B34" s="12">
        <v>15</v>
      </c>
      <c r="C34" s="10">
        <f>'3.ESS_RÉGÉ'!U37</f>
        <v>0</v>
      </c>
      <c r="D34" s="10">
        <f>'3.ESS_RÉGÉ'!V37</f>
        <v>0</v>
      </c>
      <c r="E34" s="10">
        <f>'3.ESS_RÉGÉ'!W37</f>
        <v>0</v>
      </c>
      <c r="G34" s="471"/>
      <c r="H34" s="3">
        <v>16</v>
      </c>
      <c r="I34" s="11">
        <f>IF($C$4="REG",$C$7*INITIAL_FORET!K36,IF($C$4="RASE",$C$7*INITIAL_FORET!L39,0))</f>
        <v>0</v>
      </c>
      <c r="J34" s="11" cm="1">
        <f t="array" ref="J34">IF($C$6=0,0,IF(INDEX($G$4:$M$7,RIGHT(J$18,1),6)="",0,IF($C$4="IRR",INDEX($G$4:$M$7,RIGHT(J$18,1),7)*80%/20,((INDEX($G$4:$M$7,RIGHT(J$18,1),7))/$C$6)*$I34)))</f>
        <v>0</v>
      </c>
      <c r="K34" s="11" cm="1">
        <f t="array" ref="K34">IF($C$6=0,0,IF(INDEX($G$4:$M$7,RIGHT(K$18,1),6)="",0,IF($C$4="IRR",INDEX($G$4:$M$7,RIGHT(K$18,1),7)*80%/20,((INDEX($G$4:$M$7,RIGHT(K$18,1),7))/$C$6)*$I34)))</f>
        <v>0</v>
      </c>
      <c r="L34" s="11" cm="1">
        <f t="array" ref="L34">IF($C$6=0,0,IF(INDEX($G$4:$M$7,RIGHT(L$18,1),6)="",0,IF($C$4="IRR",INDEX($G$4:$M$7,RIGHT(L$18,1),7)*80%/20,((INDEX($G$4:$M$7,RIGHT(L$18,1),7))/$C$6)*$I34)))</f>
        <v>0</v>
      </c>
      <c r="M34" s="11" cm="1">
        <f t="array" ref="M34">IF($C$6=0,0,IF(INDEX($G$4:$M$7,RIGHT(M$18,1),6)="",0,IF($C$4="IRR",INDEX($G$4:$M$7,RIGHT(M$18,1),7)*80%/20,((INDEX($G$4:$M$7,RIGHT(M$18,1),7))/$C$6)*$I34)))</f>
        <v>0</v>
      </c>
      <c r="N34" s="11">
        <f t="shared" si="3"/>
        <v>0</v>
      </c>
    </row>
    <row r="35" spans="1:14" x14ac:dyDescent="0.2">
      <c r="A35" s="471"/>
      <c r="B35" s="12">
        <v>16</v>
      </c>
      <c r="C35" s="10">
        <f>'3.ESS_RÉGÉ'!U38</f>
        <v>0</v>
      </c>
      <c r="D35" s="10">
        <f>'3.ESS_RÉGÉ'!V38</f>
        <v>0</v>
      </c>
      <c r="E35" s="10">
        <f>'3.ESS_RÉGÉ'!W38</f>
        <v>0</v>
      </c>
      <c r="G35" s="471"/>
      <c r="H35" s="3">
        <v>17</v>
      </c>
      <c r="I35" s="11">
        <f>IF($C$4="REG",$C$7*INITIAL_FORET!K37,IF($C$4="RASE",$C$7*INITIAL_FORET!L40,0))</f>
        <v>0</v>
      </c>
      <c r="J35" s="11" cm="1">
        <f t="array" ref="J35">IF($C$6=0,0,IF(INDEX($G$4:$M$7,RIGHT(J$18,1),6)="",0,IF($C$4="IRR",INDEX($G$4:$M$7,RIGHT(J$18,1),7)*80%/20,((INDEX($G$4:$M$7,RIGHT(J$18,1),7))/$C$6)*$I35)))</f>
        <v>0</v>
      </c>
      <c r="K35" s="11" cm="1">
        <f t="array" ref="K35">IF($C$6=0,0,IF(INDEX($G$4:$M$7,RIGHT(K$18,1),6)="",0,IF($C$4="IRR",INDEX($G$4:$M$7,RIGHT(K$18,1),7)*80%/20,((INDEX($G$4:$M$7,RIGHT(K$18,1),7))/$C$6)*$I35)))</f>
        <v>0</v>
      </c>
      <c r="L35" s="11" cm="1">
        <f t="array" ref="L35">IF($C$6=0,0,IF(INDEX($G$4:$M$7,RIGHT(L$18,1),6)="",0,IF($C$4="IRR",INDEX($G$4:$M$7,RIGHT(L$18,1),7)*80%/20,((INDEX($G$4:$M$7,RIGHT(L$18,1),7))/$C$6)*$I35)))</f>
        <v>0</v>
      </c>
      <c r="M35" s="11" cm="1">
        <f t="array" ref="M35">IF($C$6=0,0,IF(INDEX($G$4:$M$7,RIGHT(M$18,1),6)="",0,IF($C$4="IRR",INDEX($G$4:$M$7,RIGHT(M$18,1),7)*80%/20,((INDEX($G$4:$M$7,RIGHT(M$18,1),7))/$C$6)*$I35)))</f>
        <v>0</v>
      </c>
      <c r="N35" s="11">
        <f t="shared" si="3"/>
        <v>0</v>
      </c>
    </row>
    <row r="36" spans="1:14" x14ac:dyDescent="0.2">
      <c r="A36" s="471"/>
      <c r="B36" s="12">
        <v>17</v>
      </c>
      <c r="C36" s="10">
        <f>'3.ESS_RÉGÉ'!U39</f>
        <v>0</v>
      </c>
      <c r="D36" s="10">
        <f>'3.ESS_RÉGÉ'!V39</f>
        <v>0</v>
      </c>
      <c r="E36" s="10">
        <f>'3.ESS_RÉGÉ'!W39</f>
        <v>0</v>
      </c>
      <c r="G36" s="471"/>
      <c r="H36" s="3">
        <v>18</v>
      </c>
      <c r="I36" s="11">
        <f>IF($C$4="REG",$C$7*INITIAL_FORET!K38,IF($C$4="RASE",$C$7*INITIAL_FORET!L41,0))</f>
        <v>0</v>
      </c>
      <c r="J36" s="11" cm="1">
        <f t="array" ref="J36">IF($C$6=0,0,IF(INDEX($G$4:$M$7,RIGHT(J$18,1),6)="",0,IF($C$4="IRR",INDEX($G$4:$M$7,RIGHT(J$18,1),7)*80%/20,((INDEX($G$4:$M$7,RIGHT(J$18,1),7))/$C$6)*$I36)))</f>
        <v>0</v>
      </c>
      <c r="K36" s="11" cm="1">
        <f t="array" ref="K36">IF($C$6=0,0,IF(INDEX($G$4:$M$7,RIGHT(K$18,1),6)="",0,IF($C$4="IRR",INDEX($G$4:$M$7,RIGHT(K$18,1),7)*80%/20,((INDEX($G$4:$M$7,RIGHT(K$18,1),7))/$C$6)*$I36)))</f>
        <v>0</v>
      </c>
      <c r="L36" s="11" cm="1">
        <f t="array" ref="L36">IF($C$6=0,0,IF(INDEX($G$4:$M$7,RIGHT(L$18,1),6)="",0,IF($C$4="IRR",INDEX($G$4:$M$7,RIGHT(L$18,1),7)*80%/20,((INDEX($G$4:$M$7,RIGHT(L$18,1),7))/$C$6)*$I36)))</f>
        <v>0</v>
      </c>
      <c r="M36" s="11" cm="1">
        <f t="array" ref="M36">IF($C$6=0,0,IF(INDEX($G$4:$M$7,RIGHT(M$18,1),6)="",0,IF($C$4="IRR",INDEX($G$4:$M$7,RIGHT(M$18,1),7)*80%/20,((INDEX($G$4:$M$7,RIGHT(M$18,1),7))/$C$6)*$I36)))</f>
        <v>0</v>
      </c>
      <c r="N36" s="11">
        <f t="shared" si="3"/>
        <v>0</v>
      </c>
    </row>
    <row r="37" spans="1:14" x14ac:dyDescent="0.2">
      <c r="A37" s="471"/>
      <c r="B37" s="12">
        <v>18</v>
      </c>
      <c r="C37" s="10">
        <f>'3.ESS_RÉGÉ'!U40</f>
        <v>0</v>
      </c>
      <c r="D37" s="10">
        <f>'3.ESS_RÉGÉ'!V40</f>
        <v>0</v>
      </c>
      <c r="E37" s="10">
        <f>'3.ESS_RÉGÉ'!W40</f>
        <v>0</v>
      </c>
      <c r="G37" s="471"/>
      <c r="H37" s="3">
        <v>19</v>
      </c>
      <c r="I37" s="11">
        <f>IF($C$4="REG",$C$7*INITIAL_FORET!K39,IF($C$4="RASE",$C$7*INITIAL_FORET!L42,0))</f>
        <v>0</v>
      </c>
      <c r="J37" s="11" cm="1">
        <f t="array" ref="J37">IF($C$6=0,0,IF(INDEX($G$4:$M$7,RIGHT(J$18,1),6)="",0,IF($C$4="IRR",INDEX($G$4:$M$7,RIGHT(J$18,1),7)*80%/20,((INDEX($G$4:$M$7,RIGHT(J$18,1),7))/$C$6)*$I37)))</f>
        <v>0</v>
      </c>
      <c r="K37" s="11" cm="1">
        <f t="array" ref="K37">IF($C$6=0,0,IF(INDEX($G$4:$M$7,RIGHT(K$18,1),6)="",0,IF($C$4="IRR",INDEX($G$4:$M$7,RIGHT(K$18,1),7)*80%/20,((INDEX($G$4:$M$7,RIGHT(K$18,1),7))/$C$6)*$I37)))</f>
        <v>0</v>
      </c>
      <c r="L37" s="11" cm="1">
        <f t="array" ref="L37">IF($C$6=0,0,IF(INDEX($G$4:$M$7,RIGHT(L$18,1),6)="",0,IF($C$4="IRR",INDEX($G$4:$M$7,RIGHT(L$18,1),7)*80%/20,((INDEX($G$4:$M$7,RIGHT(L$18,1),7))/$C$6)*$I37)))</f>
        <v>0</v>
      </c>
      <c r="M37" s="11" cm="1">
        <f t="array" ref="M37">IF($C$6=0,0,IF(INDEX($G$4:$M$7,RIGHT(M$18,1),6)="",0,IF($C$4="IRR",INDEX($G$4:$M$7,RIGHT(M$18,1),7)*80%/20,((INDEX($G$4:$M$7,RIGHT(M$18,1),7))/$C$6)*$I37)))</f>
        <v>0</v>
      </c>
      <c r="N37" s="11">
        <f t="shared" si="3"/>
        <v>0</v>
      </c>
    </row>
    <row r="38" spans="1:14" x14ac:dyDescent="0.2">
      <c r="A38" s="471"/>
      <c r="B38" s="12">
        <v>19</v>
      </c>
      <c r="C38" s="10">
        <f>'3.ESS_RÉGÉ'!U41</f>
        <v>0</v>
      </c>
      <c r="D38" s="10">
        <f>'3.ESS_RÉGÉ'!V41</f>
        <v>0</v>
      </c>
      <c r="E38" s="10">
        <f>'3.ESS_RÉGÉ'!W41</f>
        <v>0</v>
      </c>
      <c r="G38" s="471"/>
      <c r="H38" s="3">
        <v>20</v>
      </c>
      <c r="I38" s="11">
        <f>IF($C$4="REG",$C$7*INITIAL_FORET!K40,IF($C$4="RASE",$C$7*INITIAL_FORET!L43,0))</f>
        <v>0</v>
      </c>
      <c r="J38" s="11" cm="1">
        <f t="array" ref="J38">IF($C$6=0,0,IF(INDEX($G$4:$M$7,RIGHT(J$18,1),6)="",0,IF($C$4="IRR",INDEX($G$4:$M$7,RIGHT(J$18,1),7)*80%/20,((INDEX($G$4:$M$7,RIGHT(J$18,1),7))/$C$6)*$I38)))</f>
        <v>0</v>
      </c>
      <c r="K38" s="11" cm="1">
        <f t="array" ref="K38">IF($C$6=0,0,IF(INDEX($G$4:$M$7,RIGHT(K$18,1),6)="",0,IF($C$4="IRR",INDEX($G$4:$M$7,RIGHT(K$18,1),7)*80%/20,((INDEX($G$4:$M$7,RIGHT(K$18,1),7))/$C$6)*$I38)))</f>
        <v>0</v>
      </c>
      <c r="L38" s="11" cm="1">
        <f t="array" ref="L38">IF($C$6=0,0,IF(INDEX($G$4:$M$7,RIGHT(L$18,1),6)="",0,IF($C$4="IRR",INDEX($G$4:$M$7,RIGHT(L$18,1),7)*80%/20,((INDEX($G$4:$M$7,RIGHT(L$18,1),7))/$C$6)*$I38)))</f>
        <v>0</v>
      </c>
      <c r="M38" s="11" cm="1">
        <f t="array" ref="M38">IF($C$6=0,0,IF(INDEX($G$4:$M$7,RIGHT(M$18,1),6)="",0,IF($C$4="IRR",INDEX($G$4:$M$7,RIGHT(M$18,1),7)*80%/20,((INDEX($G$4:$M$7,RIGHT(M$18,1),7))/$C$6)*$I38)))</f>
        <v>0</v>
      </c>
      <c r="N38" s="11">
        <f t="shared" si="3"/>
        <v>0</v>
      </c>
    </row>
    <row r="39" spans="1:14" x14ac:dyDescent="0.2">
      <c r="A39" s="471"/>
      <c r="B39" s="12">
        <v>20</v>
      </c>
      <c r="C39" s="10">
        <f>'3.ESS_RÉGÉ'!U42</f>
        <v>0</v>
      </c>
      <c r="D39" s="10">
        <f>'3.ESS_RÉGÉ'!V42</f>
        <v>0</v>
      </c>
      <c r="E39" s="10">
        <f>'3.ESS_RÉGÉ'!W42</f>
        <v>0</v>
      </c>
      <c r="G39" s="219"/>
      <c r="I39" s="11"/>
      <c r="J39" s="11"/>
      <c r="K39" s="11"/>
      <c r="L39" s="11"/>
      <c r="M39" s="11"/>
    </row>
    <row r="40" spans="1:14" x14ac:dyDescent="0.2">
      <c r="A40" s="471"/>
      <c r="B40" s="12">
        <v>21</v>
      </c>
      <c r="C40" s="10">
        <f>'3.ESS_RÉGÉ'!U43</f>
        <v>0</v>
      </c>
      <c r="D40" s="10">
        <f>'3.ESS_RÉGÉ'!V43</f>
        <v>0</v>
      </c>
      <c r="E40" s="10">
        <f>'3.ESS_RÉGÉ'!W43</f>
        <v>0</v>
      </c>
      <c r="G40" s="166"/>
    </row>
    <row r="41" spans="1:14" x14ac:dyDescent="0.2">
      <c r="A41" s="471"/>
      <c r="B41" s="12">
        <v>22</v>
      </c>
      <c r="C41" s="10">
        <f>'3.ESS_RÉGÉ'!U44</f>
        <v>0</v>
      </c>
      <c r="D41" s="10">
        <f>'3.ESS_RÉGÉ'!V44</f>
        <v>0</v>
      </c>
      <c r="E41" s="10">
        <f>'3.ESS_RÉGÉ'!W44</f>
        <v>0</v>
      </c>
      <c r="G41" s="166"/>
    </row>
    <row r="42" spans="1:14" x14ac:dyDescent="0.2">
      <c r="A42" s="471"/>
      <c r="B42" s="12">
        <v>23</v>
      </c>
      <c r="C42" s="10">
        <f>'3.ESS_RÉGÉ'!U45</f>
        <v>0</v>
      </c>
      <c r="D42" s="10">
        <f>'3.ESS_RÉGÉ'!V45</f>
        <v>0</v>
      </c>
      <c r="E42" s="10">
        <f>'3.ESS_RÉGÉ'!W45</f>
        <v>0</v>
      </c>
      <c r="G42" s="166"/>
    </row>
    <row r="43" spans="1:14" x14ac:dyDescent="0.2">
      <c r="A43" s="471"/>
      <c r="B43" s="12">
        <v>24</v>
      </c>
      <c r="C43" s="10">
        <f>'3.ESS_RÉGÉ'!U46</f>
        <v>0</v>
      </c>
      <c r="D43" s="10">
        <f>'3.ESS_RÉGÉ'!V46</f>
        <v>0</v>
      </c>
      <c r="E43" s="10">
        <f>'3.ESS_RÉGÉ'!W46</f>
        <v>0</v>
      </c>
      <c r="G43" s="166"/>
    </row>
    <row r="44" spans="1:14" x14ac:dyDescent="0.2">
      <c r="A44" s="471"/>
      <c r="B44" s="12">
        <v>25</v>
      </c>
      <c r="C44" s="10">
        <f>'3.ESS_RÉGÉ'!U47</f>
        <v>0</v>
      </c>
      <c r="D44" s="10">
        <f>'3.ESS_RÉGÉ'!V47</f>
        <v>0</v>
      </c>
      <c r="E44" s="10">
        <f>'3.ESS_RÉGÉ'!W47</f>
        <v>0</v>
      </c>
      <c r="G44" s="166"/>
    </row>
    <row r="45" spans="1:14" x14ac:dyDescent="0.2">
      <c r="A45" s="471"/>
      <c r="B45" s="12">
        <v>26</v>
      </c>
      <c r="C45" s="10">
        <f>'3.ESS_RÉGÉ'!U48</f>
        <v>0</v>
      </c>
      <c r="D45" s="10">
        <f>'3.ESS_RÉGÉ'!V48</f>
        <v>0</v>
      </c>
      <c r="E45" s="10">
        <f>'3.ESS_RÉGÉ'!W48</f>
        <v>0</v>
      </c>
      <c r="G45" s="166"/>
    </row>
    <row r="46" spans="1:14" x14ac:dyDescent="0.2">
      <c r="A46" s="471"/>
      <c r="B46" s="12">
        <v>27</v>
      </c>
      <c r="C46" s="10">
        <f>'3.ESS_RÉGÉ'!U49</f>
        <v>0</v>
      </c>
      <c r="D46" s="10">
        <f>'3.ESS_RÉGÉ'!V49</f>
        <v>0</v>
      </c>
      <c r="E46" s="10">
        <f>'3.ESS_RÉGÉ'!W49</f>
        <v>0</v>
      </c>
      <c r="G46" s="166"/>
    </row>
    <row r="47" spans="1:14" x14ac:dyDescent="0.2">
      <c r="A47" s="471"/>
      <c r="B47" s="12">
        <v>28</v>
      </c>
      <c r="C47" s="10">
        <f>'3.ESS_RÉGÉ'!U50</f>
        <v>0</v>
      </c>
      <c r="D47" s="10">
        <f>'3.ESS_RÉGÉ'!V50</f>
        <v>0</v>
      </c>
      <c r="E47" s="10">
        <f>'3.ESS_RÉGÉ'!W50</f>
        <v>0</v>
      </c>
      <c r="G47" s="166"/>
    </row>
    <row r="48" spans="1:14" x14ac:dyDescent="0.2">
      <c r="A48" s="471"/>
      <c r="B48" s="12">
        <v>29</v>
      </c>
      <c r="C48" s="10">
        <f>'3.ESS_RÉGÉ'!U51</f>
        <v>0</v>
      </c>
      <c r="D48" s="10">
        <f>'3.ESS_RÉGÉ'!V51</f>
        <v>0</v>
      </c>
      <c r="E48" s="10">
        <f>'3.ESS_RÉGÉ'!W51</f>
        <v>0</v>
      </c>
      <c r="G48" s="166"/>
    </row>
    <row r="49" spans="1:52" x14ac:dyDescent="0.2">
      <c r="A49" s="471"/>
      <c r="B49" s="12">
        <v>30</v>
      </c>
      <c r="C49" s="10">
        <f>'3.ESS_RÉGÉ'!U52</f>
        <v>0</v>
      </c>
      <c r="D49" s="10">
        <f>'3.ESS_RÉGÉ'!V52</f>
        <v>0</v>
      </c>
      <c r="E49" s="10">
        <f>'3.ESS_RÉGÉ'!W52</f>
        <v>0</v>
      </c>
      <c r="G49" s="166"/>
    </row>
    <row r="52" spans="1:52" s="137" customFormat="1" x14ac:dyDescent="0.2">
      <c r="A52" s="473" t="s">
        <v>14</v>
      </c>
      <c r="B52" s="137" t="s">
        <v>6</v>
      </c>
      <c r="C52" s="138" t="str">
        <f>C4</f>
        <v/>
      </c>
    </row>
    <row r="53" spans="1:52" s="137" customFormat="1" x14ac:dyDescent="0.2">
      <c r="A53" s="473"/>
      <c r="B53" s="139" t="s">
        <v>181</v>
      </c>
      <c r="C53" s="139">
        <f>C6</f>
        <v>0</v>
      </c>
    </row>
    <row r="55" spans="1:52" x14ac:dyDescent="0.2">
      <c r="A55" s="134" t="s">
        <v>626</v>
      </c>
      <c r="B55" s="134"/>
      <c r="C55" s="134"/>
      <c r="D55" s="134"/>
      <c r="E55" s="134"/>
      <c r="F55" s="134"/>
      <c r="G55" s="134"/>
      <c r="H55" s="134"/>
      <c r="I55" s="134"/>
      <c r="J55" s="134"/>
      <c r="K55" s="134"/>
      <c r="L55" s="134"/>
      <c r="M55" s="133"/>
      <c r="N55" s="133"/>
      <c r="O55" s="133"/>
      <c r="P55" s="133"/>
      <c r="Q55" s="133"/>
      <c r="R55" s="133"/>
      <c r="S55" s="133"/>
      <c r="T55" s="133"/>
      <c r="U55" s="133"/>
      <c r="V55" s="133"/>
      <c r="W55" s="133"/>
      <c r="X55" s="133"/>
      <c r="Y55" s="133"/>
      <c r="Z55" s="133"/>
      <c r="AA55" s="133"/>
      <c r="AB55" s="133"/>
      <c r="AC55" s="133"/>
      <c r="AD55" s="133"/>
      <c r="AE55" s="133"/>
      <c r="AF55" s="133"/>
      <c r="AG55" s="133"/>
      <c r="AH55" s="133"/>
      <c r="AI55" s="133"/>
      <c r="AJ55" s="133"/>
      <c r="AK55" s="133"/>
      <c r="AL55" s="133"/>
      <c r="AM55" s="133"/>
      <c r="AN55" s="133"/>
      <c r="AO55" s="133"/>
      <c r="AP55" s="133"/>
      <c r="AQ55" s="133"/>
      <c r="AR55" s="133"/>
      <c r="AS55" s="133"/>
      <c r="AT55" s="133"/>
      <c r="AU55" s="133"/>
      <c r="AV55" s="133"/>
      <c r="AW55" s="133"/>
      <c r="AX55" s="133"/>
      <c r="AY55" s="133"/>
      <c r="AZ55" s="133"/>
    </row>
    <row r="57" spans="1:52" ht="16" customHeight="1" x14ac:dyDescent="0.2">
      <c r="A57" s="472" t="str">
        <f>CONCATENATE($C$1,"_ESS_1")</f>
        <v>D_ESS_1</v>
      </c>
      <c r="B57" s="3" t="s">
        <v>8</v>
      </c>
      <c r="C57" s="3" t="s">
        <v>17</v>
      </c>
      <c r="D57" s="3" t="s">
        <v>61</v>
      </c>
      <c r="E57" s="3" t="s">
        <v>88</v>
      </c>
      <c r="F57" s="3" t="s">
        <v>297</v>
      </c>
      <c r="G57" s="99"/>
      <c r="J57" s="472" t="str">
        <f>CONCATENATE($C$1,"_ESS_2")</f>
        <v>D_ESS_2</v>
      </c>
      <c r="K57" s="3" t="s">
        <v>8</v>
      </c>
      <c r="L57" s="3" t="s">
        <v>17</v>
      </c>
      <c r="M57" s="3" t="s">
        <v>61</v>
      </c>
      <c r="N57" s="3" t="s">
        <v>88</v>
      </c>
      <c r="O57" s="3" t="s">
        <v>297</v>
      </c>
      <c r="S57" s="472" t="str">
        <f>CONCATENATE($C$1,"_ESS_3")</f>
        <v>D_ESS_3</v>
      </c>
      <c r="T57" s="3" t="s">
        <v>8</v>
      </c>
      <c r="U57" s="3" t="s">
        <v>17</v>
      </c>
      <c r="V57" s="3" t="s">
        <v>61</v>
      </c>
      <c r="W57" s="3" t="s">
        <v>88</v>
      </c>
      <c r="X57" s="3" t="s">
        <v>297</v>
      </c>
      <c r="AB57" s="472" t="str">
        <f>CONCATENATE($C$1,"_ESS_4")</f>
        <v>D_ESS_4</v>
      </c>
      <c r="AC57" s="3" t="s">
        <v>8</v>
      </c>
      <c r="AD57" s="3" t="s">
        <v>17</v>
      </c>
      <c r="AE57" s="3" t="s">
        <v>61</v>
      </c>
      <c r="AF57" s="3" t="s">
        <v>88</v>
      </c>
      <c r="AG57" s="3" t="s">
        <v>297</v>
      </c>
    </row>
    <row r="58" spans="1:52" x14ac:dyDescent="0.2">
      <c r="A58" s="472"/>
      <c r="B58" s="42" t="str">
        <f>G4</f>
        <v/>
      </c>
      <c r="C58" s="3">
        <f>IF(OR(B58=0,B58=""),0,VLOOKUP(B58,Tableau44[[Code_ess]:[FEB]],4,FALSE))</f>
        <v>0</v>
      </c>
      <c r="D58" s="3">
        <f>IF(OR(B58=0,B58=""),0,VLOOKUP(B58,Tableau44[[Code_ess]:[FEB]],5,FALSE))</f>
        <v>0</v>
      </c>
      <c r="E58" s="43">
        <f>IF(OR(B58=0,B58=""),0,VLOOKUP(B58,$G$4:$H$7,2,FALSE))</f>
        <v>0</v>
      </c>
      <c r="F58" s="3">
        <f>IF(OR(B58=0,B58=""),0,VLOOKUP(B58,Listes!$C$7:$D$36,2,FALSE))</f>
        <v>0</v>
      </c>
      <c r="H58" s="44"/>
      <c r="J58" s="472"/>
      <c r="K58" s="3" t="str">
        <f>G5</f>
        <v/>
      </c>
      <c r="L58" s="3">
        <f>IF(OR(K58=0,K58=""),0,VLOOKUP(K58,Tableau44[[Code_ess]:[FEB]],4,FALSE))</f>
        <v>0</v>
      </c>
      <c r="M58" s="3">
        <f>IF(OR(K58=0,K58=""),0,VLOOKUP(K58,Tableau44[[Code_ess]:[FEB]],5,FALSE))</f>
        <v>0</v>
      </c>
      <c r="N58" s="43">
        <f>IF(OR(K58=0,K58=""),0,VLOOKUP(K58,$G$4:$H$7,2,FALSE))</f>
        <v>0</v>
      </c>
      <c r="O58" s="3">
        <f>IF(OR(K58=0,K58=""),0,VLOOKUP(K58,Listes!$C$7:$D$36,2,FALSE))</f>
        <v>0</v>
      </c>
      <c r="R58" s="44"/>
      <c r="S58" s="472"/>
      <c r="T58" s="3" t="str">
        <f>G6</f>
        <v/>
      </c>
      <c r="U58" s="3">
        <f>IF(OR(T58=0,T58=""),0,VLOOKUP(T58,Tableau44[[Code_ess]:[FEB]],4,FALSE))</f>
        <v>0</v>
      </c>
      <c r="V58" s="3">
        <f>IF(OR(T58=0,T58=""),0,VLOOKUP(T58,Tableau44[[Code_ess]:[FEB]],5,FALSE))</f>
        <v>0</v>
      </c>
      <c r="W58" s="43">
        <f>IF(OR(T58=0,T58=""),0,VLOOKUP(T58,$G$4:$H$7,2,FALSE))</f>
        <v>0</v>
      </c>
      <c r="X58" s="3">
        <f>IF(OR(T58=0,T58=""),0,VLOOKUP(T58,Listes!$C$7:$D$36,2,FALSE))</f>
        <v>0</v>
      </c>
      <c r="Z58" s="44"/>
      <c r="AB58" s="472"/>
      <c r="AC58" s="3" t="str">
        <f>G7</f>
        <v/>
      </c>
      <c r="AD58" s="3">
        <f>IF(OR(AC58=0,AC58=""),0,VLOOKUP(AC58,Tableau44[[Code_ess]:[FEB]],4,FALSE))</f>
        <v>0</v>
      </c>
      <c r="AE58" s="3">
        <f>IF(OR(AC58=0,AC58=""),0,VLOOKUP(AC58,Tableau44[[Code_ess]:[FEB]],5,FALSE))</f>
        <v>0</v>
      </c>
      <c r="AF58" s="43">
        <f>IF(OR(AC58=0,AC58=""),0,VLOOKUP(AC58,$G$4:$H$7,2,FALSE))</f>
        <v>0</v>
      </c>
      <c r="AG58" s="3">
        <f>IF(OR(AC58=0,AC58=""),0,VLOOKUP(AC58,Listes!$C$7:$D$36,2,FALSE))</f>
        <v>0</v>
      </c>
    </row>
    <row r="60" spans="1:52" ht="16" customHeight="1" x14ac:dyDescent="0.2">
      <c r="A60" s="472" t="str">
        <f>CONCATENATE("SQ_REF_",A57)</f>
        <v>SQ_REF_D_ESS_1</v>
      </c>
      <c r="B60" s="3" t="s">
        <v>15</v>
      </c>
      <c r="C60" s="3" t="s">
        <v>19</v>
      </c>
      <c r="D60" s="3" t="s">
        <v>18</v>
      </c>
      <c r="E60" s="3" t="s">
        <v>16</v>
      </c>
      <c r="F60" s="3" t="s">
        <v>78</v>
      </c>
      <c r="G60" s="3" t="s">
        <v>79</v>
      </c>
      <c r="H60" s="3" t="s">
        <v>56</v>
      </c>
      <c r="J60" s="472" t="str">
        <f>CONCATENATE("SQ_REF_",J57)</f>
        <v>SQ_REF_D_ESS_2</v>
      </c>
      <c r="K60" s="3" t="s">
        <v>15</v>
      </c>
      <c r="L60" s="3" t="s">
        <v>19</v>
      </c>
      <c r="M60" s="3" t="s">
        <v>18</v>
      </c>
      <c r="N60" s="3" t="s">
        <v>16</v>
      </c>
      <c r="O60" s="3" t="s">
        <v>78</v>
      </c>
      <c r="P60" s="3" t="s">
        <v>79</v>
      </c>
      <c r="Q60" s="3" t="s">
        <v>56</v>
      </c>
      <c r="S60" s="472" t="str">
        <f>CONCATENATE("SQ_REF_",S57)</f>
        <v>SQ_REF_D_ESS_3</v>
      </c>
      <c r="T60" s="3" t="s">
        <v>15</v>
      </c>
      <c r="U60" s="3" t="s">
        <v>19</v>
      </c>
      <c r="V60" s="3" t="s">
        <v>18</v>
      </c>
      <c r="W60" s="3" t="s">
        <v>16</v>
      </c>
      <c r="X60" s="3" t="s">
        <v>78</v>
      </c>
      <c r="Y60" s="3" t="s">
        <v>79</v>
      </c>
      <c r="Z60" s="3" t="s">
        <v>56</v>
      </c>
      <c r="AB60" s="472" t="str">
        <f>CONCATENATE("SQ_REF_",AB57)</f>
        <v>SQ_REF_D_ESS_4</v>
      </c>
      <c r="AC60" s="3" t="s">
        <v>15</v>
      </c>
      <c r="AD60" s="3" t="s">
        <v>19</v>
      </c>
      <c r="AE60" s="3" t="s">
        <v>18</v>
      </c>
      <c r="AF60" s="3" t="s">
        <v>16</v>
      </c>
      <c r="AG60" s="3" t="s">
        <v>78</v>
      </c>
      <c r="AH60" s="3" t="s">
        <v>79</v>
      </c>
      <c r="AI60" s="3" t="s">
        <v>56</v>
      </c>
      <c r="AK60" s="472"/>
      <c r="AL60" s="3" t="s">
        <v>28</v>
      </c>
      <c r="AM60" s="3" t="s">
        <v>121</v>
      </c>
      <c r="AN60" s="3" t="s">
        <v>123</v>
      </c>
      <c r="AO60" s="44" t="s">
        <v>124</v>
      </c>
      <c r="AP60" s="44"/>
      <c r="AQ60" s="472"/>
      <c r="AR60" s="3" t="s">
        <v>94</v>
      </c>
      <c r="AS60" s="3" t="s">
        <v>758</v>
      </c>
    </row>
    <row r="61" spans="1:52" ht="16" customHeight="1" x14ac:dyDescent="0.2">
      <c r="A61" s="472"/>
      <c r="B61" s="3">
        <v>1</v>
      </c>
      <c r="C61" s="45">
        <f>IF(OR(B58="",B58=0),0,VLOOKUP(B58,$G$4:$M$7,6,FALSE))</f>
        <v>0</v>
      </c>
      <c r="D61" s="45">
        <f>IF(OR(C61="",C61=0),0,IF(B61=1,INDEX($J$19:$M$38,MATCH(B61,$H$19:$H$38,0),MATCH(RIGHT(A$57,5),$J$18:$M$18,0)),INDEX($J$19:$M$38,MATCH(B61,$H$19:$H$38,0),MATCH(RIGHT(A$57,5),$J$18:$M$18,0))+C61-E60))</f>
        <v>0</v>
      </c>
      <c r="E61" s="45">
        <f>IF(D61="",0,C61-D61)</f>
        <v>0</v>
      </c>
      <c r="F61" s="45">
        <f>IF(E61=0,0,E61*C$58)</f>
        <v>0</v>
      </c>
      <c r="G61" s="45">
        <f t="shared" ref="G61:G80" si="4">IF(F61&gt;0,EXP(-1.0587+0.8836*LN(F61)+0.284),0)</f>
        <v>0</v>
      </c>
      <c r="H61" s="45">
        <f t="shared" ref="H61:H80" si="5">SUM(F61:G61)*0.475*44/12</f>
        <v>0</v>
      </c>
      <c r="I61" s="45"/>
      <c r="J61" s="472"/>
      <c r="K61" s="3">
        <v>1</v>
      </c>
      <c r="L61" s="45">
        <f>IF(OR(K58="",K58=0),0,VLOOKUP(K58,$G$4:$M$7,6,FALSE))</f>
        <v>0</v>
      </c>
      <c r="M61" s="45">
        <f>IF(OR(L61="",L61=0),0,IF(K61=1,INDEX($J$19:$M$38,MATCH(K61,$H$19:$H$38,0),MATCH(RIGHT(J$57,5),$J$18:$M$18,0)),INDEX($J$19:$M$38,MATCH(K61,$H$19:$H$38,0),MATCH(RIGHT(J$57,5),$J$18:$M$18,0))+L61-N60))</f>
        <v>0</v>
      </c>
      <c r="N61" s="45">
        <f>IF(M61="",0,L61-M61)</f>
        <v>0</v>
      </c>
      <c r="O61" s="45">
        <f t="shared" ref="O61:O80" si="6">IF(N61=0,0,N61*L$58)</f>
        <v>0</v>
      </c>
      <c r="P61" s="45">
        <f t="shared" ref="P61:P80" si="7">IF(O61&gt;0,EXP(-1.0587+0.8836*LN(O61)+0.284),0)</f>
        <v>0</v>
      </c>
      <c r="Q61" s="45">
        <f t="shared" ref="Q61:Q80" si="8">SUM(O61:P61)*0.475*44/12</f>
        <v>0</v>
      </c>
      <c r="R61" s="45"/>
      <c r="S61" s="472"/>
      <c r="T61" s="3">
        <v>1</v>
      </c>
      <c r="U61" s="45">
        <f>IF(OR(T58="",T58=0),0,VLOOKUP(T58,$G$4:$M$7,6,FALSE))</f>
        <v>0</v>
      </c>
      <c r="V61" s="45">
        <f>IF(OR(U61="",U61=0),0,IF(T61=1,INDEX($J$19:$M$38,MATCH(T61,$H$19:$H$38,0),MATCH(RIGHT(S$57,5),$J$18:$M$18,0)),INDEX($J$19:$M$38,MATCH(T61,$H$19:$H$38,0),MATCH(RIGHT(S$57,5),$J$18:$M$18,0))+U61-W60))</f>
        <v>0</v>
      </c>
      <c r="W61" s="45">
        <f>IF(V61="",0,U61-V61)</f>
        <v>0</v>
      </c>
      <c r="X61" s="45">
        <f t="shared" ref="X61:X80" si="9">IF(W61=0,0,W61*U$58)</f>
        <v>0</v>
      </c>
      <c r="Y61" s="45">
        <f t="shared" ref="Y61:Y80" si="10">IF(X61&gt;0,EXP(-1.0587+0.8836*LN(X61)+0.284),0)</f>
        <v>0</v>
      </c>
      <c r="Z61" s="45">
        <f t="shared" ref="Z61:Z80" si="11">SUM(X61:Y61)*0.475*44/12</f>
        <v>0</v>
      </c>
      <c r="AA61" s="45"/>
      <c r="AB61" s="472"/>
      <c r="AC61" s="3">
        <v>1</v>
      </c>
      <c r="AD61" s="45">
        <f>IF(OR(AC58="",AC58=0),0,VLOOKUP(AC58,$G$4:$M$7,6,FALSE))</f>
        <v>0</v>
      </c>
      <c r="AE61" s="45">
        <f>IF(OR(AD61="",AD61=0),0,IF(AC61=1,INDEX($J$19:$M$38,MATCH(AC61,$H$19:$H$38,0),MATCH(RIGHT(AB$57,5),$J$18:$M$18,0)),INDEX($J$19:$M$38,MATCH(AC61,$H$19:$H$38,0),MATCH(RIGHT(AB$57,5),$J$18:$M$18,0))+AD61-AF60))</f>
        <v>0</v>
      </c>
      <c r="AF61" s="45">
        <f>IF(AE61="",0,AD61-AE61)</f>
        <v>0</v>
      </c>
      <c r="AG61" s="45">
        <f t="shared" ref="AG61:AG80" si="12">IF(AF61=0,0,AF61*AD$58)</f>
        <v>0</v>
      </c>
      <c r="AH61" s="45">
        <f t="shared" ref="AH61:AH80" si="13">IF(AG61&gt;0,EXP(-1.0587+0.8836*LN(AG61)+0.284),0)</f>
        <v>0</v>
      </c>
      <c r="AI61" s="45">
        <f t="shared" ref="AI61:AI80" si="14">SUM(AG61:AH61)*0.475*44/12</f>
        <v>0</v>
      </c>
      <c r="AJ61" s="45"/>
      <c r="AK61" s="472"/>
      <c r="AL61" s="3">
        <v>1</v>
      </c>
      <c r="AM61" s="11">
        <f t="shared" ref="AM61:AM80" si="15">SUM(D61,M61,V61,AE61)</f>
        <v>0</v>
      </c>
      <c r="AN61" s="46">
        <f>IF(OR($C$6=0,SUM($M$4:$M$7)=0),0,AM61/SUM($M$4:$M$7))</f>
        <v>0</v>
      </c>
      <c r="AO61" s="47">
        <f t="shared" ref="AO61:AO80" si="16">AN61*50%</f>
        <v>0</v>
      </c>
      <c r="AP61" s="47"/>
      <c r="AQ61" s="472"/>
      <c r="AR61" s="108">
        <v>1</v>
      </c>
      <c r="AS61" s="110">
        <f>C61+L61+U61+AD61</f>
        <v>0</v>
      </c>
    </row>
    <row r="62" spans="1:52" x14ac:dyDescent="0.2">
      <c r="A62" s="472"/>
      <c r="B62" s="3">
        <v>2</v>
      </c>
      <c r="C62" s="45">
        <f>IF(E61=0,0,E61*(1+E$58))</f>
        <v>0</v>
      </c>
      <c r="D62" s="45">
        <f t="shared" ref="D62:D80" si="17">IF(OR(C62="",C62=0),0,IF(B62=1,INDEX($J$19:$M$38,MATCH(B62,$H$19:$H$38,0),MATCH(RIGHT(A$57,5),$J$18:$M$18,0)),INDEX($J$19:$M$38,MATCH(B62,$H$19:$H$38,0),MATCH(RIGHT(A$57,5),$J$18:$M$18,0))+C62-E61))</f>
        <v>0</v>
      </c>
      <c r="E62" s="11">
        <f>IF(D62="",0,C62-D62)</f>
        <v>0</v>
      </c>
      <c r="F62" s="45">
        <f>IF(E62=0,0,E62*C$58)</f>
        <v>0</v>
      </c>
      <c r="G62" s="45">
        <f t="shared" si="4"/>
        <v>0</v>
      </c>
      <c r="H62" s="11">
        <f t="shared" si="5"/>
        <v>0</v>
      </c>
      <c r="I62" s="11"/>
      <c r="J62" s="472"/>
      <c r="K62" s="3">
        <v>2</v>
      </c>
      <c r="L62" s="45">
        <f>IF(N61=0,0,N61*(1+N$58))</f>
        <v>0</v>
      </c>
      <c r="M62" s="45">
        <f t="shared" ref="M62:M80" si="18">IF(OR(L62="",L62=0),0,IF(K62=1,INDEX($J$19:$M$38,MATCH(K62,$H$19:$H$38,0),MATCH(RIGHT(J$57,5),$J$18:$M$18,0)),INDEX($J$19:$M$38,MATCH(K62,$H$19:$H$38,0),MATCH(RIGHT(J$57,5),$J$18:$M$18,0))+L62-N61))</f>
        <v>0</v>
      </c>
      <c r="N62" s="11">
        <f>IF(M62="",0,L62-M62)</f>
        <v>0</v>
      </c>
      <c r="O62" s="45">
        <f t="shared" si="6"/>
        <v>0</v>
      </c>
      <c r="P62" s="45">
        <f t="shared" si="7"/>
        <v>0</v>
      </c>
      <c r="Q62" s="11">
        <f t="shared" si="8"/>
        <v>0</v>
      </c>
      <c r="R62" s="11"/>
      <c r="S62" s="472"/>
      <c r="T62" s="3">
        <v>2</v>
      </c>
      <c r="U62" s="45">
        <f>IF(W61=0,0,W61*(1+W$58))</f>
        <v>0</v>
      </c>
      <c r="V62" s="45">
        <f t="shared" ref="V62:V80" si="19">IF(OR(U62="",U62=0),0,IF(T62=1,INDEX($J$19:$M$38,MATCH(T62,$H$19:$H$38,0),MATCH(RIGHT(S$57,5),$J$18:$M$18,0)),INDEX($J$19:$M$38,MATCH(T62,$H$19:$H$38,0),MATCH(RIGHT(S$57,5),$J$18:$M$18,0))+U62-W61))</f>
        <v>0</v>
      </c>
      <c r="W62" s="11">
        <f>IF(V62="",0,U62-V62)</f>
        <v>0</v>
      </c>
      <c r="X62" s="45">
        <f t="shared" si="9"/>
        <v>0</v>
      </c>
      <c r="Y62" s="45">
        <f t="shared" si="10"/>
        <v>0</v>
      </c>
      <c r="Z62" s="11">
        <f t="shared" si="11"/>
        <v>0</v>
      </c>
      <c r="AA62" s="11"/>
      <c r="AB62" s="472"/>
      <c r="AC62" s="3">
        <v>2</v>
      </c>
      <c r="AD62" s="45">
        <f>IF(AF61=0,0,AF61*(1+AF$58))</f>
        <v>0</v>
      </c>
      <c r="AE62" s="45">
        <f t="shared" ref="AE62:AE80" si="20">IF(OR(AD62="",AD62=0),0,IF(AC62=1,INDEX($J$19:$M$38,MATCH(AC62,$H$19:$H$38,0),MATCH(RIGHT(AB$57,5),$J$18:$M$18,0)),INDEX($J$19:$M$38,MATCH(AC62,$H$19:$H$38,0),MATCH(RIGHT(AB$57,5),$J$18:$M$18,0))+AD62-AF61))</f>
        <v>0</v>
      </c>
      <c r="AF62" s="11">
        <f>IF(AE62="",0,AD62-AE62)</f>
        <v>0</v>
      </c>
      <c r="AG62" s="45">
        <f t="shared" si="12"/>
        <v>0</v>
      </c>
      <c r="AH62" s="45">
        <f t="shared" si="13"/>
        <v>0</v>
      </c>
      <c r="AI62" s="11">
        <f t="shared" si="14"/>
        <v>0</v>
      </c>
      <c r="AJ62" s="11"/>
      <c r="AK62" s="472"/>
      <c r="AL62" s="3">
        <v>2</v>
      </c>
      <c r="AM62" s="11">
        <f t="shared" si="15"/>
        <v>0</v>
      </c>
      <c r="AN62" s="46">
        <f t="shared" ref="AN62:AN80" si="21">IF(OR($C$6=0,SUM($M$4:$M$7)=0),0,AM62/SUM($M$4:$M$7))</f>
        <v>0</v>
      </c>
      <c r="AO62" s="47">
        <f t="shared" si="16"/>
        <v>0</v>
      </c>
      <c r="AP62" s="47"/>
      <c r="AQ62" s="472"/>
      <c r="AR62" s="109">
        <v>2</v>
      </c>
      <c r="AS62" s="111">
        <f>E62+N62+W62+AF62</f>
        <v>0</v>
      </c>
    </row>
    <row r="63" spans="1:52" x14ac:dyDescent="0.2">
      <c r="A63" s="472"/>
      <c r="B63" s="3">
        <v>3</v>
      </c>
      <c r="C63" s="45">
        <f t="shared" ref="C63:C80" si="22">IF(E62=0,0,E62*(1+E$58))</f>
        <v>0</v>
      </c>
      <c r="D63" s="45">
        <f t="shared" si="17"/>
        <v>0</v>
      </c>
      <c r="E63" s="11">
        <f t="shared" ref="E63:E80" si="23">IF(D63="",0,C63-D63)</f>
        <v>0</v>
      </c>
      <c r="F63" s="45">
        <f t="shared" ref="F63:F80" si="24">IF(E63=0,0,E63*C$58)</f>
        <v>0</v>
      </c>
      <c r="G63" s="45">
        <f t="shared" si="4"/>
        <v>0</v>
      </c>
      <c r="H63" s="11">
        <f t="shared" si="5"/>
        <v>0</v>
      </c>
      <c r="I63" s="11"/>
      <c r="J63" s="472"/>
      <c r="K63" s="3">
        <v>3</v>
      </c>
      <c r="L63" s="45">
        <f t="shared" ref="L63:L80" si="25">IF(N62=0,0,N62*(1+N$58))</f>
        <v>0</v>
      </c>
      <c r="M63" s="45">
        <f t="shared" si="18"/>
        <v>0</v>
      </c>
      <c r="N63" s="11">
        <f t="shared" ref="N63:N80" si="26">IF(M63="",0,L63-M63)</f>
        <v>0</v>
      </c>
      <c r="O63" s="45">
        <f t="shared" si="6"/>
        <v>0</v>
      </c>
      <c r="P63" s="45">
        <f t="shared" si="7"/>
        <v>0</v>
      </c>
      <c r="Q63" s="11">
        <f t="shared" si="8"/>
        <v>0</v>
      </c>
      <c r="R63" s="11"/>
      <c r="S63" s="472"/>
      <c r="T63" s="3">
        <v>3</v>
      </c>
      <c r="U63" s="45">
        <f t="shared" ref="U63:U80" si="27">IF(W62=0,0,W62*(1+W$58))</f>
        <v>0</v>
      </c>
      <c r="V63" s="45">
        <f t="shared" si="19"/>
        <v>0</v>
      </c>
      <c r="W63" s="11">
        <f t="shared" ref="W63:W80" si="28">IF(V63="",0,U63-V63)</f>
        <v>0</v>
      </c>
      <c r="X63" s="45">
        <f t="shared" si="9"/>
        <v>0</v>
      </c>
      <c r="Y63" s="45">
        <f t="shared" si="10"/>
        <v>0</v>
      </c>
      <c r="Z63" s="11">
        <f t="shared" si="11"/>
        <v>0</v>
      </c>
      <c r="AA63" s="11"/>
      <c r="AB63" s="472"/>
      <c r="AC63" s="3">
        <v>3</v>
      </c>
      <c r="AD63" s="45">
        <f t="shared" ref="AD63:AD80" si="29">IF(AF62=0,0,AF62*(1+AF$58))</f>
        <v>0</v>
      </c>
      <c r="AE63" s="45">
        <f t="shared" si="20"/>
        <v>0</v>
      </c>
      <c r="AF63" s="11">
        <f t="shared" ref="AF63:AF80" si="30">IF(AE63="",0,AD63-AE63)</f>
        <v>0</v>
      </c>
      <c r="AG63" s="45">
        <f t="shared" si="12"/>
        <v>0</v>
      </c>
      <c r="AH63" s="45">
        <f t="shared" si="13"/>
        <v>0</v>
      </c>
      <c r="AI63" s="11">
        <f t="shared" si="14"/>
        <v>0</v>
      </c>
      <c r="AJ63" s="11"/>
      <c r="AK63" s="472"/>
      <c r="AL63" s="3">
        <v>3</v>
      </c>
      <c r="AM63" s="11">
        <f t="shared" si="15"/>
        <v>0</v>
      </c>
      <c r="AN63" s="46">
        <f t="shared" si="21"/>
        <v>0</v>
      </c>
      <c r="AO63" s="47">
        <f t="shared" si="16"/>
        <v>0</v>
      </c>
      <c r="AP63" s="47"/>
      <c r="AQ63" s="472"/>
      <c r="AR63" s="108">
        <v>3</v>
      </c>
      <c r="AS63" s="111">
        <f t="shared" ref="AS63:AS80" si="31">E63+N63+W63+AF63</f>
        <v>0</v>
      </c>
    </row>
    <row r="64" spans="1:52" x14ac:dyDescent="0.2">
      <c r="A64" s="472"/>
      <c r="B64" s="3">
        <v>4</v>
      </c>
      <c r="C64" s="45">
        <f t="shared" si="22"/>
        <v>0</v>
      </c>
      <c r="D64" s="45">
        <f t="shared" si="17"/>
        <v>0</v>
      </c>
      <c r="E64" s="11">
        <f t="shared" si="23"/>
        <v>0</v>
      </c>
      <c r="F64" s="45">
        <f t="shared" si="24"/>
        <v>0</v>
      </c>
      <c r="G64" s="45">
        <f t="shared" si="4"/>
        <v>0</v>
      </c>
      <c r="H64" s="11">
        <f t="shared" si="5"/>
        <v>0</v>
      </c>
      <c r="I64" s="11"/>
      <c r="J64" s="472"/>
      <c r="K64" s="3">
        <v>4</v>
      </c>
      <c r="L64" s="45">
        <f t="shared" si="25"/>
        <v>0</v>
      </c>
      <c r="M64" s="45">
        <f t="shared" si="18"/>
        <v>0</v>
      </c>
      <c r="N64" s="11">
        <f t="shared" si="26"/>
        <v>0</v>
      </c>
      <c r="O64" s="45">
        <f t="shared" si="6"/>
        <v>0</v>
      </c>
      <c r="P64" s="45">
        <f t="shared" si="7"/>
        <v>0</v>
      </c>
      <c r="Q64" s="11">
        <f t="shared" si="8"/>
        <v>0</v>
      </c>
      <c r="R64" s="11"/>
      <c r="S64" s="472"/>
      <c r="T64" s="3">
        <v>4</v>
      </c>
      <c r="U64" s="45">
        <f t="shared" si="27"/>
        <v>0</v>
      </c>
      <c r="V64" s="45">
        <f t="shared" si="19"/>
        <v>0</v>
      </c>
      <c r="W64" s="11">
        <f t="shared" si="28"/>
        <v>0</v>
      </c>
      <c r="X64" s="45">
        <f t="shared" si="9"/>
        <v>0</v>
      </c>
      <c r="Y64" s="45">
        <f t="shared" si="10"/>
        <v>0</v>
      </c>
      <c r="Z64" s="11">
        <f t="shared" si="11"/>
        <v>0</v>
      </c>
      <c r="AA64" s="11"/>
      <c r="AB64" s="472"/>
      <c r="AC64" s="3">
        <v>4</v>
      </c>
      <c r="AD64" s="45">
        <f t="shared" si="29"/>
        <v>0</v>
      </c>
      <c r="AE64" s="45">
        <f t="shared" si="20"/>
        <v>0</v>
      </c>
      <c r="AF64" s="11">
        <f t="shared" si="30"/>
        <v>0</v>
      </c>
      <c r="AG64" s="45">
        <f t="shared" si="12"/>
        <v>0</v>
      </c>
      <c r="AH64" s="45">
        <f t="shared" si="13"/>
        <v>0</v>
      </c>
      <c r="AI64" s="11">
        <f t="shared" si="14"/>
        <v>0</v>
      </c>
      <c r="AJ64" s="11"/>
      <c r="AK64" s="472"/>
      <c r="AL64" s="3">
        <v>4</v>
      </c>
      <c r="AM64" s="11">
        <f t="shared" si="15"/>
        <v>0</v>
      </c>
      <c r="AN64" s="46">
        <f t="shared" si="21"/>
        <v>0</v>
      </c>
      <c r="AO64" s="47">
        <f t="shared" si="16"/>
        <v>0</v>
      </c>
      <c r="AP64" s="47"/>
      <c r="AQ64" s="472"/>
      <c r="AR64" s="109">
        <v>4</v>
      </c>
      <c r="AS64" s="111">
        <f t="shared" si="31"/>
        <v>0</v>
      </c>
    </row>
    <row r="65" spans="1:45" x14ac:dyDescent="0.2">
      <c r="A65" s="472"/>
      <c r="B65" s="3">
        <v>5</v>
      </c>
      <c r="C65" s="45">
        <f t="shared" si="22"/>
        <v>0</v>
      </c>
      <c r="D65" s="45">
        <f t="shared" si="17"/>
        <v>0</v>
      </c>
      <c r="E65" s="11">
        <f t="shared" si="23"/>
        <v>0</v>
      </c>
      <c r="F65" s="45">
        <f t="shared" si="24"/>
        <v>0</v>
      </c>
      <c r="G65" s="45">
        <f t="shared" si="4"/>
        <v>0</v>
      </c>
      <c r="H65" s="11">
        <f t="shared" si="5"/>
        <v>0</v>
      </c>
      <c r="I65" s="11"/>
      <c r="J65" s="472"/>
      <c r="K65" s="3">
        <v>5</v>
      </c>
      <c r="L65" s="45">
        <f t="shared" si="25"/>
        <v>0</v>
      </c>
      <c r="M65" s="45">
        <f t="shared" si="18"/>
        <v>0</v>
      </c>
      <c r="N65" s="11">
        <f t="shared" si="26"/>
        <v>0</v>
      </c>
      <c r="O65" s="45">
        <f t="shared" si="6"/>
        <v>0</v>
      </c>
      <c r="P65" s="45">
        <f t="shared" si="7"/>
        <v>0</v>
      </c>
      <c r="Q65" s="11">
        <f t="shared" si="8"/>
        <v>0</v>
      </c>
      <c r="R65" s="11"/>
      <c r="S65" s="472"/>
      <c r="T65" s="3">
        <v>5</v>
      </c>
      <c r="U65" s="45">
        <f t="shared" si="27"/>
        <v>0</v>
      </c>
      <c r="V65" s="45">
        <f t="shared" si="19"/>
        <v>0</v>
      </c>
      <c r="W65" s="11">
        <f t="shared" si="28"/>
        <v>0</v>
      </c>
      <c r="X65" s="45">
        <f t="shared" si="9"/>
        <v>0</v>
      </c>
      <c r="Y65" s="45">
        <f t="shared" si="10"/>
        <v>0</v>
      </c>
      <c r="Z65" s="11">
        <f t="shared" si="11"/>
        <v>0</v>
      </c>
      <c r="AA65" s="11"/>
      <c r="AB65" s="472"/>
      <c r="AC65" s="3">
        <v>5</v>
      </c>
      <c r="AD65" s="45">
        <f t="shared" si="29"/>
        <v>0</v>
      </c>
      <c r="AE65" s="45">
        <f t="shared" si="20"/>
        <v>0</v>
      </c>
      <c r="AF65" s="11">
        <f t="shared" si="30"/>
        <v>0</v>
      </c>
      <c r="AG65" s="45">
        <f t="shared" si="12"/>
        <v>0</v>
      </c>
      <c r="AH65" s="45">
        <f t="shared" si="13"/>
        <v>0</v>
      </c>
      <c r="AI65" s="11">
        <f t="shared" si="14"/>
        <v>0</v>
      </c>
      <c r="AJ65" s="11"/>
      <c r="AK65" s="472"/>
      <c r="AL65" s="3">
        <v>5</v>
      </c>
      <c r="AM65" s="11">
        <f t="shared" si="15"/>
        <v>0</v>
      </c>
      <c r="AN65" s="46">
        <f t="shared" si="21"/>
        <v>0</v>
      </c>
      <c r="AO65" s="47">
        <f t="shared" si="16"/>
        <v>0</v>
      </c>
      <c r="AP65" s="47"/>
      <c r="AQ65" s="472"/>
      <c r="AR65" s="108">
        <v>5</v>
      </c>
      <c r="AS65" s="111">
        <f t="shared" si="31"/>
        <v>0</v>
      </c>
    </row>
    <row r="66" spans="1:45" x14ac:dyDescent="0.2">
      <c r="A66" s="472"/>
      <c r="B66" s="3">
        <v>6</v>
      </c>
      <c r="C66" s="45">
        <f t="shared" si="22"/>
        <v>0</v>
      </c>
      <c r="D66" s="45">
        <f t="shared" si="17"/>
        <v>0</v>
      </c>
      <c r="E66" s="11">
        <f t="shared" si="23"/>
        <v>0</v>
      </c>
      <c r="F66" s="45">
        <f t="shared" si="24"/>
        <v>0</v>
      </c>
      <c r="G66" s="45">
        <f t="shared" si="4"/>
        <v>0</v>
      </c>
      <c r="H66" s="11">
        <f t="shared" si="5"/>
        <v>0</v>
      </c>
      <c r="I66" s="11"/>
      <c r="J66" s="472"/>
      <c r="K66" s="3">
        <v>6</v>
      </c>
      <c r="L66" s="45">
        <f t="shared" si="25"/>
        <v>0</v>
      </c>
      <c r="M66" s="45">
        <f t="shared" si="18"/>
        <v>0</v>
      </c>
      <c r="N66" s="11">
        <f t="shared" si="26"/>
        <v>0</v>
      </c>
      <c r="O66" s="45">
        <f t="shared" si="6"/>
        <v>0</v>
      </c>
      <c r="P66" s="45">
        <f t="shared" si="7"/>
        <v>0</v>
      </c>
      <c r="Q66" s="11">
        <f t="shared" si="8"/>
        <v>0</v>
      </c>
      <c r="R66" s="11"/>
      <c r="S66" s="472"/>
      <c r="T66" s="3">
        <v>6</v>
      </c>
      <c r="U66" s="45">
        <f t="shared" si="27"/>
        <v>0</v>
      </c>
      <c r="V66" s="45">
        <f t="shared" si="19"/>
        <v>0</v>
      </c>
      <c r="W66" s="11">
        <f t="shared" si="28"/>
        <v>0</v>
      </c>
      <c r="X66" s="45">
        <f t="shared" si="9"/>
        <v>0</v>
      </c>
      <c r="Y66" s="45">
        <f t="shared" si="10"/>
        <v>0</v>
      </c>
      <c r="Z66" s="11">
        <f t="shared" si="11"/>
        <v>0</v>
      </c>
      <c r="AA66" s="11"/>
      <c r="AB66" s="472"/>
      <c r="AC66" s="3">
        <v>6</v>
      </c>
      <c r="AD66" s="45">
        <f t="shared" si="29"/>
        <v>0</v>
      </c>
      <c r="AE66" s="45">
        <f t="shared" si="20"/>
        <v>0</v>
      </c>
      <c r="AF66" s="11">
        <f t="shared" si="30"/>
        <v>0</v>
      </c>
      <c r="AG66" s="45">
        <f t="shared" si="12"/>
        <v>0</v>
      </c>
      <c r="AH66" s="45">
        <f t="shared" si="13"/>
        <v>0</v>
      </c>
      <c r="AI66" s="11">
        <f t="shared" si="14"/>
        <v>0</v>
      </c>
      <c r="AJ66" s="11"/>
      <c r="AK66" s="472"/>
      <c r="AL66" s="3">
        <v>6</v>
      </c>
      <c r="AM66" s="11">
        <f t="shared" si="15"/>
        <v>0</v>
      </c>
      <c r="AN66" s="46">
        <f t="shared" si="21"/>
        <v>0</v>
      </c>
      <c r="AO66" s="47">
        <f t="shared" si="16"/>
        <v>0</v>
      </c>
      <c r="AP66" s="47"/>
      <c r="AQ66" s="472"/>
      <c r="AR66" s="109">
        <v>6</v>
      </c>
      <c r="AS66" s="111">
        <f t="shared" si="31"/>
        <v>0</v>
      </c>
    </row>
    <row r="67" spans="1:45" x14ac:dyDescent="0.2">
      <c r="A67" s="472"/>
      <c r="B67" s="3">
        <v>7</v>
      </c>
      <c r="C67" s="45">
        <f t="shared" si="22"/>
        <v>0</v>
      </c>
      <c r="D67" s="45">
        <f t="shared" si="17"/>
        <v>0</v>
      </c>
      <c r="E67" s="11">
        <f t="shared" si="23"/>
        <v>0</v>
      </c>
      <c r="F67" s="45">
        <f t="shared" si="24"/>
        <v>0</v>
      </c>
      <c r="G67" s="45">
        <f t="shared" si="4"/>
        <v>0</v>
      </c>
      <c r="H67" s="11">
        <f t="shared" si="5"/>
        <v>0</v>
      </c>
      <c r="I67" s="11"/>
      <c r="J67" s="472"/>
      <c r="K67" s="3">
        <v>7</v>
      </c>
      <c r="L67" s="45">
        <f t="shared" si="25"/>
        <v>0</v>
      </c>
      <c r="M67" s="45">
        <f t="shared" si="18"/>
        <v>0</v>
      </c>
      <c r="N67" s="11">
        <f t="shared" si="26"/>
        <v>0</v>
      </c>
      <c r="O67" s="45">
        <f t="shared" si="6"/>
        <v>0</v>
      </c>
      <c r="P67" s="45">
        <f t="shared" si="7"/>
        <v>0</v>
      </c>
      <c r="Q67" s="11">
        <f t="shared" si="8"/>
        <v>0</v>
      </c>
      <c r="R67" s="11"/>
      <c r="S67" s="472"/>
      <c r="T67" s="3">
        <v>7</v>
      </c>
      <c r="U67" s="45">
        <f t="shared" si="27"/>
        <v>0</v>
      </c>
      <c r="V67" s="45">
        <f t="shared" si="19"/>
        <v>0</v>
      </c>
      <c r="W67" s="11">
        <f t="shared" si="28"/>
        <v>0</v>
      </c>
      <c r="X67" s="45">
        <f t="shared" si="9"/>
        <v>0</v>
      </c>
      <c r="Y67" s="45">
        <f t="shared" si="10"/>
        <v>0</v>
      </c>
      <c r="Z67" s="11">
        <f t="shared" si="11"/>
        <v>0</v>
      </c>
      <c r="AA67" s="11"/>
      <c r="AB67" s="472"/>
      <c r="AC67" s="3">
        <v>7</v>
      </c>
      <c r="AD67" s="45">
        <f t="shared" si="29"/>
        <v>0</v>
      </c>
      <c r="AE67" s="45">
        <f t="shared" si="20"/>
        <v>0</v>
      </c>
      <c r="AF67" s="11">
        <f t="shared" si="30"/>
        <v>0</v>
      </c>
      <c r="AG67" s="45">
        <f t="shared" si="12"/>
        <v>0</v>
      </c>
      <c r="AH67" s="45">
        <f t="shared" si="13"/>
        <v>0</v>
      </c>
      <c r="AI67" s="11">
        <f t="shared" si="14"/>
        <v>0</v>
      </c>
      <c r="AJ67" s="11"/>
      <c r="AK67" s="472"/>
      <c r="AL67" s="3">
        <v>7</v>
      </c>
      <c r="AM67" s="11">
        <f t="shared" si="15"/>
        <v>0</v>
      </c>
      <c r="AN67" s="46">
        <f t="shared" si="21"/>
        <v>0</v>
      </c>
      <c r="AO67" s="47">
        <f t="shared" si="16"/>
        <v>0</v>
      </c>
      <c r="AP67" s="47"/>
      <c r="AQ67" s="472"/>
      <c r="AR67" s="108">
        <v>7</v>
      </c>
      <c r="AS67" s="111">
        <f t="shared" si="31"/>
        <v>0</v>
      </c>
    </row>
    <row r="68" spans="1:45" x14ac:dyDescent="0.2">
      <c r="A68" s="472"/>
      <c r="B68" s="3">
        <v>8</v>
      </c>
      <c r="C68" s="45">
        <f t="shared" si="22"/>
        <v>0</v>
      </c>
      <c r="D68" s="45">
        <f t="shared" si="17"/>
        <v>0</v>
      </c>
      <c r="E68" s="11">
        <f t="shared" si="23"/>
        <v>0</v>
      </c>
      <c r="F68" s="45">
        <f t="shared" si="24"/>
        <v>0</v>
      </c>
      <c r="G68" s="45">
        <f t="shared" si="4"/>
        <v>0</v>
      </c>
      <c r="H68" s="11">
        <f t="shared" si="5"/>
        <v>0</v>
      </c>
      <c r="I68" s="11"/>
      <c r="J68" s="472"/>
      <c r="K68" s="3">
        <v>8</v>
      </c>
      <c r="L68" s="45">
        <f t="shared" si="25"/>
        <v>0</v>
      </c>
      <c r="M68" s="45">
        <f t="shared" si="18"/>
        <v>0</v>
      </c>
      <c r="N68" s="11">
        <f t="shared" si="26"/>
        <v>0</v>
      </c>
      <c r="O68" s="45">
        <f t="shared" si="6"/>
        <v>0</v>
      </c>
      <c r="P68" s="45">
        <f t="shared" si="7"/>
        <v>0</v>
      </c>
      <c r="Q68" s="11">
        <f t="shared" si="8"/>
        <v>0</v>
      </c>
      <c r="R68" s="11"/>
      <c r="S68" s="472"/>
      <c r="T68" s="3">
        <v>8</v>
      </c>
      <c r="U68" s="45">
        <f t="shared" si="27"/>
        <v>0</v>
      </c>
      <c r="V68" s="45">
        <f t="shared" si="19"/>
        <v>0</v>
      </c>
      <c r="W68" s="11">
        <f t="shared" si="28"/>
        <v>0</v>
      </c>
      <c r="X68" s="45">
        <f t="shared" si="9"/>
        <v>0</v>
      </c>
      <c r="Y68" s="45">
        <f t="shared" si="10"/>
        <v>0</v>
      </c>
      <c r="Z68" s="11">
        <f t="shared" si="11"/>
        <v>0</v>
      </c>
      <c r="AA68" s="11"/>
      <c r="AB68" s="472"/>
      <c r="AC68" s="3">
        <v>8</v>
      </c>
      <c r="AD68" s="45">
        <f t="shared" si="29"/>
        <v>0</v>
      </c>
      <c r="AE68" s="45">
        <f t="shared" si="20"/>
        <v>0</v>
      </c>
      <c r="AF68" s="11">
        <f t="shared" si="30"/>
        <v>0</v>
      </c>
      <c r="AG68" s="45">
        <f t="shared" si="12"/>
        <v>0</v>
      </c>
      <c r="AH68" s="45">
        <f t="shared" si="13"/>
        <v>0</v>
      </c>
      <c r="AI68" s="11">
        <f t="shared" si="14"/>
        <v>0</v>
      </c>
      <c r="AJ68" s="11"/>
      <c r="AK68" s="472"/>
      <c r="AL68" s="3">
        <v>8</v>
      </c>
      <c r="AM68" s="11">
        <f t="shared" si="15"/>
        <v>0</v>
      </c>
      <c r="AN68" s="46">
        <f t="shared" si="21"/>
        <v>0</v>
      </c>
      <c r="AO68" s="47">
        <f t="shared" si="16"/>
        <v>0</v>
      </c>
      <c r="AP68" s="47"/>
      <c r="AQ68" s="472"/>
      <c r="AR68" s="109">
        <v>8</v>
      </c>
      <c r="AS68" s="111">
        <f t="shared" si="31"/>
        <v>0</v>
      </c>
    </row>
    <row r="69" spans="1:45" x14ac:dyDescent="0.2">
      <c r="A69" s="472"/>
      <c r="B69" s="3">
        <v>9</v>
      </c>
      <c r="C69" s="45">
        <f t="shared" si="22"/>
        <v>0</v>
      </c>
      <c r="D69" s="45">
        <f t="shared" si="17"/>
        <v>0</v>
      </c>
      <c r="E69" s="11">
        <f t="shared" si="23"/>
        <v>0</v>
      </c>
      <c r="F69" s="45">
        <f t="shared" si="24"/>
        <v>0</v>
      </c>
      <c r="G69" s="45">
        <f t="shared" si="4"/>
        <v>0</v>
      </c>
      <c r="H69" s="11">
        <f t="shared" si="5"/>
        <v>0</v>
      </c>
      <c r="I69" s="11"/>
      <c r="J69" s="472"/>
      <c r="K69" s="3">
        <v>9</v>
      </c>
      <c r="L69" s="45">
        <f t="shared" si="25"/>
        <v>0</v>
      </c>
      <c r="M69" s="45">
        <f t="shared" si="18"/>
        <v>0</v>
      </c>
      <c r="N69" s="11">
        <f t="shared" si="26"/>
        <v>0</v>
      </c>
      <c r="O69" s="45">
        <f t="shared" si="6"/>
        <v>0</v>
      </c>
      <c r="P69" s="45">
        <f t="shared" si="7"/>
        <v>0</v>
      </c>
      <c r="Q69" s="11">
        <f t="shared" si="8"/>
        <v>0</v>
      </c>
      <c r="R69" s="11"/>
      <c r="S69" s="472"/>
      <c r="T69" s="3">
        <v>9</v>
      </c>
      <c r="U69" s="45">
        <f t="shared" si="27"/>
        <v>0</v>
      </c>
      <c r="V69" s="45">
        <f t="shared" si="19"/>
        <v>0</v>
      </c>
      <c r="W69" s="11">
        <f t="shared" si="28"/>
        <v>0</v>
      </c>
      <c r="X69" s="45">
        <f t="shared" si="9"/>
        <v>0</v>
      </c>
      <c r="Y69" s="45">
        <f t="shared" si="10"/>
        <v>0</v>
      </c>
      <c r="Z69" s="11">
        <f t="shared" si="11"/>
        <v>0</v>
      </c>
      <c r="AA69" s="11"/>
      <c r="AB69" s="472"/>
      <c r="AC69" s="3">
        <v>9</v>
      </c>
      <c r="AD69" s="45">
        <f t="shared" si="29"/>
        <v>0</v>
      </c>
      <c r="AE69" s="45">
        <f t="shared" si="20"/>
        <v>0</v>
      </c>
      <c r="AF69" s="11">
        <f t="shared" si="30"/>
        <v>0</v>
      </c>
      <c r="AG69" s="45">
        <f t="shared" si="12"/>
        <v>0</v>
      </c>
      <c r="AH69" s="45">
        <f t="shared" si="13"/>
        <v>0</v>
      </c>
      <c r="AI69" s="11">
        <f t="shared" si="14"/>
        <v>0</v>
      </c>
      <c r="AJ69" s="11"/>
      <c r="AK69" s="472"/>
      <c r="AL69" s="3">
        <v>9</v>
      </c>
      <c r="AM69" s="11">
        <f t="shared" si="15"/>
        <v>0</v>
      </c>
      <c r="AN69" s="46">
        <f t="shared" si="21"/>
        <v>0</v>
      </c>
      <c r="AO69" s="47">
        <f t="shared" si="16"/>
        <v>0</v>
      </c>
      <c r="AP69" s="47"/>
      <c r="AQ69" s="472"/>
      <c r="AR69" s="108">
        <v>9</v>
      </c>
      <c r="AS69" s="111">
        <f t="shared" si="31"/>
        <v>0</v>
      </c>
    </row>
    <row r="70" spans="1:45" x14ac:dyDescent="0.2">
      <c r="A70" s="472"/>
      <c r="B70" s="3">
        <v>10</v>
      </c>
      <c r="C70" s="45">
        <f t="shared" si="22"/>
        <v>0</v>
      </c>
      <c r="D70" s="45">
        <f t="shared" si="17"/>
        <v>0</v>
      </c>
      <c r="E70" s="11">
        <f t="shared" si="23"/>
        <v>0</v>
      </c>
      <c r="F70" s="45">
        <f t="shared" si="24"/>
        <v>0</v>
      </c>
      <c r="G70" s="45">
        <f t="shared" si="4"/>
        <v>0</v>
      </c>
      <c r="H70" s="11">
        <f t="shared" si="5"/>
        <v>0</v>
      </c>
      <c r="I70" s="11"/>
      <c r="J70" s="472"/>
      <c r="K70" s="3">
        <v>10</v>
      </c>
      <c r="L70" s="45">
        <f t="shared" si="25"/>
        <v>0</v>
      </c>
      <c r="M70" s="45">
        <f t="shared" si="18"/>
        <v>0</v>
      </c>
      <c r="N70" s="11">
        <f t="shared" si="26"/>
        <v>0</v>
      </c>
      <c r="O70" s="45">
        <f t="shared" si="6"/>
        <v>0</v>
      </c>
      <c r="P70" s="45">
        <f t="shared" si="7"/>
        <v>0</v>
      </c>
      <c r="Q70" s="11">
        <f t="shared" si="8"/>
        <v>0</v>
      </c>
      <c r="R70" s="11"/>
      <c r="S70" s="472"/>
      <c r="T70" s="3">
        <v>10</v>
      </c>
      <c r="U70" s="45">
        <f t="shared" si="27"/>
        <v>0</v>
      </c>
      <c r="V70" s="45">
        <f t="shared" si="19"/>
        <v>0</v>
      </c>
      <c r="W70" s="11">
        <f t="shared" si="28"/>
        <v>0</v>
      </c>
      <c r="X70" s="45">
        <f t="shared" si="9"/>
        <v>0</v>
      </c>
      <c r="Y70" s="45">
        <f t="shared" si="10"/>
        <v>0</v>
      </c>
      <c r="Z70" s="11">
        <f t="shared" si="11"/>
        <v>0</v>
      </c>
      <c r="AA70" s="11"/>
      <c r="AB70" s="472"/>
      <c r="AC70" s="3">
        <v>10</v>
      </c>
      <c r="AD70" s="45">
        <f t="shared" si="29"/>
        <v>0</v>
      </c>
      <c r="AE70" s="45">
        <f t="shared" si="20"/>
        <v>0</v>
      </c>
      <c r="AF70" s="11">
        <f t="shared" si="30"/>
        <v>0</v>
      </c>
      <c r="AG70" s="45">
        <f t="shared" si="12"/>
        <v>0</v>
      </c>
      <c r="AH70" s="45">
        <f t="shared" si="13"/>
        <v>0</v>
      </c>
      <c r="AI70" s="11">
        <f t="shared" si="14"/>
        <v>0</v>
      </c>
      <c r="AJ70" s="11"/>
      <c r="AK70" s="472"/>
      <c r="AL70" s="3">
        <v>10</v>
      </c>
      <c r="AM70" s="11">
        <f t="shared" si="15"/>
        <v>0</v>
      </c>
      <c r="AN70" s="46">
        <f t="shared" si="21"/>
        <v>0</v>
      </c>
      <c r="AO70" s="47">
        <f t="shared" si="16"/>
        <v>0</v>
      </c>
      <c r="AP70" s="47"/>
      <c r="AQ70" s="472"/>
      <c r="AR70" s="109">
        <v>10</v>
      </c>
      <c r="AS70" s="111">
        <f t="shared" si="31"/>
        <v>0</v>
      </c>
    </row>
    <row r="71" spans="1:45" x14ac:dyDescent="0.2">
      <c r="A71" s="472"/>
      <c r="B71" s="3">
        <v>11</v>
      </c>
      <c r="C71" s="45">
        <f t="shared" si="22"/>
        <v>0</v>
      </c>
      <c r="D71" s="45">
        <f t="shared" si="17"/>
        <v>0</v>
      </c>
      <c r="E71" s="11">
        <f t="shared" si="23"/>
        <v>0</v>
      </c>
      <c r="F71" s="45">
        <f t="shared" si="24"/>
        <v>0</v>
      </c>
      <c r="G71" s="45">
        <f t="shared" si="4"/>
        <v>0</v>
      </c>
      <c r="H71" s="11">
        <f t="shared" si="5"/>
        <v>0</v>
      </c>
      <c r="I71" s="11"/>
      <c r="J71" s="472"/>
      <c r="K71" s="3">
        <v>11</v>
      </c>
      <c r="L71" s="45">
        <f t="shared" si="25"/>
        <v>0</v>
      </c>
      <c r="M71" s="45">
        <f t="shared" si="18"/>
        <v>0</v>
      </c>
      <c r="N71" s="11">
        <f t="shared" si="26"/>
        <v>0</v>
      </c>
      <c r="O71" s="45">
        <f t="shared" si="6"/>
        <v>0</v>
      </c>
      <c r="P71" s="45">
        <f t="shared" si="7"/>
        <v>0</v>
      </c>
      <c r="Q71" s="11">
        <f t="shared" si="8"/>
        <v>0</v>
      </c>
      <c r="R71" s="11"/>
      <c r="S71" s="472"/>
      <c r="T71" s="3">
        <v>11</v>
      </c>
      <c r="U71" s="45">
        <f t="shared" si="27"/>
        <v>0</v>
      </c>
      <c r="V71" s="45">
        <f t="shared" si="19"/>
        <v>0</v>
      </c>
      <c r="W71" s="11">
        <f t="shared" si="28"/>
        <v>0</v>
      </c>
      <c r="X71" s="45">
        <f t="shared" si="9"/>
        <v>0</v>
      </c>
      <c r="Y71" s="45">
        <f t="shared" si="10"/>
        <v>0</v>
      </c>
      <c r="Z71" s="11">
        <f t="shared" si="11"/>
        <v>0</v>
      </c>
      <c r="AA71" s="11"/>
      <c r="AB71" s="472"/>
      <c r="AC71" s="3">
        <v>11</v>
      </c>
      <c r="AD71" s="45">
        <f t="shared" si="29"/>
        <v>0</v>
      </c>
      <c r="AE71" s="45">
        <f t="shared" si="20"/>
        <v>0</v>
      </c>
      <c r="AF71" s="11">
        <f t="shared" si="30"/>
        <v>0</v>
      </c>
      <c r="AG71" s="45">
        <f t="shared" si="12"/>
        <v>0</v>
      </c>
      <c r="AH71" s="45">
        <f t="shared" si="13"/>
        <v>0</v>
      </c>
      <c r="AI71" s="11">
        <f t="shared" si="14"/>
        <v>0</v>
      </c>
      <c r="AJ71" s="11"/>
      <c r="AK71" s="472"/>
      <c r="AL71" s="3">
        <v>11</v>
      </c>
      <c r="AM71" s="11">
        <f t="shared" si="15"/>
        <v>0</v>
      </c>
      <c r="AN71" s="46">
        <f t="shared" si="21"/>
        <v>0</v>
      </c>
      <c r="AO71" s="47">
        <f t="shared" si="16"/>
        <v>0</v>
      </c>
      <c r="AP71" s="47"/>
      <c r="AQ71" s="472"/>
      <c r="AR71" s="108">
        <v>11</v>
      </c>
      <c r="AS71" s="111">
        <f t="shared" si="31"/>
        <v>0</v>
      </c>
    </row>
    <row r="72" spans="1:45" x14ac:dyDescent="0.2">
      <c r="A72" s="472"/>
      <c r="B72" s="3">
        <v>12</v>
      </c>
      <c r="C72" s="45">
        <f t="shared" si="22"/>
        <v>0</v>
      </c>
      <c r="D72" s="45">
        <f t="shared" si="17"/>
        <v>0</v>
      </c>
      <c r="E72" s="11">
        <f t="shared" si="23"/>
        <v>0</v>
      </c>
      <c r="F72" s="45">
        <f t="shared" si="24"/>
        <v>0</v>
      </c>
      <c r="G72" s="45">
        <f t="shared" si="4"/>
        <v>0</v>
      </c>
      <c r="H72" s="11">
        <f t="shared" si="5"/>
        <v>0</v>
      </c>
      <c r="I72" s="11"/>
      <c r="J72" s="472"/>
      <c r="K72" s="3">
        <v>12</v>
      </c>
      <c r="L72" s="45">
        <f t="shared" si="25"/>
        <v>0</v>
      </c>
      <c r="M72" s="45">
        <f t="shared" si="18"/>
        <v>0</v>
      </c>
      <c r="N72" s="11">
        <f t="shared" si="26"/>
        <v>0</v>
      </c>
      <c r="O72" s="45">
        <f t="shared" si="6"/>
        <v>0</v>
      </c>
      <c r="P72" s="45">
        <f t="shared" si="7"/>
        <v>0</v>
      </c>
      <c r="Q72" s="11">
        <f t="shared" si="8"/>
        <v>0</v>
      </c>
      <c r="R72" s="11"/>
      <c r="S72" s="472"/>
      <c r="T72" s="3">
        <v>12</v>
      </c>
      <c r="U72" s="45">
        <f t="shared" si="27"/>
        <v>0</v>
      </c>
      <c r="V72" s="45">
        <f t="shared" si="19"/>
        <v>0</v>
      </c>
      <c r="W72" s="11">
        <f t="shared" si="28"/>
        <v>0</v>
      </c>
      <c r="X72" s="45">
        <f t="shared" si="9"/>
        <v>0</v>
      </c>
      <c r="Y72" s="45">
        <f t="shared" si="10"/>
        <v>0</v>
      </c>
      <c r="Z72" s="11">
        <f t="shared" si="11"/>
        <v>0</v>
      </c>
      <c r="AA72" s="11"/>
      <c r="AB72" s="472"/>
      <c r="AC72" s="3">
        <v>12</v>
      </c>
      <c r="AD72" s="45">
        <f t="shared" si="29"/>
        <v>0</v>
      </c>
      <c r="AE72" s="45">
        <f t="shared" si="20"/>
        <v>0</v>
      </c>
      <c r="AF72" s="11">
        <f t="shared" si="30"/>
        <v>0</v>
      </c>
      <c r="AG72" s="45">
        <f t="shared" si="12"/>
        <v>0</v>
      </c>
      <c r="AH72" s="45">
        <f t="shared" si="13"/>
        <v>0</v>
      </c>
      <c r="AI72" s="11">
        <f t="shared" si="14"/>
        <v>0</v>
      </c>
      <c r="AJ72" s="11"/>
      <c r="AK72" s="472"/>
      <c r="AL72" s="3">
        <v>12</v>
      </c>
      <c r="AM72" s="11">
        <f t="shared" si="15"/>
        <v>0</v>
      </c>
      <c r="AN72" s="46">
        <f t="shared" si="21"/>
        <v>0</v>
      </c>
      <c r="AO72" s="47">
        <f t="shared" si="16"/>
        <v>0</v>
      </c>
      <c r="AP72" s="47"/>
      <c r="AQ72" s="472"/>
      <c r="AR72" s="109">
        <v>12</v>
      </c>
      <c r="AS72" s="111">
        <f t="shared" si="31"/>
        <v>0</v>
      </c>
    </row>
    <row r="73" spans="1:45" x14ac:dyDescent="0.2">
      <c r="A73" s="472"/>
      <c r="B73" s="3">
        <v>13</v>
      </c>
      <c r="C73" s="45">
        <f t="shared" si="22"/>
        <v>0</v>
      </c>
      <c r="D73" s="45">
        <f t="shared" si="17"/>
        <v>0</v>
      </c>
      <c r="E73" s="11">
        <f t="shared" si="23"/>
        <v>0</v>
      </c>
      <c r="F73" s="45">
        <f t="shared" si="24"/>
        <v>0</v>
      </c>
      <c r="G73" s="45">
        <f t="shared" si="4"/>
        <v>0</v>
      </c>
      <c r="H73" s="11">
        <f t="shared" si="5"/>
        <v>0</v>
      </c>
      <c r="I73" s="11"/>
      <c r="J73" s="472"/>
      <c r="K73" s="3">
        <v>13</v>
      </c>
      <c r="L73" s="45">
        <f t="shared" si="25"/>
        <v>0</v>
      </c>
      <c r="M73" s="45">
        <f t="shared" si="18"/>
        <v>0</v>
      </c>
      <c r="N73" s="11">
        <f t="shared" si="26"/>
        <v>0</v>
      </c>
      <c r="O73" s="45">
        <f t="shared" si="6"/>
        <v>0</v>
      </c>
      <c r="P73" s="45">
        <f t="shared" si="7"/>
        <v>0</v>
      </c>
      <c r="Q73" s="11">
        <f t="shared" si="8"/>
        <v>0</v>
      </c>
      <c r="R73" s="11"/>
      <c r="S73" s="472"/>
      <c r="T73" s="3">
        <v>13</v>
      </c>
      <c r="U73" s="45">
        <f t="shared" si="27"/>
        <v>0</v>
      </c>
      <c r="V73" s="45">
        <f t="shared" si="19"/>
        <v>0</v>
      </c>
      <c r="W73" s="11">
        <f t="shared" si="28"/>
        <v>0</v>
      </c>
      <c r="X73" s="45">
        <f t="shared" si="9"/>
        <v>0</v>
      </c>
      <c r="Y73" s="45">
        <f t="shared" si="10"/>
        <v>0</v>
      </c>
      <c r="Z73" s="11">
        <f t="shared" si="11"/>
        <v>0</v>
      </c>
      <c r="AA73" s="11"/>
      <c r="AB73" s="472"/>
      <c r="AC73" s="3">
        <v>13</v>
      </c>
      <c r="AD73" s="45">
        <f t="shared" si="29"/>
        <v>0</v>
      </c>
      <c r="AE73" s="45">
        <f t="shared" si="20"/>
        <v>0</v>
      </c>
      <c r="AF73" s="11">
        <f t="shared" si="30"/>
        <v>0</v>
      </c>
      <c r="AG73" s="45">
        <f t="shared" si="12"/>
        <v>0</v>
      </c>
      <c r="AH73" s="45">
        <f t="shared" si="13"/>
        <v>0</v>
      </c>
      <c r="AI73" s="11">
        <f t="shared" si="14"/>
        <v>0</v>
      </c>
      <c r="AJ73" s="11"/>
      <c r="AK73" s="472"/>
      <c r="AL73" s="3">
        <v>13</v>
      </c>
      <c r="AM73" s="11">
        <f t="shared" si="15"/>
        <v>0</v>
      </c>
      <c r="AN73" s="46">
        <f t="shared" si="21"/>
        <v>0</v>
      </c>
      <c r="AO73" s="47">
        <f t="shared" si="16"/>
        <v>0</v>
      </c>
      <c r="AP73" s="47"/>
      <c r="AQ73" s="472"/>
      <c r="AR73" s="108">
        <v>13</v>
      </c>
      <c r="AS73" s="111">
        <f t="shared" si="31"/>
        <v>0</v>
      </c>
    </row>
    <row r="74" spans="1:45" x14ac:dyDescent="0.2">
      <c r="A74" s="472"/>
      <c r="B74" s="3">
        <v>14</v>
      </c>
      <c r="C74" s="45">
        <f t="shared" si="22"/>
        <v>0</v>
      </c>
      <c r="D74" s="45">
        <f t="shared" si="17"/>
        <v>0</v>
      </c>
      <c r="E74" s="11">
        <f t="shared" si="23"/>
        <v>0</v>
      </c>
      <c r="F74" s="45">
        <f t="shared" si="24"/>
        <v>0</v>
      </c>
      <c r="G74" s="45">
        <f t="shared" si="4"/>
        <v>0</v>
      </c>
      <c r="H74" s="11">
        <f t="shared" si="5"/>
        <v>0</v>
      </c>
      <c r="I74" s="11"/>
      <c r="J74" s="472"/>
      <c r="K74" s="3">
        <v>14</v>
      </c>
      <c r="L74" s="45">
        <f t="shared" si="25"/>
        <v>0</v>
      </c>
      <c r="M74" s="45">
        <f t="shared" si="18"/>
        <v>0</v>
      </c>
      <c r="N74" s="11">
        <f t="shared" si="26"/>
        <v>0</v>
      </c>
      <c r="O74" s="45">
        <f t="shared" si="6"/>
        <v>0</v>
      </c>
      <c r="P74" s="45">
        <f t="shared" si="7"/>
        <v>0</v>
      </c>
      <c r="Q74" s="11">
        <f t="shared" si="8"/>
        <v>0</v>
      </c>
      <c r="R74" s="11"/>
      <c r="S74" s="472"/>
      <c r="T74" s="3">
        <v>14</v>
      </c>
      <c r="U74" s="45">
        <f t="shared" si="27"/>
        <v>0</v>
      </c>
      <c r="V74" s="45">
        <f t="shared" si="19"/>
        <v>0</v>
      </c>
      <c r="W74" s="11">
        <f t="shared" si="28"/>
        <v>0</v>
      </c>
      <c r="X74" s="45">
        <f t="shared" si="9"/>
        <v>0</v>
      </c>
      <c r="Y74" s="45">
        <f t="shared" si="10"/>
        <v>0</v>
      </c>
      <c r="Z74" s="11">
        <f t="shared" si="11"/>
        <v>0</v>
      </c>
      <c r="AA74" s="11"/>
      <c r="AB74" s="472"/>
      <c r="AC74" s="3">
        <v>14</v>
      </c>
      <c r="AD74" s="45">
        <f t="shared" si="29"/>
        <v>0</v>
      </c>
      <c r="AE74" s="45">
        <f t="shared" si="20"/>
        <v>0</v>
      </c>
      <c r="AF74" s="11">
        <f t="shared" si="30"/>
        <v>0</v>
      </c>
      <c r="AG74" s="45">
        <f t="shared" si="12"/>
        <v>0</v>
      </c>
      <c r="AH74" s="45">
        <f t="shared" si="13"/>
        <v>0</v>
      </c>
      <c r="AI74" s="11">
        <f t="shared" si="14"/>
        <v>0</v>
      </c>
      <c r="AJ74" s="11"/>
      <c r="AK74" s="472"/>
      <c r="AL74" s="3">
        <v>14</v>
      </c>
      <c r="AM74" s="11">
        <f t="shared" si="15"/>
        <v>0</v>
      </c>
      <c r="AN74" s="46">
        <f t="shared" si="21"/>
        <v>0</v>
      </c>
      <c r="AO74" s="47">
        <f t="shared" si="16"/>
        <v>0</v>
      </c>
      <c r="AP74" s="47"/>
      <c r="AQ74" s="472"/>
      <c r="AR74" s="109">
        <v>14</v>
      </c>
      <c r="AS74" s="111">
        <f t="shared" si="31"/>
        <v>0</v>
      </c>
    </row>
    <row r="75" spans="1:45" x14ac:dyDescent="0.2">
      <c r="A75" s="472"/>
      <c r="B75" s="3">
        <v>15</v>
      </c>
      <c r="C75" s="45">
        <f t="shared" si="22"/>
        <v>0</v>
      </c>
      <c r="D75" s="45">
        <f t="shared" si="17"/>
        <v>0</v>
      </c>
      <c r="E75" s="45">
        <f t="shared" si="23"/>
        <v>0</v>
      </c>
      <c r="F75" s="45">
        <f t="shared" si="24"/>
        <v>0</v>
      </c>
      <c r="G75" s="45">
        <f t="shared" si="4"/>
        <v>0</v>
      </c>
      <c r="H75" s="45">
        <f t="shared" si="5"/>
        <v>0</v>
      </c>
      <c r="I75" s="45"/>
      <c r="J75" s="472"/>
      <c r="K75" s="3">
        <v>15</v>
      </c>
      <c r="L75" s="45">
        <f t="shared" si="25"/>
        <v>0</v>
      </c>
      <c r="M75" s="45">
        <f t="shared" si="18"/>
        <v>0</v>
      </c>
      <c r="N75" s="11">
        <f t="shared" si="26"/>
        <v>0</v>
      </c>
      <c r="O75" s="45">
        <f t="shared" si="6"/>
        <v>0</v>
      </c>
      <c r="P75" s="45">
        <f t="shared" si="7"/>
        <v>0</v>
      </c>
      <c r="Q75" s="11">
        <f t="shared" si="8"/>
        <v>0</v>
      </c>
      <c r="R75" s="45"/>
      <c r="S75" s="472"/>
      <c r="T75" s="3">
        <v>15</v>
      </c>
      <c r="U75" s="45">
        <f t="shared" si="27"/>
        <v>0</v>
      </c>
      <c r="V75" s="45">
        <f t="shared" si="19"/>
        <v>0</v>
      </c>
      <c r="W75" s="11">
        <f t="shared" si="28"/>
        <v>0</v>
      </c>
      <c r="X75" s="45">
        <f t="shared" si="9"/>
        <v>0</v>
      </c>
      <c r="Y75" s="45">
        <f t="shared" si="10"/>
        <v>0</v>
      </c>
      <c r="Z75" s="11">
        <f t="shared" si="11"/>
        <v>0</v>
      </c>
      <c r="AA75" s="45"/>
      <c r="AB75" s="472"/>
      <c r="AC75" s="3">
        <v>15</v>
      </c>
      <c r="AD75" s="45">
        <f t="shared" si="29"/>
        <v>0</v>
      </c>
      <c r="AE75" s="45">
        <f t="shared" si="20"/>
        <v>0</v>
      </c>
      <c r="AF75" s="11">
        <f t="shared" si="30"/>
        <v>0</v>
      </c>
      <c r="AG75" s="45">
        <f t="shared" si="12"/>
        <v>0</v>
      </c>
      <c r="AH75" s="45">
        <f t="shared" si="13"/>
        <v>0</v>
      </c>
      <c r="AI75" s="11">
        <f t="shared" si="14"/>
        <v>0</v>
      </c>
      <c r="AJ75" s="45"/>
      <c r="AK75" s="472"/>
      <c r="AL75" s="3">
        <v>15</v>
      </c>
      <c r="AM75" s="11">
        <f t="shared" si="15"/>
        <v>0</v>
      </c>
      <c r="AN75" s="46">
        <f t="shared" si="21"/>
        <v>0</v>
      </c>
      <c r="AO75" s="47">
        <f t="shared" si="16"/>
        <v>0</v>
      </c>
      <c r="AP75" s="47"/>
      <c r="AQ75" s="472"/>
      <c r="AR75" s="108">
        <v>15</v>
      </c>
      <c r="AS75" s="111">
        <f t="shared" si="31"/>
        <v>0</v>
      </c>
    </row>
    <row r="76" spans="1:45" x14ac:dyDescent="0.2">
      <c r="A76" s="472"/>
      <c r="B76" s="3">
        <v>16</v>
      </c>
      <c r="C76" s="45">
        <f t="shared" si="22"/>
        <v>0</v>
      </c>
      <c r="D76" s="45">
        <f t="shared" si="17"/>
        <v>0</v>
      </c>
      <c r="E76" s="45">
        <f t="shared" si="23"/>
        <v>0</v>
      </c>
      <c r="F76" s="45">
        <f t="shared" si="24"/>
        <v>0</v>
      </c>
      <c r="G76" s="45">
        <f t="shared" si="4"/>
        <v>0</v>
      </c>
      <c r="H76" s="11">
        <f t="shared" si="5"/>
        <v>0</v>
      </c>
      <c r="I76" s="11"/>
      <c r="J76" s="472"/>
      <c r="K76" s="3">
        <v>16</v>
      </c>
      <c r="L76" s="45">
        <f t="shared" si="25"/>
        <v>0</v>
      </c>
      <c r="M76" s="45">
        <f t="shared" si="18"/>
        <v>0</v>
      </c>
      <c r="N76" s="11">
        <f t="shared" si="26"/>
        <v>0</v>
      </c>
      <c r="O76" s="45">
        <f t="shared" si="6"/>
        <v>0</v>
      </c>
      <c r="P76" s="45">
        <f t="shared" si="7"/>
        <v>0</v>
      </c>
      <c r="Q76" s="11">
        <f t="shared" si="8"/>
        <v>0</v>
      </c>
      <c r="R76" s="11"/>
      <c r="S76" s="472"/>
      <c r="T76" s="3">
        <v>16</v>
      </c>
      <c r="U76" s="45">
        <f t="shared" si="27"/>
        <v>0</v>
      </c>
      <c r="V76" s="45">
        <f t="shared" si="19"/>
        <v>0</v>
      </c>
      <c r="W76" s="11">
        <f t="shared" si="28"/>
        <v>0</v>
      </c>
      <c r="X76" s="45">
        <f t="shared" si="9"/>
        <v>0</v>
      </c>
      <c r="Y76" s="45">
        <f t="shared" si="10"/>
        <v>0</v>
      </c>
      <c r="Z76" s="11">
        <f t="shared" si="11"/>
        <v>0</v>
      </c>
      <c r="AA76" s="11"/>
      <c r="AB76" s="472"/>
      <c r="AC76" s="3">
        <v>16</v>
      </c>
      <c r="AD76" s="45">
        <f t="shared" si="29"/>
        <v>0</v>
      </c>
      <c r="AE76" s="45">
        <f t="shared" si="20"/>
        <v>0</v>
      </c>
      <c r="AF76" s="11">
        <f t="shared" si="30"/>
        <v>0</v>
      </c>
      <c r="AG76" s="45">
        <f t="shared" si="12"/>
        <v>0</v>
      </c>
      <c r="AH76" s="45">
        <f t="shared" si="13"/>
        <v>0</v>
      </c>
      <c r="AI76" s="11">
        <f t="shared" si="14"/>
        <v>0</v>
      </c>
      <c r="AJ76" s="11"/>
      <c r="AK76" s="472"/>
      <c r="AL76" s="3">
        <v>16</v>
      </c>
      <c r="AM76" s="11">
        <f t="shared" si="15"/>
        <v>0</v>
      </c>
      <c r="AN76" s="46">
        <f t="shared" si="21"/>
        <v>0</v>
      </c>
      <c r="AO76" s="47">
        <f t="shared" si="16"/>
        <v>0</v>
      </c>
      <c r="AP76" s="47"/>
      <c r="AQ76" s="472"/>
      <c r="AR76" s="109">
        <v>16</v>
      </c>
      <c r="AS76" s="111">
        <f t="shared" si="31"/>
        <v>0</v>
      </c>
    </row>
    <row r="77" spans="1:45" x14ac:dyDescent="0.2">
      <c r="A77" s="472"/>
      <c r="B77" s="3">
        <v>17</v>
      </c>
      <c r="C77" s="45">
        <f t="shared" si="22"/>
        <v>0</v>
      </c>
      <c r="D77" s="45">
        <f t="shared" si="17"/>
        <v>0</v>
      </c>
      <c r="E77" s="11">
        <f t="shared" si="23"/>
        <v>0</v>
      </c>
      <c r="F77" s="45">
        <f t="shared" si="24"/>
        <v>0</v>
      </c>
      <c r="G77" s="11">
        <f t="shared" si="4"/>
        <v>0</v>
      </c>
      <c r="H77" s="11">
        <f t="shared" si="5"/>
        <v>0</v>
      </c>
      <c r="I77" s="11"/>
      <c r="J77" s="472"/>
      <c r="K77" s="3">
        <v>17</v>
      </c>
      <c r="L77" s="45">
        <f t="shared" si="25"/>
        <v>0</v>
      </c>
      <c r="M77" s="45">
        <f t="shared" si="18"/>
        <v>0</v>
      </c>
      <c r="N77" s="11">
        <f t="shared" si="26"/>
        <v>0</v>
      </c>
      <c r="O77" s="45">
        <f t="shared" si="6"/>
        <v>0</v>
      </c>
      <c r="P77" s="45">
        <f t="shared" si="7"/>
        <v>0</v>
      </c>
      <c r="Q77" s="11">
        <f t="shared" si="8"/>
        <v>0</v>
      </c>
      <c r="R77" s="11"/>
      <c r="S77" s="472"/>
      <c r="T77" s="3">
        <v>17</v>
      </c>
      <c r="U77" s="45">
        <f t="shared" si="27"/>
        <v>0</v>
      </c>
      <c r="V77" s="45">
        <f t="shared" si="19"/>
        <v>0</v>
      </c>
      <c r="W77" s="11">
        <f t="shared" si="28"/>
        <v>0</v>
      </c>
      <c r="X77" s="45">
        <f t="shared" si="9"/>
        <v>0</v>
      </c>
      <c r="Y77" s="45">
        <f t="shared" si="10"/>
        <v>0</v>
      </c>
      <c r="Z77" s="11">
        <f t="shared" si="11"/>
        <v>0</v>
      </c>
      <c r="AA77" s="11"/>
      <c r="AB77" s="472"/>
      <c r="AC77" s="3">
        <v>17</v>
      </c>
      <c r="AD77" s="45">
        <f t="shared" si="29"/>
        <v>0</v>
      </c>
      <c r="AE77" s="45">
        <f t="shared" si="20"/>
        <v>0</v>
      </c>
      <c r="AF77" s="11">
        <f t="shared" si="30"/>
        <v>0</v>
      </c>
      <c r="AG77" s="45">
        <f t="shared" si="12"/>
        <v>0</v>
      </c>
      <c r="AH77" s="45">
        <f t="shared" si="13"/>
        <v>0</v>
      </c>
      <c r="AI77" s="11">
        <f t="shared" si="14"/>
        <v>0</v>
      </c>
      <c r="AJ77" s="11"/>
      <c r="AK77" s="472"/>
      <c r="AL77" s="3">
        <v>17</v>
      </c>
      <c r="AM77" s="11">
        <f t="shared" si="15"/>
        <v>0</v>
      </c>
      <c r="AN77" s="46">
        <f t="shared" si="21"/>
        <v>0</v>
      </c>
      <c r="AO77" s="47">
        <f t="shared" si="16"/>
        <v>0</v>
      </c>
      <c r="AP77" s="47"/>
      <c r="AQ77" s="472"/>
      <c r="AR77" s="108">
        <v>17</v>
      </c>
      <c r="AS77" s="111">
        <f t="shared" si="31"/>
        <v>0</v>
      </c>
    </row>
    <row r="78" spans="1:45" x14ac:dyDescent="0.2">
      <c r="A78" s="472"/>
      <c r="B78" s="3">
        <v>18</v>
      </c>
      <c r="C78" s="45">
        <f t="shared" si="22"/>
        <v>0</v>
      </c>
      <c r="D78" s="45">
        <f t="shared" si="17"/>
        <v>0</v>
      </c>
      <c r="E78" s="11">
        <f t="shared" si="23"/>
        <v>0</v>
      </c>
      <c r="F78" s="45">
        <f t="shared" si="24"/>
        <v>0</v>
      </c>
      <c r="G78" s="11">
        <f t="shared" si="4"/>
        <v>0</v>
      </c>
      <c r="H78" s="11">
        <f t="shared" si="5"/>
        <v>0</v>
      </c>
      <c r="I78" s="11"/>
      <c r="J78" s="472"/>
      <c r="K78" s="3">
        <v>18</v>
      </c>
      <c r="L78" s="45">
        <f t="shared" si="25"/>
        <v>0</v>
      </c>
      <c r="M78" s="45">
        <f t="shared" si="18"/>
        <v>0</v>
      </c>
      <c r="N78" s="11">
        <f t="shared" si="26"/>
        <v>0</v>
      </c>
      <c r="O78" s="45">
        <f t="shared" si="6"/>
        <v>0</v>
      </c>
      <c r="P78" s="45">
        <f t="shared" si="7"/>
        <v>0</v>
      </c>
      <c r="Q78" s="11">
        <f t="shared" si="8"/>
        <v>0</v>
      </c>
      <c r="R78" s="11"/>
      <c r="S78" s="472"/>
      <c r="T78" s="3">
        <v>18</v>
      </c>
      <c r="U78" s="45">
        <f t="shared" si="27"/>
        <v>0</v>
      </c>
      <c r="V78" s="45">
        <f t="shared" si="19"/>
        <v>0</v>
      </c>
      <c r="W78" s="11">
        <f t="shared" si="28"/>
        <v>0</v>
      </c>
      <c r="X78" s="45">
        <f t="shared" si="9"/>
        <v>0</v>
      </c>
      <c r="Y78" s="45">
        <f t="shared" si="10"/>
        <v>0</v>
      </c>
      <c r="Z78" s="11">
        <f t="shared" si="11"/>
        <v>0</v>
      </c>
      <c r="AA78" s="11"/>
      <c r="AB78" s="472"/>
      <c r="AC78" s="3">
        <v>18</v>
      </c>
      <c r="AD78" s="45">
        <f t="shared" si="29"/>
        <v>0</v>
      </c>
      <c r="AE78" s="45">
        <f t="shared" si="20"/>
        <v>0</v>
      </c>
      <c r="AF78" s="11">
        <f t="shared" si="30"/>
        <v>0</v>
      </c>
      <c r="AG78" s="45">
        <f t="shared" si="12"/>
        <v>0</v>
      </c>
      <c r="AH78" s="45">
        <f t="shared" si="13"/>
        <v>0</v>
      </c>
      <c r="AI78" s="11">
        <f t="shared" si="14"/>
        <v>0</v>
      </c>
      <c r="AJ78" s="11"/>
      <c r="AK78" s="472"/>
      <c r="AL78" s="3">
        <v>18</v>
      </c>
      <c r="AM78" s="11">
        <f t="shared" si="15"/>
        <v>0</v>
      </c>
      <c r="AN78" s="46">
        <f t="shared" si="21"/>
        <v>0</v>
      </c>
      <c r="AO78" s="47">
        <f t="shared" si="16"/>
        <v>0</v>
      </c>
      <c r="AP78" s="47"/>
      <c r="AQ78" s="472"/>
      <c r="AR78" s="109">
        <v>18</v>
      </c>
      <c r="AS78" s="111">
        <f t="shared" si="31"/>
        <v>0</v>
      </c>
    </row>
    <row r="79" spans="1:45" x14ac:dyDescent="0.2">
      <c r="A79" s="472"/>
      <c r="B79" s="3">
        <v>19</v>
      </c>
      <c r="C79" s="45">
        <f t="shared" si="22"/>
        <v>0</v>
      </c>
      <c r="D79" s="45">
        <f t="shared" si="17"/>
        <v>0</v>
      </c>
      <c r="E79" s="11">
        <f t="shared" si="23"/>
        <v>0</v>
      </c>
      <c r="F79" s="45">
        <f t="shared" si="24"/>
        <v>0</v>
      </c>
      <c r="G79" s="11">
        <f t="shared" si="4"/>
        <v>0</v>
      </c>
      <c r="H79" s="11">
        <f t="shared" si="5"/>
        <v>0</v>
      </c>
      <c r="I79" s="11"/>
      <c r="J79" s="472"/>
      <c r="K79" s="3">
        <v>19</v>
      </c>
      <c r="L79" s="45">
        <f t="shared" si="25"/>
        <v>0</v>
      </c>
      <c r="M79" s="45">
        <f t="shared" si="18"/>
        <v>0</v>
      </c>
      <c r="N79" s="11">
        <f t="shared" si="26"/>
        <v>0</v>
      </c>
      <c r="O79" s="45">
        <f t="shared" si="6"/>
        <v>0</v>
      </c>
      <c r="P79" s="45">
        <f t="shared" si="7"/>
        <v>0</v>
      </c>
      <c r="Q79" s="11">
        <f t="shared" si="8"/>
        <v>0</v>
      </c>
      <c r="R79" s="11"/>
      <c r="S79" s="472"/>
      <c r="T79" s="3">
        <v>19</v>
      </c>
      <c r="U79" s="45">
        <f t="shared" si="27"/>
        <v>0</v>
      </c>
      <c r="V79" s="45">
        <f t="shared" si="19"/>
        <v>0</v>
      </c>
      <c r="W79" s="11">
        <f t="shared" si="28"/>
        <v>0</v>
      </c>
      <c r="X79" s="45">
        <f t="shared" si="9"/>
        <v>0</v>
      </c>
      <c r="Y79" s="45">
        <f t="shared" si="10"/>
        <v>0</v>
      </c>
      <c r="Z79" s="11">
        <f t="shared" si="11"/>
        <v>0</v>
      </c>
      <c r="AA79" s="11"/>
      <c r="AB79" s="472"/>
      <c r="AC79" s="3">
        <v>19</v>
      </c>
      <c r="AD79" s="45">
        <f t="shared" si="29"/>
        <v>0</v>
      </c>
      <c r="AE79" s="45">
        <f t="shared" si="20"/>
        <v>0</v>
      </c>
      <c r="AF79" s="11">
        <f t="shared" si="30"/>
        <v>0</v>
      </c>
      <c r="AG79" s="45">
        <f t="shared" si="12"/>
        <v>0</v>
      </c>
      <c r="AH79" s="45">
        <f t="shared" si="13"/>
        <v>0</v>
      </c>
      <c r="AI79" s="11">
        <f t="shared" si="14"/>
        <v>0</v>
      </c>
      <c r="AJ79" s="11"/>
      <c r="AK79" s="472"/>
      <c r="AL79" s="3">
        <v>19</v>
      </c>
      <c r="AM79" s="11">
        <f t="shared" si="15"/>
        <v>0</v>
      </c>
      <c r="AN79" s="46">
        <f t="shared" si="21"/>
        <v>0</v>
      </c>
      <c r="AO79" s="47">
        <f t="shared" si="16"/>
        <v>0</v>
      </c>
      <c r="AP79" s="47"/>
      <c r="AQ79" s="472"/>
      <c r="AR79" s="108">
        <v>19</v>
      </c>
      <c r="AS79" s="111">
        <f t="shared" si="31"/>
        <v>0</v>
      </c>
    </row>
    <row r="80" spans="1:45" x14ac:dyDescent="0.2">
      <c r="A80" s="472"/>
      <c r="B80" s="3">
        <v>20</v>
      </c>
      <c r="C80" s="45">
        <f t="shared" si="22"/>
        <v>0</v>
      </c>
      <c r="D80" s="45">
        <f t="shared" si="17"/>
        <v>0</v>
      </c>
      <c r="E80" s="11">
        <f t="shared" si="23"/>
        <v>0</v>
      </c>
      <c r="F80" s="45">
        <f t="shared" si="24"/>
        <v>0</v>
      </c>
      <c r="G80" s="11">
        <f t="shared" si="4"/>
        <v>0</v>
      </c>
      <c r="H80" s="11">
        <f t="shared" si="5"/>
        <v>0</v>
      </c>
      <c r="I80" s="11"/>
      <c r="J80" s="472"/>
      <c r="K80" s="3">
        <v>20</v>
      </c>
      <c r="L80" s="45">
        <f t="shared" si="25"/>
        <v>0</v>
      </c>
      <c r="M80" s="45">
        <f t="shared" si="18"/>
        <v>0</v>
      </c>
      <c r="N80" s="11">
        <f t="shared" si="26"/>
        <v>0</v>
      </c>
      <c r="O80" s="45">
        <f t="shared" si="6"/>
        <v>0</v>
      </c>
      <c r="P80" s="45">
        <f t="shared" si="7"/>
        <v>0</v>
      </c>
      <c r="Q80" s="11">
        <f t="shared" si="8"/>
        <v>0</v>
      </c>
      <c r="R80" s="11"/>
      <c r="S80" s="472"/>
      <c r="T80" s="3">
        <v>20</v>
      </c>
      <c r="U80" s="45">
        <f t="shared" si="27"/>
        <v>0</v>
      </c>
      <c r="V80" s="45">
        <f t="shared" si="19"/>
        <v>0</v>
      </c>
      <c r="W80" s="11">
        <f t="shared" si="28"/>
        <v>0</v>
      </c>
      <c r="X80" s="45">
        <f t="shared" si="9"/>
        <v>0</v>
      </c>
      <c r="Y80" s="45">
        <f t="shared" si="10"/>
        <v>0</v>
      </c>
      <c r="Z80" s="11">
        <f t="shared" si="11"/>
        <v>0</v>
      </c>
      <c r="AA80" s="11"/>
      <c r="AB80" s="472"/>
      <c r="AC80" s="3">
        <v>20</v>
      </c>
      <c r="AD80" s="45">
        <f t="shared" si="29"/>
        <v>0</v>
      </c>
      <c r="AE80" s="45">
        <f t="shared" si="20"/>
        <v>0</v>
      </c>
      <c r="AF80" s="11">
        <f t="shared" si="30"/>
        <v>0</v>
      </c>
      <c r="AG80" s="45">
        <f t="shared" si="12"/>
        <v>0</v>
      </c>
      <c r="AH80" s="45">
        <f t="shared" si="13"/>
        <v>0</v>
      </c>
      <c r="AI80" s="11">
        <f t="shared" si="14"/>
        <v>0</v>
      </c>
      <c r="AJ80" s="11"/>
      <c r="AK80" s="472"/>
      <c r="AL80" s="3">
        <v>20</v>
      </c>
      <c r="AM80" s="11">
        <f t="shared" si="15"/>
        <v>0</v>
      </c>
      <c r="AN80" s="46">
        <f t="shared" si="21"/>
        <v>0</v>
      </c>
      <c r="AO80" s="47">
        <f t="shared" si="16"/>
        <v>0</v>
      </c>
      <c r="AP80" s="47"/>
      <c r="AQ80" s="472"/>
      <c r="AR80" s="109">
        <v>20</v>
      </c>
      <c r="AS80" s="111">
        <f t="shared" si="31"/>
        <v>0</v>
      </c>
    </row>
    <row r="82" spans="1:52" x14ac:dyDescent="0.2">
      <c r="A82" s="134" t="s">
        <v>627</v>
      </c>
      <c r="B82" s="134"/>
      <c r="C82" s="134"/>
      <c r="D82" s="134"/>
      <c r="E82" s="134"/>
      <c r="F82" s="134"/>
      <c r="G82" s="134"/>
      <c r="H82" s="134"/>
      <c r="I82" s="134"/>
      <c r="J82" s="134"/>
      <c r="K82" s="134"/>
      <c r="L82" s="134"/>
      <c r="M82" s="133"/>
      <c r="N82" s="133"/>
      <c r="O82" s="133"/>
      <c r="P82" s="133"/>
      <c r="Q82" s="133"/>
      <c r="R82" s="133"/>
      <c r="S82" s="133"/>
      <c r="T82" s="133"/>
      <c r="U82" s="133"/>
      <c r="V82" s="133"/>
      <c r="W82" s="133"/>
      <c r="X82" s="133"/>
      <c r="Y82" s="133"/>
      <c r="Z82" s="133"/>
      <c r="AA82" s="133"/>
      <c r="AB82" s="133"/>
      <c r="AC82" s="133"/>
      <c r="AD82" s="133"/>
      <c r="AE82" s="133"/>
      <c r="AF82" s="133"/>
      <c r="AG82" s="133"/>
      <c r="AH82" s="133"/>
      <c r="AI82" s="133"/>
      <c r="AJ82" s="133"/>
      <c r="AK82" s="133"/>
      <c r="AL82" s="133"/>
      <c r="AM82" s="133"/>
      <c r="AN82" s="133"/>
      <c r="AO82" s="133"/>
      <c r="AP82" s="133"/>
      <c r="AQ82" s="133"/>
      <c r="AR82" s="133"/>
      <c r="AS82" s="133"/>
      <c r="AT82" s="133"/>
      <c r="AU82" s="133"/>
      <c r="AV82" s="133"/>
      <c r="AW82" s="133"/>
      <c r="AX82" s="133"/>
      <c r="AY82" s="133"/>
      <c r="AZ82" s="133"/>
    </row>
    <row r="84" spans="1:52" customFormat="1" x14ac:dyDescent="0.2">
      <c r="A84" s="472" t="s">
        <v>182</v>
      </c>
      <c r="B84" s="4" t="s">
        <v>94</v>
      </c>
      <c r="C84" s="4">
        <v>1</v>
      </c>
      <c r="D84" s="4">
        <v>2</v>
      </c>
      <c r="E84" s="4">
        <v>3</v>
      </c>
      <c r="F84" s="4">
        <v>4</v>
      </c>
      <c r="G84" s="4">
        <v>5</v>
      </c>
      <c r="H84" s="4">
        <v>6</v>
      </c>
      <c r="I84" s="4">
        <v>7</v>
      </c>
      <c r="J84" s="4">
        <v>8</v>
      </c>
      <c r="K84" s="4">
        <v>9</v>
      </c>
      <c r="L84" s="4">
        <v>10</v>
      </c>
      <c r="M84" s="4">
        <v>11</v>
      </c>
      <c r="N84" s="4">
        <v>12</v>
      </c>
      <c r="O84" s="4">
        <v>13</v>
      </c>
      <c r="P84" s="4">
        <v>14</v>
      </c>
      <c r="Q84" s="4">
        <v>15</v>
      </c>
      <c r="R84" s="4">
        <v>16</v>
      </c>
      <c r="S84" s="4">
        <v>17</v>
      </c>
      <c r="T84" s="4">
        <v>18</v>
      </c>
      <c r="U84" s="4">
        <v>19</v>
      </c>
      <c r="V84" s="4">
        <v>20</v>
      </c>
      <c r="W84" s="4"/>
      <c r="X84" s="4"/>
      <c r="Y84" s="4"/>
      <c r="Z84" s="4"/>
      <c r="AA84" s="4"/>
      <c r="AB84" s="4"/>
      <c r="AC84" s="4"/>
      <c r="AD84" s="4"/>
      <c r="AE84" s="4"/>
      <c r="AF84" s="4"/>
    </row>
    <row r="85" spans="1:52" customFormat="1" x14ac:dyDescent="0.2">
      <c r="A85" s="472"/>
      <c r="B85" s="3" t="s">
        <v>629</v>
      </c>
      <c r="C85" s="50">
        <f>IF(C84=1,$C$6,B88)</f>
        <v>0</v>
      </c>
      <c r="D85" s="50">
        <f>IF(D84=1,$C$6,C88)</f>
        <v>0</v>
      </c>
      <c r="E85" s="50">
        <f t="shared" ref="E85:V85" si="32">IF(E84=1,$C$6,D88)</f>
        <v>0</v>
      </c>
      <c r="F85" s="50">
        <f t="shared" si="32"/>
        <v>0</v>
      </c>
      <c r="G85" s="50">
        <f t="shared" si="32"/>
        <v>0</v>
      </c>
      <c r="H85" s="50">
        <f t="shared" si="32"/>
        <v>0</v>
      </c>
      <c r="I85" s="50">
        <f t="shared" si="32"/>
        <v>0</v>
      </c>
      <c r="J85" s="50">
        <f t="shared" si="32"/>
        <v>0</v>
      </c>
      <c r="K85" s="50">
        <f t="shared" si="32"/>
        <v>0</v>
      </c>
      <c r="L85" s="50">
        <f t="shared" si="32"/>
        <v>0</v>
      </c>
      <c r="M85" s="50">
        <f t="shared" si="32"/>
        <v>0</v>
      </c>
      <c r="N85" s="50">
        <f t="shared" si="32"/>
        <v>0</v>
      </c>
      <c r="O85" s="50">
        <f t="shared" si="32"/>
        <v>0</v>
      </c>
      <c r="P85" s="50">
        <f t="shared" si="32"/>
        <v>0</v>
      </c>
      <c r="Q85" s="50">
        <f t="shared" si="32"/>
        <v>0</v>
      </c>
      <c r="R85" s="50">
        <f t="shared" si="32"/>
        <v>0</v>
      </c>
      <c r="S85" s="50">
        <f t="shared" si="32"/>
        <v>0</v>
      </c>
      <c r="T85" s="50">
        <f t="shared" si="32"/>
        <v>0</v>
      </c>
      <c r="U85" s="50">
        <f t="shared" si="32"/>
        <v>0</v>
      </c>
      <c r="V85" s="50">
        <f t="shared" si="32"/>
        <v>0</v>
      </c>
      <c r="W85" s="50"/>
      <c r="X85" s="50"/>
      <c r="Y85" s="50"/>
      <c r="Z85" s="50"/>
      <c r="AA85" s="50"/>
      <c r="AB85" s="50"/>
      <c r="AC85" s="50"/>
      <c r="AD85" s="50"/>
      <c r="AE85" s="50"/>
      <c r="AF85" s="50"/>
    </row>
    <row r="86" spans="1:52" customFormat="1" x14ac:dyDescent="0.2">
      <c r="A86" s="472"/>
      <c r="B86" s="3" t="s">
        <v>630</v>
      </c>
      <c r="C86" s="50">
        <f>IF(SUM($M$4:$M$7)=0,0,IF(ROUND(C85,2)&lt;=0,0,IF(OR($C$4="RASE",$C$4="REG"),INDEX($H$19:$I$38,MATCH(C$84,$H$19:$H$38,0),2)*$D$13,VLOOKUP(C84,$AL$61:$AO$80,4,FALSE)*C85)))</f>
        <v>0</v>
      </c>
      <c r="D86" s="50">
        <f t="shared" ref="D86:V86" si="33">IF(SUM($M$4:$M$7)=0,0,IF(ROUND(D85,2)&lt;=0,0,IF(OR($C$4="RASE",$C$4="REG"),INDEX($H$19:$I$38,MATCH(D$84,$H$19:$H$38,0),2)*$D$13,VLOOKUP(D84,$AL$61:$AO$80,4,FALSE)*D85)))</f>
        <v>0</v>
      </c>
      <c r="E86" s="50">
        <f t="shared" si="33"/>
        <v>0</v>
      </c>
      <c r="F86" s="50">
        <f t="shared" si="33"/>
        <v>0</v>
      </c>
      <c r="G86" s="50">
        <f t="shared" si="33"/>
        <v>0</v>
      </c>
      <c r="H86" s="50">
        <f t="shared" si="33"/>
        <v>0</v>
      </c>
      <c r="I86" s="50">
        <f t="shared" si="33"/>
        <v>0</v>
      </c>
      <c r="J86" s="50">
        <f t="shared" si="33"/>
        <v>0</v>
      </c>
      <c r="K86" s="50">
        <f t="shared" si="33"/>
        <v>0</v>
      </c>
      <c r="L86" s="50">
        <f t="shared" si="33"/>
        <v>0</v>
      </c>
      <c r="M86" s="50">
        <f t="shared" si="33"/>
        <v>0</v>
      </c>
      <c r="N86" s="50">
        <f t="shared" si="33"/>
        <v>0</v>
      </c>
      <c r="O86" s="50">
        <f t="shared" si="33"/>
        <v>0</v>
      </c>
      <c r="P86" s="50">
        <f t="shared" si="33"/>
        <v>0</v>
      </c>
      <c r="Q86" s="50">
        <f t="shared" si="33"/>
        <v>0</v>
      </c>
      <c r="R86" s="50">
        <f t="shared" si="33"/>
        <v>0</v>
      </c>
      <c r="S86" s="50">
        <f t="shared" si="33"/>
        <v>0</v>
      </c>
      <c r="T86" s="50">
        <f t="shared" si="33"/>
        <v>0</v>
      </c>
      <c r="U86" s="50">
        <f t="shared" si="33"/>
        <v>0</v>
      </c>
      <c r="V86" s="50">
        <f t="shared" si="33"/>
        <v>0</v>
      </c>
      <c r="W86" s="50"/>
      <c r="X86" s="50"/>
      <c r="Y86" s="50"/>
      <c r="Z86" s="50"/>
      <c r="AA86" s="50"/>
      <c r="AB86" s="50"/>
      <c r="AC86" s="50"/>
      <c r="AD86" s="50"/>
      <c r="AE86" s="50"/>
      <c r="AF86" s="50"/>
      <c r="AG86" s="50"/>
      <c r="AH86" s="50"/>
      <c r="AI86" s="50"/>
      <c r="AJ86" s="50"/>
      <c r="AK86" s="50"/>
      <c r="AL86" s="50"/>
      <c r="AM86" s="50"/>
      <c r="AN86" s="50"/>
      <c r="AO86" s="50"/>
      <c r="AP86" s="50"/>
      <c r="AQ86" s="50"/>
      <c r="AR86" s="50"/>
      <c r="AS86" s="50"/>
    </row>
    <row r="87" spans="1:52" customFormat="1" x14ac:dyDescent="0.2">
      <c r="A87" s="472"/>
      <c r="B87" s="3" t="s">
        <v>631</v>
      </c>
      <c r="C87" s="50">
        <f>IF(C84=1,C86,C86+B87)</f>
        <v>0</v>
      </c>
      <c r="D87" s="50">
        <f>IF(D84=1,D86,D86+C87)</f>
        <v>0</v>
      </c>
      <c r="E87" s="50">
        <f t="shared" ref="E87:V87" si="34">IF(E84=1,E86,E86+D87)</f>
        <v>0</v>
      </c>
      <c r="F87" s="50">
        <f t="shared" si="34"/>
        <v>0</v>
      </c>
      <c r="G87" s="50">
        <f t="shared" si="34"/>
        <v>0</v>
      </c>
      <c r="H87" s="50">
        <f t="shared" si="34"/>
        <v>0</v>
      </c>
      <c r="I87" s="50">
        <f t="shared" si="34"/>
        <v>0</v>
      </c>
      <c r="J87" s="50">
        <f t="shared" si="34"/>
        <v>0</v>
      </c>
      <c r="K87" s="50">
        <f t="shared" si="34"/>
        <v>0</v>
      </c>
      <c r="L87" s="50">
        <f t="shared" si="34"/>
        <v>0</v>
      </c>
      <c r="M87" s="50">
        <f t="shared" si="34"/>
        <v>0</v>
      </c>
      <c r="N87" s="50">
        <f t="shared" si="34"/>
        <v>0</v>
      </c>
      <c r="O87" s="50">
        <f t="shared" si="34"/>
        <v>0</v>
      </c>
      <c r="P87" s="50">
        <f t="shared" si="34"/>
        <v>0</v>
      </c>
      <c r="Q87" s="50">
        <f t="shared" si="34"/>
        <v>0</v>
      </c>
      <c r="R87" s="50">
        <f t="shared" si="34"/>
        <v>0</v>
      </c>
      <c r="S87" s="50">
        <f t="shared" si="34"/>
        <v>0</v>
      </c>
      <c r="T87" s="50">
        <f t="shared" si="34"/>
        <v>0</v>
      </c>
      <c r="U87" s="50">
        <f t="shared" si="34"/>
        <v>0</v>
      </c>
      <c r="V87" s="50">
        <f t="shared" si="34"/>
        <v>0</v>
      </c>
      <c r="W87" s="50"/>
      <c r="X87" s="50"/>
      <c r="Y87" s="50"/>
      <c r="Z87" s="50"/>
      <c r="AA87" s="50"/>
      <c r="AB87" s="50"/>
      <c r="AC87" s="50"/>
      <c r="AD87" s="50"/>
      <c r="AE87" s="50"/>
      <c r="AF87" s="50"/>
      <c r="AG87" s="50"/>
      <c r="AH87" s="50"/>
      <c r="AI87" s="50"/>
      <c r="AJ87" s="50"/>
      <c r="AK87" s="50"/>
      <c r="AL87" s="50"/>
      <c r="AM87" s="50"/>
      <c r="AN87" s="50"/>
      <c r="AO87" s="50"/>
      <c r="AP87" s="50"/>
      <c r="AQ87" s="50"/>
      <c r="AR87" s="50"/>
      <c r="AS87" s="50"/>
    </row>
    <row r="88" spans="1:52" s="4" customFormat="1" ht="17" x14ac:dyDescent="0.2">
      <c r="A88" s="472"/>
      <c r="B88" s="38" t="s">
        <v>632</v>
      </c>
      <c r="C88" s="50">
        <f>C85-C86</f>
        <v>0</v>
      </c>
      <c r="D88" s="50">
        <f t="shared" ref="D88:V88" si="35">D85-D86</f>
        <v>0</v>
      </c>
      <c r="E88" s="50">
        <f t="shared" si="35"/>
        <v>0</v>
      </c>
      <c r="F88" s="50">
        <f t="shared" si="35"/>
        <v>0</v>
      </c>
      <c r="G88" s="50">
        <f t="shared" si="35"/>
        <v>0</v>
      </c>
      <c r="H88" s="50">
        <f t="shared" si="35"/>
        <v>0</v>
      </c>
      <c r="I88" s="50">
        <f t="shared" si="35"/>
        <v>0</v>
      </c>
      <c r="J88" s="50">
        <f t="shared" si="35"/>
        <v>0</v>
      </c>
      <c r="K88" s="50">
        <f t="shared" si="35"/>
        <v>0</v>
      </c>
      <c r="L88" s="50">
        <f t="shared" si="35"/>
        <v>0</v>
      </c>
      <c r="M88" s="50">
        <f t="shared" si="35"/>
        <v>0</v>
      </c>
      <c r="N88" s="50">
        <f t="shared" si="35"/>
        <v>0</v>
      </c>
      <c r="O88" s="50">
        <f t="shared" si="35"/>
        <v>0</v>
      </c>
      <c r="P88" s="50">
        <f t="shared" si="35"/>
        <v>0</v>
      </c>
      <c r="Q88" s="50">
        <f t="shared" si="35"/>
        <v>0</v>
      </c>
      <c r="R88" s="50">
        <f t="shared" si="35"/>
        <v>0</v>
      </c>
      <c r="S88" s="50">
        <f t="shared" si="35"/>
        <v>0</v>
      </c>
      <c r="T88" s="50">
        <f t="shared" si="35"/>
        <v>0</v>
      </c>
      <c r="U88" s="50">
        <f t="shared" si="35"/>
        <v>0</v>
      </c>
      <c r="V88" s="50">
        <f t="shared" si="35"/>
        <v>0</v>
      </c>
      <c r="W88" s="50"/>
      <c r="X88" s="50"/>
      <c r="Y88" s="50"/>
      <c r="Z88" s="50"/>
      <c r="AA88" s="50"/>
      <c r="AB88" s="50"/>
      <c r="AC88" s="50"/>
      <c r="AD88" s="50"/>
      <c r="AE88" s="50"/>
      <c r="AF88" s="50"/>
    </row>
    <row r="89" spans="1:52" s="55" customFormat="1" x14ac:dyDescent="0.2">
      <c r="A89" s="472"/>
      <c r="B89" s="53" t="s">
        <v>189</v>
      </c>
      <c r="C89" s="54">
        <f>SUM(C88,C87)</f>
        <v>0</v>
      </c>
      <c r="D89" s="54">
        <f t="shared" ref="D89:V89" si="36">SUM(D88,D87)</f>
        <v>0</v>
      </c>
      <c r="E89" s="54">
        <f t="shared" si="36"/>
        <v>0</v>
      </c>
      <c r="F89" s="54">
        <f t="shared" si="36"/>
        <v>0</v>
      </c>
      <c r="G89" s="54">
        <f t="shared" si="36"/>
        <v>0</v>
      </c>
      <c r="H89" s="54">
        <f t="shared" si="36"/>
        <v>0</v>
      </c>
      <c r="I89" s="54">
        <f t="shared" si="36"/>
        <v>0</v>
      </c>
      <c r="J89" s="54">
        <f t="shared" si="36"/>
        <v>0</v>
      </c>
      <c r="K89" s="54">
        <f t="shared" si="36"/>
        <v>0</v>
      </c>
      <c r="L89" s="54">
        <f t="shared" si="36"/>
        <v>0</v>
      </c>
      <c r="M89" s="54">
        <f t="shared" si="36"/>
        <v>0</v>
      </c>
      <c r="N89" s="54">
        <f t="shared" si="36"/>
        <v>0</v>
      </c>
      <c r="O89" s="54">
        <f t="shared" si="36"/>
        <v>0</v>
      </c>
      <c r="P89" s="54">
        <f t="shared" si="36"/>
        <v>0</v>
      </c>
      <c r="Q89" s="54">
        <f t="shared" si="36"/>
        <v>0</v>
      </c>
      <c r="R89" s="54">
        <f t="shared" si="36"/>
        <v>0</v>
      </c>
      <c r="S89" s="54">
        <f t="shared" si="36"/>
        <v>0</v>
      </c>
      <c r="T89" s="54">
        <f t="shared" si="36"/>
        <v>0</v>
      </c>
      <c r="U89" s="54">
        <f t="shared" si="36"/>
        <v>0</v>
      </c>
      <c r="V89" s="54">
        <f t="shared" si="36"/>
        <v>0</v>
      </c>
      <c r="W89" s="54"/>
      <c r="X89" s="54"/>
      <c r="Y89" s="54"/>
      <c r="Z89" s="54"/>
      <c r="AA89" s="54"/>
      <c r="AB89" s="54"/>
      <c r="AC89" s="54"/>
      <c r="AD89" s="54"/>
      <c r="AE89" s="54"/>
      <c r="AF89" s="54"/>
    </row>
    <row r="91" spans="1:52" ht="16" customHeight="1" x14ac:dyDescent="0.2">
      <c r="A91" s="472" t="str">
        <f>CONCATENATE("SQ_REF_",C1,"_JP_",B11)</f>
        <v>SQ_REF_D_JP_</v>
      </c>
      <c r="B91" s="3" t="s">
        <v>94</v>
      </c>
      <c r="C91" s="3" t="s">
        <v>95</v>
      </c>
      <c r="D91" s="3" t="s">
        <v>96</v>
      </c>
      <c r="E91" s="3" t="s">
        <v>97</v>
      </c>
      <c r="F91" s="3" t="s">
        <v>98</v>
      </c>
      <c r="G91" s="3" t="s">
        <v>99</v>
      </c>
      <c r="H91" s="3" t="s">
        <v>100</v>
      </c>
      <c r="I91" s="3" t="s">
        <v>101</v>
      </c>
      <c r="J91" s="3" t="s">
        <v>102</v>
      </c>
      <c r="K91" s="3" t="s">
        <v>103</v>
      </c>
      <c r="L91" s="3" t="s">
        <v>104</v>
      </c>
      <c r="M91" s="3" t="s">
        <v>105</v>
      </c>
      <c r="N91" s="3" t="s">
        <v>106</v>
      </c>
      <c r="O91" s="3" t="s">
        <v>107</v>
      </c>
      <c r="P91" s="3" t="s">
        <v>108</v>
      </c>
      <c r="Q91" s="3" t="s">
        <v>109</v>
      </c>
      <c r="R91" s="3" t="s">
        <v>110</v>
      </c>
      <c r="S91" s="3" t="s">
        <v>111</v>
      </c>
      <c r="T91" s="3" t="s">
        <v>112</v>
      </c>
      <c r="U91" s="3" t="s">
        <v>113</v>
      </c>
      <c r="V91" s="3" t="s">
        <v>114</v>
      </c>
      <c r="W91" s="3" t="s">
        <v>117</v>
      </c>
      <c r="X91" s="3" t="s">
        <v>116</v>
      </c>
      <c r="Y91" s="3" t="s">
        <v>115</v>
      </c>
      <c r="Z91" s="3" t="s">
        <v>229</v>
      </c>
      <c r="AB91" s="474" t="s">
        <v>118</v>
      </c>
      <c r="AC91" s="474"/>
      <c r="AD91" s="474"/>
      <c r="AE91" s="474"/>
    </row>
    <row r="92" spans="1:52" x14ac:dyDescent="0.2">
      <c r="A92" s="472"/>
      <c r="B92" s="3">
        <v>1</v>
      </c>
      <c r="C92" s="11">
        <f t="shared" ref="C92:R107" si="37">(C$86)*IF($B92&gt;=C$84,IF($B92=C$84,$E$19,VLOOKUP($B92-C$84,$B$19:$E$49,4,FALSE)),0)</f>
        <v>0</v>
      </c>
      <c r="D92" s="11">
        <f t="shared" si="37"/>
        <v>0</v>
      </c>
      <c r="E92" s="11">
        <f t="shared" si="37"/>
        <v>0</v>
      </c>
      <c r="F92" s="11">
        <f t="shared" si="37"/>
        <v>0</v>
      </c>
      <c r="G92" s="11">
        <f t="shared" si="37"/>
        <v>0</v>
      </c>
      <c r="H92" s="11">
        <f t="shared" si="37"/>
        <v>0</v>
      </c>
      <c r="I92" s="11">
        <f t="shared" si="37"/>
        <v>0</v>
      </c>
      <c r="J92" s="11">
        <f t="shared" si="37"/>
        <v>0</v>
      </c>
      <c r="K92" s="11">
        <f t="shared" si="37"/>
        <v>0</v>
      </c>
      <c r="L92" s="11">
        <f t="shared" si="37"/>
        <v>0</v>
      </c>
      <c r="M92" s="11">
        <f t="shared" si="37"/>
        <v>0</v>
      </c>
      <c r="N92" s="11">
        <f t="shared" si="37"/>
        <v>0</v>
      </c>
      <c r="O92" s="11">
        <f t="shared" si="37"/>
        <v>0</v>
      </c>
      <c r="P92" s="11">
        <f t="shared" si="37"/>
        <v>0</v>
      </c>
      <c r="Q92" s="11">
        <f t="shared" si="37"/>
        <v>0</v>
      </c>
      <c r="R92" s="11">
        <f t="shared" si="37"/>
        <v>0</v>
      </c>
      <c r="S92" s="11">
        <f t="shared" ref="S92:V111" si="38">(S$86)*IF($B92&gt;=S$84,IF($B92=S$84,$E$19,VLOOKUP($B92-S$84,$B$19:$E$49,4,FALSE)),0)</f>
        <v>0</v>
      </c>
      <c r="T92" s="11">
        <f t="shared" si="38"/>
        <v>0</v>
      </c>
      <c r="U92" s="11">
        <f t="shared" si="38"/>
        <v>0</v>
      </c>
      <c r="V92" s="11">
        <f t="shared" si="38"/>
        <v>0</v>
      </c>
      <c r="W92" s="11">
        <f>SUM(C92:V92)*D$11*C$11</f>
        <v>0</v>
      </c>
      <c r="X92" s="11">
        <f t="shared" ref="X92:X111" si="39">IF(W92&gt;0,EXP(-1.0587+0.8836*LN(W92)+0.284),0)</f>
        <v>0</v>
      </c>
      <c r="Y92" s="11">
        <f t="shared" ref="Y92:Y111" si="40">SUM(W92:X92)*0.475*44/12</f>
        <v>0</v>
      </c>
      <c r="Z92" s="11">
        <f>SUM(C92:V92)</f>
        <v>0</v>
      </c>
      <c r="AB92" s="474"/>
      <c r="AC92" s="474"/>
      <c r="AD92" s="474"/>
      <c r="AE92" s="474"/>
      <c r="AH92" s="11"/>
    </row>
    <row r="93" spans="1:52" x14ac:dyDescent="0.2">
      <c r="A93" s="472"/>
      <c r="B93" s="3">
        <v>2</v>
      </c>
      <c r="C93" s="11">
        <f t="shared" si="37"/>
        <v>0</v>
      </c>
      <c r="D93" s="11">
        <f t="shared" si="37"/>
        <v>0</v>
      </c>
      <c r="E93" s="11">
        <f t="shared" si="37"/>
        <v>0</v>
      </c>
      <c r="F93" s="11">
        <f t="shared" si="37"/>
        <v>0</v>
      </c>
      <c r="G93" s="11">
        <f t="shared" si="37"/>
        <v>0</v>
      </c>
      <c r="H93" s="11">
        <f t="shared" si="37"/>
        <v>0</v>
      </c>
      <c r="I93" s="11">
        <f t="shared" si="37"/>
        <v>0</v>
      </c>
      <c r="J93" s="11">
        <f t="shared" si="37"/>
        <v>0</v>
      </c>
      <c r="K93" s="11">
        <f t="shared" si="37"/>
        <v>0</v>
      </c>
      <c r="L93" s="11">
        <f t="shared" si="37"/>
        <v>0</v>
      </c>
      <c r="M93" s="11">
        <f t="shared" si="37"/>
        <v>0</v>
      </c>
      <c r="N93" s="11">
        <f t="shared" si="37"/>
        <v>0</v>
      </c>
      <c r="O93" s="11">
        <f t="shared" si="37"/>
        <v>0</v>
      </c>
      <c r="P93" s="11">
        <f t="shared" si="37"/>
        <v>0</v>
      </c>
      <c r="Q93" s="11">
        <f t="shared" si="37"/>
        <v>0</v>
      </c>
      <c r="R93" s="11">
        <f t="shared" si="37"/>
        <v>0</v>
      </c>
      <c r="S93" s="11">
        <f t="shared" si="38"/>
        <v>0</v>
      </c>
      <c r="T93" s="11">
        <f t="shared" si="38"/>
        <v>0</v>
      </c>
      <c r="U93" s="11">
        <f t="shared" si="38"/>
        <v>0</v>
      </c>
      <c r="V93" s="11">
        <f t="shared" si="38"/>
        <v>0</v>
      </c>
      <c r="W93" s="11">
        <f t="shared" ref="W93:W111" si="41">SUM(C93:V93)*D$11*C$11</f>
        <v>0</v>
      </c>
      <c r="X93" s="11">
        <f t="shared" si="39"/>
        <v>0</v>
      </c>
      <c r="Y93" s="11">
        <f t="shared" si="40"/>
        <v>0</v>
      </c>
      <c r="Z93" s="11">
        <f t="shared" ref="Z93:Z111" si="42">SUM(C93:V93)</f>
        <v>0</v>
      </c>
      <c r="AB93" s="474"/>
      <c r="AC93" s="474"/>
      <c r="AD93" s="474"/>
      <c r="AE93" s="474"/>
      <c r="AH93" s="11"/>
    </row>
    <row r="94" spans="1:52" x14ac:dyDescent="0.2">
      <c r="A94" s="472"/>
      <c r="B94" s="3">
        <v>3</v>
      </c>
      <c r="C94" s="11">
        <f t="shared" si="37"/>
        <v>0</v>
      </c>
      <c r="D94" s="11">
        <f t="shared" si="37"/>
        <v>0</v>
      </c>
      <c r="E94" s="11">
        <f t="shared" si="37"/>
        <v>0</v>
      </c>
      <c r="F94" s="11">
        <f t="shared" si="37"/>
        <v>0</v>
      </c>
      <c r="G94" s="11">
        <f t="shared" si="37"/>
        <v>0</v>
      </c>
      <c r="H94" s="11">
        <f t="shared" si="37"/>
        <v>0</v>
      </c>
      <c r="I94" s="11">
        <f t="shared" si="37"/>
        <v>0</v>
      </c>
      <c r="J94" s="11">
        <f t="shared" si="37"/>
        <v>0</v>
      </c>
      <c r="K94" s="11">
        <f t="shared" si="37"/>
        <v>0</v>
      </c>
      <c r="L94" s="11">
        <f t="shared" si="37"/>
        <v>0</v>
      </c>
      <c r="M94" s="11">
        <f t="shared" si="37"/>
        <v>0</v>
      </c>
      <c r="N94" s="11">
        <f t="shared" si="37"/>
        <v>0</v>
      </c>
      <c r="O94" s="11">
        <f t="shared" si="37"/>
        <v>0</v>
      </c>
      <c r="P94" s="11">
        <f t="shared" si="37"/>
        <v>0</v>
      </c>
      <c r="Q94" s="11">
        <f t="shared" si="37"/>
        <v>0</v>
      </c>
      <c r="R94" s="11">
        <f t="shared" si="37"/>
        <v>0</v>
      </c>
      <c r="S94" s="11">
        <f t="shared" si="38"/>
        <v>0</v>
      </c>
      <c r="T94" s="11">
        <f t="shared" si="38"/>
        <v>0</v>
      </c>
      <c r="U94" s="11">
        <f t="shared" si="38"/>
        <v>0</v>
      </c>
      <c r="V94" s="11">
        <f t="shared" si="38"/>
        <v>0</v>
      </c>
      <c r="W94" s="11">
        <f t="shared" si="41"/>
        <v>0</v>
      </c>
      <c r="X94" s="11">
        <f t="shared" si="39"/>
        <v>0</v>
      </c>
      <c r="Y94" s="11">
        <f t="shared" si="40"/>
        <v>0</v>
      </c>
      <c r="Z94" s="11">
        <f t="shared" si="42"/>
        <v>0</v>
      </c>
      <c r="AB94" s="474"/>
      <c r="AC94" s="474"/>
      <c r="AD94" s="474"/>
      <c r="AE94" s="474"/>
      <c r="AH94" s="11"/>
    </row>
    <row r="95" spans="1:52" x14ac:dyDescent="0.2">
      <c r="A95" s="472"/>
      <c r="B95" s="3">
        <v>4</v>
      </c>
      <c r="C95" s="11">
        <f t="shared" si="37"/>
        <v>0</v>
      </c>
      <c r="D95" s="11">
        <f t="shared" si="37"/>
        <v>0</v>
      </c>
      <c r="E95" s="11">
        <f t="shared" si="37"/>
        <v>0</v>
      </c>
      <c r="F95" s="11">
        <f t="shared" si="37"/>
        <v>0</v>
      </c>
      <c r="G95" s="11">
        <f t="shared" si="37"/>
        <v>0</v>
      </c>
      <c r="H95" s="11">
        <f t="shared" si="37"/>
        <v>0</v>
      </c>
      <c r="I95" s="11">
        <f t="shared" si="37"/>
        <v>0</v>
      </c>
      <c r="J95" s="11">
        <f t="shared" si="37"/>
        <v>0</v>
      </c>
      <c r="K95" s="11">
        <f t="shared" si="37"/>
        <v>0</v>
      </c>
      <c r="L95" s="11">
        <f t="shared" si="37"/>
        <v>0</v>
      </c>
      <c r="M95" s="11">
        <f t="shared" si="37"/>
        <v>0</v>
      </c>
      <c r="N95" s="11">
        <f t="shared" si="37"/>
        <v>0</v>
      </c>
      <c r="O95" s="11">
        <f t="shared" si="37"/>
        <v>0</v>
      </c>
      <c r="P95" s="11">
        <f t="shared" si="37"/>
        <v>0</v>
      </c>
      <c r="Q95" s="11">
        <f t="shared" si="37"/>
        <v>0</v>
      </c>
      <c r="R95" s="11">
        <f t="shared" si="37"/>
        <v>0</v>
      </c>
      <c r="S95" s="11">
        <f t="shared" si="38"/>
        <v>0</v>
      </c>
      <c r="T95" s="11">
        <f t="shared" si="38"/>
        <v>0</v>
      </c>
      <c r="U95" s="11">
        <f t="shared" si="38"/>
        <v>0</v>
      </c>
      <c r="V95" s="11">
        <f t="shared" si="38"/>
        <v>0</v>
      </c>
      <c r="W95" s="11">
        <f t="shared" si="41"/>
        <v>0</v>
      </c>
      <c r="X95" s="11">
        <f t="shared" si="39"/>
        <v>0</v>
      </c>
      <c r="Y95" s="11">
        <f t="shared" si="40"/>
        <v>0</v>
      </c>
      <c r="Z95" s="11">
        <f t="shared" si="42"/>
        <v>0</v>
      </c>
      <c r="AB95" s="474"/>
      <c r="AC95" s="474"/>
      <c r="AD95" s="474"/>
      <c r="AE95" s="474"/>
      <c r="AH95" s="11"/>
    </row>
    <row r="96" spans="1:52" x14ac:dyDescent="0.2">
      <c r="A96" s="472"/>
      <c r="B96" s="3">
        <v>5</v>
      </c>
      <c r="C96" s="11">
        <f t="shared" si="37"/>
        <v>0</v>
      </c>
      <c r="D96" s="11">
        <f t="shared" si="37"/>
        <v>0</v>
      </c>
      <c r="E96" s="11">
        <f t="shared" si="37"/>
        <v>0</v>
      </c>
      <c r="F96" s="11">
        <f t="shared" si="37"/>
        <v>0</v>
      </c>
      <c r="G96" s="11">
        <f t="shared" si="37"/>
        <v>0</v>
      </c>
      <c r="H96" s="11">
        <f t="shared" si="37"/>
        <v>0</v>
      </c>
      <c r="I96" s="11">
        <f t="shared" si="37"/>
        <v>0</v>
      </c>
      <c r="J96" s="11">
        <f t="shared" si="37"/>
        <v>0</v>
      </c>
      <c r="K96" s="11">
        <f t="shared" si="37"/>
        <v>0</v>
      </c>
      <c r="L96" s="11">
        <f t="shared" si="37"/>
        <v>0</v>
      </c>
      <c r="M96" s="11">
        <f t="shared" si="37"/>
        <v>0</v>
      </c>
      <c r="N96" s="11">
        <f t="shared" si="37"/>
        <v>0</v>
      </c>
      <c r="O96" s="11">
        <f t="shared" si="37"/>
        <v>0</v>
      </c>
      <c r="P96" s="11">
        <f t="shared" si="37"/>
        <v>0</v>
      </c>
      <c r="Q96" s="11">
        <f t="shared" si="37"/>
        <v>0</v>
      </c>
      <c r="R96" s="11">
        <f t="shared" si="37"/>
        <v>0</v>
      </c>
      <c r="S96" s="11">
        <f t="shared" si="38"/>
        <v>0</v>
      </c>
      <c r="T96" s="11">
        <f t="shared" si="38"/>
        <v>0</v>
      </c>
      <c r="U96" s="11">
        <f t="shared" si="38"/>
        <v>0</v>
      </c>
      <c r="V96" s="11">
        <f t="shared" si="38"/>
        <v>0</v>
      </c>
      <c r="W96" s="11">
        <f t="shared" si="41"/>
        <v>0</v>
      </c>
      <c r="X96" s="11">
        <f t="shared" si="39"/>
        <v>0</v>
      </c>
      <c r="Y96" s="11">
        <f t="shared" si="40"/>
        <v>0</v>
      </c>
      <c r="Z96" s="11">
        <f t="shared" si="42"/>
        <v>0</v>
      </c>
      <c r="AB96" s="474"/>
      <c r="AC96" s="474"/>
      <c r="AD96" s="474"/>
      <c r="AE96" s="474"/>
      <c r="AH96" s="11"/>
    </row>
    <row r="97" spans="1:34" x14ac:dyDescent="0.2">
      <c r="A97" s="472"/>
      <c r="B97" s="3">
        <v>6</v>
      </c>
      <c r="C97" s="11">
        <f t="shared" si="37"/>
        <v>0</v>
      </c>
      <c r="D97" s="11">
        <f t="shared" si="37"/>
        <v>0</v>
      </c>
      <c r="E97" s="11">
        <f t="shared" si="37"/>
        <v>0</v>
      </c>
      <c r="F97" s="11">
        <f t="shared" si="37"/>
        <v>0</v>
      </c>
      <c r="G97" s="11">
        <f t="shared" si="37"/>
        <v>0</v>
      </c>
      <c r="H97" s="11">
        <f t="shared" si="37"/>
        <v>0</v>
      </c>
      <c r="I97" s="11">
        <f t="shared" si="37"/>
        <v>0</v>
      </c>
      <c r="J97" s="11">
        <f t="shared" si="37"/>
        <v>0</v>
      </c>
      <c r="K97" s="11">
        <f t="shared" si="37"/>
        <v>0</v>
      </c>
      <c r="L97" s="11">
        <f t="shared" si="37"/>
        <v>0</v>
      </c>
      <c r="M97" s="11">
        <f t="shared" si="37"/>
        <v>0</v>
      </c>
      <c r="N97" s="11">
        <f t="shared" si="37"/>
        <v>0</v>
      </c>
      <c r="O97" s="11">
        <f t="shared" si="37"/>
        <v>0</v>
      </c>
      <c r="P97" s="11">
        <f t="shared" si="37"/>
        <v>0</v>
      </c>
      <c r="Q97" s="11">
        <f t="shared" si="37"/>
        <v>0</v>
      </c>
      <c r="R97" s="11">
        <f t="shared" si="37"/>
        <v>0</v>
      </c>
      <c r="S97" s="11">
        <f t="shared" si="38"/>
        <v>0</v>
      </c>
      <c r="T97" s="11">
        <f t="shared" si="38"/>
        <v>0</v>
      </c>
      <c r="U97" s="11">
        <f t="shared" si="38"/>
        <v>0</v>
      </c>
      <c r="V97" s="11">
        <f t="shared" si="38"/>
        <v>0</v>
      </c>
      <c r="W97" s="11">
        <f t="shared" si="41"/>
        <v>0</v>
      </c>
      <c r="X97" s="11">
        <f t="shared" si="39"/>
        <v>0</v>
      </c>
      <c r="Y97" s="11">
        <f t="shared" si="40"/>
        <v>0</v>
      </c>
      <c r="Z97" s="11">
        <f t="shared" si="42"/>
        <v>0</v>
      </c>
      <c r="AB97" s="474"/>
      <c r="AC97" s="474"/>
      <c r="AD97" s="474"/>
      <c r="AE97" s="474"/>
      <c r="AH97" s="11"/>
    </row>
    <row r="98" spans="1:34" x14ac:dyDescent="0.2">
      <c r="A98" s="472"/>
      <c r="B98" s="3">
        <v>7</v>
      </c>
      <c r="C98" s="11">
        <f t="shared" si="37"/>
        <v>0</v>
      </c>
      <c r="D98" s="11">
        <f t="shared" si="37"/>
        <v>0</v>
      </c>
      <c r="E98" s="11">
        <f t="shared" si="37"/>
        <v>0</v>
      </c>
      <c r="F98" s="11">
        <f t="shared" si="37"/>
        <v>0</v>
      </c>
      <c r="G98" s="11">
        <f t="shared" si="37"/>
        <v>0</v>
      </c>
      <c r="H98" s="11">
        <f t="shared" si="37"/>
        <v>0</v>
      </c>
      <c r="I98" s="11">
        <f t="shared" si="37"/>
        <v>0</v>
      </c>
      <c r="J98" s="11">
        <f t="shared" si="37"/>
        <v>0</v>
      </c>
      <c r="K98" s="11">
        <f t="shared" si="37"/>
        <v>0</v>
      </c>
      <c r="L98" s="11">
        <f t="shared" si="37"/>
        <v>0</v>
      </c>
      <c r="M98" s="11">
        <f t="shared" si="37"/>
        <v>0</v>
      </c>
      <c r="N98" s="11">
        <f t="shared" si="37"/>
        <v>0</v>
      </c>
      <c r="O98" s="11">
        <f t="shared" si="37"/>
        <v>0</v>
      </c>
      <c r="P98" s="11">
        <f t="shared" si="37"/>
        <v>0</v>
      </c>
      <c r="Q98" s="11">
        <f t="shared" si="37"/>
        <v>0</v>
      </c>
      <c r="R98" s="11">
        <f t="shared" si="37"/>
        <v>0</v>
      </c>
      <c r="S98" s="11">
        <f t="shared" si="38"/>
        <v>0</v>
      </c>
      <c r="T98" s="11">
        <f t="shared" si="38"/>
        <v>0</v>
      </c>
      <c r="U98" s="11">
        <f t="shared" si="38"/>
        <v>0</v>
      </c>
      <c r="V98" s="11">
        <f t="shared" si="38"/>
        <v>0</v>
      </c>
      <c r="W98" s="11">
        <f t="shared" si="41"/>
        <v>0</v>
      </c>
      <c r="X98" s="11">
        <f t="shared" si="39"/>
        <v>0</v>
      </c>
      <c r="Y98" s="11">
        <f t="shared" si="40"/>
        <v>0</v>
      </c>
      <c r="Z98" s="11">
        <f t="shared" si="42"/>
        <v>0</v>
      </c>
      <c r="AH98" s="11"/>
    </row>
    <row r="99" spans="1:34" x14ac:dyDescent="0.2">
      <c r="A99" s="472"/>
      <c r="B99" s="3">
        <v>8</v>
      </c>
      <c r="C99" s="11">
        <f t="shared" si="37"/>
        <v>0</v>
      </c>
      <c r="D99" s="11">
        <f t="shared" si="37"/>
        <v>0</v>
      </c>
      <c r="E99" s="11">
        <f t="shared" si="37"/>
        <v>0</v>
      </c>
      <c r="F99" s="11">
        <f t="shared" si="37"/>
        <v>0</v>
      </c>
      <c r="G99" s="11">
        <f t="shared" si="37"/>
        <v>0</v>
      </c>
      <c r="H99" s="11">
        <f t="shared" si="37"/>
        <v>0</v>
      </c>
      <c r="I99" s="11">
        <f t="shared" si="37"/>
        <v>0</v>
      </c>
      <c r="J99" s="11">
        <f t="shared" si="37"/>
        <v>0</v>
      </c>
      <c r="K99" s="11">
        <f t="shared" si="37"/>
        <v>0</v>
      </c>
      <c r="L99" s="11">
        <f t="shared" si="37"/>
        <v>0</v>
      </c>
      <c r="M99" s="11">
        <f t="shared" si="37"/>
        <v>0</v>
      </c>
      <c r="N99" s="11">
        <f t="shared" si="37"/>
        <v>0</v>
      </c>
      <c r="O99" s="11">
        <f t="shared" si="37"/>
        <v>0</v>
      </c>
      <c r="P99" s="11">
        <f t="shared" si="37"/>
        <v>0</v>
      </c>
      <c r="Q99" s="11">
        <f t="shared" si="37"/>
        <v>0</v>
      </c>
      <c r="R99" s="11">
        <f t="shared" si="37"/>
        <v>0</v>
      </c>
      <c r="S99" s="11">
        <f t="shared" si="38"/>
        <v>0</v>
      </c>
      <c r="T99" s="11">
        <f t="shared" si="38"/>
        <v>0</v>
      </c>
      <c r="U99" s="11">
        <f t="shared" si="38"/>
        <v>0</v>
      </c>
      <c r="V99" s="11">
        <f t="shared" si="38"/>
        <v>0</v>
      </c>
      <c r="W99" s="11">
        <f t="shared" si="41"/>
        <v>0</v>
      </c>
      <c r="X99" s="11">
        <f t="shared" si="39"/>
        <v>0</v>
      </c>
      <c r="Y99" s="11">
        <f t="shared" si="40"/>
        <v>0</v>
      </c>
      <c r="Z99" s="11">
        <f t="shared" si="42"/>
        <v>0</v>
      </c>
      <c r="AB99" s="86"/>
      <c r="AC99" s="86"/>
      <c r="AD99" s="86"/>
      <c r="AE99" s="86"/>
      <c r="AH99" s="11"/>
    </row>
    <row r="100" spans="1:34" x14ac:dyDescent="0.2">
      <c r="A100" s="472"/>
      <c r="B100" s="3">
        <v>9</v>
      </c>
      <c r="C100" s="11">
        <f t="shared" si="37"/>
        <v>0</v>
      </c>
      <c r="D100" s="11">
        <f t="shared" si="37"/>
        <v>0</v>
      </c>
      <c r="E100" s="11">
        <f t="shared" si="37"/>
        <v>0</v>
      </c>
      <c r="F100" s="11">
        <f t="shared" si="37"/>
        <v>0</v>
      </c>
      <c r="G100" s="11">
        <f t="shared" si="37"/>
        <v>0</v>
      </c>
      <c r="H100" s="11">
        <f t="shared" si="37"/>
        <v>0</v>
      </c>
      <c r="I100" s="11">
        <f t="shared" si="37"/>
        <v>0</v>
      </c>
      <c r="J100" s="11">
        <f t="shared" si="37"/>
        <v>0</v>
      </c>
      <c r="K100" s="11">
        <f t="shared" si="37"/>
        <v>0</v>
      </c>
      <c r="L100" s="11">
        <f t="shared" si="37"/>
        <v>0</v>
      </c>
      <c r="M100" s="11">
        <f t="shared" si="37"/>
        <v>0</v>
      </c>
      <c r="N100" s="11">
        <f t="shared" si="37"/>
        <v>0</v>
      </c>
      <c r="O100" s="11">
        <f t="shared" si="37"/>
        <v>0</v>
      </c>
      <c r="P100" s="11">
        <f t="shared" si="37"/>
        <v>0</v>
      </c>
      <c r="Q100" s="11">
        <f t="shared" si="37"/>
        <v>0</v>
      </c>
      <c r="R100" s="11">
        <f t="shared" si="37"/>
        <v>0</v>
      </c>
      <c r="S100" s="11">
        <f t="shared" si="38"/>
        <v>0</v>
      </c>
      <c r="T100" s="11">
        <f t="shared" si="38"/>
        <v>0</v>
      </c>
      <c r="U100" s="11">
        <f t="shared" si="38"/>
        <v>0</v>
      </c>
      <c r="V100" s="11">
        <f t="shared" si="38"/>
        <v>0</v>
      </c>
      <c r="W100" s="11">
        <f t="shared" si="41"/>
        <v>0</v>
      </c>
      <c r="X100" s="11">
        <f t="shared" si="39"/>
        <v>0</v>
      </c>
      <c r="Y100" s="11">
        <f t="shared" si="40"/>
        <v>0</v>
      </c>
      <c r="Z100" s="11">
        <f t="shared" si="42"/>
        <v>0</v>
      </c>
      <c r="AB100" s="86"/>
      <c r="AC100" s="86"/>
      <c r="AD100" s="86"/>
      <c r="AE100" s="86"/>
      <c r="AH100" s="11"/>
    </row>
    <row r="101" spans="1:34" x14ac:dyDescent="0.2">
      <c r="A101" s="472"/>
      <c r="B101" s="3">
        <v>10</v>
      </c>
      <c r="C101" s="11">
        <f t="shared" si="37"/>
        <v>0</v>
      </c>
      <c r="D101" s="11">
        <f t="shared" si="37"/>
        <v>0</v>
      </c>
      <c r="E101" s="11">
        <f t="shared" si="37"/>
        <v>0</v>
      </c>
      <c r="F101" s="11">
        <f t="shared" si="37"/>
        <v>0</v>
      </c>
      <c r="G101" s="11">
        <f t="shared" si="37"/>
        <v>0</v>
      </c>
      <c r="H101" s="11">
        <f t="shared" si="37"/>
        <v>0</v>
      </c>
      <c r="I101" s="11">
        <f t="shared" si="37"/>
        <v>0</v>
      </c>
      <c r="J101" s="11">
        <f t="shared" si="37"/>
        <v>0</v>
      </c>
      <c r="K101" s="11">
        <f t="shared" si="37"/>
        <v>0</v>
      </c>
      <c r="L101" s="11">
        <f t="shared" si="37"/>
        <v>0</v>
      </c>
      <c r="M101" s="11">
        <f t="shared" si="37"/>
        <v>0</v>
      </c>
      <c r="N101" s="11">
        <f t="shared" si="37"/>
        <v>0</v>
      </c>
      <c r="O101" s="11">
        <f t="shared" si="37"/>
        <v>0</v>
      </c>
      <c r="P101" s="11">
        <f t="shared" si="37"/>
        <v>0</v>
      </c>
      <c r="Q101" s="11">
        <f t="shared" si="37"/>
        <v>0</v>
      </c>
      <c r="R101" s="11">
        <f t="shared" si="37"/>
        <v>0</v>
      </c>
      <c r="S101" s="11">
        <f t="shared" si="38"/>
        <v>0</v>
      </c>
      <c r="T101" s="11">
        <f t="shared" si="38"/>
        <v>0</v>
      </c>
      <c r="U101" s="11">
        <f t="shared" si="38"/>
        <v>0</v>
      </c>
      <c r="V101" s="11">
        <f t="shared" si="38"/>
        <v>0</v>
      </c>
      <c r="W101" s="11">
        <f t="shared" si="41"/>
        <v>0</v>
      </c>
      <c r="X101" s="11">
        <f t="shared" si="39"/>
        <v>0</v>
      </c>
      <c r="Y101" s="11">
        <f t="shared" si="40"/>
        <v>0</v>
      </c>
      <c r="Z101" s="11">
        <f t="shared" si="42"/>
        <v>0</v>
      </c>
      <c r="AB101" s="86"/>
      <c r="AC101" s="86"/>
      <c r="AD101" s="86"/>
      <c r="AE101" s="86"/>
      <c r="AH101" s="11"/>
    </row>
    <row r="102" spans="1:34" x14ac:dyDescent="0.2">
      <c r="A102" s="472"/>
      <c r="B102" s="3">
        <v>11</v>
      </c>
      <c r="C102" s="11">
        <f t="shared" si="37"/>
        <v>0</v>
      </c>
      <c r="D102" s="11">
        <f t="shared" si="37"/>
        <v>0</v>
      </c>
      <c r="E102" s="11">
        <f t="shared" si="37"/>
        <v>0</v>
      </c>
      <c r="F102" s="11">
        <f t="shared" si="37"/>
        <v>0</v>
      </c>
      <c r="G102" s="11">
        <f t="shared" si="37"/>
        <v>0</v>
      </c>
      <c r="H102" s="11">
        <f t="shared" si="37"/>
        <v>0</v>
      </c>
      <c r="I102" s="11">
        <f t="shared" si="37"/>
        <v>0</v>
      </c>
      <c r="J102" s="11">
        <f t="shared" si="37"/>
        <v>0</v>
      </c>
      <c r="K102" s="11">
        <f t="shared" si="37"/>
        <v>0</v>
      </c>
      <c r="L102" s="11">
        <f t="shared" si="37"/>
        <v>0</v>
      </c>
      <c r="M102" s="11">
        <f t="shared" si="37"/>
        <v>0</v>
      </c>
      <c r="N102" s="11">
        <f t="shared" si="37"/>
        <v>0</v>
      </c>
      <c r="O102" s="11">
        <f t="shared" si="37"/>
        <v>0</v>
      </c>
      <c r="P102" s="11">
        <f t="shared" si="37"/>
        <v>0</v>
      </c>
      <c r="Q102" s="11">
        <f t="shared" si="37"/>
        <v>0</v>
      </c>
      <c r="R102" s="11">
        <f t="shared" si="37"/>
        <v>0</v>
      </c>
      <c r="S102" s="11">
        <f t="shared" si="38"/>
        <v>0</v>
      </c>
      <c r="T102" s="11">
        <f t="shared" si="38"/>
        <v>0</v>
      </c>
      <c r="U102" s="11">
        <f t="shared" si="38"/>
        <v>0</v>
      </c>
      <c r="V102" s="11">
        <f t="shared" si="38"/>
        <v>0</v>
      </c>
      <c r="W102" s="11">
        <f t="shared" si="41"/>
        <v>0</v>
      </c>
      <c r="X102" s="11">
        <f t="shared" si="39"/>
        <v>0</v>
      </c>
      <c r="Y102" s="11">
        <f t="shared" si="40"/>
        <v>0</v>
      </c>
      <c r="Z102" s="11">
        <f t="shared" si="42"/>
        <v>0</v>
      </c>
      <c r="AB102" s="86"/>
      <c r="AC102" s="86"/>
      <c r="AD102" s="86"/>
      <c r="AE102" s="86"/>
      <c r="AH102" s="11"/>
    </row>
    <row r="103" spans="1:34" x14ac:dyDescent="0.2">
      <c r="A103" s="472"/>
      <c r="B103" s="3">
        <v>12</v>
      </c>
      <c r="C103" s="11">
        <f t="shared" si="37"/>
        <v>0</v>
      </c>
      <c r="D103" s="11">
        <f t="shared" si="37"/>
        <v>0</v>
      </c>
      <c r="E103" s="11">
        <f t="shared" si="37"/>
        <v>0</v>
      </c>
      <c r="F103" s="11">
        <f t="shared" si="37"/>
        <v>0</v>
      </c>
      <c r="G103" s="11">
        <f t="shared" si="37"/>
        <v>0</v>
      </c>
      <c r="H103" s="11">
        <f t="shared" si="37"/>
        <v>0</v>
      </c>
      <c r="I103" s="11">
        <f t="shared" si="37"/>
        <v>0</v>
      </c>
      <c r="J103" s="11">
        <f t="shared" si="37"/>
        <v>0</v>
      </c>
      <c r="K103" s="11">
        <f t="shared" si="37"/>
        <v>0</v>
      </c>
      <c r="L103" s="11">
        <f t="shared" si="37"/>
        <v>0</v>
      </c>
      <c r="M103" s="11">
        <f t="shared" si="37"/>
        <v>0</v>
      </c>
      <c r="N103" s="11">
        <f t="shared" si="37"/>
        <v>0</v>
      </c>
      <c r="O103" s="11">
        <f t="shared" si="37"/>
        <v>0</v>
      </c>
      <c r="P103" s="11">
        <f t="shared" si="37"/>
        <v>0</v>
      </c>
      <c r="Q103" s="11">
        <f t="shared" si="37"/>
        <v>0</v>
      </c>
      <c r="R103" s="11">
        <f t="shared" si="37"/>
        <v>0</v>
      </c>
      <c r="S103" s="11">
        <f t="shared" si="38"/>
        <v>0</v>
      </c>
      <c r="T103" s="11">
        <f t="shared" si="38"/>
        <v>0</v>
      </c>
      <c r="U103" s="11">
        <f t="shared" si="38"/>
        <v>0</v>
      </c>
      <c r="V103" s="11">
        <f t="shared" si="38"/>
        <v>0</v>
      </c>
      <c r="W103" s="11">
        <f t="shared" si="41"/>
        <v>0</v>
      </c>
      <c r="X103" s="11">
        <f t="shared" si="39"/>
        <v>0</v>
      </c>
      <c r="Y103" s="11">
        <f t="shared" si="40"/>
        <v>0</v>
      </c>
      <c r="Z103" s="11">
        <f t="shared" si="42"/>
        <v>0</v>
      </c>
      <c r="AB103" s="86"/>
      <c r="AC103" s="86"/>
      <c r="AD103" s="86"/>
      <c r="AE103" s="86"/>
      <c r="AH103" s="11"/>
    </row>
    <row r="104" spans="1:34" x14ac:dyDescent="0.2">
      <c r="A104" s="472"/>
      <c r="B104" s="3">
        <v>13</v>
      </c>
      <c r="C104" s="11">
        <f t="shared" si="37"/>
        <v>0</v>
      </c>
      <c r="D104" s="11">
        <f t="shared" si="37"/>
        <v>0</v>
      </c>
      <c r="E104" s="11">
        <f t="shared" si="37"/>
        <v>0</v>
      </c>
      <c r="F104" s="11">
        <f t="shared" si="37"/>
        <v>0</v>
      </c>
      <c r="G104" s="11">
        <f t="shared" si="37"/>
        <v>0</v>
      </c>
      <c r="H104" s="11">
        <f t="shared" si="37"/>
        <v>0</v>
      </c>
      <c r="I104" s="11">
        <f t="shared" si="37"/>
        <v>0</v>
      </c>
      <c r="J104" s="11">
        <f t="shared" si="37"/>
        <v>0</v>
      </c>
      <c r="K104" s="11">
        <f t="shared" si="37"/>
        <v>0</v>
      </c>
      <c r="L104" s="11">
        <f t="shared" si="37"/>
        <v>0</v>
      </c>
      <c r="M104" s="11">
        <f t="shared" si="37"/>
        <v>0</v>
      </c>
      <c r="N104" s="11">
        <f t="shared" si="37"/>
        <v>0</v>
      </c>
      <c r="O104" s="11">
        <f t="shared" si="37"/>
        <v>0</v>
      </c>
      <c r="P104" s="11">
        <f t="shared" si="37"/>
        <v>0</v>
      </c>
      <c r="Q104" s="11">
        <f t="shared" si="37"/>
        <v>0</v>
      </c>
      <c r="R104" s="11">
        <f t="shared" si="37"/>
        <v>0</v>
      </c>
      <c r="S104" s="11">
        <f t="shared" si="38"/>
        <v>0</v>
      </c>
      <c r="T104" s="11">
        <f t="shared" si="38"/>
        <v>0</v>
      </c>
      <c r="U104" s="11">
        <f t="shared" si="38"/>
        <v>0</v>
      </c>
      <c r="V104" s="11">
        <f t="shared" si="38"/>
        <v>0</v>
      </c>
      <c r="W104" s="11">
        <f t="shared" si="41"/>
        <v>0</v>
      </c>
      <c r="X104" s="11">
        <f t="shared" si="39"/>
        <v>0</v>
      </c>
      <c r="Y104" s="11">
        <f t="shared" si="40"/>
        <v>0</v>
      </c>
      <c r="Z104" s="11">
        <f t="shared" si="42"/>
        <v>0</v>
      </c>
      <c r="AB104" s="86"/>
      <c r="AC104" s="86"/>
      <c r="AD104" s="86"/>
      <c r="AE104" s="86"/>
      <c r="AH104" s="11"/>
    </row>
    <row r="105" spans="1:34" x14ac:dyDescent="0.2">
      <c r="A105" s="472"/>
      <c r="B105" s="3">
        <v>14</v>
      </c>
      <c r="C105" s="11">
        <f t="shared" si="37"/>
        <v>0</v>
      </c>
      <c r="D105" s="11">
        <f t="shared" si="37"/>
        <v>0</v>
      </c>
      <c r="E105" s="11">
        <f t="shared" si="37"/>
        <v>0</v>
      </c>
      <c r="F105" s="11">
        <f t="shared" si="37"/>
        <v>0</v>
      </c>
      <c r="G105" s="11">
        <f t="shared" si="37"/>
        <v>0</v>
      </c>
      <c r="H105" s="11">
        <f t="shared" si="37"/>
        <v>0</v>
      </c>
      <c r="I105" s="11">
        <f t="shared" si="37"/>
        <v>0</v>
      </c>
      <c r="J105" s="11">
        <f t="shared" si="37"/>
        <v>0</v>
      </c>
      <c r="K105" s="11">
        <f t="shared" si="37"/>
        <v>0</v>
      </c>
      <c r="L105" s="11">
        <f t="shared" si="37"/>
        <v>0</v>
      </c>
      <c r="M105" s="11">
        <f t="shared" si="37"/>
        <v>0</v>
      </c>
      <c r="N105" s="11">
        <f t="shared" si="37"/>
        <v>0</v>
      </c>
      <c r="O105" s="11">
        <f t="shared" si="37"/>
        <v>0</v>
      </c>
      <c r="P105" s="11">
        <f t="shared" si="37"/>
        <v>0</v>
      </c>
      <c r="Q105" s="11">
        <f t="shared" si="37"/>
        <v>0</v>
      </c>
      <c r="R105" s="11">
        <f t="shared" si="37"/>
        <v>0</v>
      </c>
      <c r="S105" s="11">
        <f t="shared" si="38"/>
        <v>0</v>
      </c>
      <c r="T105" s="11">
        <f t="shared" si="38"/>
        <v>0</v>
      </c>
      <c r="U105" s="11">
        <f t="shared" si="38"/>
        <v>0</v>
      </c>
      <c r="V105" s="11">
        <f t="shared" si="38"/>
        <v>0</v>
      </c>
      <c r="W105" s="11">
        <f t="shared" si="41"/>
        <v>0</v>
      </c>
      <c r="X105" s="11">
        <f t="shared" si="39"/>
        <v>0</v>
      </c>
      <c r="Y105" s="11">
        <f t="shared" si="40"/>
        <v>0</v>
      </c>
      <c r="Z105" s="11">
        <f t="shared" si="42"/>
        <v>0</v>
      </c>
      <c r="AB105" s="86"/>
      <c r="AC105" s="86"/>
      <c r="AD105" s="86"/>
      <c r="AE105" s="86"/>
      <c r="AH105" s="11"/>
    </row>
    <row r="106" spans="1:34" x14ac:dyDescent="0.2">
      <c r="A106" s="472"/>
      <c r="B106" s="3">
        <v>15</v>
      </c>
      <c r="C106" s="11">
        <f t="shared" si="37"/>
        <v>0</v>
      </c>
      <c r="D106" s="11">
        <f t="shared" si="37"/>
        <v>0</v>
      </c>
      <c r="E106" s="11">
        <f t="shared" si="37"/>
        <v>0</v>
      </c>
      <c r="F106" s="11">
        <f t="shared" si="37"/>
        <v>0</v>
      </c>
      <c r="G106" s="11">
        <f t="shared" si="37"/>
        <v>0</v>
      </c>
      <c r="H106" s="11">
        <f t="shared" si="37"/>
        <v>0</v>
      </c>
      <c r="I106" s="11">
        <f t="shared" si="37"/>
        <v>0</v>
      </c>
      <c r="J106" s="11">
        <f t="shared" si="37"/>
        <v>0</v>
      </c>
      <c r="K106" s="11">
        <f t="shared" si="37"/>
        <v>0</v>
      </c>
      <c r="L106" s="11">
        <f t="shared" si="37"/>
        <v>0</v>
      </c>
      <c r="M106" s="11">
        <f t="shared" si="37"/>
        <v>0</v>
      </c>
      <c r="N106" s="11">
        <f t="shared" si="37"/>
        <v>0</v>
      </c>
      <c r="O106" s="11">
        <f t="shared" si="37"/>
        <v>0</v>
      </c>
      <c r="P106" s="11">
        <f t="shared" si="37"/>
        <v>0</v>
      </c>
      <c r="Q106" s="11">
        <f t="shared" si="37"/>
        <v>0</v>
      </c>
      <c r="R106" s="11">
        <f t="shared" si="37"/>
        <v>0</v>
      </c>
      <c r="S106" s="11">
        <f t="shared" si="38"/>
        <v>0</v>
      </c>
      <c r="T106" s="11">
        <f t="shared" si="38"/>
        <v>0</v>
      </c>
      <c r="U106" s="11">
        <f t="shared" si="38"/>
        <v>0</v>
      </c>
      <c r="V106" s="11">
        <f t="shared" si="38"/>
        <v>0</v>
      </c>
      <c r="W106" s="11">
        <f t="shared" si="41"/>
        <v>0</v>
      </c>
      <c r="X106" s="11">
        <f t="shared" si="39"/>
        <v>0</v>
      </c>
      <c r="Y106" s="11">
        <f t="shared" si="40"/>
        <v>0</v>
      </c>
      <c r="Z106" s="11">
        <f t="shared" si="42"/>
        <v>0</v>
      </c>
      <c r="AH106" s="11"/>
    </row>
    <row r="107" spans="1:34" x14ac:dyDescent="0.2">
      <c r="A107" s="472"/>
      <c r="B107" s="3">
        <v>16</v>
      </c>
      <c r="C107" s="11">
        <f t="shared" si="37"/>
        <v>0</v>
      </c>
      <c r="D107" s="11">
        <f t="shared" si="37"/>
        <v>0</v>
      </c>
      <c r="E107" s="11">
        <f t="shared" si="37"/>
        <v>0</v>
      </c>
      <c r="F107" s="11">
        <f t="shared" si="37"/>
        <v>0</v>
      </c>
      <c r="G107" s="11">
        <f t="shared" si="37"/>
        <v>0</v>
      </c>
      <c r="H107" s="11">
        <f t="shared" si="37"/>
        <v>0</v>
      </c>
      <c r="I107" s="11">
        <f t="shared" si="37"/>
        <v>0</v>
      </c>
      <c r="J107" s="11">
        <f t="shared" si="37"/>
        <v>0</v>
      </c>
      <c r="K107" s="11">
        <f t="shared" si="37"/>
        <v>0</v>
      </c>
      <c r="L107" s="11">
        <f t="shared" si="37"/>
        <v>0</v>
      </c>
      <c r="M107" s="11">
        <f t="shared" si="37"/>
        <v>0</v>
      </c>
      <c r="N107" s="11">
        <f t="shared" si="37"/>
        <v>0</v>
      </c>
      <c r="O107" s="11">
        <f t="shared" si="37"/>
        <v>0</v>
      </c>
      <c r="P107" s="11">
        <f t="shared" si="37"/>
        <v>0</v>
      </c>
      <c r="Q107" s="11">
        <f t="shared" si="37"/>
        <v>0</v>
      </c>
      <c r="R107" s="11">
        <f t="shared" ref="R107:R111" si="43">(R$86)*IF($B107&gt;=R$84,IF($B107=R$84,$E$19,VLOOKUP($B107-R$84,$B$19:$E$49,4,FALSE)),0)</f>
        <v>0</v>
      </c>
      <c r="S107" s="11">
        <f t="shared" si="38"/>
        <v>0</v>
      </c>
      <c r="T107" s="11">
        <f t="shared" si="38"/>
        <v>0</v>
      </c>
      <c r="U107" s="11">
        <f t="shared" si="38"/>
        <v>0</v>
      </c>
      <c r="V107" s="11">
        <f t="shared" si="38"/>
        <v>0</v>
      </c>
      <c r="W107" s="11">
        <f t="shared" si="41"/>
        <v>0</v>
      </c>
      <c r="X107" s="11">
        <f t="shared" si="39"/>
        <v>0</v>
      </c>
      <c r="Y107" s="11">
        <f t="shared" si="40"/>
        <v>0</v>
      </c>
      <c r="Z107" s="11">
        <f t="shared" si="42"/>
        <v>0</v>
      </c>
      <c r="AH107" s="11"/>
    </row>
    <row r="108" spans="1:34" x14ac:dyDescent="0.2">
      <c r="A108" s="472"/>
      <c r="B108" s="3">
        <v>17</v>
      </c>
      <c r="C108" s="11">
        <f t="shared" ref="C108:Q111" si="44">(C$86)*IF($B108&gt;=C$84,IF($B108=C$84,$E$19,VLOOKUP($B108-C$84,$B$19:$E$49,4,FALSE)),0)</f>
        <v>0</v>
      </c>
      <c r="D108" s="11">
        <f t="shared" si="44"/>
        <v>0</v>
      </c>
      <c r="E108" s="11">
        <f t="shared" si="44"/>
        <v>0</v>
      </c>
      <c r="F108" s="11">
        <f t="shared" si="44"/>
        <v>0</v>
      </c>
      <c r="G108" s="11">
        <f t="shared" si="44"/>
        <v>0</v>
      </c>
      <c r="H108" s="11">
        <f t="shared" si="44"/>
        <v>0</v>
      </c>
      <c r="I108" s="11">
        <f t="shared" si="44"/>
        <v>0</v>
      </c>
      <c r="J108" s="11">
        <f t="shared" si="44"/>
        <v>0</v>
      </c>
      <c r="K108" s="11">
        <f t="shared" si="44"/>
        <v>0</v>
      </c>
      <c r="L108" s="11">
        <f t="shared" si="44"/>
        <v>0</v>
      </c>
      <c r="M108" s="11">
        <f t="shared" si="44"/>
        <v>0</v>
      </c>
      <c r="N108" s="11">
        <f t="shared" si="44"/>
        <v>0</v>
      </c>
      <c r="O108" s="11">
        <f t="shared" si="44"/>
        <v>0</v>
      </c>
      <c r="P108" s="11">
        <f t="shared" si="44"/>
        <v>0</v>
      </c>
      <c r="Q108" s="11">
        <f t="shared" si="44"/>
        <v>0</v>
      </c>
      <c r="R108" s="11">
        <f t="shared" si="43"/>
        <v>0</v>
      </c>
      <c r="S108" s="11">
        <f t="shared" si="38"/>
        <v>0</v>
      </c>
      <c r="T108" s="11">
        <f t="shared" si="38"/>
        <v>0</v>
      </c>
      <c r="U108" s="11">
        <f t="shared" si="38"/>
        <v>0</v>
      </c>
      <c r="V108" s="11">
        <f t="shared" si="38"/>
        <v>0</v>
      </c>
      <c r="W108" s="11">
        <f t="shared" si="41"/>
        <v>0</v>
      </c>
      <c r="X108" s="11">
        <f t="shared" si="39"/>
        <v>0</v>
      </c>
      <c r="Y108" s="11">
        <f t="shared" si="40"/>
        <v>0</v>
      </c>
      <c r="Z108" s="11">
        <f t="shared" si="42"/>
        <v>0</v>
      </c>
      <c r="AH108" s="11"/>
    </row>
    <row r="109" spans="1:34" x14ac:dyDescent="0.2">
      <c r="A109" s="472"/>
      <c r="B109" s="3">
        <v>18</v>
      </c>
      <c r="C109" s="11">
        <f t="shared" si="44"/>
        <v>0</v>
      </c>
      <c r="D109" s="11">
        <f t="shared" si="44"/>
        <v>0</v>
      </c>
      <c r="E109" s="11">
        <f t="shared" si="44"/>
        <v>0</v>
      </c>
      <c r="F109" s="11">
        <f t="shared" si="44"/>
        <v>0</v>
      </c>
      <c r="G109" s="11">
        <f t="shared" si="44"/>
        <v>0</v>
      </c>
      <c r="H109" s="11">
        <f t="shared" si="44"/>
        <v>0</v>
      </c>
      <c r="I109" s="11">
        <f t="shared" si="44"/>
        <v>0</v>
      </c>
      <c r="J109" s="11">
        <f t="shared" si="44"/>
        <v>0</v>
      </c>
      <c r="K109" s="11">
        <f t="shared" si="44"/>
        <v>0</v>
      </c>
      <c r="L109" s="11">
        <f t="shared" si="44"/>
        <v>0</v>
      </c>
      <c r="M109" s="11">
        <f t="shared" si="44"/>
        <v>0</v>
      </c>
      <c r="N109" s="11">
        <f t="shared" si="44"/>
        <v>0</v>
      </c>
      <c r="O109" s="11">
        <f t="shared" si="44"/>
        <v>0</v>
      </c>
      <c r="P109" s="11">
        <f t="shared" si="44"/>
        <v>0</v>
      </c>
      <c r="Q109" s="11">
        <f t="shared" si="44"/>
        <v>0</v>
      </c>
      <c r="R109" s="11">
        <f t="shared" si="43"/>
        <v>0</v>
      </c>
      <c r="S109" s="11">
        <f t="shared" si="38"/>
        <v>0</v>
      </c>
      <c r="T109" s="11">
        <f t="shared" si="38"/>
        <v>0</v>
      </c>
      <c r="U109" s="11">
        <f t="shared" si="38"/>
        <v>0</v>
      </c>
      <c r="V109" s="11">
        <f t="shared" si="38"/>
        <v>0</v>
      </c>
      <c r="W109" s="11">
        <f t="shared" si="41"/>
        <v>0</v>
      </c>
      <c r="X109" s="11">
        <f t="shared" si="39"/>
        <v>0</v>
      </c>
      <c r="Y109" s="11">
        <f t="shared" si="40"/>
        <v>0</v>
      </c>
      <c r="Z109" s="11">
        <f t="shared" si="42"/>
        <v>0</v>
      </c>
      <c r="AH109" s="11"/>
    </row>
    <row r="110" spans="1:34" x14ac:dyDescent="0.2">
      <c r="A110" s="472"/>
      <c r="B110" s="3">
        <v>19</v>
      </c>
      <c r="C110" s="11">
        <f t="shared" si="44"/>
        <v>0</v>
      </c>
      <c r="D110" s="11">
        <f t="shared" si="44"/>
        <v>0</v>
      </c>
      <c r="E110" s="11">
        <f t="shared" si="44"/>
        <v>0</v>
      </c>
      <c r="F110" s="11">
        <f t="shared" si="44"/>
        <v>0</v>
      </c>
      <c r="G110" s="11">
        <f t="shared" si="44"/>
        <v>0</v>
      </c>
      <c r="H110" s="11">
        <f t="shared" si="44"/>
        <v>0</v>
      </c>
      <c r="I110" s="11">
        <f t="shared" si="44"/>
        <v>0</v>
      </c>
      <c r="J110" s="11">
        <f t="shared" si="44"/>
        <v>0</v>
      </c>
      <c r="K110" s="11">
        <f t="shared" si="44"/>
        <v>0</v>
      </c>
      <c r="L110" s="11">
        <f t="shared" si="44"/>
        <v>0</v>
      </c>
      <c r="M110" s="11">
        <f t="shared" si="44"/>
        <v>0</v>
      </c>
      <c r="N110" s="11">
        <f t="shared" si="44"/>
        <v>0</v>
      </c>
      <c r="O110" s="11">
        <f t="shared" si="44"/>
        <v>0</v>
      </c>
      <c r="P110" s="11">
        <f t="shared" si="44"/>
        <v>0</v>
      </c>
      <c r="Q110" s="11">
        <f t="shared" si="44"/>
        <v>0</v>
      </c>
      <c r="R110" s="11">
        <f t="shared" si="43"/>
        <v>0</v>
      </c>
      <c r="S110" s="11">
        <f t="shared" si="38"/>
        <v>0</v>
      </c>
      <c r="T110" s="11">
        <f t="shared" si="38"/>
        <v>0</v>
      </c>
      <c r="U110" s="11">
        <f t="shared" si="38"/>
        <v>0</v>
      </c>
      <c r="V110" s="11">
        <f t="shared" si="38"/>
        <v>0</v>
      </c>
      <c r="W110" s="11">
        <f t="shared" si="41"/>
        <v>0</v>
      </c>
      <c r="X110" s="11">
        <f t="shared" si="39"/>
        <v>0</v>
      </c>
      <c r="Y110" s="11">
        <f t="shared" si="40"/>
        <v>0</v>
      </c>
      <c r="Z110" s="11">
        <f t="shared" si="42"/>
        <v>0</v>
      </c>
      <c r="AH110" s="11"/>
    </row>
    <row r="111" spans="1:34" x14ac:dyDescent="0.2">
      <c r="A111" s="472"/>
      <c r="B111" s="3">
        <v>20</v>
      </c>
      <c r="C111" s="11">
        <f t="shared" si="44"/>
        <v>0</v>
      </c>
      <c r="D111" s="11">
        <f t="shared" si="44"/>
        <v>0</v>
      </c>
      <c r="E111" s="11">
        <f t="shared" si="44"/>
        <v>0</v>
      </c>
      <c r="F111" s="11">
        <f t="shared" si="44"/>
        <v>0</v>
      </c>
      <c r="G111" s="11">
        <f t="shared" si="44"/>
        <v>0</v>
      </c>
      <c r="H111" s="11">
        <f t="shared" si="44"/>
        <v>0</v>
      </c>
      <c r="I111" s="11">
        <f t="shared" si="44"/>
        <v>0</v>
      </c>
      <c r="J111" s="11">
        <f t="shared" si="44"/>
        <v>0</v>
      </c>
      <c r="K111" s="11">
        <f t="shared" si="44"/>
        <v>0</v>
      </c>
      <c r="L111" s="11">
        <f t="shared" si="44"/>
        <v>0</v>
      </c>
      <c r="M111" s="11">
        <f t="shared" si="44"/>
        <v>0</v>
      </c>
      <c r="N111" s="11">
        <f t="shared" si="44"/>
        <v>0</v>
      </c>
      <c r="O111" s="11">
        <f t="shared" si="44"/>
        <v>0</v>
      </c>
      <c r="P111" s="11">
        <f t="shared" si="44"/>
        <v>0</v>
      </c>
      <c r="Q111" s="11">
        <f t="shared" si="44"/>
        <v>0</v>
      </c>
      <c r="R111" s="11">
        <f t="shared" si="43"/>
        <v>0</v>
      </c>
      <c r="S111" s="11">
        <f t="shared" si="38"/>
        <v>0</v>
      </c>
      <c r="T111" s="11">
        <f t="shared" si="38"/>
        <v>0</v>
      </c>
      <c r="U111" s="11">
        <f t="shared" si="38"/>
        <v>0</v>
      </c>
      <c r="V111" s="11">
        <f t="shared" si="38"/>
        <v>0</v>
      </c>
      <c r="W111" s="11">
        <f t="shared" si="41"/>
        <v>0</v>
      </c>
      <c r="X111" s="11">
        <f t="shared" si="39"/>
        <v>0</v>
      </c>
      <c r="Y111" s="11">
        <f t="shared" si="40"/>
        <v>0</v>
      </c>
      <c r="Z111" s="11">
        <f t="shared" si="42"/>
        <v>0</v>
      </c>
      <c r="AH111" s="11"/>
    </row>
    <row r="112" spans="1:34" x14ac:dyDescent="0.2">
      <c r="A112" s="215"/>
      <c r="C112" s="11"/>
      <c r="D112" s="11"/>
      <c r="E112" s="11"/>
      <c r="F112" s="11"/>
      <c r="G112" s="11"/>
      <c r="H112" s="11"/>
      <c r="I112" s="11"/>
      <c r="J112" s="11"/>
      <c r="K112" s="11"/>
      <c r="L112" s="11"/>
      <c r="M112" s="11"/>
      <c r="N112" s="11"/>
      <c r="O112" s="11"/>
      <c r="P112" s="11"/>
      <c r="Q112" s="11"/>
      <c r="R112" s="11"/>
      <c r="S112" s="11"/>
      <c r="T112" s="11"/>
      <c r="U112" s="11"/>
      <c r="V112" s="11"/>
      <c r="W112" s="11"/>
      <c r="X112" s="11"/>
      <c r="Y112" s="11"/>
      <c r="Z112" s="11"/>
      <c r="AH112" s="11"/>
    </row>
    <row r="114" spans="1:52" x14ac:dyDescent="0.2">
      <c r="A114" s="134" t="s">
        <v>628</v>
      </c>
      <c r="B114" s="134"/>
      <c r="C114" s="134"/>
      <c r="D114" s="134"/>
      <c r="E114" s="134"/>
      <c r="F114" s="134"/>
      <c r="G114" s="134"/>
      <c r="H114" s="134"/>
      <c r="I114" s="134"/>
      <c r="J114" s="134"/>
      <c r="K114" s="134"/>
      <c r="L114" s="134"/>
      <c r="M114" s="133"/>
      <c r="N114" s="133"/>
      <c r="O114" s="133"/>
      <c r="P114" s="133"/>
      <c r="Q114" s="133"/>
      <c r="R114" s="133"/>
      <c r="S114" s="133"/>
      <c r="T114" s="133"/>
      <c r="U114" s="133"/>
      <c r="V114" s="133"/>
      <c r="W114" s="133"/>
      <c r="X114" s="133"/>
      <c r="Y114" s="133"/>
      <c r="Z114" s="133"/>
      <c r="AA114" s="133"/>
      <c r="AB114" s="133"/>
      <c r="AC114" s="133"/>
      <c r="AD114" s="133"/>
      <c r="AE114" s="133"/>
      <c r="AF114" s="133"/>
      <c r="AG114" s="133"/>
      <c r="AH114" s="133"/>
      <c r="AI114" s="133"/>
      <c r="AJ114" s="133"/>
      <c r="AK114" s="133"/>
      <c r="AL114" s="133"/>
      <c r="AM114" s="133"/>
      <c r="AN114" s="133"/>
      <c r="AO114" s="133"/>
      <c r="AP114" s="133"/>
      <c r="AQ114" s="133"/>
      <c r="AR114" s="133"/>
      <c r="AS114" s="133"/>
      <c r="AT114" s="133"/>
      <c r="AU114" s="133"/>
      <c r="AV114" s="133"/>
      <c r="AW114" s="133"/>
      <c r="AX114" s="133"/>
      <c r="AY114" s="133"/>
      <c r="AZ114" s="133"/>
    </row>
    <row r="115" spans="1:52" x14ac:dyDescent="0.2">
      <c r="A115" s="37"/>
      <c r="C115" s="11"/>
      <c r="D115" s="11"/>
      <c r="E115" s="11"/>
      <c r="F115" s="11"/>
      <c r="G115" s="11"/>
      <c r="H115" s="11"/>
      <c r="I115" s="11"/>
      <c r="J115" s="11"/>
      <c r="K115" s="11"/>
      <c r="L115" s="11"/>
      <c r="M115" s="11"/>
      <c r="N115" s="11"/>
      <c r="O115" s="11"/>
      <c r="P115" s="11"/>
      <c r="Q115" s="11"/>
      <c r="R115" s="11"/>
      <c r="S115" s="11"/>
      <c r="T115" s="11"/>
      <c r="U115" s="11"/>
      <c r="V115" s="11"/>
      <c r="W115" s="11"/>
      <c r="X115" s="11"/>
      <c r="Y115" s="11"/>
      <c r="Z115" s="11"/>
      <c r="AA115" s="11"/>
      <c r="AB115" s="11"/>
      <c r="AC115" s="11"/>
      <c r="AD115" s="11"/>
      <c r="AE115" s="11"/>
      <c r="AF115" s="11"/>
      <c r="AG115" s="11"/>
      <c r="AH115" s="11"/>
      <c r="AI115" s="11"/>
    </row>
    <row r="116" spans="1:52" ht="17" x14ac:dyDescent="0.2">
      <c r="A116" s="40" t="s">
        <v>159</v>
      </c>
      <c r="B116" s="3" t="str">
        <f>B58</f>
        <v/>
      </c>
      <c r="C116" s="3" t="e">
        <f>IF(B116=0,0,VLOOKUP(B116,Listes!$C$7:$E$36,3,FALSE))</f>
        <v>#N/A</v>
      </c>
      <c r="L116" s="3" t="str">
        <f>K58</f>
        <v/>
      </c>
      <c r="M116" s="3" t="e">
        <f>IF(L116=0,0,VLOOKUP(L116,Listes!$C$7:$E$36,3,FALSE))</f>
        <v>#N/A</v>
      </c>
      <c r="V116" s="3" t="str">
        <f>T58</f>
        <v/>
      </c>
      <c r="W116" s="3" t="e">
        <f>IF(V116=0,0,VLOOKUP(V116,Listes!$C$7:$E$36,3,FALSE))</f>
        <v>#N/A</v>
      </c>
      <c r="AF116" s="3" t="str">
        <f>AC58</f>
        <v/>
      </c>
      <c r="AG116" s="3" t="e">
        <f>IF(AF116=0,0,VLOOKUP(AF116,Listes!$C$7:$E$36,3,FALSE))</f>
        <v>#N/A</v>
      </c>
    </row>
    <row r="117" spans="1:52" ht="16" customHeight="1" x14ac:dyDescent="0.2">
      <c r="A117" s="472" t="str">
        <f>CONCATENATE("ST_REF_",A57)</f>
        <v>ST_REF_D_ESS_1</v>
      </c>
      <c r="B117" s="3" t="s">
        <v>15</v>
      </c>
      <c r="C117" s="3" t="s">
        <v>127</v>
      </c>
      <c r="D117" s="3" t="s">
        <v>161</v>
      </c>
      <c r="E117" s="3" t="s">
        <v>162</v>
      </c>
      <c r="F117" s="3" t="s">
        <v>163</v>
      </c>
      <c r="G117" s="3" t="s">
        <v>81</v>
      </c>
      <c r="H117" s="3" t="s">
        <v>84</v>
      </c>
      <c r="I117" s="3" t="s">
        <v>83</v>
      </c>
      <c r="K117" s="472" t="str">
        <f>CONCATENATE("ST_REF_",J57)</f>
        <v>ST_REF_D_ESS_2</v>
      </c>
      <c r="L117" s="3" t="s">
        <v>15</v>
      </c>
      <c r="M117" s="3" t="s">
        <v>127</v>
      </c>
      <c r="N117" s="3" t="s">
        <v>161</v>
      </c>
      <c r="O117" s="3" t="s">
        <v>162</v>
      </c>
      <c r="P117" s="3" t="s">
        <v>163</v>
      </c>
      <c r="Q117" s="3" t="s">
        <v>81</v>
      </c>
      <c r="R117" s="3" t="s">
        <v>84</v>
      </c>
      <c r="S117" s="3" t="s">
        <v>83</v>
      </c>
      <c r="U117" s="472" t="str">
        <f>CONCATENATE("ST_REF_",S57)</f>
        <v>ST_REF_D_ESS_3</v>
      </c>
      <c r="V117" s="3" t="s">
        <v>15</v>
      </c>
      <c r="W117" s="3" t="s">
        <v>127</v>
      </c>
      <c r="X117" s="3" t="s">
        <v>161</v>
      </c>
      <c r="Y117" s="3" t="s">
        <v>162</v>
      </c>
      <c r="Z117" s="3" t="s">
        <v>163</v>
      </c>
      <c r="AA117" s="3" t="s">
        <v>81</v>
      </c>
      <c r="AB117" s="3" t="s">
        <v>84</v>
      </c>
      <c r="AC117" s="3" t="s">
        <v>83</v>
      </c>
      <c r="AE117" s="472" t="str">
        <f>CONCATENATE("ST_REF_",AB57)</f>
        <v>ST_REF_D_ESS_4</v>
      </c>
      <c r="AF117" s="3" t="s">
        <v>15</v>
      </c>
      <c r="AG117" s="3" t="s">
        <v>127</v>
      </c>
      <c r="AH117" s="3" t="s">
        <v>161</v>
      </c>
      <c r="AI117" s="3" t="s">
        <v>162</v>
      </c>
      <c r="AJ117" s="3" t="s">
        <v>163</v>
      </c>
      <c r="AK117" s="3" t="s">
        <v>81</v>
      </c>
      <c r="AL117" s="3" t="s">
        <v>84</v>
      </c>
      <c r="AM117" s="3" t="s">
        <v>83</v>
      </c>
      <c r="AO117" s="472" t="str">
        <f>CONCATENATE("RECAP_ST_REF_",C1)</f>
        <v>RECAP_ST_REF_D</v>
      </c>
      <c r="AP117" s="3" t="s">
        <v>15</v>
      </c>
      <c r="AQ117" s="3" t="s">
        <v>81</v>
      </c>
      <c r="AR117" s="3" t="s">
        <v>84</v>
      </c>
      <c r="AS117" s="3" t="s">
        <v>83</v>
      </c>
      <c r="AT117" s="3" t="s">
        <v>27</v>
      </c>
      <c r="AU117" s="3" t="s">
        <v>85</v>
      </c>
    </row>
    <row r="118" spans="1:52" x14ac:dyDescent="0.2">
      <c r="A118" s="472"/>
      <c r="B118" s="3">
        <v>1</v>
      </c>
      <c r="C118" s="45">
        <f>D61</f>
        <v>0</v>
      </c>
      <c r="D118" s="45">
        <f>IF(OR(C118=0,C118=""),0,C118*C$58*0.475)</f>
        <v>0</v>
      </c>
      <c r="E118" s="45">
        <f>IF(OR(D118=0,D118="",B$116=0),0,D118*INDEX(Listes!$K$1:$Q$12,MATCH(B$116,Listes!$K$1:$K$12,0),MATCH(E$117,Listes!$K$1:$Q$1,0)))</f>
        <v>0</v>
      </c>
      <c r="F118" s="45">
        <f t="shared" ref="F118:F137" si="45">D118-E118</f>
        <v>0</v>
      </c>
      <c r="G118" s="45">
        <f>IF(OR(B$116=0,B$116=""),0,F118*INDEX(Listes!$K$15:$P$26,MATCH(B$116,Listes!$K$15:$K$26,0),MATCH(G$117,Listes!$K$15:$P$15,0))*INDEX(Listes!$K$29:$O$31,MATCH(C$116,Listes!$K$29:$K$31,0),MATCH(G$117,Listes!$K$29:$O$29,0)))</f>
        <v>0</v>
      </c>
      <c r="H118" s="45">
        <f>IF(OR(B$116=0,B$116=""),0,F118*INDEX(Listes!$K$15:$P$26,MATCH(B$116,Listes!$K$15:$K$26,0),MATCH(H$117,Listes!$K$15:$P$15,0))*INDEX(Listes!$K$29:$O$31,MATCH(C$116,Listes!$K$29:$K$31,0),MATCH(H$117,Listes!$K$29:$O$29,0)))</f>
        <v>0</v>
      </c>
      <c r="I118" s="45">
        <f>IF(OR(B$116=0,B$116=""),0,F118*INDEX(Listes!$K$15:$P$26,MATCH(B$116,Listes!$K$15:$K$26,0),MATCH(I$117,Listes!$K$15:$P$15,0))*INDEX(Listes!$K$29:$O$31,MATCH(C$116,Listes!$K$29:$K$31,0),MATCH(I$117,Listes!$K$29:$O$29,0)))</f>
        <v>0</v>
      </c>
      <c r="K118" s="472"/>
      <c r="L118" s="3">
        <v>1</v>
      </c>
      <c r="M118" s="45">
        <f t="shared" ref="M118:M137" si="46">M61</f>
        <v>0</v>
      </c>
      <c r="N118" s="45">
        <f t="shared" ref="N118:N137" si="47">IF(OR(M118=0,M118=""),0,M118*L$58*0.475)</f>
        <v>0</v>
      </c>
      <c r="O118" s="45">
        <f>IF(OR(N118=0,N118="",L$116=0),0,N118*INDEX(Listes!$K$1:$Q$12,MATCH(L$116,Listes!$K$1:$K$12,0),MATCH(O$117,Listes!$K$1:$Q$1,0)))</f>
        <v>0</v>
      </c>
      <c r="P118" s="45">
        <f t="shared" ref="P118:P137" si="48">N118-O118</f>
        <v>0</v>
      </c>
      <c r="Q118" s="45">
        <f>IF(OR(L$116=0,L$116=""),0,P118*INDEX(Listes!$K$15:$P$26,MATCH(L$116,Listes!$K$15:$K$26,0),MATCH(Q$117,Listes!$K$15:$P$15,0))*INDEX(Listes!$K$29:$O$31,MATCH(M$116,Listes!$K$29:$K$31,0),MATCH(Q$117,Listes!$K$29:$O$29,0)))</f>
        <v>0</v>
      </c>
      <c r="R118" s="45">
        <f>IF(OR(L$116=0,L$116=""),0,P118*INDEX(Listes!$K$15:$P$26,MATCH(L$116,Listes!$K$15:$K$26,0),MATCH(R$117,Listes!$K$15:$P$15,0))*INDEX(Listes!$K$29:$O$31,MATCH(M$116,Listes!$K$29:$K$31,0),MATCH(R$117,Listes!$K$29:$O$29,0)))</f>
        <v>0</v>
      </c>
      <c r="S118" s="45">
        <f>IF(OR(L$116=0,L$116=""),0,P118*INDEX(Listes!$K$15:$P$26,MATCH(L$116,Listes!$K$15:$K$26,0),MATCH(S$117,Listes!$K$15:$P$15,0))*INDEX(Listes!$K$29:$O$31,MATCH(M$116,Listes!$K$29:$K$31,0),MATCH(S$117,Listes!$K$29:$O$29,0)))</f>
        <v>0</v>
      </c>
      <c r="U118" s="472"/>
      <c r="V118" s="3">
        <v>1</v>
      </c>
      <c r="W118" s="45">
        <f t="shared" ref="W118:W137" si="49">V61</f>
        <v>0</v>
      </c>
      <c r="X118" s="45">
        <f t="shared" ref="X118:X137" si="50">IF(OR(W118=0,W118=""),0,W118*U$58*0.475)</f>
        <v>0</v>
      </c>
      <c r="Y118" s="45">
        <f>IF(OR(X118=0,X118="",V$116=0),0,X118*INDEX(Listes!$K$1:$Q$12,MATCH(V$116,Listes!$K$1:$K$12,0),MATCH(Y$117,Listes!$K$1:$Q$1,0)))</f>
        <v>0</v>
      </c>
      <c r="Z118" s="45">
        <f t="shared" ref="Z118:Z137" si="51">X118-Y118</f>
        <v>0</v>
      </c>
      <c r="AA118" s="45">
        <f>IF(OR(V$116=0,V$116=""),0,Z118*INDEX(Listes!$K$15:$P$26,MATCH(V$116,Listes!$K$15:$K$26,0),MATCH(AA$117,Listes!$K$15:$P$15,0))*INDEX(Listes!$K$29:$O$31,MATCH(W$116,Listes!$K$29:$K$31,0),MATCH(AA$117,Listes!$K$29:$O$29,0)))</f>
        <v>0</v>
      </c>
      <c r="AB118" s="45">
        <f>IF(OR(V$116=0,V$116=""),0,Z118*INDEX(Listes!$K$15:$P$26,MATCH(V$116,Listes!$K$15:$K$26,0),MATCH(AB$117,Listes!$K$15:$P$15,0))*INDEX(Listes!$K$29:$O$31,MATCH(W$116,Listes!$K$29:$K$31,0),MATCH(AB$117,Listes!$K$29:$O$29,0)))</f>
        <v>0</v>
      </c>
      <c r="AC118" s="45">
        <f>IF(OR(V$116=0,V$116=""),0,Z118*INDEX(Listes!$K$15:$P$26,MATCH(V$116,Listes!$K$15:$K$26,0),MATCH(AC$117,Listes!$K$15:$P$15,0))*INDEX(Listes!$K$29:$O$31,MATCH(W$116,Listes!$K$29:$K$31,0),MATCH(AC$117,Listes!$K$29:$O$29,0)))</f>
        <v>0</v>
      </c>
      <c r="AE118" s="472"/>
      <c r="AF118" s="3">
        <v>1</v>
      </c>
      <c r="AG118" s="45">
        <f t="shared" ref="AG118:AG137" si="52">AE61</f>
        <v>0</v>
      </c>
      <c r="AH118" s="45">
        <f t="shared" ref="AH118:AH137" si="53">IF(OR(AG118=0,AG118=""),0,AG118*AD$58*0.475)</f>
        <v>0</v>
      </c>
      <c r="AI118" s="45">
        <f>IF(OR(AH118=0,AH118="",AF$116=0),0,AH118*INDEX(Listes!$K$1:$Q$12,MATCH(AF$116,Listes!$K$1:$K$12,0),MATCH(AI$117,Listes!$K$1:$Q$1,0)))</f>
        <v>0</v>
      </c>
      <c r="AJ118" s="45">
        <f t="shared" ref="AJ118:AJ137" si="54">AH118-AI118</f>
        <v>0</v>
      </c>
      <c r="AK118" s="45">
        <f>IF(OR(AF$116=0,AF$116=""),0,AJ118*INDEX(Listes!$K$15:$P$26,MATCH(AF$116,Listes!$K$15:$K$26,0),MATCH(AK$117,Listes!$K$15:$P$15,0))*INDEX(Listes!$K$29:$O$31,MATCH(AG$116,Listes!$K$29:$K$31,0),MATCH(AK$117,Listes!$K$29:$O$29,0)))</f>
        <v>0</v>
      </c>
      <c r="AL118" s="45">
        <f>IF(OR(AF$116=0,AF$116=""),0,AJ118*INDEX(Listes!$K$15:$P$26,MATCH(AF$116,Listes!$K$15:$K$26,0),MATCH(AL$117,Listes!$K$15:$P$15,0))*INDEX(Listes!$K$29:$O$31,MATCH(AG$116,Listes!$K$29:$K$31,0),MATCH(AL$117,Listes!$K$29:$O$29,0)))</f>
        <v>0</v>
      </c>
      <c r="AM118" s="45">
        <f>IF(OR(AF$116=0,AF$116=""),0,AJ118*INDEX(Listes!$K$15:$P$26,MATCH(AF$116,Listes!$K$15:$K$26,0),MATCH(AM$117,Listes!$K$15:$P$15,0))*INDEX(Listes!$K$29:$O$31,MATCH(AG$116,Listes!$K$29:$K$31,0),MATCH(AM$117,Listes!$K$29:$O$29,0)))</f>
        <v>0</v>
      </c>
      <c r="AN118" s="45"/>
      <c r="AO118" s="472"/>
      <c r="AP118" s="3">
        <v>1</v>
      </c>
      <c r="AQ118" s="11">
        <f t="shared" ref="AQ118:AS137" si="55">SUM(G118,Q118,AA118,AK118)</f>
        <v>0</v>
      </c>
      <c r="AR118" s="11">
        <f t="shared" si="55"/>
        <v>0</v>
      </c>
      <c r="AS118" s="11">
        <f t="shared" si="55"/>
        <v>0</v>
      </c>
      <c r="AT118" s="11">
        <f>AQ118*VLOOKUP(AQ$117,Tableau17[],4,FALSE)+AR118*VLOOKUP(AR$117,Tableau17[],4,FALSE)+AS118*VLOOKUP(AS$117,Tableau17[],4,FALSE)</f>
        <v>0</v>
      </c>
      <c r="AU118" s="11">
        <f>AQ118*VLOOKUP(AQ$117,Tableau17[],3,FALSE)+AR118*VLOOKUP(AR$117,Tableau17[],3,FALSE)+AS118*VLOOKUP(AS$117,Tableau17[],3,FALSE)</f>
        <v>0</v>
      </c>
      <c r="AW118" s="11"/>
      <c r="AX118" s="113"/>
    </row>
    <row r="119" spans="1:52" x14ac:dyDescent="0.2">
      <c r="A119" s="472"/>
      <c r="B119" s="3">
        <v>2</v>
      </c>
      <c r="C119" s="45">
        <f t="shared" ref="C119:C137" si="56">D62</f>
        <v>0</v>
      </c>
      <c r="D119" s="45">
        <f t="shared" ref="D119:D137" si="57">IF(OR(C119=0,C119=""),0,C119*C$58*0.475)</f>
        <v>0</v>
      </c>
      <c r="E119" s="45">
        <f>IF(OR(D119=0,D119="",B$116=0),0,D119*INDEX(Listes!$K$1:$Q$12,MATCH(B$116,Listes!$K$1:$K$12,0),MATCH(E$117,Listes!$K$1:$Q$1,0)))</f>
        <v>0</v>
      </c>
      <c r="F119" s="45">
        <f t="shared" si="45"/>
        <v>0</v>
      </c>
      <c r="G119" s="11">
        <f>IF(OR(B$116=0,B$116=""),0,F119*INDEX(Listes!$K$15:$P$26,MATCH(B$116,Listes!$K$15:$K$26,0),MATCH(G$117,Listes!$K$15:$P$15,0))*INDEX(Listes!$K$29:$O$31,MATCH(C$116,Listes!$K$29:$K$31,0),MATCH(G$117,Listes!$K$29:$O$29,0)))</f>
        <v>0</v>
      </c>
      <c r="H119" s="45">
        <f>IF(OR(B$116=0,B$116=""),0,F119*INDEX(Listes!$K$15:$P$26,MATCH(B$116,Listes!$K$15:$K$26,0),MATCH(H$117,Listes!$K$15:$P$15,0))*INDEX(Listes!$K$29:$O$31,MATCH(C$116,Listes!$K$29:$K$31,0),MATCH(H$117,Listes!$K$29:$O$29,0)))</f>
        <v>0</v>
      </c>
      <c r="I119" s="45">
        <f>IF(OR(B$116=0,B$116=""),0,F119*INDEX(Listes!$K$15:$P$26,MATCH(B$116,Listes!$K$15:$K$26,0),MATCH(I$117,Listes!$K$15:$P$15,0))*INDEX(Listes!$K$29:$O$31,MATCH(C$116,Listes!$K$29:$K$31,0),MATCH(I$117,Listes!$K$29:$O$29,0)))</f>
        <v>0</v>
      </c>
      <c r="K119" s="472"/>
      <c r="L119" s="3">
        <v>2</v>
      </c>
      <c r="M119" s="45">
        <f t="shared" si="46"/>
        <v>0</v>
      </c>
      <c r="N119" s="45">
        <f t="shared" si="47"/>
        <v>0</v>
      </c>
      <c r="O119" s="45">
        <f>IF(OR(N119=0,N119="",L$116=0),0,N119*INDEX(Listes!$K$1:$Q$12,MATCH(L$116,Listes!$K$1:$K$12,0),MATCH(O$117,Listes!$K$1:$Q$1,0)))</f>
        <v>0</v>
      </c>
      <c r="P119" s="45">
        <f t="shared" si="48"/>
        <v>0</v>
      </c>
      <c r="Q119" s="11">
        <f>IF(OR(L$116=0,L$116=""),0,P119*INDEX(Listes!$K$15:$P$26,MATCH(L$116,Listes!$K$15:$K$26,0),MATCH(Q$117,Listes!$K$15:$P$15,0))*INDEX(Listes!$K$29:$O$31,MATCH(M$116,Listes!$K$29:$K$31,0),MATCH(Q$117,Listes!$K$29:$O$29,0)))</f>
        <v>0</v>
      </c>
      <c r="R119" s="45">
        <f>IF(OR(L$116=0,L$116=""),0,P119*INDEX(Listes!$K$15:$P$26,MATCH(L$116,Listes!$K$15:$K$26,0),MATCH(R$117,Listes!$K$15:$P$15,0))*INDEX(Listes!$K$29:$O$31,MATCH(M$116,Listes!$K$29:$K$31,0),MATCH(R$117,Listes!$K$29:$O$29,0)))</f>
        <v>0</v>
      </c>
      <c r="S119" s="45">
        <f>IF(OR(L$116=0,L$116=""),0,P119*INDEX(Listes!$K$15:$P$26,MATCH(L$116,Listes!$K$15:$K$26,0),MATCH(S$117,Listes!$K$15:$P$15,0))*INDEX(Listes!$K$29:$O$31,MATCH(M$116,Listes!$K$29:$K$31,0),MATCH(S$117,Listes!$K$29:$O$29,0)))</f>
        <v>0</v>
      </c>
      <c r="U119" s="472"/>
      <c r="V119" s="3">
        <v>2</v>
      </c>
      <c r="W119" s="45">
        <f t="shared" si="49"/>
        <v>0</v>
      </c>
      <c r="X119" s="45">
        <f t="shared" si="50"/>
        <v>0</v>
      </c>
      <c r="Y119" s="45">
        <f>IF(OR(X119=0,X119="",V$116=0),0,X119*INDEX(Listes!$K$1:$Q$12,MATCH(V$116,Listes!$K$1:$K$12,0),MATCH(Y$117,Listes!$K$1:$Q$1,0)))</f>
        <v>0</v>
      </c>
      <c r="Z119" s="45">
        <f t="shared" si="51"/>
        <v>0</v>
      </c>
      <c r="AA119" s="11">
        <f>IF(OR(V$116=0,V$116=""),0,Z119*INDEX(Listes!$K$15:$P$26,MATCH(V$116,Listes!$K$15:$K$26,0),MATCH(AA$117,Listes!$K$15:$P$15,0))*INDEX(Listes!$K$29:$O$31,MATCH(W$116,Listes!$K$29:$K$31,0),MATCH(AA$117,Listes!$K$29:$O$29,0)))</f>
        <v>0</v>
      </c>
      <c r="AB119" s="45">
        <f>IF(OR(V$116=0,V$116=""),0,Z119*INDEX(Listes!$K$15:$P$26,MATCH(V$116,Listes!$K$15:$K$26,0),MATCH(AB$117,Listes!$K$15:$P$15,0))*INDEX(Listes!$K$29:$O$31,MATCH(W$116,Listes!$K$29:$K$31,0),MATCH(AB$117,Listes!$K$29:$O$29,0)))</f>
        <v>0</v>
      </c>
      <c r="AC119" s="45">
        <f>IF(OR(V$116=0,V$116=""),0,Z119*INDEX(Listes!$K$15:$P$26,MATCH(V$116,Listes!$K$15:$K$26,0),MATCH(AC$117,Listes!$K$15:$P$15,0))*INDEX(Listes!$K$29:$O$31,MATCH(W$116,Listes!$K$29:$K$31,0),MATCH(AC$117,Listes!$K$29:$O$29,0)))</f>
        <v>0</v>
      </c>
      <c r="AE119" s="472"/>
      <c r="AF119" s="3">
        <v>2</v>
      </c>
      <c r="AG119" s="45">
        <f t="shared" si="52"/>
        <v>0</v>
      </c>
      <c r="AH119" s="45">
        <f t="shared" si="53"/>
        <v>0</v>
      </c>
      <c r="AI119" s="45">
        <f>IF(OR(AH119=0,AH119="",AF$116=0),0,AH119*INDEX(Listes!$K$1:$Q$12,MATCH(AF$116,Listes!$K$1:$K$12,0),MATCH(AI$117,Listes!$K$1:$Q$1,0)))</f>
        <v>0</v>
      </c>
      <c r="AJ119" s="45">
        <f t="shared" si="54"/>
        <v>0</v>
      </c>
      <c r="AK119" s="11">
        <f>IF(OR(AF$116=0,AF$116=""),0,AJ119*INDEX(Listes!$K$15:$P$26,MATCH(AF$116,Listes!$K$15:$K$26,0),MATCH(AK$117,Listes!$K$15:$P$15,0))*INDEX(Listes!$K$29:$O$31,MATCH(AG$116,Listes!$K$29:$K$31,0),MATCH(AK$117,Listes!$K$29:$O$29,0)))</f>
        <v>0</v>
      </c>
      <c r="AL119" s="45">
        <f>IF(OR(AF$116=0,AF$116=""),0,AJ119*INDEX(Listes!$K$15:$P$26,MATCH(AF$116,Listes!$K$15:$K$26,0),MATCH(AL$117,Listes!$K$15:$P$15,0))*INDEX(Listes!$K$29:$O$31,MATCH(AG$116,Listes!$K$29:$K$31,0),MATCH(AL$117,Listes!$K$29:$O$29,0)))</f>
        <v>0</v>
      </c>
      <c r="AM119" s="45">
        <f>IF(OR(AF$116=0,AF$116=""),0,AJ119*INDEX(Listes!$K$15:$P$26,MATCH(AF$116,Listes!$K$15:$K$26,0),MATCH(AM$117,Listes!$K$15:$P$15,0))*INDEX(Listes!$K$29:$O$31,MATCH(AG$116,Listes!$K$29:$K$31,0),MATCH(AM$117,Listes!$K$29:$O$29,0)))</f>
        <v>0</v>
      </c>
      <c r="AN119" s="45"/>
      <c r="AO119" s="472"/>
      <c r="AP119" s="3">
        <v>2</v>
      </c>
      <c r="AQ119" s="11">
        <f t="shared" si="55"/>
        <v>0</v>
      </c>
      <c r="AR119" s="11">
        <f t="shared" si="55"/>
        <v>0</v>
      </c>
      <c r="AS119" s="11">
        <f t="shared" si="55"/>
        <v>0</v>
      </c>
      <c r="AT119" s="11">
        <f>AQ119*VLOOKUP(AQ$117,Tableau17[],4,FALSE)+AR119*VLOOKUP(AR$117,Tableau17[],4,FALSE)+AS119*VLOOKUP(AS$117,Tableau17[],4,FALSE)</f>
        <v>0</v>
      </c>
      <c r="AU119" s="11">
        <f>AQ119*VLOOKUP(AQ$117,Tableau17[],3,FALSE)+AR119*VLOOKUP(AR$117,Tableau17[],3,FALSE)+AS119*VLOOKUP(AS$117,Tableau17[],3,FALSE)</f>
        <v>0</v>
      </c>
      <c r="AW119" s="11"/>
      <c r="AX119" s="113"/>
    </row>
    <row r="120" spans="1:52" x14ac:dyDescent="0.2">
      <c r="A120" s="472"/>
      <c r="B120" s="3">
        <v>3</v>
      </c>
      <c r="C120" s="45">
        <f t="shared" si="56"/>
        <v>0</v>
      </c>
      <c r="D120" s="11">
        <f t="shared" si="57"/>
        <v>0</v>
      </c>
      <c r="E120" s="45">
        <f>IF(OR(D120=0,D120="",B$116=0),0,D120*INDEX(Listes!$K$1:$Q$12,MATCH(B$116,Listes!$K$1:$K$12,0),MATCH(E$117,Listes!$K$1:$Q$1,0)))</f>
        <v>0</v>
      </c>
      <c r="F120" s="45">
        <f t="shared" si="45"/>
        <v>0</v>
      </c>
      <c r="G120" s="11">
        <f>IF(OR(B$116=0,B$116=""),0,F120*INDEX(Listes!$K$15:$P$26,MATCH(B$116,Listes!$K$15:$K$26,0),MATCH(G$117,Listes!$K$15:$P$15,0))*INDEX(Listes!$K$29:$O$31,MATCH(C$116,Listes!$K$29:$K$31,0),MATCH(G$117,Listes!$K$29:$O$29,0)))</f>
        <v>0</v>
      </c>
      <c r="H120" s="45">
        <f>IF(OR(B$116=0,B$116=""),0,F120*INDEX(Listes!$K$15:$P$26,MATCH(B$116,Listes!$K$15:$K$26,0),MATCH(H$117,Listes!$K$15:$P$15,0))*INDEX(Listes!$K$29:$O$31,MATCH(C$116,Listes!$K$29:$K$31,0),MATCH(H$117,Listes!$K$29:$O$29,0)))</f>
        <v>0</v>
      </c>
      <c r="I120" s="45">
        <f>IF(OR(B$116=0,B$116=""),0,F120*INDEX(Listes!$K$15:$P$26,MATCH(B$116,Listes!$K$15:$K$26,0),MATCH(I$117,Listes!$K$15:$P$15,0))*INDEX(Listes!$K$29:$O$31,MATCH(C$116,Listes!$K$29:$K$31,0),MATCH(I$117,Listes!$K$29:$O$29,0)))</f>
        <v>0</v>
      </c>
      <c r="K120" s="472"/>
      <c r="L120" s="3">
        <v>3</v>
      </c>
      <c r="M120" s="45">
        <f t="shared" si="46"/>
        <v>0</v>
      </c>
      <c r="N120" s="11">
        <f t="shared" si="47"/>
        <v>0</v>
      </c>
      <c r="O120" s="45">
        <f>IF(OR(N120=0,N120="",L$116=0),0,N120*INDEX(Listes!$K$1:$Q$12,MATCH(L$116,Listes!$K$1:$K$12,0),MATCH(O$117,Listes!$K$1:$Q$1,0)))</f>
        <v>0</v>
      </c>
      <c r="P120" s="45">
        <f t="shared" si="48"/>
        <v>0</v>
      </c>
      <c r="Q120" s="11">
        <f>IF(OR(L$116=0,L$116=""),0,P120*INDEX(Listes!$K$15:$P$26,MATCH(L$116,Listes!$K$15:$K$26,0),MATCH(Q$117,Listes!$K$15:$P$15,0))*INDEX(Listes!$K$29:$O$31,MATCH(M$116,Listes!$K$29:$K$31,0),MATCH(Q$117,Listes!$K$29:$O$29,0)))</f>
        <v>0</v>
      </c>
      <c r="R120" s="45">
        <f>IF(OR(L$116=0,L$116=""),0,P120*INDEX(Listes!$K$15:$P$26,MATCH(L$116,Listes!$K$15:$K$26,0),MATCH(R$117,Listes!$K$15:$P$15,0))*INDEX(Listes!$K$29:$O$31,MATCH(M$116,Listes!$K$29:$K$31,0),MATCH(R$117,Listes!$K$29:$O$29,0)))</f>
        <v>0</v>
      </c>
      <c r="S120" s="45">
        <f>IF(OR(L$116=0,L$116=""),0,P120*INDEX(Listes!$K$15:$P$26,MATCH(L$116,Listes!$K$15:$K$26,0),MATCH(S$117,Listes!$K$15:$P$15,0))*INDEX(Listes!$K$29:$O$31,MATCH(M$116,Listes!$K$29:$K$31,0),MATCH(S$117,Listes!$K$29:$O$29,0)))</f>
        <v>0</v>
      </c>
      <c r="U120" s="472"/>
      <c r="V120" s="3">
        <v>3</v>
      </c>
      <c r="W120" s="45">
        <f t="shared" si="49"/>
        <v>0</v>
      </c>
      <c r="X120" s="11">
        <f t="shared" si="50"/>
        <v>0</v>
      </c>
      <c r="Y120" s="45">
        <f>IF(OR(X120=0,X120="",V$116=0),0,X120*INDEX(Listes!$K$1:$Q$12,MATCH(V$116,Listes!$K$1:$K$12,0),MATCH(Y$117,Listes!$K$1:$Q$1,0)))</f>
        <v>0</v>
      </c>
      <c r="Z120" s="45">
        <f t="shared" si="51"/>
        <v>0</v>
      </c>
      <c r="AA120" s="11">
        <f>IF(OR(V$116=0,V$116=""),0,Z120*INDEX(Listes!$K$15:$P$26,MATCH(V$116,Listes!$K$15:$K$26,0),MATCH(AA$117,Listes!$K$15:$P$15,0))*INDEX(Listes!$K$29:$O$31,MATCH(W$116,Listes!$K$29:$K$31,0),MATCH(AA$117,Listes!$K$29:$O$29,0)))</f>
        <v>0</v>
      </c>
      <c r="AB120" s="45">
        <f>IF(OR(V$116=0,V$116=""),0,Z120*INDEX(Listes!$K$15:$P$26,MATCH(V$116,Listes!$K$15:$K$26,0),MATCH(AB$117,Listes!$K$15:$P$15,0))*INDEX(Listes!$K$29:$O$31,MATCH(W$116,Listes!$K$29:$K$31,0),MATCH(AB$117,Listes!$K$29:$O$29,0)))</f>
        <v>0</v>
      </c>
      <c r="AC120" s="45">
        <f>IF(OR(V$116=0,V$116=""),0,Z120*INDEX(Listes!$K$15:$P$26,MATCH(V$116,Listes!$K$15:$K$26,0),MATCH(AC$117,Listes!$K$15:$P$15,0))*INDEX(Listes!$K$29:$O$31,MATCH(W$116,Listes!$K$29:$K$31,0),MATCH(AC$117,Listes!$K$29:$O$29,0)))</f>
        <v>0</v>
      </c>
      <c r="AE120" s="472"/>
      <c r="AF120" s="3">
        <v>3</v>
      </c>
      <c r="AG120" s="45">
        <f t="shared" si="52"/>
        <v>0</v>
      </c>
      <c r="AH120" s="11">
        <f t="shared" si="53"/>
        <v>0</v>
      </c>
      <c r="AI120" s="45">
        <f>IF(OR(AH120=0,AH120="",AF$116=0),0,AH120*INDEX(Listes!$K$1:$Q$12,MATCH(AF$116,Listes!$K$1:$K$12,0),MATCH(AI$117,Listes!$K$1:$Q$1,0)))</f>
        <v>0</v>
      </c>
      <c r="AJ120" s="45">
        <f t="shared" si="54"/>
        <v>0</v>
      </c>
      <c r="AK120" s="11">
        <f>IF(OR(AF$116=0,AF$116=""),0,AJ120*INDEX(Listes!$K$15:$P$26,MATCH(AF$116,Listes!$K$15:$K$26,0),MATCH(AK$117,Listes!$K$15:$P$15,0))*INDEX(Listes!$K$29:$O$31,MATCH(AG$116,Listes!$K$29:$K$31,0),MATCH(AK$117,Listes!$K$29:$O$29,0)))</f>
        <v>0</v>
      </c>
      <c r="AL120" s="45">
        <f>IF(OR(AF$116=0,AF$116=""),0,AJ120*INDEX(Listes!$K$15:$P$26,MATCH(AF$116,Listes!$K$15:$K$26,0),MATCH(AL$117,Listes!$K$15:$P$15,0))*INDEX(Listes!$K$29:$O$31,MATCH(AG$116,Listes!$K$29:$K$31,0),MATCH(AL$117,Listes!$K$29:$O$29,0)))</f>
        <v>0</v>
      </c>
      <c r="AM120" s="45">
        <f>IF(OR(AF$116=0,AF$116=""),0,AJ120*INDEX(Listes!$K$15:$P$26,MATCH(AF$116,Listes!$K$15:$K$26,0),MATCH(AM$117,Listes!$K$15:$P$15,0))*INDEX(Listes!$K$29:$O$31,MATCH(AG$116,Listes!$K$29:$K$31,0),MATCH(AM$117,Listes!$K$29:$O$29,0)))</f>
        <v>0</v>
      </c>
      <c r="AN120" s="45"/>
      <c r="AO120" s="472"/>
      <c r="AP120" s="3">
        <v>3</v>
      </c>
      <c r="AQ120" s="11">
        <f t="shared" si="55"/>
        <v>0</v>
      </c>
      <c r="AR120" s="11">
        <f t="shared" si="55"/>
        <v>0</v>
      </c>
      <c r="AS120" s="11">
        <f t="shared" si="55"/>
        <v>0</v>
      </c>
      <c r="AT120" s="11">
        <f>AQ120*VLOOKUP(AQ$117,Tableau17[],4,FALSE)+AR120*VLOOKUP(AR$117,Tableau17[],4,FALSE)+AS120*VLOOKUP(AS$117,Tableau17[],4,FALSE)</f>
        <v>0</v>
      </c>
      <c r="AU120" s="11">
        <f>AQ120*VLOOKUP(AQ$117,Tableau17[],3,FALSE)+AR120*VLOOKUP(AR$117,Tableau17[],3,FALSE)+AS120*VLOOKUP(AS$117,Tableau17[],3,FALSE)</f>
        <v>0</v>
      </c>
      <c r="AW120" s="11"/>
      <c r="AX120" s="113"/>
    </row>
    <row r="121" spans="1:52" x14ac:dyDescent="0.2">
      <c r="A121" s="472"/>
      <c r="B121" s="3">
        <v>4</v>
      </c>
      <c r="C121" s="45">
        <f t="shared" si="56"/>
        <v>0</v>
      </c>
      <c r="D121" s="11">
        <f t="shared" si="57"/>
        <v>0</v>
      </c>
      <c r="E121" s="45">
        <f>IF(OR(D121=0,D121="",B$116=0),0,D121*INDEX(Listes!$K$1:$Q$12,MATCH(B$116,Listes!$K$1:$K$12,0),MATCH(E$117,Listes!$K$1:$Q$1,0)))</f>
        <v>0</v>
      </c>
      <c r="F121" s="45">
        <f t="shared" si="45"/>
        <v>0</v>
      </c>
      <c r="G121" s="11">
        <f>IF(OR(B$116=0,B$116=""),0,F121*INDEX(Listes!$K$15:$P$26,MATCH(B$116,Listes!$K$15:$K$26,0),MATCH(G$117,Listes!$K$15:$P$15,0))*INDEX(Listes!$K$29:$O$31,MATCH(C$116,Listes!$K$29:$K$31,0),MATCH(G$117,Listes!$K$29:$O$29,0)))</f>
        <v>0</v>
      </c>
      <c r="H121" s="45">
        <f>IF(OR(B$116=0,B$116=""),0,F121*INDEX(Listes!$K$15:$P$26,MATCH(B$116,Listes!$K$15:$K$26,0),MATCH(H$117,Listes!$K$15:$P$15,0))*INDEX(Listes!$K$29:$O$31,MATCH(C$116,Listes!$K$29:$K$31,0),MATCH(H$117,Listes!$K$29:$O$29,0)))</f>
        <v>0</v>
      </c>
      <c r="I121" s="45">
        <f>IF(OR(B$116=0,B$116=""),0,F121*INDEX(Listes!$K$15:$P$26,MATCH(B$116,Listes!$K$15:$K$26,0),MATCH(I$117,Listes!$K$15:$P$15,0))*INDEX(Listes!$K$29:$O$31,MATCH(C$116,Listes!$K$29:$K$31,0),MATCH(I$117,Listes!$K$29:$O$29,0)))</f>
        <v>0</v>
      </c>
      <c r="K121" s="472"/>
      <c r="L121" s="3">
        <v>4</v>
      </c>
      <c r="M121" s="45">
        <f t="shared" si="46"/>
        <v>0</v>
      </c>
      <c r="N121" s="11">
        <f t="shared" si="47"/>
        <v>0</v>
      </c>
      <c r="O121" s="45">
        <f>IF(OR(N121=0,N121="",L$116=0),0,N121*INDEX(Listes!$K$1:$Q$12,MATCH(L$116,Listes!$K$1:$K$12,0),MATCH(O$117,Listes!$K$1:$Q$1,0)))</f>
        <v>0</v>
      </c>
      <c r="P121" s="45">
        <f t="shared" si="48"/>
        <v>0</v>
      </c>
      <c r="Q121" s="11">
        <f>IF(OR(L$116=0,L$116=""),0,P121*INDEX(Listes!$K$15:$P$26,MATCH(L$116,Listes!$K$15:$K$26,0),MATCH(Q$117,Listes!$K$15:$P$15,0))*INDEX(Listes!$K$29:$O$31,MATCH(M$116,Listes!$K$29:$K$31,0),MATCH(Q$117,Listes!$K$29:$O$29,0)))</f>
        <v>0</v>
      </c>
      <c r="R121" s="45">
        <f>IF(OR(L$116=0,L$116=""),0,P121*INDEX(Listes!$K$15:$P$26,MATCH(L$116,Listes!$K$15:$K$26,0),MATCH(R$117,Listes!$K$15:$P$15,0))*INDEX(Listes!$K$29:$O$31,MATCH(M$116,Listes!$K$29:$K$31,0),MATCH(R$117,Listes!$K$29:$O$29,0)))</f>
        <v>0</v>
      </c>
      <c r="S121" s="45">
        <f>IF(OR(L$116=0,L$116=""),0,P121*INDEX(Listes!$K$15:$P$26,MATCH(L$116,Listes!$K$15:$K$26,0),MATCH(S$117,Listes!$K$15:$P$15,0))*INDEX(Listes!$K$29:$O$31,MATCH(M$116,Listes!$K$29:$K$31,0),MATCH(S$117,Listes!$K$29:$O$29,0)))</f>
        <v>0</v>
      </c>
      <c r="U121" s="472"/>
      <c r="V121" s="3">
        <v>4</v>
      </c>
      <c r="W121" s="45">
        <f t="shared" si="49"/>
        <v>0</v>
      </c>
      <c r="X121" s="11">
        <f t="shared" si="50"/>
        <v>0</v>
      </c>
      <c r="Y121" s="45">
        <f>IF(OR(X121=0,X121="",V$116=0),0,X121*INDEX(Listes!$K$1:$Q$12,MATCH(V$116,Listes!$K$1:$K$12,0),MATCH(Y$117,Listes!$K$1:$Q$1,0)))</f>
        <v>0</v>
      </c>
      <c r="Z121" s="45">
        <f t="shared" si="51"/>
        <v>0</v>
      </c>
      <c r="AA121" s="11">
        <f>IF(OR(V$116=0,V$116=""),0,Z121*INDEX(Listes!$K$15:$P$26,MATCH(V$116,Listes!$K$15:$K$26,0),MATCH(AA$117,Listes!$K$15:$P$15,0))*INDEX(Listes!$K$29:$O$31,MATCH(W$116,Listes!$K$29:$K$31,0),MATCH(AA$117,Listes!$K$29:$O$29,0)))</f>
        <v>0</v>
      </c>
      <c r="AB121" s="45">
        <f>IF(OR(V$116=0,V$116=""),0,Z121*INDEX(Listes!$K$15:$P$26,MATCH(V$116,Listes!$K$15:$K$26,0),MATCH(AB$117,Listes!$K$15:$P$15,0))*INDEX(Listes!$K$29:$O$31,MATCH(W$116,Listes!$K$29:$K$31,0),MATCH(AB$117,Listes!$K$29:$O$29,0)))</f>
        <v>0</v>
      </c>
      <c r="AC121" s="45">
        <f>IF(OR(V$116=0,V$116=""),0,Z121*INDEX(Listes!$K$15:$P$26,MATCH(V$116,Listes!$K$15:$K$26,0),MATCH(AC$117,Listes!$K$15:$P$15,0))*INDEX(Listes!$K$29:$O$31,MATCH(W$116,Listes!$K$29:$K$31,0),MATCH(AC$117,Listes!$K$29:$O$29,0)))</f>
        <v>0</v>
      </c>
      <c r="AE121" s="472"/>
      <c r="AF121" s="3">
        <v>4</v>
      </c>
      <c r="AG121" s="45">
        <f t="shared" si="52"/>
        <v>0</v>
      </c>
      <c r="AH121" s="11">
        <f t="shared" si="53"/>
        <v>0</v>
      </c>
      <c r="AI121" s="45">
        <f>IF(OR(AH121=0,AH121="",AF$116=0),0,AH121*INDEX(Listes!$K$1:$Q$12,MATCH(AF$116,Listes!$K$1:$K$12,0),MATCH(AI$117,Listes!$K$1:$Q$1,0)))</f>
        <v>0</v>
      </c>
      <c r="AJ121" s="45">
        <f t="shared" si="54"/>
        <v>0</v>
      </c>
      <c r="AK121" s="11">
        <f>IF(OR(AF$116=0,AF$116=""),0,AJ121*INDEX(Listes!$K$15:$P$26,MATCH(AF$116,Listes!$K$15:$K$26,0),MATCH(AK$117,Listes!$K$15:$P$15,0))*INDEX(Listes!$K$29:$O$31,MATCH(AG$116,Listes!$K$29:$K$31,0),MATCH(AK$117,Listes!$K$29:$O$29,0)))</f>
        <v>0</v>
      </c>
      <c r="AL121" s="45">
        <f>IF(OR(AF$116=0,AF$116=""),0,AJ121*INDEX(Listes!$K$15:$P$26,MATCH(AF$116,Listes!$K$15:$K$26,0),MATCH(AL$117,Listes!$K$15:$P$15,0))*INDEX(Listes!$K$29:$O$31,MATCH(AG$116,Listes!$K$29:$K$31,0),MATCH(AL$117,Listes!$K$29:$O$29,0)))</f>
        <v>0</v>
      </c>
      <c r="AM121" s="45">
        <f>IF(OR(AF$116=0,AF$116=""),0,AJ121*INDEX(Listes!$K$15:$P$26,MATCH(AF$116,Listes!$K$15:$K$26,0),MATCH(AM$117,Listes!$K$15:$P$15,0))*INDEX(Listes!$K$29:$O$31,MATCH(AG$116,Listes!$K$29:$K$31,0),MATCH(AM$117,Listes!$K$29:$O$29,0)))</f>
        <v>0</v>
      </c>
      <c r="AN121" s="45"/>
      <c r="AO121" s="472"/>
      <c r="AP121" s="3">
        <v>4</v>
      </c>
      <c r="AQ121" s="11">
        <f t="shared" si="55"/>
        <v>0</v>
      </c>
      <c r="AR121" s="11">
        <f t="shared" si="55"/>
        <v>0</v>
      </c>
      <c r="AS121" s="11">
        <f t="shared" si="55"/>
        <v>0</v>
      </c>
      <c r="AT121" s="11">
        <f>AQ121*VLOOKUP(AQ$117,Tableau17[],4,FALSE)+AR121*VLOOKUP(AR$117,Tableau17[],4,FALSE)+AS121*VLOOKUP(AS$117,Tableau17[],4,FALSE)</f>
        <v>0</v>
      </c>
      <c r="AU121" s="11">
        <f>AQ121*VLOOKUP(AQ$117,Tableau17[],3,FALSE)+AR121*VLOOKUP(AR$117,Tableau17[],3,FALSE)+AS121*VLOOKUP(AS$117,Tableau17[],3,FALSE)</f>
        <v>0</v>
      </c>
      <c r="AW121" s="11"/>
      <c r="AX121" s="113"/>
    </row>
    <row r="122" spans="1:52" x14ac:dyDescent="0.2">
      <c r="A122" s="472"/>
      <c r="B122" s="3">
        <v>5</v>
      </c>
      <c r="C122" s="45">
        <f t="shared" si="56"/>
        <v>0</v>
      </c>
      <c r="D122" s="11">
        <f t="shared" si="57"/>
        <v>0</v>
      </c>
      <c r="E122" s="45">
        <f>IF(OR(D122=0,D122="",B$116=0),0,D122*INDEX(Listes!$K$1:$Q$12,MATCH(B$116,Listes!$K$1:$K$12,0),MATCH(E$117,Listes!$K$1:$Q$1,0)))</f>
        <v>0</v>
      </c>
      <c r="F122" s="45">
        <f t="shared" si="45"/>
        <v>0</v>
      </c>
      <c r="G122" s="11">
        <f>IF(OR(B$116=0,B$116=""),0,F122*INDEX(Listes!$K$15:$P$26,MATCH(B$116,Listes!$K$15:$K$26,0),MATCH(G$117,Listes!$K$15:$P$15,0))*INDEX(Listes!$K$29:$O$31,MATCH(C$116,Listes!$K$29:$K$31,0),MATCH(G$117,Listes!$K$29:$O$29,0)))</f>
        <v>0</v>
      </c>
      <c r="H122" s="45">
        <f>IF(OR(B$116=0,B$116=""),0,F122*INDEX(Listes!$K$15:$P$26,MATCH(B$116,Listes!$K$15:$K$26,0),MATCH(H$117,Listes!$K$15:$P$15,0))*INDEX(Listes!$K$29:$O$31,MATCH(C$116,Listes!$K$29:$K$31,0),MATCH(H$117,Listes!$K$29:$O$29,0)))</f>
        <v>0</v>
      </c>
      <c r="I122" s="45">
        <f>IF(OR(B$116=0,B$116=""),0,F122*INDEX(Listes!$K$15:$P$26,MATCH(B$116,Listes!$K$15:$K$26,0),MATCH(I$117,Listes!$K$15:$P$15,0))*INDEX(Listes!$K$29:$O$31,MATCH(C$116,Listes!$K$29:$K$31,0),MATCH(I$117,Listes!$K$29:$O$29,0)))</f>
        <v>0</v>
      </c>
      <c r="K122" s="472"/>
      <c r="L122" s="3">
        <v>5</v>
      </c>
      <c r="M122" s="45">
        <f t="shared" si="46"/>
        <v>0</v>
      </c>
      <c r="N122" s="11">
        <f t="shared" si="47"/>
        <v>0</v>
      </c>
      <c r="O122" s="45">
        <f>IF(OR(N122=0,N122="",L$116=0),0,N122*INDEX(Listes!$K$1:$Q$12,MATCH(L$116,Listes!$K$1:$K$12,0),MATCH(O$117,Listes!$K$1:$Q$1,0)))</f>
        <v>0</v>
      </c>
      <c r="P122" s="45">
        <f t="shared" si="48"/>
        <v>0</v>
      </c>
      <c r="Q122" s="11">
        <f>IF(OR(L$116=0,L$116=""),0,P122*INDEX(Listes!$K$15:$P$26,MATCH(L$116,Listes!$K$15:$K$26,0),MATCH(Q$117,Listes!$K$15:$P$15,0))*INDEX(Listes!$K$29:$O$31,MATCH(M$116,Listes!$K$29:$K$31,0),MATCH(Q$117,Listes!$K$29:$O$29,0)))</f>
        <v>0</v>
      </c>
      <c r="R122" s="45">
        <f>IF(OR(L$116=0,L$116=""),0,P122*INDEX(Listes!$K$15:$P$26,MATCH(L$116,Listes!$K$15:$K$26,0),MATCH(R$117,Listes!$K$15:$P$15,0))*INDEX(Listes!$K$29:$O$31,MATCH(M$116,Listes!$K$29:$K$31,0),MATCH(R$117,Listes!$K$29:$O$29,0)))</f>
        <v>0</v>
      </c>
      <c r="S122" s="45">
        <f>IF(OR(L$116=0,L$116=""),0,P122*INDEX(Listes!$K$15:$P$26,MATCH(L$116,Listes!$K$15:$K$26,0),MATCH(S$117,Listes!$K$15:$P$15,0))*INDEX(Listes!$K$29:$O$31,MATCH(M$116,Listes!$K$29:$K$31,0),MATCH(S$117,Listes!$K$29:$O$29,0)))</f>
        <v>0</v>
      </c>
      <c r="U122" s="472"/>
      <c r="V122" s="3">
        <v>5</v>
      </c>
      <c r="W122" s="45">
        <f t="shared" si="49"/>
        <v>0</v>
      </c>
      <c r="X122" s="11">
        <f t="shared" si="50"/>
        <v>0</v>
      </c>
      <c r="Y122" s="45">
        <f>IF(OR(X122=0,X122="",V$116=0),0,X122*INDEX(Listes!$K$1:$Q$12,MATCH(V$116,Listes!$K$1:$K$12,0),MATCH(Y$117,Listes!$K$1:$Q$1,0)))</f>
        <v>0</v>
      </c>
      <c r="Z122" s="45">
        <f t="shared" si="51"/>
        <v>0</v>
      </c>
      <c r="AA122" s="11">
        <f>IF(OR(V$116=0,V$116=""),0,Z122*INDEX(Listes!$K$15:$P$26,MATCH(V$116,Listes!$K$15:$K$26,0),MATCH(AA$117,Listes!$K$15:$P$15,0))*INDEX(Listes!$K$29:$O$31,MATCH(W$116,Listes!$K$29:$K$31,0),MATCH(AA$117,Listes!$K$29:$O$29,0)))</f>
        <v>0</v>
      </c>
      <c r="AB122" s="45">
        <f>IF(OR(V$116=0,V$116=""),0,Z122*INDEX(Listes!$K$15:$P$26,MATCH(V$116,Listes!$K$15:$K$26,0),MATCH(AB$117,Listes!$K$15:$P$15,0))*INDEX(Listes!$K$29:$O$31,MATCH(W$116,Listes!$K$29:$K$31,0),MATCH(AB$117,Listes!$K$29:$O$29,0)))</f>
        <v>0</v>
      </c>
      <c r="AC122" s="45">
        <f>IF(OR(V$116=0,V$116=""),0,Z122*INDEX(Listes!$K$15:$P$26,MATCH(V$116,Listes!$K$15:$K$26,0),MATCH(AC$117,Listes!$K$15:$P$15,0))*INDEX(Listes!$K$29:$O$31,MATCH(W$116,Listes!$K$29:$K$31,0),MATCH(AC$117,Listes!$K$29:$O$29,0)))</f>
        <v>0</v>
      </c>
      <c r="AE122" s="472"/>
      <c r="AF122" s="3">
        <v>5</v>
      </c>
      <c r="AG122" s="45">
        <f t="shared" si="52"/>
        <v>0</v>
      </c>
      <c r="AH122" s="11">
        <f t="shared" si="53"/>
        <v>0</v>
      </c>
      <c r="AI122" s="45">
        <f>IF(OR(AH122=0,AH122="",AF$116=0),0,AH122*INDEX(Listes!$K$1:$Q$12,MATCH(AF$116,Listes!$K$1:$K$12,0),MATCH(AI$117,Listes!$K$1:$Q$1,0)))</f>
        <v>0</v>
      </c>
      <c r="AJ122" s="45">
        <f t="shared" si="54"/>
        <v>0</v>
      </c>
      <c r="AK122" s="11">
        <f>IF(OR(AF$116=0,AF$116=""),0,AJ122*INDEX(Listes!$K$15:$P$26,MATCH(AF$116,Listes!$K$15:$K$26,0),MATCH(AK$117,Listes!$K$15:$P$15,0))*INDEX(Listes!$K$29:$O$31,MATCH(AG$116,Listes!$K$29:$K$31,0),MATCH(AK$117,Listes!$K$29:$O$29,0)))</f>
        <v>0</v>
      </c>
      <c r="AL122" s="45">
        <f>IF(OR(AF$116=0,AF$116=""),0,AJ122*INDEX(Listes!$K$15:$P$26,MATCH(AF$116,Listes!$K$15:$K$26,0),MATCH(AL$117,Listes!$K$15:$P$15,0))*INDEX(Listes!$K$29:$O$31,MATCH(AG$116,Listes!$K$29:$K$31,0),MATCH(AL$117,Listes!$K$29:$O$29,0)))</f>
        <v>0</v>
      </c>
      <c r="AM122" s="45">
        <f>IF(OR(AF$116=0,AF$116=""),0,AJ122*INDEX(Listes!$K$15:$P$26,MATCH(AF$116,Listes!$K$15:$K$26,0),MATCH(AM$117,Listes!$K$15:$P$15,0))*INDEX(Listes!$K$29:$O$31,MATCH(AG$116,Listes!$K$29:$K$31,0),MATCH(AM$117,Listes!$K$29:$O$29,0)))</f>
        <v>0</v>
      </c>
      <c r="AN122" s="45"/>
      <c r="AO122" s="472"/>
      <c r="AP122" s="3">
        <v>5</v>
      </c>
      <c r="AQ122" s="11">
        <f t="shared" si="55"/>
        <v>0</v>
      </c>
      <c r="AR122" s="11">
        <f t="shared" si="55"/>
        <v>0</v>
      </c>
      <c r="AS122" s="11">
        <f t="shared" si="55"/>
        <v>0</v>
      </c>
      <c r="AT122" s="11">
        <f>AQ122*VLOOKUP(AQ$117,Tableau17[],4,FALSE)+AR122*VLOOKUP(AR$117,Tableau17[],4,FALSE)+AS122*VLOOKUP(AS$117,Tableau17[],4,FALSE)</f>
        <v>0</v>
      </c>
      <c r="AU122" s="11">
        <f>AQ122*VLOOKUP(AQ$117,Tableau17[],3,FALSE)+AR122*VLOOKUP(AR$117,Tableau17[],3,FALSE)+AS122*VLOOKUP(AS$117,Tableau17[],3,FALSE)</f>
        <v>0</v>
      </c>
      <c r="AW122" s="11"/>
      <c r="AX122" s="113"/>
    </row>
    <row r="123" spans="1:52" x14ac:dyDescent="0.2">
      <c r="A123" s="472"/>
      <c r="B123" s="3">
        <v>6</v>
      </c>
      <c r="C123" s="45">
        <f t="shared" si="56"/>
        <v>0</v>
      </c>
      <c r="D123" s="11">
        <f t="shared" si="57"/>
        <v>0</v>
      </c>
      <c r="E123" s="45">
        <f>IF(OR(D123=0,D123="",B$116=0),0,D123*INDEX(Listes!$K$1:$Q$12,MATCH(B$116,Listes!$K$1:$K$12,0),MATCH(E$117,Listes!$K$1:$Q$1,0)))</f>
        <v>0</v>
      </c>
      <c r="F123" s="45">
        <f t="shared" si="45"/>
        <v>0</v>
      </c>
      <c r="G123" s="11">
        <f>IF(OR(B$116=0,B$116=""),0,F123*INDEX(Listes!$K$15:$P$26,MATCH(B$116,Listes!$K$15:$K$26,0),MATCH(G$117,Listes!$K$15:$P$15,0))*INDEX(Listes!$K$29:$O$31,MATCH(C$116,Listes!$K$29:$K$31,0),MATCH(G$117,Listes!$K$29:$O$29,0)))</f>
        <v>0</v>
      </c>
      <c r="H123" s="45">
        <f>IF(OR(B$116=0,B$116=""),0,F123*INDEX(Listes!$K$15:$P$26,MATCH(B$116,Listes!$K$15:$K$26,0),MATCH(H$117,Listes!$K$15:$P$15,0))*INDEX(Listes!$K$29:$O$31,MATCH(C$116,Listes!$K$29:$K$31,0),MATCH(H$117,Listes!$K$29:$O$29,0)))</f>
        <v>0</v>
      </c>
      <c r="I123" s="45">
        <f>IF(OR(B$116=0,B$116=""),0,F123*INDEX(Listes!$K$15:$P$26,MATCH(B$116,Listes!$K$15:$K$26,0),MATCH(I$117,Listes!$K$15:$P$15,0))*INDEX(Listes!$K$29:$O$31,MATCH(C$116,Listes!$K$29:$K$31,0),MATCH(I$117,Listes!$K$29:$O$29,0)))</f>
        <v>0</v>
      </c>
      <c r="K123" s="472"/>
      <c r="L123" s="3">
        <v>6</v>
      </c>
      <c r="M123" s="45">
        <f t="shared" si="46"/>
        <v>0</v>
      </c>
      <c r="N123" s="11">
        <f t="shared" si="47"/>
        <v>0</v>
      </c>
      <c r="O123" s="45">
        <f>IF(OR(N123=0,N123="",L$116=0),0,N123*INDEX(Listes!$K$1:$Q$12,MATCH(L$116,Listes!$K$1:$K$12,0),MATCH(O$117,Listes!$K$1:$Q$1,0)))</f>
        <v>0</v>
      </c>
      <c r="P123" s="45">
        <f t="shared" si="48"/>
        <v>0</v>
      </c>
      <c r="Q123" s="11">
        <f>IF(OR(L$116=0,L$116=""),0,P123*INDEX(Listes!$K$15:$P$26,MATCH(L$116,Listes!$K$15:$K$26,0),MATCH(Q$117,Listes!$K$15:$P$15,0))*INDEX(Listes!$K$29:$O$31,MATCH(M$116,Listes!$K$29:$K$31,0),MATCH(Q$117,Listes!$K$29:$O$29,0)))</f>
        <v>0</v>
      </c>
      <c r="R123" s="45">
        <f>IF(OR(L$116=0,L$116=""),0,P123*INDEX(Listes!$K$15:$P$26,MATCH(L$116,Listes!$K$15:$K$26,0),MATCH(R$117,Listes!$K$15:$P$15,0))*INDEX(Listes!$K$29:$O$31,MATCH(M$116,Listes!$K$29:$K$31,0),MATCH(R$117,Listes!$K$29:$O$29,0)))</f>
        <v>0</v>
      </c>
      <c r="S123" s="45">
        <f>IF(OR(L$116=0,L$116=""),0,P123*INDEX(Listes!$K$15:$P$26,MATCH(L$116,Listes!$K$15:$K$26,0),MATCH(S$117,Listes!$K$15:$P$15,0))*INDEX(Listes!$K$29:$O$31,MATCH(M$116,Listes!$K$29:$K$31,0),MATCH(S$117,Listes!$K$29:$O$29,0)))</f>
        <v>0</v>
      </c>
      <c r="U123" s="472"/>
      <c r="V123" s="3">
        <v>6</v>
      </c>
      <c r="W123" s="45">
        <f t="shared" si="49"/>
        <v>0</v>
      </c>
      <c r="X123" s="11">
        <f t="shared" si="50"/>
        <v>0</v>
      </c>
      <c r="Y123" s="45">
        <f>IF(OR(X123=0,X123="",V$116=0),0,X123*INDEX(Listes!$K$1:$Q$12,MATCH(V$116,Listes!$K$1:$K$12,0),MATCH(Y$117,Listes!$K$1:$Q$1,0)))</f>
        <v>0</v>
      </c>
      <c r="Z123" s="45">
        <f t="shared" si="51"/>
        <v>0</v>
      </c>
      <c r="AA123" s="11">
        <f>IF(OR(V$116=0,V$116=""),0,Z123*INDEX(Listes!$K$15:$P$26,MATCH(V$116,Listes!$K$15:$K$26,0),MATCH(AA$117,Listes!$K$15:$P$15,0))*INDEX(Listes!$K$29:$O$31,MATCH(W$116,Listes!$K$29:$K$31,0),MATCH(AA$117,Listes!$K$29:$O$29,0)))</f>
        <v>0</v>
      </c>
      <c r="AB123" s="45">
        <f>IF(OR(V$116=0,V$116=""),0,Z123*INDEX(Listes!$K$15:$P$26,MATCH(V$116,Listes!$K$15:$K$26,0),MATCH(AB$117,Listes!$K$15:$P$15,0))*INDEX(Listes!$K$29:$O$31,MATCH(W$116,Listes!$K$29:$K$31,0),MATCH(AB$117,Listes!$K$29:$O$29,0)))</f>
        <v>0</v>
      </c>
      <c r="AC123" s="45">
        <f>IF(OR(V$116=0,V$116=""),0,Z123*INDEX(Listes!$K$15:$P$26,MATCH(V$116,Listes!$K$15:$K$26,0),MATCH(AC$117,Listes!$K$15:$P$15,0))*INDEX(Listes!$K$29:$O$31,MATCH(W$116,Listes!$K$29:$K$31,0),MATCH(AC$117,Listes!$K$29:$O$29,0)))</f>
        <v>0</v>
      </c>
      <c r="AE123" s="472"/>
      <c r="AF123" s="3">
        <v>6</v>
      </c>
      <c r="AG123" s="45">
        <f t="shared" si="52"/>
        <v>0</v>
      </c>
      <c r="AH123" s="11">
        <f t="shared" si="53"/>
        <v>0</v>
      </c>
      <c r="AI123" s="45">
        <f>IF(OR(AH123=0,AH123="",AF$116=0),0,AH123*INDEX(Listes!$K$1:$Q$12,MATCH(AF$116,Listes!$K$1:$K$12,0),MATCH(AI$117,Listes!$K$1:$Q$1,0)))</f>
        <v>0</v>
      </c>
      <c r="AJ123" s="45">
        <f t="shared" si="54"/>
        <v>0</v>
      </c>
      <c r="AK123" s="11">
        <f>IF(OR(AF$116=0,AF$116=""),0,AJ123*INDEX(Listes!$K$15:$P$26,MATCH(AF$116,Listes!$K$15:$K$26,0),MATCH(AK$117,Listes!$K$15:$P$15,0))*INDEX(Listes!$K$29:$O$31,MATCH(AG$116,Listes!$K$29:$K$31,0),MATCH(AK$117,Listes!$K$29:$O$29,0)))</f>
        <v>0</v>
      </c>
      <c r="AL123" s="45">
        <f>IF(OR(AF$116=0,AF$116=""),0,AJ123*INDEX(Listes!$K$15:$P$26,MATCH(AF$116,Listes!$K$15:$K$26,0),MATCH(AL$117,Listes!$K$15:$P$15,0))*INDEX(Listes!$K$29:$O$31,MATCH(AG$116,Listes!$K$29:$K$31,0),MATCH(AL$117,Listes!$K$29:$O$29,0)))</f>
        <v>0</v>
      </c>
      <c r="AM123" s="45">
        <f>IF(OR(AF$116=0,AF$116=""),0,AJ123*INDEX(Listes!$K$15:$P$26,MATCH(AF$116,Listes!$K$15:$K$26,0),MATCH(AM$117,Listes!$K$15:$P$15,0))*INDEX(Listes!$K$29:$O$31,MATCH(AG$116,Listes!$K$29:$K$31,0),MATCH(AM$117,Listes!$K$29:$O$29,0)))</f>
        <v>0</v>
      </c>
      <c r="AN123" s="45"/>
      <c r="AO123" s="472"/>
      <c r="AP123" s="3">
        <v>6</v>
      </c>
      <c r="AQ123" s="11">
        <f t="shared" si="55"/>
        <v>0</v>
      </c>
      <c r="AR123" s="11">
        <f t="shared" si="55"/>
        <v>0</v>
      </c>
      <c r="AS123" s="11">
        <f t="shared" si="55"/>
        <v>0</v>
      </c>
      <c r="AT123" s="11">
        <f>AQ123*VLOOKUP(AQ$117,Tableau17[],4,FALSE)+AR123*VLOOKUP(AR$117,Tableau17[],4,FALSE)+AS123*VLOOKUP(AS$117,Tableau17[],4,FALSE)</f>
        <v>0</v>
      </c>
      <c r="AU123" s="11">
        <f>AQ123*VLOOKUP(AQ$117,Tableau17[],3,FALSE)+AR123*VLOOKUP(AR$117,Tableau17[],3,FALSE)+AS123*VLOOKUP(AS$117,Tableau17[],3,FALSE)</f>
        <v>0</v>
      </c>
      <c r="AW123" s="11"/>
      <c r="AX123" s="113"/>
    </row>
    <row r="124" spans="1:52" x14ac:dyDescent="0.2">
      <c r="A124" s="472"/>
      <c r="B124" s="3">
        <v>7</v>
      </c>
      <c r="C124" s="45">
        <f t="shared" si="56"/>
        <v>0</v>
      </c>
      <c r="D124" s="11">
        <f t="shared" si="57"/>
        <v>0</v>
      </c>
      <c r="E124" s="45">
        <f>IF(OR(D124=0,D124="",B$116=0),0,D124*INDEX(Listes!$K$1:$Q$12,MATCH(B$116,Listes!$K$1:$K$12,0),MATCH(E$117,Listes!$K$1:$Q$1,0)))</f>
        <v>0</v>
      </c>
      <c r="F124" s="45">
        <f t="shared" si="45"/>
        <v>0</v>
      </c>
      <c r="G124" s="11">
        <f>IF(OR(B$116=0,B$116=""),0,F124*INDEX(Listes!$K$15:$P$26,MATCH(B$116,Listes!$K$15:$K$26,0),MATCH(G$117,Listes!$K$15:$P$15,0))*INDEX(Listes!$K$29:$O$31,MATCH(C$116,Listes!$K$29:$K$31,0),MATCH(G$117,Listes!$K$29:$O$29,0)))</f>
        <v>0</v>
      </c>
      <c r="H124" s="45">
        <f>IF(OR(B$116=0,B$116=""),0,F124*INDEX(Listes!$K$15:$P$26,MATCH(B$116,Listes!$K$15:$K$26,0),MATCH(H$117,Listes!$K$15:$P$15,0))*INDEX(Listes!$K$29:$O$31,MATCH(C$116,Listes!$K$29:$K$31,0),MATCH(H$117,Listes!$K$29:$O$29,0)))</f>
        <v>0</v>
      </c>
      <c r="I124" s="45">
        <f>IF(OR(B$116=0,B$116=""),0,F124*INDEX(Listes!$K$15:$P$26,MATCH(B$116,Listes!$K$15:$K$26,0),MATCH(I$117,Listes!$K$15:$P$15,0))*INDEX(Listes!$K$29:$O$31,MATCH(C$116,Listes!$K$29:$K$31,0),MATCH(I$117,Listes!$K$29:$O$29,0)))</f>
        <v>0</v>
      </c>
      <c r="K124" s="472"/>
      <c r="L124" s="3">
        <v>7</v>
      </c>
      <c r="M124" s="45">
        <f t="shared" si="46"/>
        <v>0</v>
      </c>
      <c r="N124" s="11">
        <f t="shared" si="47"/>
        <v>0</v>
      </c>
      <c r="O124" s="45">
        <f>IF(OR(N124=0,N124="",L$116=0),0,N124*INDEX(Listes!$K$1:$Q$12,MATCH(L$116,Listes!$K$1:$K$12,0),MATCH(O$117,Listes!$K$1:$Q$1,0)))</f>
        <v>0</v>
      </c>
      <c r="P124" s="45">
        <f t="shared" si="48"/>
        <v>0</v>
      </c>
      <c r="Q124" s="11">
        <f>IF(OR(L$116=0,L$116=""),0,P124*INDEX(Listes!$K$15:$P$26,MATCH(L$116,Listes!$K$15:$K$26,0),MATCH(Q$117,Listes!$K$15:$P$15,0))*INDEX(Listes!$K$29:$O$31,MATCH(M$116,Listes!$K$29:$K$31,0),MATCH(Q$117,Listes!$K$29:$O$29,0)))</f>
        <v>0</v>
      </c>
      <c r="R124" s="45">
        <f>IF(OR(L$116=0,L$116=""),0,P124*INDEX(Listes!$K$15:$P$26,MATCH(L$116,Listes!$K$15:$K$26,0),MATCH(R$117,Listes!$K$15:$P$15,0))*INDEX(Listes!$K$29:$O$31,MATCH(M$116,Listes!$K$29:$K$31,0),MATCH(R$117,Listes!$K$29:$O$29,0)))</f>
        <v>0</v>
      </c>
      <c r="S124" s="45">
        <f>IF(OR(L$116=0,L$116=""),0,P124*INDEX(Listes!$K$15:$P$26,MATCH(L$116,Listes!$K$15:$K$26,0),MATCH(S$117,Listes!$K$15:$P$15,0))*INDEX(Listes!$K$29:$O$31,MATCH(M$116,Listes!$K$29:$K$31,0),MATCH(S$117,Listes!$K$29:$O$29,0)))</f>
        <v>0</v>
      </c>
      <c r="U124" s="472"/>
      <c r="V124" s="3">
        <v>7</v>
      </c>
      <c r="W124" s="45">
        <f t="shared" si="49"/>
        <v>0</v>
      </c>
      <c r="X124" s="11">
        <f t="shared" si="50"/>
        <v>0</v>
      </c>
      <c r="Y124" s="45">
        <f>IF(OR(X124=0,X124="",V$116=0),0,X124*INDEX(Listes!$K$1:$Q$12,MATCH(V$116,Listes!$K$1:$K$12,0),MATCH(Y$117,Listes!$K$1:$Q$1,0)))</f>
        <v>0</v>
      </c>
      <c r="Z124" s="45">
        <f t="shared" si="51"/>
        <v>0</v>
      </c>
      <c r="AA124" s="11">
        <f>IF(OR(V$116=0,V$116=""),0,Z124*INDEX(Listes!$K$15:$P$26,MATCH(V$116,Listes!$K$15:$K$26,0),MATCH(AA$117,Listes!$K$15:$P$15,0))*INDEX(Listes!$K$29:$O$31,MATCH(W$116,Listes!$K$29:$K$31,0),MATCH(AA$117,Listes!$K$29:$O$29,0)))</f>
        <v>0</v>
      </c>
      <c r="AB124" s="45">
        <f>IF(OR(V$116=0,V$116=""),0,Z124*INDEX(Listes!$K$15:$P$26,MATCH(V$116,Listes!$K$15:$K$26,0),MATCH(AB$117,Listes!$K$15:$P$15,0))*INDEX(Listes!$K$29:$O$31,MATCH(W$116,Listes!$K$29:$K$31,0),MATCH(AB$117,Listes!$K$29:$O$29,0)))</f>
        <v>0</v>
      </c>
      <c r="AC124" s="45">
        <f>IF(OR(V$116=0,V$116=""),0,Z124*INDEX(Listes!$K$15:$P$26,MATCH(V$116,Listes!$K$15:$K$26,0),MATCH(AC$117,Listes!$K$15:$P$15,0))*INDEX(Listes!$K$29:$O$31,MATCH(W$116,Listes!$K$29:$K$31,0),MATCH(AC$117,Listes!$K$29:$O$29,0)))</f>
        <v>0</v>
      </c>
      <c r="AE124" s="472"/>
      <c r="AF124" s="3">
        <v>7</v>
      </c>
      <c r="AG124" s="45">
        <f t="shared" si="52"/>
        <v>0</v>
      </c>
      <c r="AH124" s="11">
        <f t="shared" si="53"/>
        <v>0</v>
      </c>
      <c r="AI124" s="45">
        <f>IF(OR(AH124=0,AH124="",AF$116=0),0,AH124*INDEX(Listes!$K$1:$Q$12,MATCH(AF$116,Listes!$K$1:$K$12,0),MATCH(AI$117,Listes!$K$1:$Q$1,0)))</f>
        <v>0</v>
      </c>
      <c r="AJ124" s="45">
        <f t="shared" si="54"/>
        <v>0</v>
      </c>
      <c r="AK124" s="11">
        <f>IF(OR(AF$116=0,AF$116=""),0,AJ124*INDEX(Listes!$K$15:$P$26,MATCH(AF$116,Listes!$K$15:$K$26,0),MATCH(AK$117,Listes!$K$15:$P$15,0))*INDEX(Listes!$K$29:$O$31,MATCH(AG$116,Listes!$K$29:$K$31,0),MATCH(AK$117,Listes!$K$29:$O$29,0)))</f>
        <v>0</v>
      </c>
      <c r="AL124" s="45">
        <f>IF(OR(AF$116=0,AF$116=""),0,AJ124*INDEX(Listes!$K$15:$P$26,MATCH(AF$116,Listes!$K$15:$K$26,0),MATCH(AL$117,Listes!$K$15:$P$15,0))*INDEX(Listes!$K$29:$O$31,MATCH(AG$116,Listes!$K$29:$K$31,0),MATCH(AL$117,Listes!$K$29:$O$29,0)))</f>
        <v>0</v>
      </c>
      <c r="AM124" s="45">
        <f>IF(OR(AF$116=0,AF$116=""),0,AJ124*INDEX(Listes!$K$15:$P$26,MATCH(AF$116,Listes!$K$15:$K$26,0),MATCH(AM$117,Listes!$K$15:$P$15,0))*INDEX(Listes!$K$29:$O$31,MATCH(AG$116,Listes!$K$29:$K$31,0),MATCH(AM$117,Listes!$K$29:$O$29,0)))</f>
        <v>0</v>
      </c>
      <c r="AN124" s="45"/>
      <c r="AO124" s="472"/>
      <c r="AP124" s="3">
        <v>7</v>
      </c>
      <c r="AQ124" s="11">
        <f t="shared" si="55"/>
        <v>0</v>
      </c>
      <c r="AR124" s="11">
        <f t="shared" si="55"/>
        <v>0</v>
      </c>
      <c r="AS124" s="11">
        <f t="shared" si="55"/>
        <v>0</v>
      </c>
      <c r="AT124" s="11">
        <f>AQ124*VLOOKUP(AQ$117,Tableau17[],4,FALSE)+AR124*VLOOKUP(AR$117,Tableau17[],4,FALSE)+AS124*VLOOKUP(AS$117,Tableau17[],4,FALSE)</f>
        <v>0</v>
      </c>
      <c r="AU124" s="11">
        <f>AQ124*VLOOKUP(AQ$117,Tableau17[],3,FALSE)+AR124*VLOOKUP(AR$117,Tableau17[],3,FALSE)+AS124*VLOOKUP(AS$117,Tableau17[],3,FALSE)</f>
        <v>0</v>
      </c>
      <c r="AW124" s="11"/>
      <c r="AX124" s="113"/>
    </row>
    <row r="125" spans="1:52" x14ac:dyDescent="0.2">
      <c r="A125" s="472"/>
      <c r="B125" s="3">
        <v>8</v>
      </c>
      <c r="C125" s="45">
        <f t="shared" si="56"/>
        <v>0</v>
      </c>
      <c r="D125" s="11">
        <f t="shared" si="57"/>
        <v>0</v>
      </c>
      <c r="E125" s="45">
        <f>IF(OR(D125=0,D125="",B$116=0),0,D125*INDEX(Listes!$K$1:$Q$12,MATCH(B$116,Listes!$K$1:$K$12,0),MATCH(E$117,Listes!$K$1:$Q$1,0)))</f>
        <v>0</v>
      </c>
      <c r="F125" s="45">
        <f t="shared" si="45"/>
        <v>0</v>
      </c>
      <c r="G125" s="11">
        <f>IF(OR(B$116=0,B$116=""),0,F125*INDEX(Listes!$K$15:$P$26,MATCH(B$116,Listes!$K$15:$K$26,0),MATCH(G$117,Listes!$K$15:$P$15,0))*INDEX(Listes!$K$29:$O$31,MATCH(C$116,Listes!$K$29:$K$31,0),MATCH(G$117,Listes!$K$29:$O$29,0)))</f>
        <v>0</v>
      </c>
      <c r="H125" s="45">
        <f>IF(OR(B$116=0,B$116=""),0,F125*INDEX(Listes!$K$15:$P$26,MATCH(B$116,Listes!$K$15:$K$26,0),MATCH(H$117,Listes!$K$15:$P$15,0))*INDEX(Listes!$K$29:$O$31,MATCH(C$116,Listes!$K$29:$K$31,0),MATCH(H$117,Listes!$K$29:$O$29,0)))</f>
        <v>0</v>
      </c>
      <c r="I125" s="45">
        <f>IF(OR(B$116=0,B$116=""),0,F125*INDEX(Listes!$K$15:$P$26,MATCH(B$116,Listes!$K$15:$K$26,0),MATCH(I$117,Listes!$K$15:$P$15,0))*INDEX(Listes!$K$29:$O$31,MATCH(C$116,Listes!$K$29:$K$31,0),MATCH(I$117,Listes!$K$29:$O$29,0)))</f>
        <v>0</v>
      </c>
      <c r="K125" s="472"/>
      <c r="L125" s="3">
        <v>8</v>
      </c>
      <c r="M125" s="45">
        <f t="shared" si="46"/>
        <v>0</v>
      </c>
      <c r="N125" s="11">
        <f t="shared" si="47"/>
        <v>0</v>
      </c>
      <c r="O125" s="45">
        <f>IF(OR(N125=0,N125="",L$116=0),0,N125*INDEX(Listes!$K$1:$Q$12,MATCH(L$116,Listes!$K$1:$K$12,0),MATCH(O$117,Listes!$K$1:$Q$1,0)))</f>
        <v>0</v>
      </c>
      <c r="P125" s="45">
        <f t="shared" si="48"/>
        <v>0</v>
      </c>
      <c r="Q125" s="11">
        <f>IF(OR(L$116=0,L$116=""),0,P125*INDEX(Listes!$K$15:$P$26,MATCH(L$116,Listes!$K$15:$K$26,0),MATCH(Q$117,Listes!$K$15:$P$15,0))*INDEX(Listes!$K$29:$O$31,MATCH(M$116,Listes!$K$29:$K$31,0),MATCH(Q$117,Listes!$K$29:$O$29,0)))</f>
        <v>0</v>
      </c>
      <c r="R125" s="45">
        <f>IF(OR(L$116=0,L$116=""),0,P125*INDEX(Listes!$K$15:$P$26,MATCH(L$116,Listes!$K$15:$K$26,0),MATCH(R$117,Listes!$K$15:$P$15,0))*INDEX(Listes!$K$29:$O$31,MATCH(M$116,Listes!$K$29:$K$31,0),MATCH(R$117,Listes!$K$29:$O$29,0)))</f>
        <v>0</v>
      </c>
      <c r="S125" s="45">
        <f>IF(OR(L$116=0,L$116=""),0,P125*INDEX(Listes!$K$15:$P$26,MATCH(L$116,Listes!$K$15:$K$26,0),MATCH(S$117,Listes!$K$15:$P$15,0))*INDEX(Listes!$K$29:$O$31,MATCH(M$116,Listes!$K$29:$K$31,0),MATCH(S$117,Listes!$K$29:$O$29,0)))</f>
        <v>0</v>
      </c>
      <c r="U125" s="472"/>
      <c r="V125" s="3">
        <v>8</v>
      </c>
      <c r="W125" s="45">
        <f t="shared" si="49"/>
        <v>0</v>
      </c>
      <c r="X125" s="11">
        <f t="shared" si="50"/>
        <v>0</v>
      </c>
      <c r="Y125" s="45">
        <f>IF(OR(X125=0,X125="",V$116=0),0,X125*INDEX(Listes!$K$1:$Q$12,MATCH(V$116,Listes!$K$1:$K$12,0),MATCH(Y$117,Listes!$K$1:$Q$1,0)))</f>
        <v>0</v>
      </c>
      <c r="Z125" s="45">
        <f t="shared" si="51"/>
        <v>0</v>
      </c>
      <c r="AA125" s="11">
        <f>IF(OR(V$116=0,V$116=""),0,Z125*INDEX(Listes!$K$15:$P$26,MATCH(V$116,Listes!$K$15:$K$26,0),MATCH(AA$117,Listes!$K$15:$P$15,0))*INDEX(Listes!$K$29:$O$31,MATCH(W$116,Listes!$K$29:$K$31,0),MATCH(AA$117,Listes!$K$29:$O$29,0)))</f>
        <v>0</v>
      </c>
      <c r="AB125" s="45">
        <f>IF(OR(V$116=0,V$116=""),0,Z125*INDEX(Listes!$K$15:$P$26,MATCH(V$116,Listes!$K$15:$K$26,0),MATCH(AB$117,Listes!$K$15:$P$15,0))*INDEX(Listes!$K$29:$O$31,MATCH(W$116,Listes!$K$29:$K$31,0),MATCH(AB$117,Listes!$K$29:$O$29,0)))</f>
        <v>0</v>
      </c>
      <c r="AC125" s="45">
        <f>IF(OR(V$116=0,V$116=""),0,Z125*INDEX(Listes!$K$15:$P$26,MATCH(V$116,Listes!$K$15:$K$26,0),MATCH(AC$117,Listes!$K$15:$P$15,0))*INDEX(Listes!$K$29:$O$31,MATCH(W$116,Listes!$K$29:$K$31,0),MATCH(AC$117,Listes!$K$29:$O$29,0)))</f>
        <v>0</v>
      </c>
      <c r="AE125" s="472"/>
      <c r="AF125" s="3">
        <v>8</v>
      </c>
      <c r="AG125" s="45">
        <f t="shared" si="52"/>
        <v>0</v>
      </c>
      <c r="AH125" s="11">
        <f t="shared" si="53"/>
        <v>0</v>
      </c>
      <c r="AI125" s="45">
        <f>IF(OR(AH125=0,AH125="",AF$116=0),0,AH125*INDEX(Listes!$K$1:$Q$12,MATCH(AF$116,Listes!$K$1:$K$12,0),MATCH(AI$117,Listes!$K$1:$Q$1,0)))</f>
        <v>0</v>
      </c>
      <c r="AJ125" s="45">
        <f t="shared" si="54"/>
        <v>0</v>
      </c>
      <c r="AK125" s="11">
        <f>IF(OR(AF$116=0,AF$116=""),0,AJ125*INDEX(Listes!$K$15:$P$26,MATCH(AF$116,Listes!$K$15:$K$26,0),MATCH(AK$117,Listes!$K$15:$P$15,0))*INDEX(Listes!$K$29:$O$31,MATCH(AG$116,Listes!$K$29:$K$31,0),MATCH(AK$117,Listes!$K$29:$O$29,0)))</f>
        <v>0</v>
      </c>
      <c r="AL125" s="45">
        <f>IF(OR(AF$116=0,AF$116=""),0,AJ125*INDEX(Listes!$K$15:$P$26,MATCH(AF$116,Listes!$K$15:$K$26,0),MATCH(AL$117,Listes!$K$15:$P$15,0))*INDEX(Listes!$K$29:$O$31,MATCH(AG$116,Listes!$K$29:$K$31,0),MATCH(AL$117,Listes!$K$29:$O$29,0)))</f>
        <v>0</v>
      </c>
      <c r="AM125" s="45">
        <f>IF(OR(AF$116=0,AF$116=""),0,AJ125*INDEX(Listes!$K$15:$P$26,MATCH(AF$116,Listes!$K$15:$K$26,0),MATCH(AM$117,Listes!$K$15:$P$15,0))*INDEX(Listes!$K$29:$O$31,MATCH(AG$116,Listes!$K$29:$K$31,0),MATCH(AM$117,Listes!$K$29:$O$29,0)))</f>
        <v>0</v>
      </c>
      <c r="AN125" s="45"/>
      <c r="AO125" s="472"/>
      <c r="AP125" s="3">
        <v>8</v>
      </c>
      <c r="AQ125" s="11">
        <f t="shared" si="55"/>
        <v>0</v>
      </c>
      <c r="AR125" s="11">
        <f t="shared" si="55"/>
        <v>0</v>
      </c>
      <c r="AS125" s="11">
        <f t="shared" si="55"/>
        <v>0</v>
      </c>
      <c r="AT125" s="11">
        <f>AQ125*VLOOKUP(AQ$117,Tableau17[],4,FALSE)+AR125*VLOOKUP(AR$117,Tableau17[],4,FALSE)+AS125*VLOOKUP(AS$117,Tableau17[],4,FALSE)</f>
        <v>0</v>
      </c>
      <c r="AU125" s="11">
        <f>AQ125*VLOOKUP(AQ$117,Tableau17[],3,FALSE)+AR125*VLOOKUP(AR$117,Tableau17[],3,FALSE)+AS125*VLOOKUP(AS$117,Tableau17[],3,FALSE)</f>
        <v>0</v>
      </c>
      <c r="AW125" s="11"/>
      <c r="AX125" s="113"/>
    </row>
    <row r="126" spans="1:52" x14ac:dyDescent="0.2">
      <c r="A126" s="472"/>
      <c r="B126" s="3">
        <v>9</v>
      </c>
      <c r="C126" s="45">
        <f t="shared" si="56"/>
        <v>0</v>
      </c>
      <c r="D126" s="11">
        <f t="shared" si="57"/>
        <v>0</v>
      </c>
      <c r="E126" s="45">
        <f>IF(OR(D126=0,D126="",B$116=0),0,D126*INDEX(Listes!$K$1:$Q$12,MATCH(B$116,Listes!$K$1:$K$12,0),MATCH(E$117,Listes!$K$1:$Q$1,0)))</f>
        <v>0</v>
      </c>
      <c r="F126" s="45">
        <f t="shared" si="45"/>
        <v>0</v>
      </c>
      <c r="G126" s="11">
        <f>IF(OR(B$116=0,B$116=""),0,F126*INDEX(Listes!$K$15:$P$26,MATCH(B$116,Listes!$K$15:$K$26,0),MATCH(G$117,Listes!$K$15:$P$15,0))*INDEX(Listes!$K$29:$O$31,MATCH(C$116,Listes!$K$29:$K$31,0),MATCH(G$117,Listes!$K$29:$O$29,0)))</f>
        <v>0</v>
      </c>
      <c r="H126" s="45">
        <f>IF(OR(B$116=0,B$116=""),0,F126*INDEX(Listes!$K$15:$P$26,MATCH(B$116,Listes!$K$15:$K$26,0),MATCH(H$117,Listes!$K$15:$P$15,0))*INDEX(Listes!$K$29:$O$31,MATCH(C$116,Listes!$K$29:$K$31,0),MATCH(H$117,Listes!$K$29:$O$29,0)))</f>
        <v>0</v>
      </c>
      <c r="I126" s="45">
        <f>IF(OR(B$116=0,B$116=""),0,F126*INDEX(Listes!$K$15:$P$26,MATCH(B$116,Listes!$K$15:$K$26,0),MATCH(I$117,Listes!$K$15:$P$15,0))*INDEX(Listes!$K$29:$O$31,MATCH(C$116,Listes!$K$29:$K$31,0),MATCH(I$117,Listes!$K$29:$O$29,0)))</f>
        <v>0</v>
      </c>
      <c r="K126" s="472"/>
      <c r="L126" s="3">
        <v>9</v>
      </c>
      <c r="M126" s="45">
        <f t="shared" si="46"/>
        <v>0</v>
      </c>
      <c r="N126" s="11">
        <f t="shared" si="47"/>
        <v>0</v>
      </c>
      <c r="O126" s="45">
        <f>IF(OR(N126=0,N126="",L$116=0),0,N126*INDEX(Listes!$K$1:$Q$12,MATCH(L$116,Listes!$K$1:$K$12,0),MATCH(O$117,Listes!$K$1:$Q$1,0)))</f>
        <v>0</v>
      </c>
      <c r="P126" s="45">
        <f t="shared" si="48"/>
        <v>0</v>
      </c>
      <c r="Q126" s="11">
        <f>IF(OR(L$116=0,L$116=""),0,P126*INDEX(Listes!$K$15:$P$26,MATCH(L$116,Listes!$K$15:$K$26,0),MATCH(Q$117,Listes!$K$15:$P$15,0))*INDEX(Listes!$K$29:$O$31,MATCH(M$116,Listes!$K$29:$K$31,0),MATCH(Q$117,Listes!$K$29:$O$29,0)))</f>
        <v>0</v>
      </c>
      <c r="R126" s="45">
        <f>IF(OR(L$116=0,L$116=""),0,P126*INDEX(Listes!$K$15:$P$26,MATCH(L$116,Listes!$K$15:$K$26,0),MATCH(R$117,Listes!$K$15:$P$15,0))*INDEX(Listes!$K$29:$O$31,MATCH(M$116,Listes!$K$29:$K$31,0),MATCH(R$117,Listes!$K$29:$O$29,0)))</f>
        <v>0</v>
      </c>
      <c r="S126" s="45">
        <f>IF(OR(L$116=0,L$116=""),0,P126*INDEX(Listes!$K$15:$P$26,MATCH(L$116,Listes!$K$15:$K$26,0),MATCH(S$117,Listes!$K$15:$P$15,0))*INDEX(Listes!$K$29:$O$31,MATCH(M$116,Listes!$K$29:$K$31,0),MATCH(S$117,Listes!$K$29:$O$29,0)))</f>
        <v>0</v>
      </c>
      <c r="U126" s="472"/>
      <c r="V126" s="3">
        <v>9</v>
      </c>
      <c r="W126" s="45">
        <f t="shared" si="49"/>
        <v>0</v>
      </c>
      <c r="X126" s="11">
        <f t="shared" si="50"/>
        <v>0</v>
      </c>
      <c r="Y126" s="45">
        <f>IF(OR(X126=0,X126="",V$116=0),0,X126*INDEX(Listes!$K$1:$Q$12,MATCH(V$116,Listes!$K$1:$K$12,0),MATCH(Y$117,Listes!$K$1:$Q$1,0)))</f>
        <v>0</v>
      </c>
      <c r="Z126" s="45">
        <f t="shared" si="51"/>
        <v>0</v>
      </c>
      <c r="AA126" s="11">
        <f>IF(OR(V$116=0,V$116=""),0,Z126*INDEX(Listes!$K$15:$P$26,MATCH(V$116,Listes!$K$15:$K$26,0),MATCH(AA$117,Listes!$K$15:$P$15,0))*INDEX(Listes!$K$29:$O$31,MATCH(W$116,Listes!$K$29:$K$31,0),MATCH(AA$117,Listes!$K$29:$O$29,0)))</f>
        <v>0</v>
      </c>
      <c r="AB126" s="45">
        <f>IF(OR(V$116=0,V$116=""),0,Z126*INDEX(Listes!$K$15:$P$26,MATCH(V$116,Listes!$K$15:$K$26,0),MATCH(AB$117,Listes!$K$15:$P$15,0))*INDEX(Listes!$K$29:$O$31,MATCH(W$116,Listes!$K$29:$K$31,0),MATCH(AB$117,Listes!$K$29:$O$29,0)))</f>
        <v>0</v>
      </c>
      <c r="AC126" s="45">
        <f>IF(OR(V$116=0,V$116=""),0,Z126*INDEX(Listes!$K$15:$P$26,MATCH(V$116,Listes!$K$15:$K$26,0),MATCH(AC$117,Listes!$K$15:$P$15,0))*INDEX(Listes!$K$29:$O$31,MATCH(W$116,Listes!$K$29:$K$31,0),MATCH(AC$117,Listes!$K$29:$O$29,0)))</f>
        <v>0</v>
      </c>
      <c r="AE126" s="472"/>
      <c r="AF126" s="3">
        <v>9</v>
      </c>
      <c r="AG126" s="45">
        <f t="shared" si="52"/>
        <v>0</v>
      </c>
      <c r="AH126" s="11">
        <f t="shared" si="53"/>
        <v>0</v>
      </c>
      <c r="AI126" s="45">
        <f>IF(OR(AH126=0,AH126="",AF$116=0),0,AH126*INDEX(Listes!$K$1:$Q$12,MATCH(AF$116,Listes!$K$1:$K$12,0),MATCH(AI$117,Listes!$K$1:$Q$1,0)))</f>
        <v>0</v>
      </c>
      <c r="AJ126" s="45">
        <f t="shared" si="54"/>
        <v>0</v>
      </c>
      <c r="AK126" s="11">
        <f>IF(OR(AF$116=0,AF$116=""),0,AJ126*INDEX(Listes!$K$15:$P$26,MATCH(AF$116,Listes!$K$15:$K$26,0),MATCH(AK$117,Listes!$K$15:$P$15,0))*INDEX(Listes!$K$29:$O$31,MATCH(AG$116,Listes!$K$29:$K$31,0),MATCH(AK$117,Listes!$K$29:$O$29,0)))</f>
        <v>0</v>
      </c>
      <c r="AL126" s="45">
        <f>IF(OR(AF$116=0,AF$116=""),0,AJ126*INDEX(Listes!$K$15:$P$26,MATCH(AF$116,Listes!$K$15:$K$26,0),MATCH(AL$117,Listes!$K$15:$P$15,0))*INDEX(Listes!$K$29:$O$31,MATCH(AG$116,Listes!$K$29:$K$31,0),MATCH(AL$117,Listes!$K$29:$O$29,0)))</f>
        <v>0</v>
      </c>
      <c r="AM126" s="45">
        <f>IF(OR(AF$116=0,AF$116=""),0,AJ126*INDEX(Listes!$K$15:$P$26,MATCH(AF$116,Listes!$K$15:$K$26,0),MATCH(AM$117,Listes!$K$15:$P$15,0))*INDEX(Listes!$K$29:$O$31,MATCH(AG$116,Listes!$K$29:$K$31,0),MATCH(AM$117,Listes!$K$29:$O$29,0)))</f>
        <v>0</v>
      </c>
      <c r="AN126" s="45"/>
      <c r="AO126" s="472"/>
      <c r="AP126" s="3">
        <v>9</v>
      </c>
      <c r="AQ126" s="11">
        <f t="shared" si="55"/>
        <v>0</v>
      </c>
      <c r="AR126" s="11">
        <f t="shared" si="55"/>
        <v>0</v>
      </c>
      <c r="AS126" s="11">
        <f t="shared" si="55"/>
        <v>0</v>
      </c>
      <c r="AT126" s="11">
        <f>AQ126*VLOOKUP(AQ$117,Tableau17[],4,FALSE)+AR126*VLOOKUP(AR$117,Tableau17[],4,FALSE)+AS126*VLOOKUP(AS$117,Tableau17[],4,FALSE)</f>
        <v>0</v>
      </c>
      <c r="AU126" s="11">
        <f>AQ126*VLOOKUP(AQ$117,Tableau17[],3,FALSE)+AR126*VLOOKUP(AR$117,Tableau17[],3,FALSE)+AS126*VLOOKUP(AS$117,Tableau17[],3,FALSE)</f>
        <v>0</v>
      </c>
      <c r="AW126" s="11"/>
      <c r="AX126" s="113"/>
    </row>
    <row r="127" spans="1:52" x14ac:dyDescent="0.2">
      <c r="A127" s="472"/>
      <c r="B127" s="3">
        <v>10</v>
      </c>
      <c r="C127" s="45">
        <f t="shared" si="56"/>
        <v>0</v>
      </c>
      <c r="D127" s="11">
        <f t="shared" si="57"/>
        <v>0</v>
      </c>
      <c r="E127" s="45">
        <f>IF(OR(D127=0,D127="",B$116=0),0,D127*INDEX(Listes!$K$1:$Q$12,MATCH(B$116,Listes!$K$1:$K$12,0),MATCH(E$117,Listes!$K$1:$Q$1,0)))</f>
        <v>0</v>
      </c>
      <c r="F127" s="45">
        <f t="shared" si="45"/>
        <v>0</v>
      </c>
      <c r="G127" s="11">
        <f>IF(OR(B$116=0,B$116=""),0,F127*INDEX(Listes!$K$15:$P$26,MATCH(B$116,Listes!$K$15:$K$26,0),MATCH(G$117,Listes!$K$15:$P$15,0))*INDEX(Listes!$K$29:$O$31,MATCH(C$116,Listes!$K$29:$K$31,0),MATCH(G$117,Listes!$K$29:$O$29,0)))</f>
        <v>0</v>
      </c>
      <c r="H127" s="45">
        <f>IF(OR(B$116=0,B$116=""),0,F127*INDEX(Listes!$K$15:$P$26,MATCH(B$116,Listes!$K$15:$K$26,0),MATCH(H$117,Listes!$K$15:$P$15,0))*INDEX(Listes!$K$29:$O$31,MATCH(C$116,Listes!$K$29:$K$31,0),MATCH(H$117,Listes!$K$29:$O$29,0)))</f>
        <v>0</v>
      </c>
      <c r="I127" s="45">
        <f>IF(OR(B$116=0,B$116=""),0,F127*INDEX(Listes!$K$15:$P$26,MATCH(B$116,Listes!$K$15:$K$26,0),MATCH(I$117,Listes!$K$15:$P$15,0))*INDEX(Listes!$K$29:$O$31,MATCH(C$116,Listes!$K$29:$K$31,0),MATCH(I$117,Listes!$K$29:$O$29,0)))</f>
        <v>0</v>
      </c>
      <c r="K127" s="472"/>
      <c r="L127" s="3">
        <v>10</v>
      </c>
      <c r="M127" s="45">
        <f t="shared" si="46"/>
        <v>0</v>
      </c>
      <c r="N127" s="11">
        <f t="shared" si="47"/>
        <v>0</v>
      </c>
      <c r="O127" s="45">
        <f>IF(OR(N127=0,N127="",L$116=0),0,N127*INDEX(Listes!$K$1:$Q$12,MATCH(L$116,Listes!$K$1:$K$12,0),MATCH(O$117,Listes!$K$1:$Q$1,0)))</f>
        <v>0</v>
      </c>
      <c r="P127" s="45">
        <f t="shared" si="48"/>
        <v>0</v>
      </c>
      <c r="Q127" s="11">
        <f>IF(OR(L$116=0,L$116=""),0,P127*INDEX(Listes!$K$15:$P$26,MATCH(L$116,Listes!$K$15:$K$26,0),MATCH(Q$117,Listes!$K$15:$P$15,0))*INDEX(Listes!$K$29:$O$31,MATCH(M$116,Listes!$K$29:$K$31,0),MATCH(Q$117,Listes!$K$29:$O$29,0)))</f>
        <v>0</v>
      </c>
      <c r="R127" s="45">
        <f>IF(OR(L$116=0,L$116=""),0,P127*INDEX(Listes!$K$15:$P$26,MATCH(L$116,Listes!$K$15:$K$26,0),MATCH(R$117,Listes!$K$15:$P$15,0))*INDEX(Listes!$K$29:$O$31,MATCH(M$116,Listes!$K$29:$K$31,0),MATCH(R$117,Listes!$K$29:$O$29,0)))</f>
        <v>0</v>
      </c>
      <c r="S127" s="45">
        <f>IF(OR(L$116=0,L$116=""),0,P127*INDEX(Listes!$K$15:$P$26,MATCH(L$116,Listes!$K$15:$K$26,0),MATCH(S$117,Listes!$K$15:$P$15,0))*INDEX(Listes!$K$29:$O$31,MATCH(M$116,Listes!$K$29:$K$31,0),MATCH(S$117,Listes!$K$29:$O$29,0)))</f>
        <v>0</v>
      </c>
      <c r="U127" s="472"/>
      <c r="V127" s="3">
        <v>10</v>
      </c>
      <c r="W127" s="45">
        <f t="shared" si="49"/>
        <v>0</v>
      </c>
      <c r="X127" s="11">
        <f t="shared" si="50"/>
        <v>0</v>
      </c>
      <c r="Y127" s="45">
        <f>IF(OR(X127=0,X127="",V$116=0),0,X127*INDEX(Listes!$K$1:$Q$12,MATCH(V$116,Listes!$K$1:$K$12,0),MATCH(Y$117,Listes!$K$1:$Q$1,0)))</f>
        <v>0</v>
      </c>
      <c r="Z127" s="45">
        <f t="shared" si="51"/>
        <v>0</v>
      </c>
      <c r="AA127" s="11">
        <f>IF(OR(V$116=0,V$116=""),0,Z127*INDEX(Listes!$K$15:$P$26,MATCH(V$116,Listes!$K$15:$K$26,0),MATCH(AA$117,Listes!$K$15:$P$15,0))*INDEX(Listes!$K$29:$O$31,MATCH(W$116,Listes!$K$29:$K$31,0),MATCH(AA$117,Listes!$K$29:$O$29,0)))</f>
        <v>0</v>
      </c>
      <c r="AB127" s="45">
        <f>IF(OR(V$116=0,V$116=""),0,Z127*INDEX(Listes!$K$15:$P$26,MATCH(V$116,Listes!$K$15:$K$26,0),MATCH(AB$117,Listes!$K$15:$P$15,0))*INDEX(Listes!$K$29:$O$31,MATCH(W$116,Listes!$K$29:$K$31,0),MATCH(AB$117,Listes!$K$29:$O$29,0)))</f>
        <v>0</v>
      </c>
      <c r="AC127" s="45">
        <f>IF(OR(V$116=0,V$116=""),0,Z127*INDEX(Listes!$K$15:$P$26,MATCH(V$116,Listes!$K$15:$K$26,0),MATCH(AC$117,Listes!$K$15:$P$15,0))*INDEX(Listes!$K$29:$O$31,MATCH(W$116,Listes!$K$29:$K$31,0),MATCH(AC$117,Listes!$K$29:$O$29,0)))</f>
        <v>0</v>
      </c>
      <c r="AE127" s="472"/>
      <c r="AF127" s="3">
        <v>10</v>
      </c>
      <c r="AG127" s="45">
        <f t="shared" si="52"/>
        <v>0</v>
      </c>
      <c r="AH127" s="11">
        <f t="shared" si="53"/>
        <v>0</v>
      </c>
      <c r="AI127" s="45">
        <f>IF(OR(AH127=0,AH127="",AF$116=0),0,AH127*INDEX(Listes!$K$1:$Q$12,MATCH(AF$116,Listes!$K$1:$K$12,0),MATCH(AI$117,Listes!$K$1:$Q$1,0)))</f>
        <v>0</v>
      </c>
      <c r="AJ127" s="45">
        <f t="shared" si="54"/>
        <v>0</v>
      </c>
      <c r="AK127" s="11">
        <f>IF(OR(AF$116=0,AF$116=""),0,AJ127*INDEX(Listes!$K$15:$P$26,MATCH(AF$116,Listes!$K$15:$K$26,0),MATCH(AK$117,Listes!$K$15:$P$15,0))*INDEX(Listes!$K$29:$O$31,MATCH(AG$116,Listes!$K$29:$K$31,0),MATCH(AK$117,Listes!$K$29:$O$29,0)))</f>
        <v>0</v>
      </c>
      <c r="AL127" s="45">
        <f>IF(OR(AF$116=0,AF$116=""),0,AJ127*INDEX(Listes!$K$15:$P$26,MATCH(AF$116,Listes!$K$15:$K$26,0),MATCH(AL$117,Listes!$K$15:$P$15,0))*INDEX(Listes!$K$29:$O$31,MATCH(AG$116,Listes!$K$29:$K$31,0),MATCH(AL$117,Listes!$K$29:$O$29,0)))</f>
        <v>0</v>
      </c>
      <c r="AM127" s="45">
        <f>IF(OR(AF$116=0,AF$116=""),0,AJ127*INDEX(Listes!$K$15:$P$26,MATCH(AF$116,Listes!$K$15:$K$26,0),MATCH(AM$117,Listes!$K$15:$P$15,0))*INDEX(Listes!$K$29:$O$31,MATCH(AG$116,Listes!$K$29:$K$31,0),MATCH(AM$117,Listes!$K$29:$O$29,0)))</f>
        <v>0</v>
      </c>
      <c r="AN127" s="45"/>
      <c r="AO127" s="472"/>
      <c r="AP127" s="3">
        <v>10</v>
      </c>
      <c r="AQ127" s="11">
        <f t="shared" si="55"/>
        <v>0</v>
      </c>
      <c r="AR127" s="11">
        <f t="shared" si="55"/>
        <v>0</v>
      </c>
      <c r="AS127" s="11">
        <f t="shared" si="55"/>
        <v>0</v>
      </c>
      <c r="AT127" s="11">
        <f>AQ127*VLOOKUP(AQ$117,Tableau17[],4,FALSE)+AR127*VLOOKUP(AR$117,Tableau17[],4,FALSE)+AS127*VLOOKUP(AS$117,Tableau17[],4,FALSE)</f>
        <v>0</v>
      </c>
      <c r="AU127" s="11">
        <f>AQ127*VLOOKUP(AQ$117,Tableau17[],3,FALSE)+AR127*VLOOKUP(AR$117,Tableau17[],3,FALSE)+AS127*VLOOKUP(AS$117,Tableau17[],3,FALSE)</f>
        <v>0</v>
      </c>
      <c r="AW127" s="11"/>
      <c r="AX127" s="113"/>
    </row>
    <row r="128" spans="1:52" x14ac:dyDescent="0.2">
      <c r="A128" s="472"/>
      <c r="B128" s="3">
        <v>11</v>
      </c>
      <c r="C128" s="45">
        <f t="shared" si="56"/>
        <v>0</v>
      </c>
      <c r="D128" s="11">
        <f t="shared" si="57"/>
        <v>0</v>
      </c>
      <c r="E128" s="45">
        <f>IF(OR(D128=0,D128="",B$116=0),0,D128*INDEX(Listes!$K$1:$Q$12,MATCH(B$116,Listes!$K$1:$K$12,0),MATCH(E$117,Listes!$K$1:$Q$1,0)))</f>
        <v>0</v>
      </c>
      <c r="F128" s="45">
        <f t="shared" si="45"/>
        <v>0</v>
      </c>
      <c r="G128" s="11">
        <f>IF(OR(B$116=0,B$116=""),0,F128*INDEX(Listes!$K$15:$P$26,MATCH(B$116,Listes!$K$15:$K$26,0),MATCH(G$117,Listes!$K$15:$P$15,0))*INDEX(Listes!$K$29:$O$31,MATCH(C$116,Listes!$K$29:$K$31,0),MATCH(G$117,Listes!$K$29:$O$29,0)))</f>
        <v>0</v>
      </c>
      <c r="H128" s="45">
        <f>IF(OR(B$116=0,B$116=""),0,F128*INDEX(Listes!$K$15:$P$26,MATCH(B$116,Listes!$K$15:$K$26,0),MATCH(H$117,Listes!$K$15:$P$15,0))*INDEX(Listes!$K$29:$O$31,MATCH(C$116,Listes!$K$29:$K$31,0),MATCH(H$117,Listes!$K$29:$O$29,0)))</f>
        <v>0</v>
      </c>
      <c r="I128" s="45">
        <f>IF(OR(B$116=0,B$116=""),0,F128*INDEX(Listes!$K$15:$P$26,MATCH(B$116,Listes!$K$15:$K$26,0),MATCH(I$117,Listes!$K$15:$P$15,0))*INDEX(Listes!$K$29:$O$31,MATCH(C$116,Listes!$K$29:$K$31,0),MATCH(I$117,Listes!$K$29:$O$29,0)))</f>
        <v>0</v>
      </c>
      <c r="K128" s="472"/>
      <c r="L128" s="3">
        <v>11</v>
      </c>
      <c r="M128" s="45">
        <f t="shared" si="46"/>
        <v>0</v>
      </c>
      <c r="N128" s="11">
        <f t="shared" si="47"/>
        <v>0</v>
      </c>
      <c r="O128" s="45">
        <f>IF(OR(N128=0,N128="",L$116=0),0,N128*INDEX(Listes!$K$1:$Q$12,MATCH(L$116,Listes!$K$1:$K$12,0),MATCH(O$117,Listes!$K$1:$Q$1,0)))</f>
        <v>0</v>
      </c>
      <c r="P128" s="45">
        <f t="shared" si="48"/>
        <v>0</v>
      </c>
      <c r="Q128" s="11">
        <f>IF(OR(L$116=0,L$116=""),0,P128*INDEX(Listes!$K$15:$P$26,MATCH(L$116,Listes!$K$15:$K$26,0),MATCH(Q$117,Listes!$K$15:$P$15,0))*INDEX(Listes!$K$29:$O$31,MATCH(M$116,Listes!$K$29:$K$31,0),MATCH(Q$117,Listes!$K$29:$O$29,0)))</f>
        <v>0</v>
      </c>
      <c r="R128" s="45">
        <f>IF(OR(L$116=0,L$116=""),0,P128*INDEX(Listes!$K$15:$P$26,MATCH(L$116,Listes!$K$15:$K$26,0),MATCH(R$117,Listes!$K$15:$P$15,0))*INDEX(Listes!$K$29:$O$31,MATCH(M$116,Listes!$K$29:$K$31,0),MATCH(R$117,Listes!$K$29:$O$29,0)))</f>
        <v>0</v>
      </c>
      <c r="S128" s="45">
        <f>IF(OR(L$116=0,L$116=""),0,P128*INDEX(Listes!$K$15:$P$26,MATCH(L$116,Listes!$K$15:$K$26,0),MATCH(S$117,Listes!$K$15:$P$15,0))*INDEX(Listes!$K$29:$O$31,MATCH(M$116,Listes!$K$29:$K$31,0),MATCH(S$117,Listes!$K$29:$O$29,0)))</f>
        <v>0</v>
      </c>
      <c r="U128" s="472"/>
      <c r="V128" s="3">
        <v>11</v>
      </c>
      <c r="W128" s="45">
        <f t="shared" si="49"/>
        <v>0</v>
      </c>
      <c r="X128" s="11">
        <f t="shared" si="50"/>
        <v>0</v>
      </c>
      <c r="Y128" s="45">
        <f>IF(OR(X128=0,X128="",V$116=0),0,X128*INDEX(Listes!$K$1:$Q$12,MATCH(V$116,Listes!$K$1:$K$12,0),MATCH(Y$117,Listes!$K$1:$Q$1,0)))</f>
        <v>0</v>
      </c>
      <c r="Z128" s="45">
        <f t="shared" si="51"/>
        <v>0</v>
      </c>
      <c r="AA128" s="11">
        <f>IF(OR(V$116=0,V$116=""),0,Z128*INDEX(Listes!$K$15:$P$26,MATCH(V$116,Listes!$K$15:$K$26,0),MATCH(AA$117,Listes!$K$15:$P$15,0))*INDEX(Listes!$K$29:$O$31,MATCH(W$116,Listes!$K$29:$K$31,0),MATCH(AA$117,Listes!$K$29:$O$29,0)))</f>
        <v>0</v>
      </c>
      <c r="AB128" s="45">
        <f>IF(OR(V$116=0,V$116=""),0,Z128*INDEX(Listes!$K$15:$P$26,MATCH(V$116,Listes!$K$15:$K$26,0),MATCH(AB$117,Listes!$K$15:$P$15,0))*INDEX(Listes!$K$29:$O$31,MATCH(W$116,Listes!$K$29:$K$31,0),MATCH(AB$117,Listes!$K$29:$O$29,0)))</f>
        <v>0</v>
      </c>
      <c r="AC128" s="45">
        <f>IF(OR(V$116=0,V$116=""),0,Z128*INDEX(Listes!$K$15:$P$26,MATCH(V$116,Listes!$K$15:$K$26,0),MATCH(AC$117,Listes!$K$15:$P$15,0))*INDEX(Listes!$K$29:$O$31,MATCH(W$116,Listes!$K$29:$K$31,0),MATCH(AC$117,Listes!$K$29:$O$29,0)))</f>
        <v>0</v>
      </c>
      <c r="AE128" s="472"/>
      <c r="AF128" s="3">
        <v>11</v>
      </c>
      <c r="AG128" s="45">
        <f t="shared" si="52"/>
        <v>0</v>
      </c>
      <c r="AH128" s="11">
        <f t="shared" si="53"/>
        <v>0</v>
      </c>
      <c r="AI128" s="45">
        <f>IF(OR(AH128=0,AH128="",AF$116=0),0,AH128*INDEX(Listes!$K$1:$Q$12,MATCH(AF$116,Listes!$K$1:$K$12,0),MATCH(AI$117,Listes!$K$1:$Q$1,0)))</f>
        <v>0</v>
      </c>
      <c r="AJ128" s="45">
        <f t="shared" si="54"/>
        <v>0</v>
      </c>
      <c r="AK128" s="11">
        <f>IF(OR(AF$116=0,AF$116=""),0,AJ128*INDEX(Listes!$K$15:$P$26,MATCH(AF$116,Listes!$K$15:$K$26,0),MATCH(AK$117,Listes!$K$15:$P$15,0))*INDEX(Listes!$K$29:$O$31,MATCH(AG$116,Listes!$K$29:$K$31,0),MATCH(AK$117,Listes!$K$29:$O$29,0)))</f>
        <v>0</v>
      </c>
      <c r="AL128" s="45">
        <f>IF(OR(AF$116=0,AF$116=""),0,AJ128*INDEX(Listes!$K$15:$P$26,MATCH(AF$116,Listes!$K$15:$K$26,0),MATCH(AL$117,Listes!$K$15:$P$15,0))*INDEX(Listes!$K$29:$O$31,MATCH(AG$116,Listes!$K$29:$K$31,0),MATCH(AL$117,Listes!$K$29:$O$29,0)))</f>
        <v>0</v>
      </c>
      <c r="AM128" s="45">
        <f>IF(OR(AF$116=0,AF$116=""),0,AJ128*INDEX(Listes!$K$15:$P$26,MATCH(AF$116,Listes!$K$15:$K$26,0),MATCH(AM$117,Listes!$K$15:$P$15,0))*INDEX(Listes!$K$29:$O$31,MATCH(AG$116,Listes!$K$29:$K$31,0),MATCH(AM$117,Listes!$K$29:$O$29,0)))</f>
        <v>0</v>
      </c>
      <c r="AN128" s="45"/>
      <c r="AO128" s="472"/>
      <c r="AP128" s="3">
        <v>11</v>
      </c>
      <c r="AQ128" s="11">
        <f t="shared" si="55"/>
        <v>0</v>
      </c>
      <c r="AR128" s="11">
        <f t="shared" si="55"/>
        <v>0</v>
      </c>
      <c r="AS128" s="11">
        <f t="shared" si="55"/>
        <v>0</v>
      </c>
      <c r="AT128" s="11">
        <f>AQ128*VLOOKUP(AQ$117,Tableau17[],4,FALSE)+AR128*VLOOKUP(AR$117,Tableau17[],4,FALSE)+AS128*VLOOKUP(AS$117,Tableau17[],4,FALSE)</f>
        <v>0</v>
      </c>
      <c r="AU128" s="11">
        <f>AQ128*VLOOKUP(AQ$117,Tableau17[],3,FALSE)+AR128*VLOOKUP(AR$117,Tableau17[],3,FALSE)+AS128*VLOOKUP(AS$117,Tableau17[],3,FALSE)</f>
        <v>0</v>
      </c>
      <c r="AW128" s="11"/>
      <c r="AX128" s="113"/>
    </row>
    <row r="129" spans="1:52" x14ac:dyDescent="0.2">
      <c r="A129" s="472"/>
      <c r="B129" s="3">
        <v>12</v>
      </c>
      <c r="C129" s="45">
        <f t="shared" si="56"/>
        <v>0</v>
      </c>
      <c r="D129" s="11">
        <f t="shared" si="57"/>
        <v>0</v>
      </c>
      <c r="E129" s="45">
        <f>IF(OR(D129=0,D129="",B$116=0),0,D129*INDEX(Listes!$K$1:$Q$12,MATCH(B$116,Listes!$K$1:$K$12,0),MATCH(E$117,Listes!$K$1:$Q$1,0)))</f>
        <v>0</v>
      </c>
      <c r="F129" s="45">
        <f t="shared" si="45"/>
        <v>0</v>
      </c>
      <c r="G129" s="11">
        <f>IF(OR(B$116=0,B$116=""),0,F129*INDEX(Listes!$K$15:$P$26,MATCH(B$116,Listes!$K$15:$K$26,0),MATCH(G$117,Listes!$K$15:$P$15,0))*INDEX(Listes!$K$29:$O$31,MATCH(C$116,Listes!$K$29:$K$31,0),MATCH(G$117,Listes!$K$29:$O$29,0)))</f>
        <v>0</v>
      </c>
      <c r="H129" s="45">
        <f>IF(OR(B$116=0,B$116=""),0,F129*INDEX(Listes!$K$15:$P$26,MATCH(B$116,Listes!$K$15:$K$26,0),MATCH(H$117,Listes!$K$15:$P$15,0))*INDEX(Listes!$K$29:$O$31,MATCH(C$116,Listes!$K$29:$K$31,0),MATCH(H$117,Listes!$K$29:$O$29,0)))</f>
        <v>0</v>
      </c>
      <c r="I129" s="45">
        <f>IF(OR(B$116=0,B$116=""),0,F129*INDEX(Listes!$K$15:$P$26,MATCH(B$116,Listes!$K$15:$K$26,0),MATCH(I$117,Listes!$K$15:$P$15,0))*INDEX(Listes!$K$29:$O$31,MATCH(C$116,Listes!$K$29:$K$31,0),MATCH(I$117,Listes!$K$29:$O$29,0)))</f>
        <v>0</v>
      </c>
      <c r="K129" s="472"/>
      <c r="L129" s="3">
        <v>12</v>
      </c>
      <c r="M129" s="45">
        <f t="shared" si="46"/>
        <v>0</v>
      </c>
      <c r="N129" s="11">
        <f t="shared" si="47"/>
        <v>0</v>
      </c>
      <c r="O129" s="45">
        <f>IF(OR(N129=0,N129="",L$116=0),0,N129*INDEX(Listes!$K$1:$Q$12,MATCH(L$116,Listes!$K$1:$K$12,0),MATCH(O$117,Listes!$K$1:$Q$1,0)))</f>
        <v>0</v>
      </c>
      <c r="P129" s="45">
        <f t="shared" si="48"/>
        <v>0</v>
      </c>
      <c r="Q129" s="11">
        <f>IF(OR(L$116=0,L$116=""),0,P129*INDEX(Listes!$K$15:$P$26,MATCH(L$116,Listes!$K$15:$K$26,0),MATCH(Q$117,Listes!$K$15:$P$15,0))*INDEX(Listes!$K$29:$O$31,MATCH(M$116,Listes!$K$29:$K$31,0),MATCH(Q$117,Listes!$K$29:$O$29,0)))</f>
        <v>0</v>
      </c>
      <c r="R129" s="45">
        <f>IF(OR(L$116=0,L$116=""),0,P129*INDEX(Listes!$K$15:$P$26,MATCH(L$116,Listes!$K$15:$K$26,0),MATCH(R$117,Listes!$K$15:$P$15,0))*INDEX(Listes!$K$29:$O$31,MATCH(M$116,Listes!$K$29:$K$31,0),MATCH(R$117,Listes!$K$29:$O$29,0)))</f>
        <v>0</v>
      </c>
      <c r="S129" s="45">
        <f>IF(OR(L$116=0,L$116=""),0,P129*INDEX(Listes!$K$15:$P$26,MATCH(L$116,Listes!$K$15:$K$26,0),MATCH(S$117,Listes!$K$15:$P$15,0))*INDEX(Listes!$K$29:$O$31,MATCH(M$116,Listes!$K$29:$K$31,0),MATCH(S$117,Listes!$K$29:$O$29,0)))</f>
        <v>0</v>
      </c>
      <c r="U129" s="472"/>
      <c r="V129" s="3">
        <v>12</v>
      </c>
      <c r="W129" s="45">
        <f t="shared" si="49"/>
        <v>0</v>
      </c>
      <c r="X129" s="11">
        <f t="shared" si="50"/>
        <v>0</v>
      </c>
      <c r="Y129" s="45">
        <f>IF(OR(X129=0,X129="",V$116=0),0,X129*INDEX(Listes!$K$1:$Q$12,MATCH(V$116,Listes!$K$1:$K$12,0),MATCH(Y$117,Listes!$K$1:$Q$1,0)))</f>
        <v>0</v>
      </c>
      <c r="Z129" s="45">
        <f t="shared" si="51"/>
        <v>0</v>
      </c>
      <c r="AA129" s="11">
        <f>IF(OR(V$116=0,V$116=""),0,Z129*INDEX(Listes!$K$15:$P$26,MATCH(V$116,Listes!$K$15:$K$26,0),MATCH(AA$117,Listes!$K$15:$P$15,0))*INDEX(Listes!$K$29:$O$31,MATCH(W$116,Listes!$K$29:$K$31,0),MATCH(AA$117,Listes!$K$29:$O$29,0)))</f>
        <v>0</v>
      </c>
      <c r="AB129" s="45">
        <f>IF(OR(V$116=0,V$116=""),0,Z129*INDEX(Listes!$K$15:$P$26,MATCH(V$116,Listes!$K$15:$K$26,0),MATCH(AB$117,Listes!$K$15:$P$15,0))*INDEX(Listes!$K$29:$O$31,MATCH(W$116,Listes!$K$29:$K$31,0),MATCH(AB$117,Listes!$K$29:$O$29,0)))</f>
        <v>0</v>
      </c>
      <c r="AC129" s="45">
        <f>IF(OR(V$116=0,V$116=""),0,Z129*INDEX(Listes!$K$15:$P$26,MATCH(V$116,Listes!$K$15:$K$26,0),MATCH(AC$117,Listes!$K$15:$P$15,0))*INDEX(Listes!$K$29:$O$31,MATCH(W$116,Listes!$K$29:$K$31,0),MATCH(AC$117,Listes!$K$29:$O$29,0)))</f>
        <v>0</v>
      </c>
      <c r="AE129" s="472"/>
      <c r="AF129" s="3">
        <v>12</v>
      </c>
      <c r="AG129" s="45">
        <f t="shared" si="52"/>
        <v>0</v>
      </c>
      <c r="AH129" s="11">
        <f t="shared" si="53"/>
        <v>0</v>
      </c>
      <c r="AI129" s="45">
        <f>IF(OR(AH129=0,AH129="",AF$116=0),0,AH129*INDEX(Listes!$K$1:$Q$12,MATCH(AF$116,Listes!$K$1:$K$12,0),MATCH(AI$117,Listes!$K$1:$Q$1,0)))</f>
        <v>0</v>
      </c>
      <c r="AJ129" s="45">
        <f t="shared" si="54"/>
        <v>0</v>
      </c>
      <c r="AK129" s="11">
        <f>IF(OR(AF$116=0,AF$116=""),0,AJ129*INDEX(Listes!$K$15:$P$26,MATCH(AF$116,Listes!$K$15:$K$26,0),MATCH(AK$117,Listes!$K$15:$P$15,0))*INDEX(Listes!$K$29:$O$31,MATCH(AG$116,Listes!$K$29:$K$31,0),MATCH(AK$117,Listes!$K$29:$O$29,0)))</f>
        <v>0</v>
      </c>
      <c r="AL129" s="45">
        <f>IF(OR(AF$116=0,AF$116=""),0,AJ129*INDEX(Listes!$K$15:$P$26,MATCH(AF$116,Listes!$K$15:$K$26,0),MATCH(AL$117,Listes!$K$15:$P$15,0))*INDEX(Listes!$K$29:$O$31,MATCH(AG$116,Listes!$K$29:$K$31,0),MATCH(AL$117,Listes!$K$29:$O$29,0)))</f>
        <v>0</v>
      </c>
      <c r="AM129" s="45">
        <f>IF(OR(AF$116=0,AF$116=""),0,AJ129*INDEX(Listes!$K$15:$P$26,MATCH(AF$116,Listes!$K$15:$K$26,0),MATCH(AM$117,Listes!$K$15:$P$15,0))*INDEX(Listes!$K$29:$O$31,MATCH(AG$116,Listes!$K$29:$K$31,0),MATCH(AM$117,Listes!$K$29:$O$29,0)))</f>
        <v>0</v>
      </c>
      <c r="AN129" s="45"/>
      <c r="AO129" s="472"/>
      <c r="AP129" s="3">
        <v>12</v>
      </c>
      <c r="AQ129" s="11">
        <f t="shared" si="55"/>
        <v>0</v>
      </c>
      <c r="AR129" s="11">
        <f t="shared" si="55"/>
        <v>0</v>
      </c>
      <c r="AS129" s="11">
        <f t="shared" si="55"/>
        <v>0</v>
      </c>
      <c r="AT129" s="11">
        <f>AQ129*VLOOKUP(AQ$117,Tableau17[],4,FALSE)+AR129*VLOOKUP(AR$117,Tableau17[],4,FALSE)+AS129*VLOOKUP(AS$117,Tableau17[],4,FALSE)</f>
        <v>0</v>
      </c>
      <c r="AU129" s="11">
        <f>AQ129*VLOOKUP(AQ$117,Tableau17[],3,FALSE)+AR129*VLOOKUP(AR$117,Tableau17[],3,FALSE)+AS129*VLOOKUP(AS$117,Tableau17[],3,FALSE)</f>
        <v>0</v>
      </c>
      <c r="AW129" s="11"/>
      <c r="AX129" s="113"/>
    </row>
    <row r="130" spans="1:52" x14ac:dyDescent="0.2">
      <c r="A130" s="472"/>
      <c r="B130" s="3">
        <v>13</v>
      </c>
      <c r="C130" s="45">
        <f t="shared" si="56"/>
        <v>0</v>
      </c>
      <c r="D130" s="11">
        <f t="shared" si="57"/>
        <v>0</v>
      </c>
      <c r="E130" s="45">
        <f>IF(OR(D130=0,D130="",B$116=0),0,D130*INDEX(Listes!$K$1:$Q$12,MATCH(B$116,Listes!$K$1:$K$12,0),MATCH(E$117,Listes!$K$1:$Q$1,0)))</f>
        <v>0</v>
      </c>
      <c r="F130" s="45">
        <f t="shared" si="45"/>
        <v>0</v>
      </c>
      <c r="G130" s="11">
        <f>IF(OR(B$116=0,B$116=""),0,F130*INDEX(Listes!$K$15:$P$26,MATCH(B$116,Listes!$K$15:$K$26,0),MATCH(G$117,Listes!$K$15:$P$15,0))*INDEX(Listes!$K$29:$O$31,MATCH(C$116,Listes!$K$29:$K$31,0),MATCH(G$117,Listes!$K$29:$O$29,0)))</f>
        <v>0</v>
      </c>
      <c r="H130" s="45">
        <f>IF(OR(B$116=0,B$116=""),0,F130*INDEX(Listes!$K$15:$P$26,MATCH(B$116,Listes!$K$15:$K$26,0),MATCH(H$117,Listes!$K$15:$P$15,0))*INDEX(Listes!$K$29:$O$31,MATCH(C$116,Listes!$K$29:$K$31,0),MATCH(H$117,Listes!$K$29:$O$29,0)))</f>
        <v>0</v>
      </c>
      <c r="I130" s="45">
        <f>IF(OR(B$116=0,B$116=""),0,F130*INDEX(Listes!$K$15:$P$26,MATCH(B$116,Listes!$K$15:$K$26,0),MATCH(I$117,Listes!$K$15:$P$15,0))*INDEX(Listes!$K$29:$O$31,MATCH(C$116,Listes!$K$29:$K$31,0),MATCH(I$117,Listes!$K$29:$O$29,0)))</f>
        <v>0</v>
      </c>
      <c r="K130" s="472"/>
      <c r="L130" s="3">
        <v>13</v>
      </c>
      <c r="M130" s="45">
        <f t="shared" si="46"/>
        <v>0</v>
      </c>
      <c r="N130" s="11">
        <f t="shared" si="47"/>
        <v>0</v>
      </c>
      <c r="O130" s="45">
        <f>IF(OR(N130=0,N130="",L$116=0),0,N130*INDEX(Listes!$K$1:$Q$12,MATCH(L$116,Listes!$K$1:$K$12,0),MATCH(O$117,Listes!$K$1:$Q$1,0)))</f>
        <v>0</v>
      </c>
      <c r="P130" s="45">
        <f t="shared" si="48"/>
        <v>0</v>
      </c>
      <c r="Q130" s="11">
        <f>IF(OR(L$116=0,L$116=""),0,P130*INDEX(Listes!$K$15:$P$26,MATCH(L$116,Listes!$K$15:$K$26,0),MATCH(Q$117,Listes!$K$15:$P$15,0))*INDEX(Listes!$K$29:$O$31,MATCH(M$116,Listes!$K$29:$K$31,0),MATCH(Q$117,Listes!$K$29:$O$29,0)))</f>
        <v>0</v>
      </c>
      <c r="R130" s="45">
        <f>IF(OR(L$116=0,L$116=""),0,P130*INDEX(Listes!$K$15:$P$26,MATCH(L$116,Listes!$K$15:$K$26,0),MATCH(R$117,Listes!$K$15:$P$15,0))*INDEX(Listes!$K$29:$O$31,MATCH(M$116,Listes!$K$29:$K$31,0),MATCH(R$117,Listes!$K$29:$O$29,0)))</f>
        <v>0</v>
      </c>
      <c r="S130" s="45">
        <f>IF(OR(L$116=0,L$116=""),0,P130*INDEX(Listes!$K$15:$P$26,MATCH(L$116,Listes!$K$15:$K$26,0),MATCH(S$117,Listes!$K$15:$P$15,0))*INDEX(Listes!$K$29:$O$31,MATCH(M$116,Listes!$K$29:$K$31,0),MATCH(S$117,Listes!$K$29:$O$29,0)))</f>
        <v>0</v>
      </c>
      <c r="U130" s="472"/>
      <c r="V130" s="3">
        <v>13</v>
      </c>
      <c r="W130" s="45">
        <f t="shared" si="49"/>
        <v>0</v>
      </c>
      <c r="X130" s="11">
        <f t="shared" si="50"/>
        <v>0</v>
      </c>
      <c r="Y130" s="45">
        <f>IF(OR(X130=0,X130="",V$116=0),0,X130*INDEX(Listes!$K$1:$Q$12,MATCH(V$116,Listes!$K$1:$K$12,0),MATCH(Y$117,Listes!$K$1:$Q$1,0)))</f>
        <v>0</v>
      </c>
      <c r="Z130" s="45">
        <f t="shared" si="51"/>
        <v>0</v>
      </c>
      <c r="AA130" s="11">
        <f>IF(OR(V$116=0,V$116=""),0,Z130*INDEX(Listes!$K$15:$P$26,MATCH(V$116,Listes!$K$15:$K$26,0),MATCH(AA$117,Listes!$K$15:$P$15,0))*INDEX(Listes!$K$29:$O$31,MATCH(W$116,Listes!$K$29:$K$31,0),MATCH(AA$117,Listes!$K$29:$O$29,0)))</f>
        <v>0</v>
      </c>
      <c r="AB130" s="45">
        <f>IF(OR(V$116=0,V$116=""),0,Z130*INDEX(Listes!$K$15:$P$26,MATCH(V$116,Listes!$K$15:$K$26,0),MATCH(AB$117,Listes!$K$15:$P$15,0))*INDEX(Listes!$K$29:$O$31,MATCH(W$116,Listes!$K$29:$K$31,0),MATCH(AB$117,Listes!$K$29:$O$29,0)))</f>
        <v>0</v>
      </c>
      <c r="AC130" s="45">
        <f>IF(OR(V$116=0,V$116=""),0,Z130*INDEX(Listes!$K$15:$P$26,MATCH(V$116,Listes!$K$15:$K$26,0),MATCH(AC$117,Listes!$K$15:$P$15,0))*INDEX(Listes!$K$29:$O$31,MATCH(W$116,Listes!$K$29:$K$31,0),MATCH(AC$117,Listes!$K$29:$O$29,0)))</f>
        <v>0</v>
      </c>
      <c r="AE130" s="472"/>
      <c r="AF130" s="3">
        <v>13</v>
      </c>
      <c r="AG130" s="45">
        <f t="shared" si="52"/>
        <v>0</v>
      </c>
      <c r="AH130" s="11">
        <f t="shared" si="53"/>
        <v>0</v>
      </c>
      <c r="AI130" s="45">
        <f>IF(OR(AH130=0,AH130="",AF$116=0),0,AH130*INDEX(Listes!$K$1:$Q$12,MATCH(AF$116,Listes!$K$1:$K$12,0),MATCH(AI$117,Listes!$K$1:$Q$1,0)))</f>
        <v>0</v>
      </c>
      <c r="AJ130" s="45">
        <f t="shared" si="54"/>
        <v>0</v>
      </c>
      <c r="AK130" s="11">
        <f>IF(OR(AF$116=0,AF$116=""),0,AJ130*INDEX(Listes!$K$15:$P$26,MATCH(AF$116,Listes!$K$15:$K$26,0),MATCH(AK$117,Listes!$K$15:$P$15,0))*INDEX(Listes!$K$29:$O$31,MATCH(AG$116,Listes!$K$29:$K$31,0),MATCH(AK$117,Listes!$K$29:$O$29,0)))</f>
        <v>0</v>
      </c>
      <c r="AL130" s="45">
        <f>IF(OR(AF$116=0,AF$116=""),0,AJ130*INDEX(Listes!$K$15:$P$26,MATCH(AF$116,Listes!$K$15:$K$26,0),MATCH(AL$117,Listes!$K$15:$P$15,0))*INDEX(Listes!$K$29:$O$31,MATCH(AG$116,Listes!$K$29:$K$31,0),MATCH(AL$117,Listes!$K$29:$O$29,0)))</f>
        <v>0</v>
      </c>
      <c r="AM130" s="45">
        <f>IF(OR(AF$116=0,AF$116=""),0,AJ130*INDEX(Listes!$K$15:$P$26,MATCH(AF$116,Listes!$K$15:$K$26,0),MATCH(AM$117,Listes!$K$15:$P$15,0))*INDEX(Listes!$K$29:$O$31,MATCH(AG$116,Listes!$K$29:$K$31,0),MATCH(AM$117,Listes!$K$29:$O$29,0)))</f>
        <v>0</v>
      </c>
      <c r="AN130" s="45"/>
      <c r="AO130" s="472"/>
      <c r="AP130" s="3">
        <v>13</v>
      </c>
      <c r="AQ130" s="11">
        <f t="shared" si="55"/>
        <v>0</v>
      </c>
      <c r="AR130" s="11">
        <f t="shared" si="55"/>
        <v>0</v>
      </c>
      <c r="AS130" s="11">
        <f t="shared" si="55"/>
        <v>0</v>
      </c>
      <c r="AT130" s="11">
        <f>AQ130*VLOOKUP(AQ$117,Tableau17[],4,FALSE)+AR130*VLOOKUP(AR$117,Tableau17[],4,FALSE)+AS130*VLOOKUP(AS$117,Tableau17[],4,FALSE)</f>
        <v>0</v>
      </c>
      <c r="AU130" s="11">
        <f>AQ130*VLOOKUP(AQ$117,Tableau17[],3,FALSE)+AR130*VLOOKUP(AR$117,Tableau17[],3,FALSE)+AS130*VLOOKUP(AS$117,Tableau17[],3,FALSE)</f>
        <v>0</v>
      </c>
      <c r="AW130" s="11"/>
      <c r="AX130" s="113"/>
    </row>
    <row r="131" spans="1:52" x14ac:dyDescent="0.2">
      <c r="A131" s="472"/>
      <c r="B131" s="3">
        <v>14</v>
      </c>
      <c r="C131" s="45">
        <f t="shared" si="56"/>
        <v>0</v>
      </c>
      <c r="D131" s="11">
        <f t="shared" si="57"/>
        <v>0</v>
      </c>
      <c r="E131" s="45">
        <f>IF(OR(D131=0,D131="",B$116=0),0,D131*INDEX(Listes!$K$1:$Q$12,MATCH(B$116,Listes!$K$1:$K$12,0),MATCH(E$117,Listes!$K$1:$Q$1,0)))</f>
        <v>0</v>
      </c>
      <c r="F131" s="45">
        <f t="shared" si="45"/>
        <v>0</v>
      </c>
      <c r="G131" s="11">
        <f>IF(OR(B$116=0,B$116=""),0,F131*INDEX(Listes!$K$15:$P$26,MATCH(B$116,Listes!$K$15:$K$26,0),MATCH(G$117,Listes!$K$15:$P$15,0))*INDEX(Listes!$K$29:$O$31,MATCH(C$116,Listes!$K$29:$K$31,0),MATCH(G$117,Listes!$K$29:$O$29,0)))</f>
        <v>0</v>
      </c>
      <c r="H131" s="45">
        <f>IF(OR(B$116=0,B$116=""),0,F131*INDEX(Listes!$K$15:$P$26,MATCH(B$116,Listes!$K$15:$K$26,0),MATCH(H$117,Listes!$K$15:$P$15,0))*INDEX(Listes!$K$29:$O$31,MATCH(C$116,Listes!$K$29:$K$31,0),MATCH(H$117,Listes!$K$29:$O$29,0)))</f>
        <v>0</v>
      </c>
      <c r="I131" s="45">
        <f>IF(OR(B$116=0,B$116=""),0,F131*INDEX(Listes!$K$15:$P$26,MATCH(B$116,Listes!$K$15:$K$26,0),MATCH(I$117,Listes!$K$15:$P$15,0))*INDEX(Listes!$K$29:$O$31,MATCH(C$116,Listes!$K$29:$K$31,0),MATCH(I$117,Listes!$K$29:$O$29,0)))</f>
        <v>0</v>
      </c>
      <c r="K131" s="472"/>
      <c r="L131" s="3">
        <v>14</v>
      </c>
      <c r="M131" s="45">
        <f t="shared" si="46"/>
        <v>0</v>
      </c>
      <c r="N131" s="11">
        <f t="shared" si="47"/>
        <v>0</v>
      </c>
      <c r="O131" s="45">
        <f>IF(OR(N131=0,N131="",L$116=0),0,N131*INDEX(Listes!$K$1:$Q$12,MATCH(L$116,Listes!$K$1:$K$12,0),MATCH(O$117,Listes!$K$1:$Q$1,0)))</f>
        <v>0</v>
      </c>
      <c r="P131" s="45">
        <f t="shared" si="48"/>
        <v>0</v>
      </c>
      <c r="Q131" s="11">
        <f>IF(OR(L$116=0,L$116=""),0,P131*INDEX(Listes!$K$15:$P$26,MATCH(L$116,Listes!$K$15:$K$26,0),MATCH(Q$117,Listes!$K$15:$P$15,0))*INDEX(Listes!$K$29:$O$31,MATCH(M$116,Listes!$K$29:$K$31,0),MATCH(Q$117,Listes!$K$29:$O$29,0)))</f>
        <v>0</v>
      </c>
      <c r="R131" s="45">
        <f>IF(OR(L$116=0,L$116=""),0,P131*INDEX(Listes!$K$15:$P$26,MATCH(L$116,Listes!$K$15:$K$26,0),MATCH(R$117,Listes!$K$15:$P$15,0))*INDEX(Listes!$K$29:$O$31,MATCH(M$116,Listes!$K$29:$K$31,0),MATCH(R$117,Listes!$K$29:$O$29,0)))</f>
        <v>0</v>
      </c>
      <c r="S131" s="45">
        <f>IF(OR(L$116=0,L$116=""),0,P131*INDEX(Listes!$K$15:$P$26,MATCH(L$116,Listes!$K$15:$K$26,0),MATCH(S$117,Listes!$K$15:$P$15,0))*INDEX(Listes!$K$29:$O$31,MATCH(M$116,Listes!$K$29:$K$31,0),MATCH(S$117,Listes!$K$29:$O$29,0)))</f>
        <v>0</v>
      </c>
      <c r="U131" s="472"/>
      <c r="V131" s="3">
        <v>14</v>
      </c>
      <c r="W131" s="45">
        <f t="shared" si="49"/>
        <v>0</v>
      </c>
      <c r="X131" s="11">
        <f t="shared" si="50"/>
        <v>0</v>
      </c>
      <c r="Y131" s="45">
        <f>IF(OR(X131=0,X131="",V$116=0),0,X131*INDEX(Listes!$K$1:$Q$12,MATCH(V$116,Listes!$K$1:$K$12,0),MATCH(Y$117,Listes!$K$1:$Q$1,0)))</f>
        <v>0</v>
      </c>
      <c r="Z131" s="45">
        <f t="shared" si="51"/>
        <v>0</v>
      </c>
      <c r="AA131" s="11">
        <f>IF(OR(V$116=0,V$116=""),0,Z131*INDEX(Listes!$K$15:$P$26,MATCH(V$116,Listes!$K$15:$K$26,0),MATCH(AA$117,Listes!$K$15:$P$15,0))*INDEX(Listes!$K$29:$O$31,MATCH(W$116,Listes!$K$29:$K$31,0),MATCH(AA$117,Listes!$K$29:$O$29,0)))</f>
        <v>0</v>
      </c>
      <c r="AB131" s="45">
        <f>IF(OR(V$116=0,V$116=""),0,Z131*INDEX(Listes!$K$15:$P$26,MATCH(V$116,Listes!$K$15:$K$26,0),MATCH(AB$117,Listes!$K$15:$P$15,0))*INDEX(Listes!$K$29:$O$31,MATCH(W$116,Listes!$K$29:$K$31,0),MATCH(AB$117,Listes!$K$29:$O$29,0)))</f>
        <v>0</v>
      </c>
      <c r="AC131" s="45">
        <f>IF(OR(V$116=0,V$116=""),0,Z131*INDEX(Listes!$K$15:$P$26,MATCH(V$116,Listes!$K$15:$K$26,0),MATCH(AC$117,Listes!$K$15:$P$15,0))*INDEX(Listes!$K$29:$O$31,MATCH(W$116,Listes!$K$29:$K$31,0),MATCH(AC$117,Listes!$K$29:$O$29,0)))</f>
        <v>0</v>
      </c>
      <c r="AE131" s="472"/>
      <c r="AF131" s="3">
        <v>14</v>
      </c>
      <c r="AG131" s="45">
        <f t="shared" si="52"/>
        <v>0</v>
      </c>
      <c r="AH131" s="11">
        <f t="shared" si="53"/>
        <v>0</v>
      </c>
      <c r="AI131" s="45">
        <f>IF(OR(AH131=0,AH131="",AF$116=0),0,AH131*INDEX(Listes!$K$1:$Q$12,MATCH(AF$116,Listes!$K$1:$K$12,0),MATCH(AI$117,Listes!$K$1:$Q$1,0)))</f>
        <v>0</v>
      </c>
      <c r="AJ131" s="45">
        <f t="shared" si="54"/>
        <v>0</v>
      </c>
      <c r="AK131" s="11">
        <f>IF(OR(AF$116=0,AF$116=""),0,AJ131*INDEX(Listes!$K$15:$P$26,MATCH(AF$116,Listes!$K$15:$K$26,0),MATCH(AK$117,Listes!$K$15:$P$15,0))*INDEX(Listes!$K$29:$O$31,MATCH(AG$116,Listes!$K$29:$K$31,0),MATCH(AK$117,Listes!$K$29:$O$29,0)))</f>
        <v>0</v>
      </c>
      <c r="AL131" s="45">
        <f>IF(OR(AF$116=0,AF$116=""),0,AJ131*INDEX(Listes!$K$15:$P$26,MATCH(AF$116,Listes!$K$15:$K$26,0),MATCH(AL$117,Listes!$K$15:$P$15,0))*INDEX(Listes!$K$29:$O$31,MATCH(AG$116,Listes!$K$29:$K$31,0),MATCH(AL$117,Listes!$K$29:$O$29,0)))</f>
        <v>0</v>
      </c>
      <c r="AM131" s="45">
        <f>IF(OR(AF$116=0,AF$116=""),0,AJ131*INDEX(Listes!$K$15:$P$26,MATCH(AF$116,Listes!$K$15:$K$26,0),MATCH(AM$117,Listes!$K$15:$P$15,0))*INDEX(Listes!$K$29:$O$31,MATCH(AG$116,Listes!$K$29:$K$31,0),MATCH(AM$117,Listes!$K$29:$O$29,0)))</f>
        <v>0</v>
      </c>
      <c r="AN131" s="45"/>
      <c r="AO131" s="472"/>
      <c r="AP131" s="3">
        <v>14</v>
      </c>
      <c r="AQ131" s="11">
        <f t="shared" si="55"/>
        <v>0</v>
      </c>
      <c r="AR131" s="11">
        <f t="shared" si="55"/>
        <v>0</v>
      </c>
      <c r="AS131" s="11">
        <f t="shared" si="55"/>
        <v>0</v>
      </c>
      <c r="AT131" s="11">
        <f>AQ131*VLOOKUP(AQ$117,Tableau17[],4,FALSE)+AR131*VLOOKUP(AR$117,Tableau17[],4,FALSE)+AS131*VLOOKUP(AS$117,Tableau17[],4,FALSE)</f>
        <v>0</v>
      </c>
      <c r="AU131" s="11">
        <f>AQ131*VLOOKUP(AQ$117,Tableau17[],3,FALSE)+AR131*VLOOKUP(AR$117,Tableau17[],3,FALSE)+AS131*VLOOKUP(AS$117,Tableau17[],3,FALSE)</f>
        <v>0</v>
      </c>
      <c r="AW131" s="11"/>
      <c r="AX131" s="113"/>
    </row>
    <row r="132" spans="1:52" x14ac:dyDescent="0.2">
      <c r="A132" s="472"/>
      <c r="B132" s="3">
        <v>15</v>
      </c>
      <c r="C132" s="45">
        <f t="shared" si="56"/>
        <v>0</v>
      </c>
      <c r="D132" s="11">
        <f t="shared" si="57"/>
        <v>0</v>
      </c>
      <c r="E132" s="45">
        <f>IF(OR(D132=0,D132="",B$116=0),0,D132*INDEX(Listes!$K$1:$Q$12,MATCH(B$116,Listes!$K$1:$K$12,0),MATCH(E$117,Listes!$K$1:$Q$1,0)))</f>
        <v>0</v>
      </c>
      <c r="F132" s="45">
        <f t="shared" si="45"/>
        <v>0</v>
      </c>
      <c r="G132" s="45">
        <f>IF(OR(B$116=0,B$116=""),0,F132*INDEX(Listes!$K$15:$P$26,MATCH(B$116,Listes!$K$15:$K$26,0),MATCH(G$117,Listes!$K$15:$P$15,0))*INDEX(Listes!$K$29:$O$31,MATCH(C$116,Listes!$K$29:$K$31,0),MATCH(G$117,Listes!$K$29:$O$29,0)))</f>
        <v>0</v>
      </c>
      <c r="H132" s="45">
        <f>IF(OR(B$116=0,B$116=""),0,F132*INDEX(Listes!$K$15:$P$26,MATCH(B$116,Listes!$K$15:$K$26,0),MATCH(H$117,Listes!$K$15:$P$15,0))*INDEX(Listes!$K$29:$O$31,MATCH(C$116,Listes!$K$29:$K$31,0),MATCH(H$117,Listes!$K$29:$O$29,0)))</f>
        <v>0</v>
      </c>
      <c r="I132" s="45">
        <f>IF(OR(B$116=0,B$116=""),0,F132*INDEX(Listes!$K$15:$P$26,MATCH(B$116,Listes!$K$15:$K$26,0),MATCH(I$117,Listes!$K$15:$P$15,0))*INDEX(Listes!$K$29:$O$31,MATCH(C$116,Listes!$K$29:$K$31,0),MATCH(I$117,Listes!$K$29:$O$29,0)))</f>
        <v>0</v>
      </c>
      <c r="K132" s="472"/>
      <c r="L132" s="3">
        <v>15</v>
      </c>
      <c r="M132" s="45">
        <f t="shared" si="46"/>
        <v>0</v>
      </c>
      <c r="N132" s="11">
        <f t="shared" si="47"/>
        <v>0</v>
      </c>
      <c r="O132" s="45">
        <f>IF(OR(N132=0,N132="",L$116=0),0,N132*INDEX(Listes!$K$1:$Q$12,MATCH(L$116,Listes!$K$1:$K$12,0),MATCH(O$117,Listes!$K$1:$Q$1,0)))</f>
        <v>0</v>
      </c>
      <c r="P132" s="45">
        <f t="shared" si="48"/>
        <v>0</v>
      </c>
      <c r="Q132" s="45">
        <f>IF(OR(L$116=0,L$116=""),0,P132*INDEX(Listes!$K$15:$P$26,MATCH(L$116,Listes!$K$15:$K$26,0),MATCH(Q$117,Listes!$K$15:$P$15,0))*INDEX(Listes!$K$29:$O$31,MATCH(M$116,Listes!$K$29:$K$31,0),MATCH(Q$117,Listes!$K$29:$O$29,0)))</f>
        <v>0</v>
      </c>
      <c r="R132" s="45">
        <f>IF(OR(L$116=0,L$116=""),0,P132*INDEX(Listes!$K$15:$P$26,MATCH(L$116,Listes!$K$15:$K$26,0),MATCH(R$117,Listes!$K$15:$P$15,0))*INDEX(Listes!$K$29:$O$31,MATCH(M$116,Listes!$K$29:$K$31,0),MATCH(R$117,Listes!$K$29:$O$29,0)))</f>
        <v>0</v>
      </c>
      <c r="S132" s="45">
        <f>IF(OR(L$116=0,L$116=""),0,P132*INDEX(Listes!$K$15:$P$26,MATCH(L$116,Listes!$K$15:$K$26,0),MATCH(S$117,Listes!$K$15:$P$15,0))*INDEX(Listes!$K$29:$O$31,MATCH(M$116,Listes!$K$29:$K$31,0),MATCH(S$117,Listes!$K$29:$O$29,0)))</f>
        <v>0</v>
      </c>
      <c r="U132" s="472"/>
      <c r="V132" s="3">
        <v>15</v>
      </c>
      <c r="W132" s="45">
        <f t="shared" si="49"/>
        <v>0</v>
      </c>
      <c r="X132" s="11">
        <f t="shared" si="50"/>
        <v>0</v>
      </c>
      <c r="Y132" s="45">
        <f>IF(OR(X132=0,X132="",V$116=0),0,X132*INDEX(Listes!$K$1:$Q$12,MATCH(V$116,Listes!$K$1:$K$12,0),MATCH(Y$117,Listes!$K$1:$Q$1,0)))</f>
        <v>0</v>
      </c>
      <c r="Z132" s="45">
        <f t="shared" si="51"/>
        <v>0</v>
      </c>
      <c r="AA132" s="45">
        <f>IF(OR(V$116=0,V$116=""),0,Z132*INDEX(Listes!$K$15:$P$26,MATCH(V$116,Listes!$K$15:$K$26,0),MATCH(AA$117,Listes!$K$15:$P$15,0))*INDEX(Listes!$K$29:$O$31,MATCH(W$116,Listes!$K$29:$K$31,0),MATCH(AA$117,Listes!$K$29:$O$29,0)))</f>
        <v>0</v>
      </c>
      <c r="AB132" s="45">
        <f>IF(OR(V$116=0,V$116=""),0,Z132*INDEX(Listes!$K$15:$P$26,MATCH(V$116,Listes!$K$15:$K$26,0),MATCH(AB$117,Listes!$K$15:$P$15,0))*INDEX(Listes!$K$29:$O$31,MATCH(W$116,Listes!$K$29:$K$31,0),MATCH(AB$117,Listes!$K$29:$O$29,0)))</f>
        <v>0</v>
      </c>
      <c r="AC132" s="45">
        <f>IF(OR(V$116=0,V$116=""),0,Z132*INDEX(Listes!$K$15:$P$26,MATCH(V$116,Listes!$K$15:$K$26,0),MATCH(AC$117,Listes!$K$15:$P$15,0))*INDEX(Listes!$K$29:$O$31,MATCH(W$116,Listes!$K$29:$K$31,0),MATCH(AC$117,Listes!$K$29:$O$29,0)))</f>
        <v>0</v>
      </c>
      <c r="AE132" s="472"/>
      <c r="AF132" s="3">
        <v>15</v>
      </c>
      <c r="AG132" s="45">
        <f t="shared" si="52"/>
        <v>0</v>
      </c>
      <c r="AH132" s="11">
        <f t="shared" si="53"/>
        <v>0</v>
      </c>
      <c r="AI132" s="45">
        <f>IF(OR(AH132=0,AH132="",AF$116=0),0,AH132*INDEX(Listes!$K$1:$Q$12,MATCH(AF$116,Listes!$K$1:$K$12,0),MATCH(AI$117,Listes!$K$1:$Q$1,0)))</f>
        <v>0</v>
      </c>
      <c r="AJ132" s="45">
        <f t="shared" si="54"/>
        <v>0</v>
      </c>
      <c r="AK132" s="45">
        <f>IF(OR(AF$116=0,AF$116=""),0,AJ132*INDEX(Listes!$K$15:$P$26,MATCH(AF$116,Listes!$K$15:$K$26,0),MATCH(AK$117,Listes!$K$15:$P$15,0))*INDEX(Listes!$K$29:$O$31,MATCH(AG$116,Listes!$K$29:$K$31,0),MATCH(AK$117,Listes!$K$29:$O$29,0)))</f>
        <v>0</v>
      </c>
      <c r="AL132" s="45">
        <f>IF(OR(AF$116=0,AF$116=""),0,AJ132*INDEX(Listes!$K$15:$P$26,MATCH(AF$116,Listes!$K$15:$K$26,0),MATCH(AL$117,Listes!$K$15:$P$15,0))*INDEX(Listes!$K$29:$O$31,MATCH(AG$116,Listes!$K$29:$K$31,0),MATCH(AL$117,Listes!$K$29:$O$29,0)))</f>
        <v>0</v>
      </c>
      <c r="AM132" s="45">
        <f>IF(OR(AF$116=0,AF$116=""),0,AJ132*INDEX(Listes!$K$15:$P$26,MATCH(AF$116,Listes!$K$15:$K$26,0),MATCH(AM$117,Listes!$K$15:$P$15,0))*INDEX(Listes!$K$29:$O$31,MATCH(AG$116,Listes!$K$29:$K$31,0),MATCH(AM$117,Listes!$K$29:$O$29,0)))</f>
        <v>0</v>
      </c>
      <c r="AN132" s="45"/>
      <c r="AO132" s="472"/>
      <c r="AP132" s="3">
        <v>15</v>
      </c>
      <c r="AQ132" s="11">
        <f t="shared" si="55"/>
        <v>0</v>
      </c>
      <c r="AR132" s="11">
        <f t="shared" si="55"/>
        <v>0</v>
      </c>
      <c r="AS132" s="11">
        <f t="shared" si="55"/>
        <v>0</v>
      </c>
      <c r="AT132" s="11">
        <f>AQ132*VLOOKUP(AQ$117,Tableau17[],4,FALSE)+AR132*VLOOKUP(AR$117,Tableau17[],4,FALSE)+AS132*VLOOKUP(AS$117,Tableau17[],4,FALSE)</f>
        <v>0</v>
      </c>
      <c r="AU132" s="11">
        <f>AQ132*VLOOKUP(AQ$117,Tableau17[],3,FALSE)+AR132*VLOOKUP(AR$117,Tableau17[],3,FALSE)+AS132*VLOOKUP(AS$117,Tableau17[],3,FALSE)</f>
        <v>0</v>
      </c>
      <c r="AW132" s="11"/>
      <c r="AX132" s="113"/>
    </row>
    <row r="133" spans="1:52" x14ac:dyDescent="0.2">
      <c r="A133" s="472"/>
      <c r="B133" s="3">
        <v>16</v>
      </c>
      <c r="C133" s="45">
        <f t="shared" si="56"/>
        <v>0</v>
      </c>
      <c r="D133" s="11">
        <f t="shared" si="57"/>
        <v>0</v>
      </c>
      <c r="E133" s="45">
        <f>IF(OR(D133=0,D133="",B$116=0),0,D133*INDEX(Listes!$K$1:$Q$12,MATCH(B$116,Listes!$K$1:$K$12,0),MATCH(E$117,Listes!$K$1:$Q$1,0)))</f>
        <v>0</v>
      </c>
      <c r="F133" s="45">
        <f t="shared" si="45"/>
        <v>0</v>
      </c>
      <c r="G133" s="11">
        <f>IF(OR(B$116=0,B$116=""),0,F133*INDEX(Listes!$K$15:$P$26,MATCH(B$116,Listes!$K$15:$K$26,0),MATCH(G$117,Listes!$K$15:$P$15,0))*INDEX(Listes!$K$29:$O$31,MATCH(C$116,Listes!$K$29:$K$31,0),MATCH(G$117,Listes!$K$29:$O$29,0)))</f>
        <v>0</v>
      </c>
      <c r="H133" s="45">
        <f>IF(OR(B$116=0,B$116=""),0,F133*INDEX(Listes!$K$15:$P$26,MATCH(B$116,Listes!$K$15:$K$26,0),MATCH(H$117,Listes!$K$15:$P$15,0))*INDEX(Listes!$K$29:$O$31,MATCH(C$116,Listes!$K$29:$K$31,0),MATCH(H$117,Listes!$K$29:$O$29,0)))</f>
        <v>0</v>
      </c>
      <c r="I133" s="45">
        <f>IF(OR(B$116=0,B$116=""),0,F133*INDEX(Listes!$K$15:$P$26,MATCH(B$116,Listes!$K$15:$K$26,0),MATCH(I$117,Listes!$K$15:$P$15,0))*INDEX(Listes!$K$29:$O$31,MATCH(C$116,Listes!$K$29:$K$31,0),MATCH(I$117,Listes!$K$29:$O$29,0)))</f>
        <v>0</v>
      </c>
      <c r="K133" s="472"/>
      <c r="L133" s="3">
        <v>16</v>
      </c>
      <c r="M133" s="45">
        <f t="shared" si="46"/>
        <v>0</v>
      </c>
      <c r="N133" s="11">
        <f t="shared" si="47"/>
        <v>0</v>
      </c>
      <c r="O133" s="45">
        <f>IF(OR(N133=0,N133="",L$116=0),0,N133*INDEX(Listes!$K$1:$Q$12,MATCH(L$116,Listes!$K$1:$K$12,0),MATCH(O$117,Listes!$K$1:$Q$1,0)))</f>
        <v>0</v>
      </c>
      <c r="P133" s="45">
        <f t="shared" si="48"/>
        <v>0</v>
      </c>
      <c r="Q133" s="11">
        <f>IF(OR(L$116=0,L$116=""),0,P133*INDEX(Listes!$K$15:$P$26,MATCH(L$116,Listes!$K$15:$K$26,0),MATCH(Q$117,Listes!$K$15:$P$15,0))*INDEX(Listes!$K$29:$O$31,MATCH(M$116,Listes!$K$29:$K$31,0),MATCH(Q$117,Listes!$K$29:$O$29,0)))</f>
        <v>0</v>
      </c>
      <c r="R133" s="45">
        <f>IF(OR(L$116=0,L$116=""),0,P133*INDEX(Listes!$K$15:$P$26,MATCH(L$116,Listes!$K$15:$K$26,0),MATCH(R$117,Listes!$K$15:$P$15,0))*INDEX(Listes!$K$29:$O$31,MATCH(M$116,Listes!$K$29:$K$31,0),MATCH(R$117,Listes!$K$29:$O$29,0)))</f>
        <v>0</v>
      </c>
      <c r="S133" s="45">
        <f>IF(OR(L$116=0,L$116=""),0,P133*INDEX(Listes!$K$15:$P$26,MATCH(L$116,Listes!$K$15:$K$26,0),MATCH(S$117,Listes!$K$15:$P$15,0))*INDEX(Listes!$K$29:$O$31,MATCH(M$116,Listes!$K$29:$K$31,0),MATCH(S$117,Listes!$K$29:$O$29,0)))</f>
        <v>0</v>
      </c>
      <c r="U133" s="472"/>
      <c r="V133" s="3">
        <v>16</v>
      </c>
      <c r="W133" s="45">
        <f t="shared" si="49"/>
        <v>0</v>
      </c>
      <c r="X133" s="11">
        <f t="shared" si="50"/>
        <v>0</v>
      </c>
      <c r="Y133" s="45">
        <f>IF(OR(X133=0,X133="",V$116=0),0,X133*INDEX(Listes!$K$1:$Q$12,MATCH(V$116,Listes!$K$1:$K$12,0),MATCH(Y$117,Listes!$K$1:$Q$1,0)))</f>
        <v>0</v>
      </c>
      <c r="Z133" s="45">
        <f t="shared" si="51"/>
        <v>0</v>
      </c>
      <c r="AA133" s="11">
        <f>IF(OR(V$116=0,V$116=""),0,Z133*INDEX(Listes!$K$15:$P$26,MATCH(V$116,Listes!$K$15:$K$26,0),MATCH(AA$117,Listes!$K$15:$P$15,0))*INDEX(Listes!$K$29:$O$31,MATCH(W$116,Listes!$K$29:$K$31,0),MATCH(AA$117,Listes!$K$29:$O$29,0)))</f>
        <v>0</v>
      </c>
      <c r="AB133" s="45">
        <f>IF(OR(V$116=0,V$116=""),0,Z133*INDEX(Listes!$K$15:$P$26,MATCH(V$116,Listes!$K$15:$K$26,0),MATCH(AB$117,Listes!$K$15:$P$15,0))*INDEX(Listes!$K$29:$O$31,MATCH(W$116,Listes!$K$29:$K$31,0),MATCH(AB$117,Listes!$K$29:$O$29,0)))</f>
        <v>0</v>
      </c>
      <c r="AC133" s="45">
        <f>IF(OR(V$116=0,V$116=""),0,Z133*INDEX(Listes!$K$15:$P$26,MATCH(V$116,Listes!$K$15:$K$26,0),MATCH(AC$117,Listes!$K$15:$P$15,0))*INDEX(Listes!$K$29:$O$31,MATCH(W$116,Listes!$K$29:$K$31,0),MATCH(AC$117,Listes!$K$29:$O$29,0)))</f>
        <v>0</v>
      </c>
      <c r="AE133" s="472"/>
      <c r="AF133" s="3">
        <v>16</v>
      </c>
      <c r="AG133" s="45">
        <f t="shared" si="52"/>
        <v>0</v>
      </c>
      <c r="AH133" s="11">
        <f t="shared" si="53"/>
        <v>0</v>
      </c>
      <c r="AI133" s="45">
        <f>IF(OR(AH133=0,AH133="",AF$116=0),0,AH133*INDEX(Listes!$K$1:$Q$12,MATCH(AF$116,Listes!$K$1:$K$12,0),MATCH(AI$117,Listes!$K$1:$Q$1,0)))</f>
        <v>0</v>
      </c>
      <c r="AJ133" s="45">
        <f t="shared" si="54"/>
        <v>0</v>
      </c>
      <c r="AK133" s="11">
        <f>IF(OR(AF$116=0,AF$116=""),0,AJ133*INDEX(Listes!$K$15:$P$26,MATCH(AF$116,Listes!$K$15:$K$26,0),MATCH(AK$117,Listes!$K$15:$P$15,0))*INDEX(Listes!$K$29:$O$31,MATCH(AG$116,Listes!$K$29:$K$31,0),MATCH(AK$117,Listes!$K$29:$O$29,0)))</f>
        <v>0</v>
      </c>
      <c r="AL133" s="45">
        <f>IF(OR(AF$116=0,AF$116=""),0,AJ133*INDEX(Listes!$K$15:$P$26,MATCH(AF$116,Listes!$K$15:$K$26,0),MATCH(AL$117,Listes!$K$15:$P$15,0))*INDEX(Listes!$K$29:$O$31,MATCH(AG$116,Listes!$K$29:$K$31,0),MATCH(AL$117,Listes!$K$29:$O$29,0)))</f>
        <v>0</v>
      </c>
      <c r="AM133" s="45">
        <f>IF(OR(AF$116=0,AF$116=""),0,AJ133*INDEX(Listes!$K$15:$P$26,MATCH(AF$116,Listes!$K$15:$K$26,0),MATCH(AM$117,Listes!$K$15:$P$15,0))*INDEX(Listes!$K$29:$O$31,MATCH(AG$116,Listes!$K$29:$K$31,0),MATCH(AM$117,Listes!$K$29:$O$29,0)))</f>
        <v>0</v>
      </c>
      <c r="AN133" s="45"/>
      <c r="AO133" s="472"/>
      <c r="AP133" s="3">
        <v>16</v>
      </c>
      <c r="AQ133" s="11">
        <f t="shared" si="55"/>
        <v>0</v>
      </c>
      <c r="AR133" s="11">
        <f t="shared" si="55"/>
        <v>0</v>
      </c>
      <c r="AS133" s="11">
        <f t="shared" si="55"/>
        <v>0</v>
      </c>
      <c r="AT133" s="11">
        <f>AQ133*VLOOKUP(AQ$117,Tableau17[],4,FALSE)+AR133*VLOOKUP(AR$117,Tableau17[],4,FALSE)+AS133*VLOOKUP(AS$117,Tableau17[],4,FALSE)</f>
        <v>0</v>
      </c>
      <c r="AU133" s="11">
        <f>AQ133*VLOOKUP(AQ$117,Tableau17[],3,FALSE)+AR133*VLOOKUP(AR$117,Tableau17[],3,FALSE)+AS133*VLOOKUP(AS$117,Tableau17[],3,FALSE)</f>
        <v>0</v>
      </c>
      <c r="AW133" s="11"/>
      <c r="AX133" s="113"/>
    </row>
    <row r="134" spans="1:52" x14ac:dyDescent="0.2">
      <c r="A134" s="472"/>
      <c r="B134" s="3">
        <v>17</v>
      </c>
      <c r="C134" s="45">
        <f t="shared" si="56"/>
        <v>0</v>
      </c>
      <c r="D134" s="11">
        <f t="shared" si="57"/>
        <v>0</v>
      </c>
      <c r="E134" s="45">
        <f>IF(OR(D134=0,D134="",B$116=0),0,D134*INDEX(Listes!$K$1:$Q$12,MATCH(B$116,Listes!$K$1:$K$12,0),MATCH(E$117,Listes!$K$1:$Q$1,0)))</f>
        <v>0</v>
      </c>
      <c r="F134" s="45">
        <f t="shared" si="45"/>
        <v>0</v>
      </c>
      <c r="G134" s="11">
        <f>IF(OR(B$116=0,B$116=""),0,F134*INDEX(Listes!$K$15:$P$26,MATCH(B$116,Listes!$K$15:$K$26,0),MATCH(G$117,Listes!$K$15:$P$15,0))*INDEX(Listes!$K$29:$O$31,MATCH(C$116,Listes!$K$29:$K$31,0),MATCH(G$117,Listes!$K$29:$O$29,0)))</f>
        <v>0</v>
      </c>
      <c r="H134" s="45">
        <f>IF(OR(B$116=0,B$116=""),0,F134*INDEX(Listes!$K$15:$P$26,MATCH(B$116,Listes!$K$15:$K$26,0),MATCH(H$117,Listes!$K$15:$P$15,0))*INDEX(Listes!$K$29:$O$31,MATCH(C$116,Listes!$K$29:$K$31,0),MATCH(H$117,Listes!$K$29:$O$29,0)))</f>
        <v>0</v>
      </c>
      <c r="I134" s="45">
        <f>IF(OR(B$116=0,B$116=""),0,F134*INDEX(Listes!$K$15:$P$26,MATCH(B$116,Listes!$K$15:$K$26,0),MATCH(I$117,Listes!$K$15:$P$15,0))*INDEX(Listes!$K$29:$O$31,MATCH(C$116,Listes!$K$29:$K$31,0),MATCH(I$117,Listes!$K$29:$O$29,0)))</f>
        <v>0</v>
      </c>
      <c r="K134" s="472"/>
      <c r="L134" s="3">
        <v>17</v>
      </c>
      <c r="M134" s="45">
        <f t="shared" si="46"/>
        <v>0</v>
      </c>
      <c r="N134" s="11">
        <f t="shared" si="47"/>
        <v>0</v>
      </c>
      <c r="O134" s="45">
        <f>IF(OR(N134=0,N134="",L$116=0),0,N134*INDEX(Listes!$K$1:$Q$12,MATCH(L$116,Listes!$K$1:$K$12,0),MATCH(O$117,Listes!$K$1:$Q$1,0)))</f>
        <v>0</v>
      </c>
      <c r="P134" s="45">
        <f t="shared" si="48"/>
        <v>0</v>
      </c>
      <c r="Q134" s="11">
        <f>IF(OR(L$116=0,L$116=""),0,P134*INDEX(Listes!$K$15:$P$26,MATCH(L$116,Listes!$K$15:$K$26,0),MATCH(Q$117,Listes!$K$15:$P$15,0))*INDEX(Listes!$K$29:$O$31,MATCH(M$116,Listes!$K$29:$K$31,0),MATCH(Q$117,Listes!$K$29:$O$29,0)))</f>
        <v>0</v>
      </c>
      <c r="R134" s="45">
        <f>IF(OR(L$116=0,L$116=""),0,P134*INDEX(Listes!$K$15:$P$26,MATCH(L$116,Listes!$K$15:$K$26,0),MATCH(R$117,Listes!$K$15:$P$15,0))*INDEX(Listes!$K$29:$O$31,MATCH(M$116,Listes!$K$29:$K$31,0),MATCH(R$117,Listes!$K$29:$O$29,0)))</f>
        <v>0</v>
      </c>
      <c r="S134" s="45">
        <f>IF(OR(L$116=0,L$116=""),0,P134*INDEX(Listes!$K$15:$P$26,MATCH(L$116,Listes!$K$15:$K$26,0),MATCH(S$117,Listes!$K$15:$P$15,0))*INDEX(Listes!$K$29:$O$31,MATCH(M$116,Listes!$K$29:$K$31,0),MATCH(S$117,Listes!$K$29:$O$29,0)))</f>
        <v>0</v>
      </c>
      <c r="U134" s="472"/>
      <c r="V134" s="3">
        <v>17</v>
      </c>
      <c r="W134" s="45">
        <f t="shared" si="49"/>
        <v>0</v>
      </c>
      <c r="X134" s="11">
        <f t="shared" si="50"/>
        <v>0</v>
      </c>
      <c r="Y134" s="45">
        <f>IF(OR(X134=0,X134="",V$116=0),0,X134*INDEX(Listes!$K$1:$Q$12,MATCH(V$116,Listes!$K$1:$K$12,0),MATCH(Y$117,Listes!$K$1:$Q$1,0)))</f>
        <v>0</v>
      </c>
      <c r="Z134" s="45">
        <f t="shared" si="51"/>
        <v>0</v>
      </c>
      <c r="AA134" s="11">
        <f>IF(OR(V$116=0,V$116=""),0,Z134*INDEX(Listes!$K$15:$P$26,MATCH(V$116,Listes!$K$15:$K$26,0),MATCH(AA$117,Listes!$K$15:$P$15,0))*INDEX(Listes!$K$29:$O$31,MATCH(W$116,Listes!$K$29:$K$31,0),MATCH(AA$117,Listes!$K$29:$O$29,0)))</f>
        <v>0</v>
      </c>
      <c r="AB134" s="45">
        <f>IF(OR(V$116=0,V$116=""),0,Z134*INDEX(Listes!$K$15:$P$26,MATCH(V$116,Listes!$K$15:$K$26,0),MATCH(AB$117,Listes!$K$15:$P$15,0))*INDEX(Listes!$K$29:$O$31,MATCH(W$116,Listes!$K$29:$K$31,0),MATCH(AB$117,Listes!$K$29:$O$29,0)))</f>
        <v>0</v>
      </c>
      <c r="AC134" s="45">
        <f>IF(OR(V$116=0,V$116=""),0,Z134*INDEX(Listes!$K$15:$P$26,MATCH(V$116,Listes!$K$15:$K$26,0),MATCH(AC$117,Listes!$K$15:$P$15,0))*INDEX(Listes!$K$29:$O$31,MATCH(W$116,Listes!$K$29:$K$31,0),MATCH(AC$117,Listes!$K$29:$O$29,0)))</f>
        <v>0</v>
      </c>
      <c r="AE134" s="472"/>
      <c r="AF134" s="3">
        <v>17</v>
      </c>
      <c r="AG134" s="45">
        <f t="shared" si="52"/>
        <v>0</v>
      </c>
      <c r="AH134" s="11">
        <f t="shared" si="53"/>
        <v>0</v>
      </c>
      <c r="AI134" s="45">
        <f>IF(OR(AH134=0,AH134="",AF$116=0),0,AH134*INDEX(Listes!$K$1:$Q$12,MATCH(AF$116,Listes!$K$1:$K$12,0),MATCH(AI$117,Listes!$K$1:$Q$1,0)))</f>
        <v>0</v>
      </c>
      <c r="AJ134" s="45">
        <f t="shared" si="54"/>
        <v>0</v>
      </c>
      <c r="AK134" s="11">
        <f>IF(OR(AF$116=0,AF$116=""),0,AJ134*INDEX(Listes!$K$15:$P$26,MATCH(AF$116,Listes!$K$15:$K$26,0),MATCH(AK$117,Listes!$K$15:$P$15,0))*INDEX(Listes!$K$29:$O$31,MATCH(AG$116,Listes!$K$29:$K$31,0),MATCH(AK$117,Listes!$K$29:$O$29,0)))</f>
        <v>0</v>
      </c>
      <c r="AL134" s="45">
        <f>IF(OR(AF$116=0,AF$116=""),0,AJ134*INDEX(Listes!$K$15:$P$26,MATCH(AF$116,Listes!$K$15:$K$26,0),MATCH(AL$117,Listes!$K$15:$P$15,0))*INDEX(Listes!$K$29:$O$31,MATCH(AG$116,Listes!$K$29:$K$31,0),MATCH(AL$117,Listes!$K$29:$O$29,0)))</f>
        <v>0</v>
      </c>
      <c r="AM134" s="45">
        <f>IF(OR(AF$116=0,AF$116=""),0,AJ134*INDEX(Listes!$K$15:$P$26,MATCH(AF$116,Listes!$K$15:$K$26,0),MATCH(AM$117,Listes!$K$15:$P$15,0))*INDEX(Listes!$K$29:$O$31,MATCH(AG$116,Listes!$K$29:$K$31,0),MATCH(AM$117,Listes!$K$29:$O$29,0)))</f>
        <v>0</v>
      </c>
      <c r="AN134" s="45"/>
      <c r="AO134" s="472"/>
      <c r="AP134" s="3">
        <v>17</v>
      </c>
      <c r="AQ134" s="11">
        <f t="shared" si="55"/>
        <v>0</v>
      </c>
      <c r="AR134" s="11">
        <f t="shared" si="55"/>
        <v>0</v>
      </c>
      <c r="AS134" s="11">
        <f t="shared" si="55"/>
        <v>0</v>
      </c>
      <c r="AT134" s="11">
        <f>AQ134*VLOOKUP(AQ$117,Tableau17[],4,FALSE)+AR134*VLOOKUP(AR$117,Tableau17[],4,FALSE)+AS134*VLOOKUP(AS$117,Tableau17[],4,FALSE)</f>
        <v>0</v>
      </c>
      <c r="AU134" s="11">
        <f>AQ134*VLOOKUP(AQ$117,Tableau17[],3,FALSE)+AR134*VLOOKUP(AR$117,Tableau17[],3,FALSE)+AS134*VLOOKUP(AS$117,Tableau17[],3,FALSE)</f>
        <v>0</v>
      </c>
      <c r="AW134" s="11"/>
      <c r="AX134" s="113"/>
    </row>
    <row r="135" spans="1:52" x14ac:dyDescent="0.2">
      <c r="A135" s="472"/>
      <c r="B135" s="3">
        <v>18</v>
      </c>
      <c r="C135" s="45">
        <f t="shared" si="56"/>
        <v>0</v>
      </c>
      <c r="D135" s="11">
        <f t="shared" si="57"/>
        <v>0</v>
      </c>
      <c r="E135" s="45">
        <f>IF(OR(D135=0,D135="",B$116=0),0,D135*INDEX(Listes!$K$1:$Q$12,MATCH(B$116,Listes!$K$1:$K$12,0),MATCH(E$117,Listes!$K$1:$Q$1,0)))</f>
        <v>0</v>
      </c>
      <c r="F135" s="45">
        <f t="shared" si="45"/>
        <v>0</v>
      </c>
      <c r="G135" s="11">
        <f>IF(OR(B$116=0,B$116=""),0,F135*INDEX(Listes!$K$15:$P$26,MATCH(B$116,Listes!$K$15:$K$26,0),MATCH(G$117,Listes!$K$15:$P$15,0))*INDEX(Listes!$K$29:$O$31,MATCH(C$116,Listes!$K$29:$K$31,0),MATCH(G$117,Listes!$K$29:$O$29,0)))</f>
        <v>0</v>
      </c>
      <c r="H135" s="45">
        <f>IF(OR(B$116=0,B$116=""),0,F135*INDEX(Listes!$K$15:$P$26,MATCH(B$116,Listes!$K$15:$K$26,0),MATCH(H$117,Listes!$K$15:$P$15,0))*INDEX(Listes!$K$29:$O$31,MATCH(C$116,Listes!$K$29:$K$31,0),MATCH(H$117,Listes!$K$29:$O$29,0)))</f>
        <v>0</v>
      </c>
      <c r="I135" s="45">
        <f>IF(OR(B$116=0,B$116=""),0,F135*INDEX(Listes!$K$15:$P$26,MATCH(B$116,Listes!$K$15:$K$26,0),MATCH(I$117,Listes!$K$15:$P$15,0))*INDEX(Listes!$K$29:$O$31,MATCH(C$116,Listes!$K$29:$K$31,0),MATCH(I$117,Listes!$K$29:$O$29,0)))</f>
        <v>0</v>
      </c>
      <c r="K135" s="472"/>
      <c r="L135" s="3">
        <v>18</v>
      </c>
      <c r="M135" s="45">
        <f t="shared" si="46"/>
        <v>0</v>
      </c>
      <c r="N135" s="11">
        <f t="shared" si="47"/>
        <v>0</v>
      </c>
      <c r="O135" s="45">
        <f>IF(OR(N135=0,N135="",L$116=0),0,N135*INDEX(Listes!$K$1:$Q$12,MATCH(L$116,Listes!$K$1:$K$12,0),MATCH(O$117,Listes!$K$1:$Q$1,0)))</f>
        <v>0</v>
      </c>
      <c r="P135" s="45">
        <f t="shared" si="48"/>
        <v>0</v>
      </c>
      <c r="Q135" s="11">
        <f>IF(OR(L$116=0,L$116=""),0,P135*INDEX(Listes!$K$15:$P$26,MATCH(L$116,Listes!$K$15:$K$26,0),MATCH(Q$117,Listes!$K$15:$P$15,0))*INDEX(Listes!$K$29:$O$31,MATCH(M$116,Listes!$K$29:$K$31,0),MATCH(Q$117,Listes!$K$29:$O$29,0)))</f>
        <v>0</v>
      </c>
      <c r="R135" s="45">
        <f>IF(OR(L$116=0,L$116=""),0,P135*INDEX(Listes!$K$15:$P$26,MATCH(L$116,Listes!$K$15:$K$26,0),MATCH(R$117,Listes!$K$15:$P$15,0))*INDEX(Listes!$K$29:$O$31,MATCH(M$116,Listes!$K$29:$K$31,0),MATCH(R$117,Listes!$K$29:$O$29,0)))</f>
        <v>0</v>
      </c>
      <c r="S135" s="45">
        <f>IF(OR(L$116=0,L$116=""),0,P135*INDEX(Listes!$K$15:$P$26,MATCH(L$116,Listes!$K$15:$K$26,0),MATCH(S$117,Listes!$K$15:$P$15,0))*INDEX(Listes!$K$29:$O$31,MATCH(M$116,Listes!$K$29:$K$31,0),MATCH(S$117,Listes!$K$29:$O$29,0)))</f>
        <v>0</v>
      </c>
      <c r="U135" s="472"/>
      <c r="V135" s="3">
        <v>18</v>
      </c>
      <c r="W135" s="45">
        <f t="shared" si="49"/>
        <v>0</v>
      </c>
      <c r="X135" s="11">
        <f t="shared" si="50"/>
        <v>0</v>
      </c>
      <c r="Y135" s="45">
        <f>IF(OR(X135=0,X135="",V$116=0),0,X135*INDEX(Listes!$K$1:$Q$12,MATCH(V$116,Listes!$K$1:$K$12,0),MATCH(Y$117,Listes!$K$1:$Q$1,0)))</f>
        <v>0</v>
      </c>
      <c r="Z135" s="45">
        <f t="shared" si="51"/>
        <v>0</v>
      </c>
      <c r="AA135" s="11">
        <f>IF(OR(V$116=0,V$116=""),0,Z135*INDEX(Listes!$K$15:$P$26,MATCH(V$116,Listes!$K$15:$K$26,0),MATCH(AA$117,Listes!$K$15:$P$15,0))*INDEX(Listes!$K$29:$O$31,MATCH(W$116,Listes!$K$29:$K$31,0),MATCH(AA$117,Listes!$K$29:$O$29,0)))</f>
        <v>0</v>
      </c>
      <c r="AB135" s="45">
        <f>IF(OR(V$116=0,V$116=""),0,Z135*INDEX(Listes!$K$15:$P$26,MATCH(V$116,Listes!$K$15:$K$26,0),MATCH(AB$117,Listes!$K$15:$P$15,0))*INDEX(Listes!$K$29:$O$31,MATCH(W$116,Listes!$K$29:$K$31,0),MATCH(AB$117,Listes!$K$29:$O$29,0)))</f>
        <v>0</v>
      </c>
      <c r="AC135" s="45">
        <f>IF(OR(V$116=0,V$116=""),0,Z135*INDEX(Listes!$K$15:$P$26,MATCH(V$116,Listes!$K$15:$K$26,0),MATCH(AC$117,Listes!$K$15:$P$15,0))*INDEX(Listes!$K$29:$O$31,MATCH(W$116,Listes!$K$29:$K$31,0),MATCH(AC$117,Listes!$K$29:$O$29,0)))</f>
        <v>0</v>
      </c>
      <c r="AE135" s="472"/>
      <c r="AF135" s="3">
        <v>18</v>
      </c>
      <c r="AG135" s="45">
        <f t="shared" si="52"/>
        <v>0</v>
      </c>
      <c r="AH135" s="11">
        <f t="shared" si="53"/>
        <v>0</v>
      </c>
      <c r="AI135" s="45">
        <f>IF(OR(AH135=0,AH135="",AF$116=0),0,AH135*INDEX(Listes!$K$1:$Q$12,MATCH(AF$116,Listes!$K$1:$K$12,0),MATCH(AI$117,Listes!$K$1:$Q$1,0)))</f>
        <v>0</v>
      </c>
      <c r="AJ135" s="45">
        <f t="shared" si="54"/>
        <v>0</v>
      </c>
      <c r="AK135" s="11">
        <f>IF(OR(AF$116=0,AF$116=""),0,AJ135*INDEX(Listes!$K$15:$P$26,MATCH(AF$116,Listes!$K$15:$K$26,0),MATCH(AK$117,Listes!$K$15:$P$15,0))*INDEX(Listes!$K$29:$O$31,MATCH(AG$116,Listes!$K$29:$K$31,0),MATCH(AK$117,Listes!$K$29:$O$29,0)))</f>
        <v>0</v>
      </c>
      <c r="AL135" s="45">
        <f>IF(OR(AF$116=0,AF$116=""),0,AJ135*INDEX(Listes!$K$15:$P$26,MATCH(AF$116,Listes!$K$15:$K$26,0),MATCH(AL$117,Listes!$K$15:$P$15,0))*INDEX(Listes!$K$29:$O$31,MATCH(AG$116,Listes!$K$29:$K$31,0),MATCH(AL$117,Listes!$K$29:$O$29,0)))</f>
        <v>0</v>
      </c>
      <c r="AM135" s="45">
        <f>IF(OR(AF$116=0,AF$116=""),0,AJ135*INDEX(Listes!$K$15:$P$26,MATCH(AF$116,Listes!$K$15:$K$26,0),MATCH(AM$117,Listes!$K$15:$P$15,0))*INDEX(Listes!$K$29:$O$31,MATCH(AG$116,Listes!$K$29:$K$31,0),MATCH(AM$117,Listes!$K$29:$O$29,0)))</f>
        <v>0</v>
      </c>
      <c r="AN135" s="45"/>
      <c r="AO135" s="472"/>
      <c r="AP135" s="3">
        <v>18</v>
      </c>
      <c r="AQ135" s="11">
        <f t="shared" si="55"/>
        <v>0</v>
      </c>
      <c r="AR135" s="11">
        <f t="shared" si="55"/>
        <v>0</v>
      </c>
      <c r="AS135" s="11">
        <f t="shared" si="55"/>
        <v>0</v>
      </c>
      <c r="AT135" s="11">
        <f>AQ135*VLOOKUP(AQ$117,Tableau17[],4,FALSE)+AR135*VLOOKUP(AR$117,Tableau17[],4,FALSE)+AS135*VLOOKUP(AS$117,Tableau17[],4,FALSE)</f>
        <v>0</v>
      </c>
      <c r="AU135" s="11">
        <f>AQ135*VLOOKUP(AQ$117,Tableau17[],3,FALSE)+AR135*VLOOKUP(AR$117,Tableau17[],3,FALSE)+AS135*VLOOKUP(AS$117,Tableau17[],3,FALSE)</f>
        <v>0</v>
      </c>
      <c r="AW135" s="11"/>
      <c r="AX135" s="113"/>
    </row>
    <row r="136" spans="1:52" x14ac:dyDescent="0.2">
      <c r="A136" s="472"/>
      <c r="B136" s="3">
        <v>19</v>
      </c>
      <c r="C136" s="45">
        <f t="shared" si="56"/>
        <v>0</v>
      </c>
      <c r="D136" s="11">
        <f t="shared" si="57"/>
        <v>0</v>
      </c>
      <c r="E136" s="45">
        <f>IF(OR(D136=0,D136="",B$116=0),0,D136*INDEX(Listes!$K$1:$Q$12,MATCH(B$116,Listes!$K$1:$K$12,0),MATCH(E$117,Listes!$K$1:$Q$1,0)))</f>
        <v>0</v>
      </c>
      <c r="F136" s="45">
        <f t="shared" si="45"/>
        <v>0</v>
      </c>
      <c r="G136" s="11">
        <f>IF(OR(B$116=0,B$116=""),0,F136*INDEX(Listes!$K$15:$P$26,MATCH(B$116,Listes!$K$15:$K$26,0),MATCH(G$117,Listes!$K$15:$P$15,0))*INDEX(Listes!$K$29:$O$31,MATCH(C$116,Listes!$K$29:$K$31,0),MATCH(G$117,Listes!$K$29:$O$29,0)))</f>
        <v>0</v>
      </c>
      <c r="H136" s="45">
        <f>IF(OR(B$116=0,B$116=""),0,F136*INDEX(Listes!$K$15:$P$26,MATCH(B$116,Listes!$K$15:$K$26,0),MATCH(H$117,Listes!$K$15:$P$15,0))*INDEX(Listes!$K$29:$O$31,MATCH(C$116,Listes!$K$29:$K$31,0),MATCH(H$117,Listes!$K$29:$O$29,0)))</f>
        <v>0</v>
      </c>
      <c r="I136" s="45">
        <f>IF(OR(B$116=0,B$116=""),0,F136*INDEX(Listes!$K$15:$P$26,MATCH(B$116,Listes!$K$15:$K$26,0),MATCH(I$117,Listes!$K$15:$P$15,0))*INDEX(Listes!$K$29:$O$31,MATCH(C$116,Listes!$K$29:$K$31,0),MATCH(I$117,Listes!$K$29:$O$29,0)))</f>
        <v>0</v>
      </c>
      <c r="K136" s="472"/>
      <c r="L136" s="3">
        <v>19</v>
      </c>
      <c r="M136" s="45">
        <f t="shared" si="46"/>
        <v>0</v>
      </c>
      <c r="N136" s="11">
        <f t="shared" si="47"/>
        <v>0</v>
      </c>
      <c r="O136" s="45">
        <f>IF(OR(N136=0,N136="",L$116=0),0,N136*INDEX(Listes!$K$1:$Q$12,MATCH(L$116,Listes!$K$1:$K$12,0),MATCH(O$117,Listes!$K$1:$Q$1,0)))</f>
        <v>0</v>
      </c>
      <c r="P136" s="45">
        <f t="shared" si="48"/>
        <v>0</v>
      </c>
      <c r="Q136" s="11">
        <f>IF(OR(L$116=0,L$116=""),0,P136*INDEX(Listes!$K$15:$P$26,MATCH(L$116,Listes!$K$15:$K$26,0),MATCH(Q$117,Listes!$K$15:$P$15,0))*INDEX(Listes!$K$29:$O$31,MATCH(M$116,Listes!$K$29:$K$31,0),MATCH(Q$117,Listes!$K$29:$O$29,0)))</f>
        <v>0</v>
      </c>
      <c r="R136" s="45">
        <f>IF(OR(L$116=0,L$116=""),0,P136*INDEX(Listes!$K$15:$P$26,MATCH(L$116,Listes!$K$15:$K$26,0),MATCH(R$117,Listes!$K$15:$P$15,0))*INDEX(Listes!$K$29:$O$31,MATCH(M$116,Listes!$K$29:$K$31,0),MATCH(R$117,Listes!$K$29:$O$29,0)))</f>
        <v>0</v>
      </c>
      <c r="S136" s="45">
        <f>IF(OR(L$116=0,L$116=""),0,P136*INDEX(Listes!$K$15:$P$26,MATCH(L$116,Listes!$K$15:$K$26,0),MATCH(S$117,Listes!$K$15:$P$15,0))*INDEX(Listes!$K$29:$O$31,MATCH(M$116,Listes!$K$29:$K$31,0),MATCH(S$117,Listes!$K$29:$O$29,0)))</f>
        <v>0</v>
      </c>
      <c r="U136" s="472"/>
      <c r="V136" s="3">
        <v>19</v>
      </c>
      <c r="W136" s="45">
        <f t="shared" si="49"/>
        <v>0</v>
      </c>
      <c r="X136" s="11">
        <f t="shared" si="50"/>
        <v>0</v>
      </c>
      <c r="Y136" s="45">
        <f>IF(OR(X136=0,X136="",V$116=0),0,X136*INDEX(Listes!$K$1:$Q$12,MATCH(V$116,Listes!$K$1:$K$12,0),MATCH(Y$117,Listes!$K$1:$Q$1,0)))</f>
        <v>0</v>
      </c>
      <c r="Z136" s="45">
        <f t="shared" si="51"/>
        <v>0</v>
      </c>
      <c r="AA136" s="11">
        <f>IF(OR(V$116=0,V$116=""),0,Z136*INDEX(Listes!$K$15:$P$26,MATCH(V$116,Listes!$K$15:$K$26,0),MATCH(AA$117,Listes!$K$15:$P$15,0))*INDEX(Listes!$K$29:$O$31,MATCH(W$116,Listes!$K$29:$K$31,0),MATCH(AA$117,Listes!$K$29:$O$29,0)))</f>
        <v>0</v>
      </c>
      <c r="AB136" s="45">
        <f>IF(OR(V$116=0,V$116=""),0,Z136*INDEX(Listes!$K$15:$P$26,MATCH(V$116,Listes!$K$15:$K$26,0),MATCH(AB$117,Listes!$K$15:$P$15,0))*INDEX(Listes!$K$29:$O$31,MATCH(W$116,Listes!$K$29:$K$31,0),MATCH(AB$117,Listes!$K$29:$O$29,0)))</f>
        <v>0</v>
      </c>
      <c r="AC136" s="45">
        <f>IF(OR(V$116=0,V$116=""),0,Z136*INDEX(Listes!$K$15:$P$26,MATCH(V$116,Listes!$K$15:$K$26,0),MATCH(AC$117,Listes!$K$15:$P$15,0))*INDEX(Listes!$K$29:$O$31,MATCH(W$116,Listes!$K$29:$K$31,0),MATCH(AC$117,Listes!$K$29:$O$29,0)))</f>
        <v>0</v>
      </c>
      <c r="AE136" s="472"/>
      <c r="AF136" s="3">
        <v>19</v>
      </c>
      <c r="AG136" s="45">
        <f t="shared" si="52"/>
        <v>0</v>
      </c>
      <c r="AH136" s="11">
        <f t="shared" si="53"/>
        <v>0</v>
      </c>
      <c r="AI136" s="45">
        <f>IF(OR(AH136=0,AH136="",AF$116=0),0,AH136*INDEX(Listes!$K$1:$Q$12,MATCH(AF$116,Listes!$K$1:$K$12,0),MATCH(AI$117,Listes!$K$1:$Q$1,0)))</f>
        <v>0</v>
      </c>
      <c r="AJ136" s="45">
        <f t="shared" si="54"/>
        <v>0</v>
      </c>
      <c r="AK136" s="11">
        <f>IF(OR(AF$116=0,AF$116=""),0,AJ136*INDEX(Listes!$K$15:$P$26,MATCH(AF$116,Listes!$K$15:$K$26,0),MATCH(AK$117,Listes!$K$15:$P$15,0))*INDEX(Listes!$K$29:$O$31,MATCH(AG$116,Listes!$K$29:$K$31,0),MATCH(AK$117,Listes!$K$29:$O$29,0)))</f>
        <v>0</v>
      </c>
      <c r="AL136" s="45">
        <f>IF(OR(AF$116=0,AF$116=""),0,AJ136*INDEX(Listes!$K$15:$P$26,MATCH(AF$116,Listes!$K$15:$K$26,0),MATCH(AL$117,Listes!$K$15:$P$15,0))*INDEX(Listes!$K$29:$O$31,MATCH(AG$116,Listes!$K$29:$K$31,0),MATCH(AL$117,Listes!$K$29:$O$29,0)))</f>
        <v>0</v>
      </c>
      <c r="AM136" s="45">
        <f>IF(OR(AF$116=0,AF$116=""),0,AJ136*INDEX(Listes!$K$15:$P$26,MATCH(AF$116,Listes!$K$15:$K$26,0),MATCH(AM$117,Listes!$K$15:$P$15,0))*INDEX(Listes!$K$29:$O$31,MATCH(AG$116,Listes!$K$29:$K$31,0),MATCH(AM$117,Listes!$K$29:$O$29,0)))</f>
        <v>0</v>
      </c>
      <c r="AN136" s="45"/>
      <c r="AO136" s="472"/>
      <c r="AP136" s="3">
        <v>19</v>
      </c>
      <c r="AQ136" s="11">
        <f t="shared" si="55"/>
        <v>0</v>
      </c>
      <c r="AR136" s="11">
        <f t="shared" si="55"/>
        <v>0</v>
      </c>
      <c r="AS136" s="11">
        <f t="shared" si="55"/>
        <v>0</v>
      </c>
      <c r="AT136" s="11">
        <f>AQ136*VLOOKUP(AQ$117,Tableau17[],4,FALSE)+AR136*VLOOKUP(AR$117,Tableau17[],4,FALSE)+AS136*VLOOKUP(AS$117,Tableau17[],4,FALSE)</f>
        <v>0</v>
      </c>
      <c r="AU136" s="11">
        <f>AQ136*VLOOKUP(AQ$117,Tableau17[],3,FALSE)+AR136*VLOOKUP(AR$117,Tableau17[],3,FALSE)+AS136*VLOOKUP(AS$117,Tableau17[],3,FALSE)</f>
        <v>0</v>
      </c>
      <c r="AW136" s="11"/>
      <c r="AX136" s="113"/>
    </row>
    <row r="137" spans="1:52" x14ac:dyDescent="0.2">
      <c r="A137" s="472"/>
      <c r="B137" s="3">
        <v>20</v>
      </c>
      <c r="C137" s="45">
        <f t="shared" si="56"/>
        <v>0</v>
      </c>
      <c r="D137" s="11">
        <f t="shared" si="57"/>
        <v>0</v>
      </c>
      <c r="E137" s="45">
        <f>IF(OR(D137=0,D137="",B$116=0),0,D137*INDEX(Listes!$K$1:$Q$12,MATCH(B$116,Listes!$K$1:$K$12,0),MATCH(E$117,Listes!$K$1:$Q$1,0)))</f>
        <v>0</v>
      </c>
      <c r="F137" s="45">
        <f t="shared" si="45"/>
        <v>0</v>
      </c>
      <c r="G137" s="11">
        <f>IF(OR(B$116=0,B$116=""),0,F137*INDEX(Listes!$K$15:$P$26,MATCH(B$116,Listes!$K$15:$K$26,0),MATCH(G$117,Listes!$K$15:$P$15,0))*INDEX(Listes!$K$29:$O$31,MATCH(C$116,Listes!$K$29:$K$31,0),MATCH(G$117,Listes!$K$29:$O$29,0)))</f>
        <v>0</v>
      </c>
      <c r="H137" s="45">
        <f>IF(OR(B$116=0,B$116=""),0,F137*INDEX(Listes!$K$15:$P$26,MATCH(B$116,Listes!$K$15:$K$26,0),MATCH(H$117,Listes!$K$15:$P$15,0))*INDEX(Listes!$K$29:$O$31,MATCH(C$116,Listes!$K$29:$K$31,0),MATCH(H$117,Listes!$K$29:$O$29,0)))</f>
        <v>0</v>
      </c>
      <c r="I137" s="45">
        <f>IF(OR(B$116=0,B$116=""),0,F137*INDEX(Listes!$K$15:$P$26,MATCH(B$116,Listes!$K$15:$K$26,0),MATCH(I$117,Listes!$K$15:$P$15,0))*INDEX(Listes!$K$29:$O$31,MATCH(C$116,Listes!$K$29:$K$31,0),MATCH(I$117,Listes!$K$29:$O$29,0)))</f>
        <v>0</v>
      </c>
      <c r="K137" s="472"/>
      <c r="L137" s="3">
        <v>20</v>
      </c>
      <c r="M137" s="45">
        <f t="shared" si="46"/>
        <v>0</v>
      </c>
      <c r="N137" s="11">
        <f t="shared" si="47"/>
        <v>0</v>
      </c>
      <c r="O137" s="45">
        <f>IF(OR(N137=0,N137="",L$116=0),0,N137*INDEX(Listes!$K$1:$Q$12,MATCH(L$116,Listes!$K$1:$K$12,0),MATCH(O$117,Listes!$K$1:$Q$1,0)))</f>
        <v>0</v>
      </c>
      <c r="P137" s="45">
        <f t="shared" si="48"/>
        <v>0</v>
      </c>
      <c r="Q137" s="11">
        <f>IF(OR(L$116=0,L$116=""),0,P137*INDEX(Listes!$K$15:$P$26,MATCH(L$116,Listes!$K$15:$K$26,0),MATCH(Q$117,Listes!$K$15:$P$15,0))*INDEX(Listes!$K$29:$O$31,MATCH(M$116,Listes!$K$29:$K$31,0),MATCH(Q$117,Listes!$K$29:$O$29,0)))</f>
        <v>0</v>
      </c>
      <c r="R137" s="45">
        <f>IF(OR(L$116=0,L$116=""),0,P137*INDEX(Listes!$K$15:$P$26,MATCH(L$116,Listes!$K$15:$K$26,0),MATCH(R$117,Listes!$K$15:$P$15,0))*INDEX(Listes!$K$29:$O$31,MATCH(M$116,Listes!$K$29:$K$31,0),MATCH(R$117,Listes!$K$29:$O$29,0)))</f>
        <v>0</v>
      </c>
      <c r="S137" s="45">
        <f>IF(OR(L$116=0,L$116=""),0,P137*INDEX(Listes!$K$15:$P$26,MATCH(L$116,Listes!$K$15:$K$26,0),MATCH(S$117,Listes!$K$15:$P$15,0))*INDEX(Listes!$K$29:$O$31,MATCH(M$116,Listes!$K$29:$K$31,0),MATCH(S$117,Listes!$K$29:$O$29,0)))</f>
        <v>0</v>
      </c>
      <c r="U137" s="472"/>
      <c r="V137" s="3">
        <v>20</v>
      </c>
      <c r="W137" s="45">
        <f t="shared" si="49"/>
        <v>0</v>
      </c>
      <c r="X137" s="11">
        <f t="shared" si="50"/>
        <v>0</v>
      </c>
      <c r="Y137" s="45">
        <f>IF(OR(X137=0,X137="",V$116=0),0,X137*INDEX(Listes!$K$1:$Q$12,MATCH(V$116,Listes!$K$1:$K$12,0),MATCH(Y$117,Listes!$K$1:$Q$1,0)))</f>
        <v>0</v>
      </c>
      <c r="Z137" s="45">
        <f t="shared" si="51"/>
        <v>0</v>
      </c>
      <c r="AA137" s="11">
        <f>IF(OR(V$116=0,V$116=""),0,Z137*INDEX(Listes!$K$15:$P$26,MATCH(V$116,Listes!$K$15:$K$26,0),MATCH(AA$117,Listes!$K$15:$P$15,0))*INDEX(Listes!$K$29:$O$31,MATCH(W$116,Listes!$K$29:$K$31,0),MATCH(AA$117,Listes!$K$29:$O$29,0)))</f>
        <v>0</v>
      </c>
      <c r="AB137" s="45">
        <f>IF(OR(V$116=0,V$116=""),0,Z137*INDEX(Listes!$K$15:$P$26,MATCH(V$116,Listes!$K$15:$K$26,0),MATCH(AB$117,Listes!$K$15:$P$15,0))*INDEX(Listes!$K$29:$O$31,MATCH(W$116,Listes!$K$29:$K$31,0),MATCH(AB$117,Listes!$K$29:$O$29,0)))</f>
        <v>0</v>
      </c>
      <c r="AC137" s="45">
        <f>IF(OR(V$116=0,V$116=""),0,Z137*INDEX(Listes!$K$15:$P$26,MATCH(V$116,Listes!$K$15:$K$26,0),MATCH(AC$117,Listes!$K$15:$P$15,0))*INDEX(Listes!$K$29:$O$31,MATCH(W$116,Listes!$K$29:$K$31,0),MATCH(AC$117,Listes!$K$29:$O$29,0)))</f>
        <v>0</v>
      </c>
      <c r="AE137" s="472"/>
      <c r="AF137" s="3">
        <v>20</v>
      </c>
      <c r="AG137" s="45">
        <f t="shared" si="52"/>
        <v>0</v>
      </c>
      <c r="AH137" s="11">
        <f t="shared" si="53"/>
        <v>0</v>
      </c>
      <c r="AI137" s="45">
        <f>IF(OR(AH137=0,AH137="",AF$116=0),0,AH137*INDEX(Listes!$K$1:$Q$12,MATCH(AF$116,Listes!$K$1:$K$12,0),MATCH(AI$117,Listes!$K$1:$Q$1,0)))</f>
        <v>0</v>
      </c>
      <c r="AJ137" s="45">
        <f t="shared" si="54"/>
        <v>0</v>
      </c>
      <c r="AK137" s="11">
        <f>IF(OR(AF$116=0,AF$116=""),0,AJ137*INDEX(Listes!$K$15:$P$26,MATCH(AF$116,Listes!$K$15:$K$26,0),MATCH(AK$117,Listes!$K$15:$P$15,0))*INDEX(Listes!$K$29:$O$31,MATCH(AG$116,Listes!$K$29:$K$31,0),MATCH(AK$117,Listes!$K$29:$O$29,0)))</f>
        <v>0</v>
      </c>
      <c r="AL137" s="45">
        <f>IF(OR(AF$116=0,AF$116=""),0,AJ137*INDEX(Listes!$K$15:$P$26,MATCH(AF$116,Listes!$K$15:$K$26,0),MATCH(AL$117,Listes!$K$15:$P$15,0))*INDEX(Listes!$K$29:$O$31,MATCH(AG$116,Listes!$K$29:$K$31,0),MATCH(AL$117,Listes!$K$29:$O$29,0)))</f>
        <v>0</v>
      </c>
      <c r="AM137" s="45">
        <f>IF(OR(AF$116=0,AF$116=""),0,AJ137*INDEX(Listes!$K$15:$P$26,MATCH(AF$116,Listes!$K$15:$K$26,0),MATCH(AM$117,Listes!$K$15:$P$15,0))*INDEX(Listes!$K$29:$O$31,MATCH(AG$116,Listes!$K$29:$K$31,0),MATCH(AM$117,Listes!$K$29:$O$29,0)))</f>
        <v>0</v>
      </c>
      <c r="AN137" s="45"/>
      <c r="AO137" s="472"/>
      <c r="AP137" s="3">
        <v>20</v>
      </c>
      <c r="AQ137" s="11">
        <f t="shared" si="55"/>
        <v>0</v>
      </c>
      <c r="AR137" s="11">
        <f t="shared" si="55"/>
        <v>0</v>
      </c>
      <c r="AS137" s="11">
        <f t="shared" si="55"/>
        <v>0</v>
      </c>
      <c r="AT137" s="11">
        <f>AQ137*VLOOKUP(AQ$117,Tableau17[],4,FALSE)+AR137*VLOOKUP(AR$117,Tableau17[],4,FALSE)+AS137*VLOOKUP(AS$117,Tableau17[],4,FALSE)</f>
        <v>0</v>
      </c>
      <c r="AU137" s="11">
        <f>AQ137*VLOOKUP(AQ$117,Tableau17[],3,FALSE)+AR137*VLOOKUP(AR$117,Tableau17[],3,FALSE)+AS137*VLOOKUP(AS$117,Tableau17[],3,FALSE)</f>
        <v>0</v>
      </c>
      <c r="AW137" s="11"/>
      <c r="AX137" s="113"/>
    </row>
    <row r="139" spans="1:52" x14ac:dyDescent="0.2">
      <c r="A139" s="134" t="s">
        <v>633</v>
      </c>
      <c r="B139" s="134"/>
      <c r="C139" s="134"/>
      <c r="D139" s="134"/>
      <c r="E139" s="134"/>
      <c r="F139" s="134"/>
      <c r="G139" s="134"/>
      <c r="H139" s="134"/>
      <c r="I139" s="134"/>
      <c r="J139" s="134"/>
      <c r="K139" s="134"/>
      <c r="L139" s="134"/>
      <c r="M139" s="133"/>
      <c r="N139" s="133"/>
      <c r="O139" s="133"/>
      <c r="P139" s="133"/>
      <c r="Q139" s="133"/>
      <c r="R139" s="133"/>
      <c r="S139" s="133"/>
      <c r="T139" s="133"/>
      <c r="U139" s="133"/>
      <c r="V139" s="133"/>
      <c r="W139" s="133"/>
      <c r="X139" s="133"/>
      <c r="Y139" s="133"/>
      <c r="Z139" s="133"/>
      <c r="AA139" s="133"/>
      <c r="AB139" s="133"/>
      <c r="AC139" s="133"/>
      <c r="AD139" s="133"/>
      <c r="AE139" s="133"/>
      <c r="AF139" s="133"/>
      <c r="AG139" s="133"/>
      <c r="AH139" s="133"/>
      <c r="AI139" s="133"/>
      <c r="AJ139" s="133"/>
      <c r="AK139" s="133"/>
      <c r="AL139" s="133"/>
      <c r="AM139" s="133"/>
      <c r="AN139" s="133"/>
      <c r="AO139" s="133"/>
      <c r="AP139" s="133"/>
      <c r="AQ139" s="133"/>
      <c r="AR139" s="133"/>
      <c r="AS139" s="133"/>
      <c r="AT139" s="133"/>
      <c r="AU139" s="133"/>
      <c r="AV139" s="133"/>
      <c r="AW139" s="133"/>
      <c r="AX139" s="133"/>
      <c r="AY139" s="133"/>
      <c r="AZ139" s="133"/>
    </row>
    <row r="141" spans="1:52" x14ac:dyDescent="0.2">
      <c r="A141" s="472" t="s">
        <v>183</v>
      </c>
      <c r="B141" s="3" t="s">
        <v>28</v>
      </c>
      <c r="C141" s="3">
        <v>1</v>
      </c>
      <c r="D141" s="3">
        <v>2</v>
      </c>
      <c r="E141" s="3">
        <v>3</v>
      </c>
      <c r="F141" s="3">
        <v>4</v>
      </c>
      <c r="G141" s="3">
        <v>5</v>
      </c>
      <c r="H141" s="3">
        <v>6</v>
      </c>
      <c r="I141" s="3">
        <v>7</v>
      </c>
      <c r="J141" s="3">
        <v>8</v>
      </c>
      <c r="K141" s="3">
        <v>9</v>
      </c>
      <c r="L141" s="3">
        <v>10</v>
      </c>
      <c r="M141" s="3">
        <v>11</v>
      </c>
      <c r="N141" s="3">
        <v>12</v>
      </c>
      <c r="O141" s="3">
        <v>13</v>
      </c>
      <c r="P141" s="3">
        <v>14</v>
      </c>
      <c r="Q141" s="3">
        <v>15</v>
      </c>
      <c r="R141" s="3">
        <v>16</v>
      </c>
      <c r="S141" s="3">
        <v>17</v>
      </c>
      <c r="T141" s="3">
        <v>18</v>
      </c>
      <c r="U141" s="3">
        <v>19</v>
      </c>
      <c r="V141" s="3">
        <v>20</v>
      </c>
    </row>
    <row r="142" spans="1:52" x14ac:dyDescent="0.2">
      <c r="A142" s="472"/>
      <c r="B142" s="3" t="s">
        <v>86</v>
      </c>
      <c r="C142" s="11">
        <f>VLOOKUP(C141,$AP$118:$AU$137,6,FALSE)</f>
        <v>0</v>
      </c>
      <c r="D142" s="11">
        <f t="shared" ref="D142:V142" si="58">VLOOKUP(D141,$AP$118:$AU$137,6,FALSE)</f>
        <v>0</v>
      </c>
      <c r="E142" s="11">
        <f t="shared" si="58"/>
        <v>0</v>
      </c>
      <c r="F142" s="11">
        <f t="shared" si="58"/>
        <v>0</v>
      </c>
      <c r="G142" s="11">
        <f t="shared" si="58"/>
        <v>0</v>
      </c>
      <c r="H142" s="11">
        <f t="shared" si="58"/>
        <v>0</v>
      </c>
      <c r="I142" s="11">
        <f t="shared" si="58"/>
        <v>0</v>
      </c>
      <c r="J142" s="11">
        <f t="shared" si="58"/>
        <v>0</v>
      </c>
      <c r="K142" s="11">
        <f t="shared" si="58"/>
        <v>0</v>
      </c>
      <c r="L142" s="11">
        <f t="shared" si="58"/>
        <v>0</v>
      </c>
      <c r="M142" s="11">
        <f t="shared" si="58"/>
        <v>0</v>
      </c>
      <c r="N142" s="11">
        <f t="shared" si="58"/>
        <v>0</v>
      </c>
      <c r="O142" s="11">
        <f t="shared" si="58"/>
        <v>0</v>
      </c>
      <c r="P142" s="11">
        <f t="shared" si="58"/>
        <v>0</v>
      </c>
      <c r="Q142" s="11">
        <f t="shared" si="58"/>
        <v>0</v>
      </c>
      <c r="R142" s="11">
        <f t="shared" si="58"/>
        <v>0</v>
      </c>
      <c r="S142" s="11">
        <f t="shared" si="58"/>
        <v>0</v>
      </c>
      <c r="T142" s="11">
        <f t="shared" si="58"/>
        <v>0</v>
      </c>
      <c r="U142" s="11">
        <f t="shared" si="58"/>
        <v>0</v>
      </c>
      <c r="V142" s="11">
        <f t="shared" si="58"/>
        <v>0</v>
      </c>
      <c r="W142" s="11"/>
      <c r="X142" s="11"/>
      <c r="Y142" s="11"/>
      <c r="Z142" s="11"/>
      <c r="AA142" s="11"/>
      <c r="AB142" s="11"/>
      <c r="AC142" s="11"/>
      <c r="AD142" s="11"/>
      <c r="AE142" s="11"/>
      <c r="AF142" s="11"/>
    </row>
    <row r="144" spans="1:52" ht="16" customHeight="1" x14ac:dyDescent="0.2">
      <c r="A144" s="472" t="str">
        <f>CONCATENATE("ST_REF_",C1)</f>
        <v>ST_REF_D</v>
      </c>
      <c r="B144" s="3" t="s">
        <v>28</v>
      </c>
      <c r="C144" s="3" t="s">
        <v>27</v>
      </c>
      <c r="D144" s="3" t="s">
        <v>29</v>
      </c>
      <c r="E144" s="3" t="s">
        <v>30</v>
      </c>
      <c r="F144" s="3" t="s">
        <v>31</v>
      </c>
      <c r="G144" s="3" t="s">
        <v>32</v>
      </c>
      <c r="H144" s="3" t="s">
        <v>33</v>
      </c>
      <c r="I144" s="3" t="s">
        <v>34</v>
      </c>
      <c r="J144" s="3" t="s">
        <v>35</v>
      </c>
      <c r="K144" s="3" t="s">
        <v>36</v>
      </c>
      <c r="L144" s="3" t="s">
        <v>37</v>
      </c>
      <c r="M144" s="3" t="s">
        <v>38</v>
      </c>
      <c r="N144" s="3" t="s">
        <v>39</v>
      </c>
      <c r="O144" s="3" t="s">
        <v>40</v>
      </c>
      <c r="P144" s="3" t="s">
        <v>41</v>
      </c>
      <c r="Q144" s="3" t="s">
        <v>42</v>
      </c>
      <c r="R144" s="3" t="s">
        <v>43</v>
      </c>
      <c r="S144" s="3" t="s">
        <v>44</v>
      </c>
      <c r="T144" s="3" t="s">
        <v>45</v>
      </c>
      <c r="U144" s="3" t="s">
        <v>46</v>
      </c>
      <c r="V144" s="3" t="s">
        <v>47</v>
      </c>
      <c r="W144" s="3" t="s">
        <v>48</v>
      </c>
      <c r="X144" s="3" t="s">
        <v>49</v>
      </c>
    </row>
    <row r="145" spans="1:24" x14ac:dyDescent="0.2">
      <c r="A145" s="472"/>
      <c r="B145" s="3">
        <v>1</v>
      </c>
      <c r="C145" s="45">
        <f t="shared" ref="C145:C164" si="59">AT118+IF($B145=1,0,C144)</f>
        <v>0</v>
      </c>
      <c r="D145" s="45">
        <f t="shared" ref="D145:W157" si="60">IF($B145&gt;=C$141,IF($B145=C$141,C$142,C$142*((20+C$141)-$B145)/20),0)*IF((20+C$141)-$B145&lt;0,0,1)</f>
        <v>0</v>
      </c>
      <c r="E145" s="45">
        <f t="shared" si="60"/>
        <v>0</v>
      </c>
      <c r="F145" s="45">
        <f t="shared" si="60"/>
        <v>0</v>
      </c>
      <c r="G145" s="45">
        <f t="shared" si="60"/>
        <v>0</v>
      </c>
      <c r="H145" s="45">
        <f t="shared" si="60"/>
        <v>0</v>
      </c>
      <c r="I145" s="45">
        <f t="shared" si="60"/>
        <v>0</v>
      </c>
      <c r="J145" s="45">
        <f t="shared" si="60"/>
        <v>0</v>
      </c>
      <c r="K145" s="45">
        <f t="shared" si="60"/>
        <v>0</v>
      </c>
      <c r="L145" s="45">
        <f t="shared" si="60"/>
        <v>0</v>
      </c>
      <c r="M145" s="45">
        <f t="shared" si="60"/>
        <v>0</v>
      </c>
      <c r="N145" s="45">
        <f t="shared" si="60"/>
        <v>0</v>
      </c>
      <c r="O145" s="45">
        <f t="shared" si="60"/>
        <v>0</v>
      </c>
      <c r="P145" s="45">
        <f t="shared" si="60"/>
        <v>0</v>
      </c>
      <c r="Q145" s="45">
        <f t="shared" si="60"/>
        <v>0</v>
      </c>
      <c r="R145" s="45">
        <f t="shared" si="60"/>
        <v>0</v>
      </c>
      <c r="S145" s="45">
        <f t="shared" si="60"/>
        <v>0</v>
      </c>
      <c r="T145" s="45">
        <f t="shared" si="60"/>
        <v>0</v>
      </c>
      <c r="U145" s="45">
        <f t="shared" si="60"/>
        <v>0</v>
      </c>
      <c r="V145" s="45">
        <f t="shared" si="60"/>
        <v>0</v>
      </c>
      <c r="W145" s="45">
        <f t="shared" si="60"/>
        <v>0</v>
      </c>
      <c r="X145" s="45">
        <f>SUM(C145:W145)*44/12</f>
        <v>0</v>
      </c>
    </row>
    <row r="146" spans="1:24" x14ac:dyDescent="0.2">
      <c r="A146" s="472"/>
      <c r="B146" s="3">
        <v>2</v>
      </c>
      <c r="C146" s="11">
        <f t="shared" si="59"/>
        <v>0</v>
      </c>
      <c r="D146" s="45">
        <f t="shared" si="60"/>
        <v>0</v>
      </c>
      <c r="E146" s="45">
        <f t="shared" si="60"/>
        <v>0</v>
      </c>
      <c r="F146" s="45">
        <f t="shared" si="60"/>
        <v>0</v>
      </c>
      <c r="G146" s="45">
        <f t="shared" si="60"/>
        <v>0</v>
      </c>
      <c r="H146" s="45">
        <f t="shared" si="60"/>
        <v>0</v>
      </c>
      <c r="I146" s="45">
        <f t="shared" si="60"/>
        <v>0</v>
      </c>
      <c r="J146" s="45">
        <f t="shared" si="60"/>
        <v>0</v>
      </c>
      <c r="K146" s="45">
        <f t="shared" si="60"/>
        <v>0</v>
      </c>
      <c r="L146" s="45">
        <f t="shared" si="60"/>
        <v>0</v>
      </c>
      <c r="M146" s="11">
        <f t="shared" si="60"/>
        <v>0</v>
      </c>
      <c r="N146" s="11">
        <f t="shared" si="60"/>
        <v>0</v>
      </c>
      <c r="O146" s="11">
        <f t="shared" si="60"/>
        <v>0</v>
      </c>
      <c r="P146" s="11">
        <f t="shared" si="60"/>
        <v>0</v>
      </c>
      <c r="Q146" s="11">
        <f t="shared" si="60"/>
        <v>0</v>
      </c>
      <c r="R146" s="11">
        <f t="shared" si="60"/>
        <v>0</v>
      </c>
      <c r="S146" s="11">
        <f t="shared" si="60"/>
        <v>0</v>
      </c>
      <c r="T146" s="11">
        <f t="shared" si="60"/>
        <v>0</v>
      </c>
      <c r="U146" s="11">
        <f t="shared" si="60"/>
        <v>0</v>
      </c>
      <c r="V146" s="11">
        <f t="shared" si="60"/>
        <v>0</v>
      </c>
      <c r="W146" s="11">
        <f t="shared" si="60"/>
        <v>0</v>
      </c>
      <c r="X146" s="45">
        <f t="shared" ref="X146:X164" si="61">SUM(C146:W146)*44/12</f>
        <v>0</v>
      </c>
    </row>
    <row r="147" spans="1:24" x14ac:dyDescent="0.2">
      <c r="A147" s="472"/>
      <c r="B147" s="3">
        <v>3</v>
      </c>
      <c r="C147" s="11">
        <f t="shared" si="59"/>
        <v>0</v>
      </c>
      <c r="D147" s="45">
        <f t="shared" si="60"/>
        <v>0</v>
      </c>
      <c r="E147" s="45">
        <f t="shared" si="60"/>
        <v>0</v>
      </c>
      <c r="F147" s="45">
        <f t="shared" si="60"/>
        <v>0</v>
      </c>
      <c r="G147" s="45">
        <f t="shared" si="60"/>
        <v>0</v>
      </c>
      <c r="H147" s="45">
        <f t="shared" si="60"/>
        <v>0</v>
      </c>
      <c r="I147" s="45">
        <f t="shared" si="60"/>
        <v>0</v>
      </c>
      <c r="J147" s="45">
        <f t="shared" si="60"/>
        <v>0</v>
      </c>
      <c r="K147" s="45">
        <f t="shared" si="60"/>
        <v>0</v>
      </c>
      <c r="L147" s="45">
        <f t="shared" si="60"/>
        <v>0</v>
      </c>
      <c r="M147" s="11">
        <f t="shared" si="60"/>
        <v>0</v>
      </c>
      <c r="N147" s="11">
        <f t="shared" si="60"/>
        <v>0</v>
      </c>
      <c r="O147" s="11">
        <f t="shared" si="60"/>
        <v>0</v>
      </c>
      <c r="P147" s="11">
        <f t="shared" si="60"/>
        <v>0</v>
      </c>
      <c r="Q147" s="11">
        <f t="shared" si="60"/>
        <v>0</v>
      </c>
      <c r="R147" s="11">
        <f t="shared" si="60"/>
        <v>0</v>
      </c>
      <c r="S147" s="11">
        <f t="shared" si="60"/>
        <v>0</v>
      </c>
      <c r="T147" s="11">
        <f t="shared" si="60"/>
        <v>0</v>
      </c>
      <c r="U147" s="11">
        <f t="shared" si="60"/>
        <v>0</v>
      </c>
      <c r="V147" s="11">
        <f t="shared" si="60"/>
        <v>0</v>
      </c>
      <c r="W147" s="11">
        <f t="shared" si="60"/>
        <v>0</v>
      </c>
      <c r="X147" s="45">
        <f t="shared" si="61"/>
        <v>0</v>
      </c>
    </row>
    <row r="148" spans="1:24" x14ac:dyDescent="0.2">
      <c r="A148" s="472"/>
      <c r="B148" s="3">
        <v>4</v>
      </c>
      <c r="C148" s="11">
        <f t="shared" si="59"/>
        <v>0</v>
      </c>
      <c r="D148" s="45">
        <f t="shared" si="60"/>
        <v>0</v>
      </c>
      <c r="E148" s="45">
        <f t="shared" si="60"/>
        <v>0</v>
      </c>
      <c r="F148" s="45">
        <f t="shared" si="60"/>
        <v>0</v>
      </c>
      <c r="G148" s="45">
        <f t="shared" si="60"/>
        <v>0</v>
      </c>
      <c r="H148" s="45">
        <f t="shared" si="60"/>
        <v>0</v>
      </c>
      <c r="I148" s="45">
        <f t="shared" si="60"/>
        <v>0</v>
      </c>
      <c r="J148" s="45">
        <f t="shared" si="60"/>
        <v>0</v>
      </c>
      <c r="K148" s="45">
        <f t="shared" si="60"/>
        <v>0</v>
      </c>
      <c r="L148" s="45">
        <f t="shared" si="60"/>
        <v>0</v>
      </c>
      <c r="M148" s="11">
        <f t="shared" si="60"/>
        <v>0</v>
      </c>
      <c r="N148" s="11">
        <f t="shared" si="60"/>
        <v>0</v>
      </c>
      <c r="O148" s="11">
        <f t="shared" si="60"/>
        <v>0</v>
      </c>
      <c r="P148" s="11">
        <f t="shared" si="60"/>
        <v>0</v>
      </c>
      <c r="Q148" s="11">
        <f t="shared" si="60"/>
        <v>0</v>
      </c>
      <c r="R148" s="11">
        <f t="shared" si="60"/>
        <v>0</v>
      </c>
      <c r="S148" s="11">
        <f t="shared" si="60"/>
        <v>0</v>
      </c>
      <c r="T148" s="11">
        <f t="shared" si="60"/>
        <v>0</v>
      </c>
      <c r="U148" s="11">
        <f t="shared" si="60"/>
        <v>0</v>
      </c>
      <c r="V148" s="11">
        <f t="shared" si="60"/>
        <v>0</v>
      </c>
      <c r="W148" s="11">
        <f t="shared" si="60"/>
        <v>0</v>
      </c>
      <c r="X148" s="45">
        <f t="shared" si="61"/>
        <v>0</v>
      </c>
    </row>
    <row r="149" spans="1:24" x14ac:dyDescent="0.2">
      <c r="A149" s="472"/>
      <c r="B149" s="3">
        <v>5</v>
      </c>
      <c r="C149" s="11">
        <f t="shared" si="59"/>
        <v>0</v>
      </c>
      <c r="D149" s="45">
        <f t="shared" si="60"/>
        <v>0</v>
      </c>
      <c r="E149" s="45">
        <f t="shared" si="60"/>
        <v>0</v>
      </c>
      <c r="F149" s="45">
        <f t="shared" si="60"/>
        <v>0</v>
      </c>
      <c r="G149" s="45">
        <f t="shared" si="60"/>
        <v>0</v>
      </c>
      <c r="H149" s="45">
        <f t="shared" si="60"/>
        <v>0</v>
      </c>
      <c r="I149" s="45">
        <f t="shared" si="60"/>
        <v>0</v>
      </c>
      <c r="J149" s="45">
        <f t="shared" si="60"/>
        <v>0</v>
      </c>
      <c r="K149" s="45">
        <f t="shared" si="60"/>
        <v>0</v>
      </c>
      <c r="L149" s="45">
        <f t="shared" si="60"/>
        <v>0</v>
      </c>
      <c r="M149" s="11">
        <f t="shared" si="60"/>
        <v>0</v>
      </c>
      <c r="N149" s="11">
        <f t="shared" si="60"/>
        <v>0</v>
      </c>
      <c r="O149" s="11">
        <f t="shared" si="60"/>
        <v>0</v>
      </c>
      <c r="P149" s="11">
        <f t="shared" si="60"/>
        <v>0</v>
      </c>
      <c r="Q149" s="11">
        <f t="shared" si="60"/>
        <v>0</v>
      </c>
      <c r="R149" s="11">
        <f t="shared" si="60"/>
        <v>0</v>
      </c>
      <c r="S149" s="11">
        <f t="shared" si="60"/>
        <v>0</v>
      </c>
      <c r="T149" s="11">
        <f t="shared" si="60"/>
        <v>0</v>
      </c>
      <c r="U149" s="11">
        <f t="shared" si="60"/>
        <v>0</v>
      </c>
      <c r="V149" s="11">
        <f t="shared" si="60"/>
        <v>0</v>
      </c>
      <c r="W149" s="11">
        <f t="shared" si="60"/>
        <v>0</v>
      </c>
      <c r="X149" s="45">
        <f t="shared" si="61"/>
        <v>0</v>
      </c>
    </row>
    <row r="150" spans="1:24" x14ac:dyDescent="0.2">
      <c r="A150" s="472"/>
      <c r="B150" s="3">
        <v>6</v>
      </c>
      <c r="C150" s="11">
        <f t="shared" si="59"/>
        <v>0</v>
      </c>
      <c r="D150" s="45">
        <f t="shared" si="60"/>
        <v>0</v>
      </c>
      <c r="E150" s="45">
        <f t="shared" si="60"/>
        <v>0</v>
      </c>
      <c r="F150" s="45">
        <f t="shared" si="60"/>
        <v>0</v>
      </c>
      <c r="G150" s="45">
        <f t="shared" si="60"/>
        <v>0</v>
      </c>
      <c r="H150" s="45">
        <f t="shared" si="60"/>
        <v>0</v>
      </c>
      <c r="I150" s="45">
        <f t="shared" si="60"/>
        <v>0</v>
      </c>
      <c r="J150" s="45">
        <f t="shared" si="60"/>
        <v>0</v>
      </c>
      <c r="K150" s="45">
        <f t="shared" si="60"/>
        <v>0</v>
      </c>
      <c r="L150" s="45">
        <f t="shared" si="60"/>
        <v>0</v>
      </c>
      <c r="M150" s="11">
        <f t="shared" si="60"/>
        <v>0</v>
      </c>
      <c r="N150" s="11">
        <f t="shared" si="60"/>
        <v>0</v>
      </c>
      <c r="O150" s="11">
        <f t="shared" si="60"/>
        <v>0</v>
      </c>
      <c r="P150" s="11">
        <f t="shared" si="60"/>
        <v>0</v>
      </c>
      <c r="Q150" s="11">
        <f t="shared" si="60"/>
        <v>0</v>
      </c>
      <c r="R150" s="11">
        <f t="shared" si="60"/>
        <v>0</v>
      </c>
      <c r="S150" s="11">
        <f t="shared" si="60"/>
        <v>0</v>
      </c>
      <c r="T150" s="11">
        <f t="shared" si="60"/>
        <v>0</v>
      </c>
      <c r="U150" s="11">
        <f t="shared" si="60"/>
        <v>0</v>
      </c>
      <c r="V150" s="11">
        <f t="shared" si="60"/>
        <v>0</v>
      </c>
      <c r="W150" s="11">
        <f t="shared" si="60"/>
        <v>0</v>
      </c>
      <c r="X150" s="45">
        <f t="shared" si="61"/>
        <v>0</v>
      </c>
    </row>
    <row r="151" spans="1:24" x14ac:dyDescent="0.2">
      <c r="A151" s="472"/>
      <c r="B151" s="3">
        <v>7</v>
      </c>
      <c r="C151" s="11">
        <f t="shared" si="59"/>
        <v>0</v>
      </c>
      <c r="D151" s="45">
        <f t="shared" si="60"/>
        <v>0</v>
      </c>
      <c r="E151" s="45">
        <f t="shared" si="60"/>
        <v>0</v>
      </c>
      <c r="F151" s="45">
        <f t="shared" si="60"/>
        <v>0</v>
      </c>
      <c r="G151" s="45">
        <f t="shared" si="60"/>
        <v>0</v>
      </c>
      <c r="H151" s="45">
        <f t="shared" si="60"/>
        <v>0</v>
      </c>
      <c r="I151" s="45">
        <f t="shared" si="60"/>
        <v>0</v>
      </c>
      <c r="J151" s="45">
        <f t="shared" si="60"/>
        <v>0</v>
      </c>
      <c r="K151" s="45">
        <f t="shared" si="60"/>
        <v>0</v>
      </c>
      <c r="L151" s="45">
        <f t="shared" si="60"/>
        <v>0</v>
      </c>
      <c r="M151" s="11">
        <f t="shared" si="60"/>
        <v>0</v>
      </c>
      <c r="N151" s="11">
        <f t="shared" si="60"/>
        <v>0</v>
      </c>
      <c r="O151" s="11">
        <f t="shared" si="60"/>
        <v>0</v>
      </c>
      <c r="P151" s="11">
        <f t="shared" si="60"/>
        <v>0</v>
      </c>
      <c r="Q151" s="11">
        <f t="shared" si="60"/>
        <v>0</v>
      </c>
      <c r="R151" s="11">
        <f t="shared" si="60"/>
        <v>0</v>
      </c>
      <c r="S151" s="11">
        <f t="shared" si="60"/>
        <v>0</v>
      </c>
      <c r="T151" s="11">
        <f t="shared" si="60"/>
        <v>0</v>
      </c>
      <c r="U151" s="11">
        <f t="shared" si="60"/>
        <v>0</v>
      </c>
      <c r="V151" s="11">
        <f t="shared" si="60"/>
        <v>0</v>
      </c>
      <c r="W151" s="11">
        <f t="shared" si="60"/>
        <v>0</v>
      </c>
      <c r="X151" s="45">
        <f t="shared" si="61"/>
        <v>0</v>
      </c>
    </row>
    <row r="152" spans="1:24" x14ac:dyDescent="0.2">
      <c r="A152" s="472"/>
      <c r="B152" s="3">
        <v>8</v>
      </c>
      <c r="C152" s="11">
        <f t="shared" si="59"/>
        <v>0</v>
      </c>
      <c r="D152" s="45">
        <f t="shared" si="60"/>
        <v>0</v>
      </c>
      <c r="E152" s="45">
        <f t="shared" si="60"/>
        <v>0</v>
      </c>
      <c r="F152" s="45">
        <f t="shared" si="60"/>
        <v>0</v>
      </c>
      <c r="G152" s="45">
        <f t="shared" si="60"/>
        <v>0</v>
      </c>
      <c r="H152" s="45">
        <f t="shared" si="60"/>
        <v>0</v>
      </c>
      <c r="I152" s="45">
        <f t="shared" si="60"/>
        <v>0</v>
      </c>
      <c r="J152" s="45">
        <f t="shared" si="60"/>
        <v>0</v>
      </c>
      <c r="K152" s="45">
        <f t="shared" si="60"/>
        <v>0</v>
      </c>
      <c r="L152" s="45">
        <f t="shared" si="60"/>
        <v>0</v>
      </c>
      <c r="M152" s="11">
        <f t="shared" si="60"/>
        <v>0</v>
      </c>
      <c r="N152" s="11">
        <f t="shared" si="60"/>
        <v>0</v>
      </c>
      <c r="O152" s="11">
        <f t="shared" si="60"/>
        <v>0</v>
      </c>
      <c r="P152" s="11">
        <f t="shared" si="60"/>
        <v>0</v>
      </c>
      <c r="Q152" s="11">
        <f t="shared" si="60"/>
        <v>0</v>
      </c>
      <c r="R152" s="11">
        <f t="shared" si="60"/>
        <v>0</v>
      </c>
      <c r="S152" s="11">
        <f t="shared" si="60"/>
        <v>0</v>
      </c>
      <c r="T152" s="11">
        <f t="shared" si="60"/>
        <v>0</v>
      </c>
      <c r="U152" s="11">
        <f t="shared" si="60"/>
        <v>0</v>
      </c>
      <c r="V152" s="11">
        <f t="shared" si="60"/>
        <v>0</v>
      </c>
      <c r="W152" s="11">
        <f t="shared" si="60"/>
        <v>0</v>
      </c>
      <c r="X152" s="45">
        <f t="shared" si="61"/>
        <v>0</v>
      </c>
    </row>
    <row r="153" spans="1:24" x14ac:dyDescent="0.2">
      <c r="A153" s="472"/>
      <c r="B153" s="3">
        <v>9</v>
      </c>
      <c r="C153" s="11">
        <f t="shared" si="59"/>
        <v>0</v>
      </c>
      <c r="D153" s="45">
        <f t="shared" si="60"/>
        <v>0</v>
      </c>
      <c r="E153" s="45">
        <f t="shared" si="60"/>
        <v>0</v>
      </c>
      <c r="F153" s="45">
        <f t="shared" si="60"/>
        <v>0</v>
      </c>
      <c r="G153" s="45">
        <f t="shared" si="60"/>
        <v>0</v>
      </c>
      <c r="H153" s="45">
        <f t="shared" si="60"/>
        <v>0</v>
      </c>
      <c r="I153" s="45">
        <f t="shared" si="60"/>
        <v>0</v>
      </c>
      <c r="J153" s="45">
        <f t="shared" si="60"/>
        <v>0</v>
      </c>
      <c r="K153" s="45">
        <f t="shared" si="60"/>
        <v>0</v>
      </c>
      <c r="L153" s="45">
        <f t="shared" si="60"/>
        <v>0</v>
      </c>
      <c r="M153" s="11">
        <f t="shared" si="60"/>
        <v>0</v>
      </c>
      <c r="N153" s="11">
        <f t="shared" si="60"/>
        <v>0</v>
      </c>
      <c r="O153" s="11">
        <f t="shared" si="60"/>
        <v>0</v>
      </c>
      <c r="P153" s="11">
        <f t="shared" si="60"/>
        <v>0</v>
      </c>
      <c r="Q153" s="11">
        <f t="shared" si="60"/>
        <v>0</v>
      </c>
      <c r="R153" s="11">
        <f t="shared" si="60"/>
        <v>0</v>
      </c>
      <c r="S153" s="11">
        <f t="shared" si="60"/>
        <v>0</v>
      </c>
      <c r="T153" s="11">
        <f t="shared" si="60"/>
        <v>0</v>
      </c>
      <c r="U153" s="11">
        <f t="shared" si="60"/>
        <v>0</v>
      </c>
      <c r="V153" s="11">
        <f t="shared" si="60"/>
        <v>0</v>
      </c>
      <c r="W153" s="11">
        <f t="shared" si="60"/>
        <v>0</v>
      </c>
      <c r="X153" s="45">
        <f t="shared" si="61"/>
        <v>0</v>
      </c>
    </row>
    <row r="154" spans="1:24" x14ac:dyDescent="0.2">
      <c r="A154" s="472"/>
      <c r="B154" s="3">
        <v>10</v>
      </c>
      <c r="C154" s="11">
        <f t="shared" si="59"/>
        <v>0</v>
      </c>
      <c r="D154" s="45">
        <f t="shared" si="60"/>
        <v>0</v>
      </c>
      <c r="E154" s="45">
        <f t="shared" si="60"/>
        <v>0</v>
      </c>
      <c r="F154" s="45">
        <f t="shared" si="60"/>
        <v>0</v>
      </c>
      <c r="G154" s="45">
        <f t="shared" si="60"/>
        <v>0</v>
      </c>
      <c r="H154" s="45">
        <f t="shared" si="60"/>
        <v>0</v>
      </c>
      <c r="I154" s="45">
        <f t="shared" si="60"/>
        <v>0</v>
      </c>
      <c r="J154" s="45">
        <f t="shared" si="60"/>
        <v>0</v>
      </c>
      <c r="K154" s="45">
        <f t="shared" si="60"/>
        <v>0</v>
      </c>
      <c r="L154" s="45">
        <f t="shared" si="60"/>
        <v>0</v>
      </c>
      <c r="M154" s="11">
        <f t="shared" si="60"/>
        <v>0</v>
      </c>
      <c r="N154" s="11">
        <f t="shared" si="60"/>
        <v>0</v>
      </c>
      <c r="O154" s="11">
        <f t="shared" si="60"/>
        <v>0</v>
      </c>
      <c r="P154" s="11">
        <f t="shared" si="60"/>
        <v>0</v>
      </c>
      <c r="Q154" s="11">
        <f t="shared" si="60"/>
        <v>0</v>
      </c>
      <c r="R154" s="11">
        <f t="shared" si="60"/>
        <v>0</v>
      </c>
      <c r="S154" s="11">
        <f t="shared" si="60"/>
        <v>0</v>
      </c>
      <c r="T154" s="11">
        <f t="shared" si="60"/>
        <v>0</v>
      </c>
      <c r="U154" s="11">
        <f t="shared" si="60"/>
        <v>0</v>
      </c>
      <c r="V154" s="11">
        <f t="shared" si="60"/>
        <v>0</v>
      </c>
      <c r="W154" s="11">
        <f t="shared" si="60"/>
        <v>0</v>
      </c>
      <c r="X154" s="45">
        <f t="shared" si="61"/>
        <v>0</v>
      </c>
    </row>
    <row r="155" spans="1:24" x14ac:dyDescent="0.2">
      <c r="A155" s="472"/>
      <c r="B155" s="3">
        <v>11</v>
      </c>
      <c r="C155" s="11">
        <f t="shared" si="59"/>
        <v>0</v>
      </c>
      <c r="D155" s="45">
        <f t="shared" si="60"/>
        <v>0</v>
      </c>
      <c r="E155" s="45">
        <f t="shared" si="60"/>
        <v>0</v>
      </c>
      <c r="F155" s="45">
        <f t="shared" si="60"/>
        <v>0</v>
      </c>
      <c r="G155" s="45">
        <f t="shared" si="60"/>
        <v>0</v>
      </c>
      <c r="H155" s="45">
        <f t="shared" si="60"/>
        <v>0</v>
      </c>
      <c r="I155" s="45">
        <f t="shared" si="60"/>
        <v>0</v>
      </c>
      <c r="J155" s="45">
        <f t="shared" si="60"/>
        <v>0</v>
      </c>
      <c r="K155" s="45">
        <f t="shared" si="60"/>
        <v>0</v>
      </c>
      <c r="L155" s="45">
        <f t="shared" si="60"/>
        <v>0</v>
      </c>
      <c r="M155" s="11">
        <f t="shared" si="60"/>
        <v>0</v>
      </c>
      <c r="N155" s="11">
        <f t="shared" si="60"/>
        <v>0</v>
      </c>
      <c r="O155" s="11">
        <f t="shared" si="60"/>
        <v>0</v>
      </c>
      <c r="P155" s="11">
        <f t="shared" si="60"/>
        <v>0</v>
      </c>
      <c r="Q155" s="11">
        <f t="shared" si="60"/>
        <v>0</v>
      </c>
      <c r="R155" s="11">
        <f t="shared" si="60"/>
        <v>0</v>
      </c>
      <c r="S155" s="11">
        <f t="shared" si="60"/>
        <v>0</v>
      </c>
      <c r="T155" s="11">
        <f t="shared" si="60"/>
        <v>0</v>
      </c>
      <c r="U155" s="11">
        <f t="shared" si="60"/>
        <v>0</v>
      </c>
      <c r="V155" s="11">
        <f t="shared" si="60"/>
        <v>0</v>
      </c>
      <c r="W155" s="11">
        <f t="shared" si="60"/>
        <v>0</v>
      </c>
      <c r="X155" s="45">
        <f t="shared" si="61"/>
        <v>0</v>
      </c>
    </row>
    <row r="156" spans="1:24" x14ac:dyDescent="0.2">
      <c r="A156" s="472"/>
      <c r="B156" s="3">
        <v>12</v>
      </c>
      <c r="C156" s="11">
        <f t="shared" si="59"/>
        <v>0</v>
      </c>
      <c r="D156" s="45">
        <f t="shared" si="60"/>
        <v>0</v>
      </c>
      <c r="E156" s="45">
        <f t="shared" si="60"/>
        <v>0</v>
      </c>
      <c r="F156" s="45">
        <f t="shared" si="60"/>
        <v>0</v>
      </c>
      <c r="G156" s="45">
        <f t="shared" si="60"/>
        <v>0</v>
      </c>
      <c r="H156" s="45">
        <f t="shared" si="60"/>
        <v>0</v>
      </c>
      <c r="I156" s="45">
        <f t="shared" si="60"/>
        <v>0</v>
      </c>
      <c r="J156" s="45">
        <f t="shared" si="60"/>
        <v>0</v>
      </c>
      <c r="K156" s="45">
        <f t="shared" si="60"/>
        <v>0</v>
      </c>
      <c r="L156" s="45">
        <f t="shared" si="60"/>
        <v>0</v>
      </c>
      <c r="M156" s="11">
        <f t="shared" si="60"/>
        <v>0</v>
      </c>
      <c r="N156" s="11">
        <f t="shared" si="60"/>
        <v>0</v>
      </c>
      <c r="O156" s="11">
        <f t="shared" si="60"/>
        <v>0</v>
      </c>
      <c r="P156" s="11">
        <f t="shared" si="60"/>
        <v>0</v>
      </c>
      <c r="Q156" s="11">
        <f t="shared" si="60"/>
        <v>0</v>
      </c>
      <c r="R156" s="11">
        <f t="shared" si="60"/>
        <v>0</v>
      </c>
      <c r="S156" s="11">
        <f t="shared" si="60"/>
        <v>0</v>
      </c>
      <c r="T156" s="11">
        <f t="shared" si="60"/>
        <v>0</v>
      </c>
      <c r="U156" s="11">
        <f t="shared" si="60"/>
        <v>0</v>
      </c>
      <c r="V156" s="11">
        <f t="shared" si="60"/>
        <v>0</v>
      </c>
      <c r="W156" s="11">
        <f t="shared" si="60"/>
        <v>0</v>
      </c>
      <c r="X156" s="45">
        <f t="shared" si="61"/>
        <v>0</v>
      </c>
    </row>
    <row r="157" spans="1:24" x14ac:dyDescent="0.2">
      <c r="A157" s="472"/>
      <c r="B157" s="3">
        <v>13</v>
      </c>
      <c r="C157" s="11">
        <f t="shared" si="59"/>
        <v>0</v>
      </c>
      <c r="D157" s="45">
        <f t="shared" si="60"/>
        <v>0</v>
      </c>
      <c r="E157" s="45">
        <f t="shared" si="60"/>
        <v>0</v>
      </c>
      <c r="F157" s="45">
        <f t="shared" si="60"/>
        <v>0</v>
      </c>
      <c r="G157" s="45">
        <f t="shared" si="60"/>
        <v>0</v>
      </c>
      <c r="H157" s="45">
        <f t="shared" si="60"/>
        <v>0</v>
      </c>
      <c r="I157" s="45">
        <f t="shared" si="60"/>
        <v>0</v>
      </c>
      <c r="J157" s="45">
        <f t="shared" si="60"/>
        <v>0</v>
      </c>
      <c r="K157" s="45">
        <f t="shared" si="60"/>
        <v>0</v>
      </c>
      <c r="L157" s="45">
        <f t="shared" si="60"/>
        <v>0</v>
      </c>
      <c r="M157" s="11">
        <f t="shared" si="60"/>
        <v>0</v>
      </c>
      <c r="N157" s="11">
        <f t="shared" si="60"/>
        <v>0</v>
      </c>
      <c r="O157" s="11">
        <f t="shared" si="60"/>
        <v>0</v>
      </c>
      <c r="P157" s="11">
        <f t="shared" si="60"/>
        <v>0</v>
      </c>
      <c r="Q157" s="11">
        <f t="shared" si="60"/>
        <v>0</v>
      </c>
      <c r="R157" s="11">
        <f t="shared" si="60"/>
        <v>0</v>
      </c>
      <c r="S157" s="11">
        <f t="shared" ref="S157:W164" si="62">IF($B157&gt;=R$141,IF($B157=R$141,R$142,R$142*((20+R$141)-$B157)/20),0)*IF((20+R$141)-$B157&lt;0,0,1)</f>
        <v>0</v>
      </c>
      <c r="T157" s="11">
        <f t="shared" si="62"/>
        <v>0</v>
      </c>
      <c r="U157" s="11">
        <f t="shared" si="62"/>
        <v>0</v>
      </c>
      <c r="V157" s="11">
        <f t="shared" si="62"/>
        <v>0</v>
      </c>
      <c r="W157" s="11">
        <f t="shared" si="62"/>
        <v>0</v>
      </c>
      <c r="X157" s="45">
        <f t="shared" si="61"/>
        <v>0</v>
      </c>
    </row>
    <row r="158" spans="1:24" x14ac:dyDescent="0.2">
      <c r="A158" s="472"/>
      <c r="B158" s="3">
        <v>14</v>
      </c>
      <c r="C158" s="11">
        <f t="shared" si="59"/>
        <v>0</v>
      </c>
      <c r="D158" s="45">
        <f t="shared" ref="D158:R164" si="63">IF($B158&gt;=C$141,IF($B158=C$141,C$142,C$142*((20+C$141)-$B158)/20),0)*IF((20+C$141)-$B158&lt;0,0,1)</f>
        <v>0</v>
      </c>
      <c r="E158" s="45">
        <f t="shared" si="63"/>
        <v>0</v>
      </c>
      <c r="F158" s="45">
        <f t="shared" si="63"/>
        <v>0</v>
      </c>
      <c r="G158" s="45">
        <f t="shared" si="63"/>
        <v>0</v>
      </c>
      <c r="H158" s="45">
        <f t="shared" si="63"/>
        <v>0</v>
      </c>
      <c r="I158" s="45">
        <f t="shared" si="63"/>
        <v>0</v>
      </c>
      <c r="J158" s="45">
        <f t="shared" si="63"/>
        <v>0</v>
      </c>
      <c r="K158" s="45">
        <f t="shared" si="63"/>
        <v>0</v>
      </c>
      <c r="L158" s="45">
        <f t="shared" si="63"/>
        <v>0</v>
      </c>
      <c r="M158" s="11">
        <f t="shared" si="63"/>
        <v>0</v>
      </c>
      <c r="N158" s="11">
        <f t="shared" si="63"/>
        <v>0</v>
      </c>
      <c r="O158" s="11">
        <f t="shared" si="63"/>
        <v>0</v>
      </c>
      <c r="P158" s="11">
        <f t="shared" si="63"/>
        <v>0</v>
      </c>
      <c r="Q158" s="11">
        <f t="shared" si="63"/>
        <v>0</v>
      </c>
      <c r="R158" s="11">
        <f t="shared" si="63"/>
        <v>0</v>
      </c>
      <c r="S158" s="11">
        <f t="shared" si="62"/>
        <v>0</v>
      </c>
      <c r="T158" s="11">
        <f t="shared" si="62"/>
        <v>0</v>
      </c>
      <c r="U158" s="11">
        <f t="shared" si="62"/>
        <v>0</v>
      </c>
      <c r="V158" s="11">
        <f t="shared" si="62"/>
        <v>0</v>
      </c>
      <c r="W158" s="11">
        <f t="shared" si="62"/>
        <v>0</v>
      </c>
      <c r="X158" s="45">
        <f t="shared" si="61"/>
        <v>0</v>
      </c>
    </row>
    <row r="159" spans="1:24" x14ac:dyDescent="0.2">
      <c r="A159" s="472"/>
      <c r="B159" s="3">
        <v>15</v>
      </c>
      <c r="C159" s="11">
        <f t="shared" si="59"/>
        <v>0</v>
      </c>
      <c r="D159" s="45">
        <f t="shared" si="63"/>
        <v>0</v>
      </c>
      <c r="E159" s="45">
        <f t="shared" si="63"/>
        <v>0</v>
      </c>
      <c r="F159" s="45">
        <f t="shared" si="63"/>
        <v>0</v>
      </c>
      <c r="G159" s="45">
        <f t="shared" si="63"/>
        <v>0</v>
      </c>
      <c r="H159" s="45">
        <f t="shared" si="63"/>
        <v>0</v>
      </c>
      <c r="I159" s="45">
        <f t="shared" si="63"/>
        <v>0</v>
      </c>
      <c r="J159" s="45">
        <f t="shared" si="63"/>
        <v>0</v>
      </c>
      <c r="K159" s="45">
        <f t="shared" si="63"/>
        <v>0</v>
      </c>
      <c r="L159" s="45">
        <f t="shared" si="63"/>
        <v>0</v>
      </c>
      <c r="M159" s="11">
        <f t="shared" si="63"/>
        <v>0</v>
      </c>
      <c r="N159" s="11">
        <f t="shared" si="63"/>
        <v>0</v>
      </c>
      <c r="O159" s="11">
        <f t="shared" si="63"/>
        <v>0</v>
      </c>
      <c r="P159" s="11">
        <f t="shared" si="63"/>
        <v>0</v>
      </c>
      <c r="Q159" s="11">
        <f t="shared" si="63"/>
        <v>0</v>
      </c>
      <c r="R159" s="11">
        <f t="shared" si="63"/>
        <v>0</v>
      </c>
      <c r="S159" s="11">
        <f t="shared" si="62"/>
        <v>0</v>
      </c>
      <c r="T159" s="11">
        <f t="shared" si="62"/>
        <v>0</v>
      </c>
      <c r="U159" s="11">
        <f t="shared" si="62"/>
        <v>0</v>
      </c>
      <c r="V159" s="11">
        <f t="shared" si="62"/>
        <v>0</v>
      </c>
      <c r="W159" s="11">
        <f t="shared" si="62"/>
        <v>0</v>
      </c>
      <c r="X159" s="45">
        <f t="shared" si="61"/>
        <v>0</v>
      </c>
    </row>
    <row r="160" spans="1:24" x14ac:dyDescent="0.2">
      <c r="A160" s="472"/>
      <c r="B160" s="3">
        <v>16</v>
      </c>
      <c r="C160" s="11">
        <f t="shared" si="59"/>
        <v>0</v>
      </c>
      <c r="D160" s="45">
        <f t="shared" si="63"/>
        <v>0</v>
      </c>
      <c r="E160" s="45">
        <f t="shared" si="63"/>
        <v>0</v>
      </c>
      <c r="F160" s="45">
        <f t="shared" si="63"/>
        <v>0</v>
      </c>
      <c r="G160" s="45">
        <f t="shared" si="63"/>
        <v>0</v>
      </c>
      <c r="H160" s="45">
        <f t="shared" si="63"/>
        <v>0</v>
      </c>
      <c r="I160" s="45">
        <f t="shared" si="63"/>
        <v>0</v>
      </c>
      <c r="J160" s="45">
        <f t="shared" si="63"/>
        <v>0</v>
      </c>
      <c r="K160" s="45">
        <f t="shared" si="63"/>
        <v>0</v>
      </c>
      <c r="L160" s="45">
        <f t="shared" si="63"/>
        <v>0</v>
      </c>
      <c r="M160" s="11">
        <f t="shared" si="63"/>
        <v>0</v>
      </c>
      <c r="N160" s="11">
        <f t="shared" si="63"/>
        <v>0</v>
      </c>
      <c r="O160" s="11">
        <f t="shared" si="63"/>
        <v>0</v>
      </c>
      <c r="P160" s="11">
        <f t="shared" si="63"/>
        <v>0</v>
      </c>
      <c r="Q160" s="11">
        <f t="shared" si="63"/>
        <v>0</v>
      </c>
      <c r="R160" s="11">
        <f t="shared" si="63"/>
        <v>0</v>
      </c>
      <c r="S160" s="11">
        <f t="shared" si="62"/>
        <v>0</v>
      </c>
      <c r="T160" s="11">
        <f t="shared" si="62"/>
        <v>0</v>
      </c>
      <c r="U160" s="11">
        <f t="shared" si="62"/>
        <v>0</v>
      </c>
      <c r="V160" s="11">
        <f t="shared" si="62"/>
        <v>0</v>
      </c>
      <c r="W160" s="11">
        <f t="shared" si="62"/>
        <v>0</v>
      </c>
      <c r="X160" s="45">
        <f t="shared" si="61"/>
        <v>0</v>
      </c>
    </row>
    <row r="161" spans="1:52" x14ac:dyDescent="0.2">
      <c r="A161" s="472"/>
      <c r="B161" s="3">
        <v>17</v>
      </c>
      <c r="C161" s="11">
        <f t="shared" si="59"/>
        <v>0</v>
      </c>
      <c r="D161" s="45">
        <f t="shared" si="63"/>
        <v>0</v>
      </c>
      <c r="E161" s="45">
        <f t="shared" si="63"/>
        <v>0</v>
      </c>
      <c r="F161" s="45">
        <f t="shared" si="63"/>
        <v>0</v>
      </c>
      <c r="G161" s="45">
        <f t="shared" si="63"/>
        <v>0</v>
      </c>
      <c r="H161" s="45">
        <f t="shared" si="63"/>
        <v>0</v>
      </c>
      <c r="I161" s="45">
        <f t="shared" si="63"/>
        <v>0</v>
      </c>
      <c r="J161" s="45">
        <f t="shared" si="63"/>
        <v>0</v>
      </c>
      <c r="K161" s="45">
        <f t="shared" si="63"/>
        <v>0</v>
      </c>
      <c r="L161" s="45">
        <f t="shared" si="63"/>
        <v>0</v>
      </c>
      <c r="M161" s="11">
        <f t="shared" si="63"/>
        <v>0</v>
      </c>
      <c r="N161" s="11">
        <f t="shared" si="63"/>
        <v>0</v>
      </c>
      <c r="O161" s="11">
        <f t="shared" si="63"/>
        <v>0</v>
      </c>
      <c r="P161" s="11">
        <f t="shared" si="63"/>
        <v>0</v>
      </c>
      <c r="Q161" s="11">
        <f t="shared" si="63"/>
        <v>0</v>
      </c>
      <c r="R161" s="11">
        <f t="shared" si="63"/>
        <v>0</v>
      </c>
      <c r="S161" s="11">
        <f t="shared" si="62"/>
        <v>0</v>
      </c>
      <c r="T161" s="11">
        <f t="shared" si="62"/>
        <v>0</v>
      </c>
      <c r="U161" s="11">
        <f t="shared" si="62"/>
        <v>0</v>
      </c>
      <c r="V161" s="11">
        <f t="shared" si="62"/>
        <v>0</v>
      </c>
      <c r="W161" s="11">
        <f t="shared" si="62"/>
        <v>0</v>
      </c>
      <c r="X161" s="45">
        <f t="shared" si="61"/>
        <v>0</v>
      </c>
    </row>
    <row r="162" spans="1:52" x14ac:dyDescent="0.2">
      <c r="A162" s="472"/>
      <c r="B162" s="3">
        <v>18</v>
      </c>
      <c r="C162" s="11">
        <f t="shared" si="59"/>
        <v>0</v>
      </c>
      <c r="D162" s="45">
        <f t="shared" si="63"/>
        <v>0</v>
      </c>
      <c r="E162" s="45">
        <f t="shared" si="63"/>
        <v>0</v>
      </c>
      <c r="F162" s="45">
        <f t="shared" si="63"/>
        <v>0</v>
      </c>
      <c r="G162" s="45">
        <f t="shared" si="63"/>
        <v>0</v>
      </c>
      <c r="H162" s="45">
        <f t="shared" si="63"/>
        <v>0</v>
      </c>
      <c r="I162" s="45">
        <f t="shared" si="63"/>
        <v>0</v>
      </c>
      <c r="J162" s="45">
        <f t="shared" si="63"/>
        <v>0</v>
      </c>
      <c r="K162" s="45">
        <f t="shared" si="63"/>
        <v>0</v>
      </c>
      <c r="L162" s="45">
        <f t="shared" si="63"/>
        <v>0</v>
      </c>
      <c r="M162" s="11">
        <f t="shared" si="63"/>
        <v>0</v>
      </c>
      <c r="N162" s="11">
        <f t="shared" si="63"/>
        <v>0</v>
      </c>
      <c r="O162" s="11">
        <f t="shared" si="63"/>
        <v>0</v>
      </c>
      <c r="P162" s="11">
        <f t="shared" si="63"/>
        <v>0</v>
      </c>
      <c r="Q162" s="11">
        <f t="shared" si="63"/>
        <v>0</v>
      </c>
      <c r="R162" s="11">
        <f t="shared" si="63"/>
        <v>0</v>
      </c>
      <c r="S162" s="11">
        <f t="shared" si="62"/>
        <v>0</v>
      </c>
      <c r="T162" s="11">
        <f t="shared" si="62"/>
        <v>0</v>
      </c>
      <c r="U162" s="11">
        <f t="shared" si="62"/>
        <v>0</v>
      </c>
      <c r="V162" s="11">
        <f t="shared" si="62"/>
        <v>0</v>
      </c>
      <c r="W162" s="11">
        <f t="shared" si="62"/>
        <v>0</v>
      </c>
      <c r="X162" s="45">
        <f t="shared" si="61"/>
        <v>0</v>
      </c>
    </row>
    <row r="163" spans="1:52" x14ac:dyDescent="0.2">
      <c r="A163" s="472"/>
      <c r="B163" s="3">
        <v>19</v>
      </c>
      <c r="C163" s="11">
        <f t="shared" si="59"/>
        <v>0</v>
      </c>
      <c r="D163" s="45">
        <f t="shared" si="63"/>
        <v>0</v>
      </c>
      <c r="E163" s="45">
        <f t="shared" si="63"/>
        <v>0</v>
      </c>
      <c r="F163" s="45">
        <f t="shared" si="63"/>
        <v>0</v>
      </c>
      <c r="G163" s="45">
        <f t="shared" si="63"/>
        <v>0</v>
      </c>
      <c r="H163" s="45">
        <f t="shared" si="63"/>
        <v>0</v>
      </c>
      <c r="I163" s="45">
        <f t="shared" si="63"/>
        <v>0</v>
      </c>
      <c r="J163" s="45">
        <f t="shared" si="63"/>
        <v>0</v>
      </c>
      <c r="K163" s="45">
        <f t="shared" si="63"/>
        <v>0</v>
      </c>
      <c r="L163" s="45">
        <f t="shared" si="63"/>
        <v>0</v>
      </c>
      <c r="M163" s="11">
        <f t="shared" si="63"/>
        <v>0</v>
      </c>
      <c r="N163" s="11">
        <f t="shared" si="63"/>
        <v>0</v>
      </c>
      <c r="O163" s="11">
        <f t="shared" si="63"/>
        <v>0</v>
      </c>
      <c r="P163" s="11">
        <f t="shared" si="63"/>
        <v>0</v>
      </c>
      <c r="Q163" s="11">
        <f t="shared" si="63"/>
        <v>0</v>
      </c>
      <c r="R163" s="11">
        <f t="shared" si="63"/>
        <v>0</v>
      </c>
      <c r="S163" s="11">
        <f t="shared" si="62"/>
        <v>0</v>
      </c>
      <c r="T163" s="11">
        <f t="shared" si="62"/>
        <v>0</v>
      </c>
      <c r="U163" s="11">
        <f t="shared" si="62"/>
        <v>0</v>
      </c>
      <c r="V163" s="11">
        <f t="shared" si="62"/>
        <v>0</v>
      </c>
      <c r="W163" s="11">
        <f t="shared" si="62"/>
        <v>0</v>
      </c>
      <c r="X163" s="45">
        <f t="shared" si="61"/>
        <v>0</v>
      </c>
    </row>
    <row r="164" spans="1:52" x14ac:dyDescent="0.2">
      <c r="A164" s="472"/>
      <c r="B164" s="3">
        <v>20</v>
      </c>
      <c r="C164" s="11">
        <f t="shared" si="59"/>
        <v>0</v>
      </c>
      <c r="D164" s="45">
        <f t="shared" si="63"/>
        <v>0</v>
      </c>
      <c r="E164" s="45">
        <f t="shared" si="63"/>
        <v>0</v>
      </c>
      <c r="F164" s="45">
        <f t="shared" si="63"/>
        <v>0</v>
      </c>
      <c r="G164" s="45">
        <f t="shared" si="63"/>
        <v>0</v>
      </c>
      <c r="H164" s="45">
        <f t="shared" si="63"/>
        <v>0</v>
      </c>
      <c r="I164" s="45">
        <f t="shared" si="63"/>
        <v>0</v>
      </c>
      <c r="J164" s="45">
        <f t="shared" si="63"/>
        <v>0</v>
      </c>
      <c r="K164" s="45">
        <f t="shared" si="63"/>
        <v>0</v>
      </c>
      <c r="L164" s="45">
        <f t="shared" si="63"/>
        <v>0</v>
      </c>
      <c r="M164" s="11">
        <f t="shared" si="63"/>
        <v>0</v>
      </c>
      <c r="N164" s="11">
        <f t="shared" si="63"/>
        <v>0</v>
      </c>
      <c r="O164" s="11">
        <f t="shared" si="63"/>
        <v>0</v>
      </c>
      <c r="P164" s="11">
        <f t="shared" si="63"/>
        <v>0</v>
      </c>
      <c r="Q164" s="11">
        <f t="shared" si="63"/>
        <v>0</v>
      </c>
      <c r="R164" s="11">
        <f t="shared" si="63"/>
        <v>0</v>
      </c>
      <c r="S164" s="11">
        <f t="shared" si="62"/>
        <v>0</v>
      </c>
      <c r="T164" s="11">
        <f t="shared" si="62"/>
        <v>0</v>
      </c>
      <c r="U164" s="11">
        <f t="shared" si="62"/>
        <v>0</v>
      </c>
      <c r="V164" s="11">
        <f t="shared" si="62"/>
        <v>0</v>
      </c>
      <c r="W164" s="11">
        <f t="shared" si="62"/>
        <v>0</v>
      </c>
      <c r="X164" s="45">
        <f t="shared" si="61"/>
        <v>0</v>
      </c>
    </row>
    <row r="167" spans="1:52" s="141" customFormat="1" x14ac:dyDescent="0.2">
      <c r="A167" s="475" t="s">
        <v>50</v>
      </c>
      <c r="B167" s="140" t="s">
        <v>6</v>
      </c>
      <c r="C167" s="140" t="s">
        <v>225</v>
      </c>
      <c r="D167" s="140"/>
    </row>
    <row r="168" spans="1:52" s="141" customFormat="1" x14ac:dyDescent="0.2">
      <c r="A168" s="475"/>
      <c r="B168" s="140" t="s">
        <v>87</v>
      </c>
      <c r="C168" s="142" t="str">
        <f>C5</f>
        <v/>
      </c>
      <c r="D168" s="140"/>
    </row>
    <row r="169" spans="1:52" s="141" customFormat="1" x14ac:dyDescent="0.2">
      <c r="A169" s="475"/>
      <c r="B169" s="140" t="s">
        <v>181</v>
      </c>
      <c r="C169" s="140">
        <f>C6</f>
        <v>0</v>
      </c>
      <c r="D169" s="140"/>
    </row>
    <row r="171" spans="1:52" x14ac:dyDescent="0.2">
      <c r="A171" s="135" t="s">
        <v>626</v>
      </c>
      <c r="B171" s="135"/>
      <c r="C171" s="135"/>
      <c r="D171" s="135"/>
      <c r="E171" s="135"/>
      <c r="F171" s="135"/>
      <c r="G171" s="135"/>
      <c r="H171" s="135"/>
      <c r="I171" s="135"/>
      <c r="J171" s="135"/>
      <c r="K171" s="135"/>
      <c r="L171" s="135"/>
      <c r="M171" s="49"/>
      <c r="N171" s="49"/>
      <c r="O171" s="49"/>
      <c r="P171" s="49"/>
      <c r="Q171" s="49"/>
      <c r="R171" s="49"/>
      <c r="S171" s="49"/>
      <c r="T171" s="49"/>
      <c r="U171" s="49"/>
      <c r="V171" s="49"/>
      <c r="W171" s="49"/>
      <c r="X171" s="49"/>
      <c r="Y171" s="49"/>
      <c r="Z171" s="49"/>
      <c r="AA171" s="49"/>
      <c r="AB171" s="49"/>
      <c r="AC171" s="49"/>
      <c r="AD171" s="49"/>
      <c r="AE171" s="49"/>
      <c r="AF171" s="49"/>
      <c r="AG171" s="49"/>
      <c r="AH171" s="49"/>
      <c r="AI171" s="49"/>
      <c r="AJ171" s="49"/>
      <c r="AK171" s="49"/>
      <c r="AL171" s="49"/>
      <c r="AM171" s="49"/>
      <c r="AN171" s="49"/>
      <c r="AO171" s="49"/>
      <c r="AP171" s="49"/>
      <c r="AQ171" s="49"/>
      <c r="AR171" s="49"/>
      <c r="AS171" s="49"/>
      <c r="AT171" s="49"/>
      <c r="AU171" s="49"/>
      <c r="AV171" s="49"/>
      <c r="AW171" s="49"/>
      <c r="AX171" s="49"/>
      <c r="AY171" s="49"/>
      <c r="AZ171" s="49"/>
    </row>
    <row r="173" spans="1:52" ht="16" customHeight="1" x14ac:dyDescent="0.2">
      <c r="A173" s="463" t="s">
        <v>727</v>
      </c>
      <c r="B173" s="3" t="s">
        <v>8</v>
      </c>
      <c r="C173" s="3" t="s">
        <v>17</v>
      </c>
      <c r="D173" s="3" t="s">
        <v>61</v>
      </c>
      <c r="E173" s="3" t="s">
        <v>88</v>
      </c>
      <c r="F173" s="3" t="s">
        <v>297</v>
      </c>
      <c r="J173" s="463" t="s">
        <v>728</v>
      </c>
      <c r="K173" s="3" t="s">
        <v>8</v>
      </c>
      <c r="L173" s="3" t="s">
        <v>17</v>
      </c>
      <c r="M173" s="3" t="s">
        <v>61</v>
      </c>
      <c r="N173" s="3" t="s">
        <v>88</v>
      </c>
      <c r="O173" s="3" t="s">
        <v>297</v>
      </c>
      <c r="S173" s="463" t="s">
        <v>729</v>
      </c>
      <c r="T173" s="3" t="s">
        <v>8</v>
      </c>
      <c r="U173" s="3" t="s">
        <v>17</v>
      </c>
      <c r="V173" s="3" t="s">
        <v>61</v>
      </c>
      <c r="W173" s="3" t="s">
        <v>88</v>
      </c>
      <c r="X173" s="3" t="s">
        <v>297</v>
      </c>
      <c r="AB173" s="463" t="s">
        <v>730</v>
      </c>
      <c r="AC173" s="3" t="s">
        <v>8</v>
      </c>
      <c r="AD173" s="3" t="s">
        <v>17</v>
      </c>
      <c r="AE173" s="3" t="s">
        <v>61</v>
      </c>
      <c r="AF173" s="3" t="s">
        <v>88</v>
      </c>
      <c r="AG173" s="3" t="s">
        <v>297</v>
      </c>
    </row>
    <row r="174" spans="1:52" x14ac:dyDescent="0.2">
      <c r="A174" s="463"/>
      <c r="B174" s="3" t="str">
        <f>IF(B58="","",B58)</f>
        <v/>
      </c>
      <c r="C174" s="3">
        <f>IF(OR(B174=0,B174=""),0,VLOOKUP(B174,Tableau44[[Code_ess]:[FEB]],4,FALSE))</f>
        <v>0</v>
      </c>
      <c r="D174" s="3">
        <f>IF(OR(B174=0,B174=""),0,VLOOKUP(B174,Tableau44[[Code_ess]:[FEB]],5,FALSE))</f>
        <v>0</v>
      </c>
      <c r="E174" s="43">
        <f>IF(OR(B174=0,B174=""),0,VLOOKUP(B174,$G$4:$H$7,2,FALSE))</f>
        <v>0</v>
      </c>
      <c r="F174" s="3">
        <f>IF(OR(B174=0,B174=""),0,VLOOKUP(B174,Listes!$C$7:$D$36,2,FALSE))</f>
        <v>0</v>
      </c>
      <c r="H174" s="44"/>
      <c r="J174" s="463"/>
      <c r="K174" s="3" t="str">
        <f>IF(K58="","",K58)</f>
        <v/>
      </c>
      <c r="L174" s="3">
        <f>IF(OR(K174=0,K174=""),0,VLOOKUP(K174,Tableau44[[Code_ess]:[FEB]],4,FALSE))</f>
        <v>0</v>
      </c>
      <c r="M174" s="3">
        <f>IF(OR(K174=0,K174=""),0,VLOOKUP(K174,Tableau44[[Code_ess]:[FEB]],5,FALSE))</f>
        <v>0</v>
      </c>
      <c r="N174" s="43">
        <f>IF(OR(K174=0,K174=""),0,VLOOKUP(K174,$G$4:$H$7,2,FALSE))</f>
        <v>0</v>
      </c>
      <c r="O174" s="3">
        <f>IF(OR(K174=0,K174=""),0,VLOOKUP(K174,Listes!$C$7:$D$36,2,FALSE))</f>
        <v>0</v>
      </c>
      <c r="S174" s="463"/>
      <c r="T174" s="3" t="str">
        <f>IF(T58="","",T58)</f>
        <v/>
      </c>
      <c r="U174" s="3">
        <f>IF(OR(T174=0,T174=""),0,VLOOKUP(T174,Tableau44[[Code_ess]:[FEB]],4,FALSE))</f>
        <v>0</v>
      </c>
      <c r="V174" s="3">
        <f>IF(OR(T174=0,T174=""),0,VLOOKUP(T174,Tableau44[[Code_ess]:[FEB]],5,FALSE))</f>
        <v>0</v>
      </c>
      <c r="W174" s="43">
        <f>IF(OR(T174=0,T174=""),0,VLOOKUP(T174,$G$4:$H$7,2,FALSE))</f>
        <v>0</v>
      </c>
      <c r="X174" s="3">
        <f>IF(OR(T174=0,T174=""),0,VLOOKUP(T174,Listes!$C$7:$D$36,2,FALSE))</f>
        <v>0</v>
      </c>
      <c r="AB174" s="463"/>
      <c r="AC174" s="3" t="str">
        <f>IF(AC58="","",AC58)</f>
        <v/>
      </c>
      <c r="AD174" s="3">
        <f>IF(OR(AC174=0,AC174=""),0,VLOOKUP(AC174,Tableau44[[Code_ess]:[FEB]],4,FALSE))</f>
        <v>0</v>
      </c>
      <c r="AE174" s="3">
        <f>IF(OR(AC174=0,AC174=""),0,VLOOKUP(AC174,Tableau44[[Code_ess]:[FEB]],5,FALSE))</f>
        <v>0</v>
      </c>
      <c r="AF174" s="43">
        <f>IF(OR(AC174=0,AC174=""),0,VLOOKUP(AC174,$G$4:$H$7,2,FALSE))</f>
        <v>0</v>
      </c>
      <c r="AG174" s="3">
        <f>IF(OR(AC174=0,AC174=""),0,VLOOKUP(AC174,Listes!$C$7:$D$36,2,FALSE))</f>
        <v>0</v>
      </c>
    </row>
    <row r="176" spans="1:52" ht="16" customHeight="1" x14ac:dyDescent="0.2">
      <c r="A176" s="463" t="str">
        <f>CONCATENATE("SQ_PRJ_",A173)</f>
        <v>SQ_PRJ_A_ESS_1</v>
      </c>
      <c r="B176" s="3" t="s">
        <v>15</v>
      </c>
      <c r="C176" s="3" t="s">
        <v>19</v>
      </c>
      <c r="D176" s="3" t="s">
        <v>18</v>
      </c>
      <c r="E176" s="3" t="s">
        <v>16</v>
      </c>
      <c r="F176" s="3" t="s">
        <v>78</v>
      </c>
      <c r="G176" s="3" t="s">
        <v>79</v>
      </c>
      <c r="H176" s="3" t="s">
        <v>56</v>
      </c>
      <c r="J176" s="463" t="str">
        <f>CONCATENATE("SQ_PRJ_",J173)</f>
        <v>SQ_PRJ_A_ESS_2</v>
      </c>
      <c r="K176" s="3" t="s">
        <v>15</v>
      </c>
      <c r="L176" s="3" t="s">
        <v>19</v>
      </c>
      <c r="M176" s="3" t="s">
        <v>18</v>
      </c>
      <c r="N176" s="3" t="s">
        <v>16</v>
      </c>
      <c r="O176" s="3" t="s">
        <v>78</v>
      </c>
      <c r="P176" s="3" t="s">
        <v>79</v>
      </c>
      <c r="Q176" s="3" t="s">
        <v>56</v>
      </c>
      <c r="S176" s="463" t="str">
        <f>CONCATENATE("SQ_PRJ_",S173)</f>
        <v>SQ_PRJ_A_ESS_3</v>
      </c>
      <c r="T176" s="3" t="s">
        <v>15</v>
      </c>
      <c r="U176" s="3" t="s">
        <v>19</v>
      </c>
      <c r="V176" s="3" t="s">
        <v>18</v>
      </c>
      <c r="W176" s="3" t="s">
        <v>16</v>
      </c>
      <c r="X176" s="3" t="s">
        <v>78</v>
      </c>
      <c r="Y176" s="3" t="s">
        <v>79</v>
      </c>
      <c r="Z176" s="3" t="s">
        <v>56</v>
      </c>
      <c r="AB176" s="463" t="str">
        <f>CONCATENATE("SQ_PRJ_",AB173)</f>
        <v>SQ_PRJ_A_ESS_4</v>
      </c>
      <c r="AC176" s="3" t="s">
        <v>15</v>
      </c>
      <c r="AD176" s="3" t="s">
        <v>19</v>
      </c>
      <c r="AE176" s="3" t="s">
        <v>18</v>
      </c>
      <c r="AF176" s="3" t="s">
        <v>16</v>
      </c>
      <c r="AG176" s="3" t="s">
        <v>78</v>
      </c>
      <c r="AH176" s="3" t="s">
        <v>79</v>
      </c>
      <c r="AI176" s="3" t="s">
        <v>56</v>
      </c>
      <c r="AK176" s="463" t="s">
        <v>731</v>
      </c>
      <c r="AL176" s="3" t="s">
        <v>28</v>
      </c>
      <c r="AM176" s="3" t="s">
        <v>121</v>
      </c>
      <c r="AN176" s="3" t="s">
        <v>122</v>
      </c>
      <c r="AO176" s="3" t="s">
        <v>158</v>
      </c>
      <c r="AQ176" s="216"/>
      <c r="AR176" s="3" t="s">
        <v>94</v>
      </c>
      <c r="AS176" s="3" t="s">
        <v>758</v>
      </c>
    </row>
    <row r="177" spans="1:45" ht="16" customHeight="1" x14ac:dyDescent="0.2">
      <c r="A177" s="463"/>
      <c r="B177" s="3">
        <v>1</v>
      </c>
      <c r="C177" s="45">
        <f>IF(OR(B174="",B174=0),0,VLOOKUP(B174,$G$4:$M$7,6,FALSE))</f>
        <v>0</v>
      </c>
      <c r="D177" s="45">
        <f t="shared" ref="D177:D196" si="64">IF(OR(C177="",C177=0),0,IF(B177=1,((VLOOKUP(B$174,$G$4:$N$7,6,FALSE)-VLOOKUP(B$174,$G$4:$N$7,8,FALSE))/20),((VLOOKUP(B$174,$G$4:$N$7,6,FALSE)-VLOOKUP(B$174,$G$4:$N$7,8,FALSE))/20)+C177-E176))</f>
        <v>0</v>
      </c>
      <c r="E177" s="45">
        <f t="shared" ref="E177:E196" si="65">IF(C177="",0,C177-D177)</f>
        <v>0</v>
      </c>
      <c r="F177" s="45">
        <f>IF(E177=0,0,E177*C$58)</f>
        <v>0</v>
      </c>
      <c r="G177" s="45">
        <f t="shared" ref="G177:G196" si="66">IF(F177&gt;0,EXP(-1.0587+0.8836*LN(F177)+0.284),0)</f>
        <v>0</v>
      </c>
      <c r="H177" s="45">
        <f t="shared" ref="H177:H196" si="67">SUM(F177:G177)*0.475*44/12</f>
        <v>0</v>
      </c>
      <c r="J177" s="463"/>
      <c r="K177" s="3">
        <v>1</v>
      </c>
      <c r="L177" s="45">
        <f>IF(OR(K174="",K174=0),0,VLOOKUP(K174,$G$4:$M$7,6,FALSE))</f>
        <v>0</v>
      </c>
      <c r="M177" s="45">
        <f t="shared" ref="M177:M196" si="68">IF(OR(L177="",L177=0),0,IF(K177=1,((VLOOKUP(K$174,$G$4:$N$7,6,FALSE)-VLOOKUP(K$174,$G$4:$N$7,8,FALSE))/20),((VLOOKUP(K$174,$G$4:$N$7,6,FALSE)-VLOOKUP(K$174,$G$4:$N$7,8,FALSE))/20)+L177-N176))</f>
        <v>0</v>
      </c>
      <c r="N177" s="45">
        <f t="shared" ref="N177:N196" si="69">IF(L177="",0,L177-M177)</f>
        <v>0</v>
      </c>
      <c r="O177" s="45">
        <f>IF(N177=0,0,N177*L$58)</f>
        <v>0</v>
      </c>
      <c r="P177" s="45">
        <f t="shared" ref="P177:P196" si="70">IF(O177&gt;0,EXP(-1.0587+0.8836*LN(O177)+0.284),0)</f>
        <v>0</v>
      </c>
      <c r="Q177" s="45">
        <f t="shared" ref="Q177:Q196" si="71">SUM(O177:P177)*0.475*44/12</f>
        <v>0</v>
      </c>
      <c r="R177" s="45"/>
      <c r="S177" s="463"/>
      <c r="T177" s="3">
        <v>1</v>
      </c>
      <c r="U177" s="45">
        <f>IF(OR(T174="",T174=0),0,VLOOKUP(T174,$G$4:$M$7,6,FALSE))</f>
        <v>0</v>
      </c>
      <c r="V177" s="45">
        <f t="shared" ref="V177:V196" si="72">IF(OR(U177="",U177=0),0,IF(T177=1,((VLOOKUP(T$174,$G$4:$N$7,6,FALSE)-VLOOKUP(T$174,$G$4:$N$7,8,FALSE))/20),((VLOOKUP(T$174,$G$4:$N$7,6,FALSE)-VLOOKUP(T$174,$G$4:$N$7,8,FALSE))/20)+U177-W176))</f>
        <v>0</v>
      </c>
      <c r="W177" s="45">
        <f t="shared" ref="W177:W196" si="73">IF(U177="",0,U177-V177)</f>
        <v>0</v>
      </c>
      <c r="X177" s="45">
        <f>IF(W177=0,0,W177*U$58)</f>
        <v>0</v>
      </c>
      <c r="Y177" s="45">
        <f t="shared" ref="Y177:Y196" si="74">IF(X177&gt;0,EXP(-1.0587+0.8836*LN(X177)+0.284),0)</f>
        <v>0</v>
      </c>
      <c r="Z177" s="45">
        <f t="shared" ref="Z177:Z196" si="75">SUM(X177:Y177)*0.475*44/12</f>
        <v>0</v>
      </c>
      <c r="AA177" s="45"/>
      <c r="AB177" s="463"/>
      <c r="AC177" s="3">
        <v>1</v>
      </c>
      <c r="AD177" s="45">
        <f>IF(OR(AC174="",AC174=0),0,VLOOKUP(AC174,$G$4:$M$7,6,FALSE))</f>
        <v>0</v>
      </c>
      <c r="AE177" s="45">
        <f t="shared" ref="AE177:AE196" si="76">IF(OR(AD177="",AD177=0),0,IF(AC177=1,((VLOOKUP(AC$174,$G$4:$N$7,6,FALSE)-VLOOKUP(AC$174,$G$4:$N$7,8,FALSE))/20),((VLOOKUP(AC$174,$G$4:$N$7,6,FALSE)-VLOOKUP(AC$174,$G$4:$N$7,8,FALSE))/20)+AD177-AF176))</f>
        <v>0</v>
      </c>
      <c r="AF177" s="45">
        <f t="shared" ref="AF177:AF196" si="77">IF(AD177="",0,AD177-AE177)</f>
        <v>0</v>
      </c>
      <c r="AG177" s="45">
        <f>IF(AF177=0,0,AF177*AD$58)</f>
        <v>0</v>
      </c>
      <c r="AH177" s="45">
        <f t="shared" ref="AH177:AH196" si="78">IF(AG177&gt;0,EXP(-1.0587+0.8836*LN(AG177)+0.284),0)</f>
        <v>0</v>
      </c>
      <c r="AI177" s="45">
        <f t="shared" ref="AI177:AI196" si="79">SUM(AG177:AH177)*0.475*44/12</f>
        <v>0</v>
      </c>
      <c r="AJ177" s="45"/>
      <c r="AK177" s="463"/>
      <c r="AL177" s="3">
        <v>1</v>
      </c>
      <c r="AM177" s="11">
        <f t="shared" ref="AM177:AM196" si="80">SUM(D177,M177,V177,AE177)</f>
        <v>0</v>
      </c>
      <c r="AN177" s="46">
        <f>IF(OR($C$6=0,SUM($M$4:$M$7)=0),0,AM177/SUM($M$4:$M$7))</f>
        <v>0</v>
      </c>
      <c r="AO177" s="47">
        <f t="shared" ref="AO177:AO196" si="81">AN177*50%</f>
        <v>0</v>
      </c>
      <c r="AQ177" s="216"/>
      <c r="AR177" s="108">
        <v>1</v>
      </c>
      <c r="AS177" s="110">
        <f>C177+L177+U177+AD177</f>
        <v>0</v>
      </c>
    </row>
    <row r="178" spans="1:45" x14ac:dyDescent="0.2">
      <c r="A178" s="463"/>
      <c r="B178" s="3">
        <v>2</v>
      </c>
      <c r="C178" s="45">
        <f>IF(E177=0,0,E177*(1+E$174))</f>
        <v>0</v>
      </c>
      <c r="D178" s="45">
        <f t="shared" si="64"/>
        <v>0</v>
      </c>
      <c r="E178" s="11">
        <f t="shared" si="65"/>
        <v>0</v>
      </c>
      <c r="F178" s="45">
        <f>IF(E178=0,0,E178*C$58)</f>
        <v>0</v>
      </c>
      <c r="G178" s="45">
        <f t="shared" si="66"/>
        <v>0</v>
      </c>
      <c r="H178" s="11">
        <f t="shared" si="67"/>
        <v>0</v>
      </c>
      <c r="J178" s="463"/>
      <c r="K178" s="3">
        <v>2</v>
      </c>
      <c r="L178" s="45">
        <f>IF(N177=0,0,N177*(1+N$174))</f>
        <v>0</v>
      </c>
      <c r="M178" s="45">
        <f t="shared" si="68"/>
        <v>0</v>
      </c>
      <c r="N178" s="11">
        <f t="shared" si="69"/>
        <v>0</v>
      </c>
      <c r="O178" s="45">
        <f>IF(N178=0,0,N178*L$58)</f>
        <v>0</v>
      </c>
      <c r="P178" s="45">
        <f t="shared" si="70"/>
        <v>0</v>
      </c>
      <c r="Q178" s="11">
        <f t="shared" si="71"/>
        <v>0</v>
      </c>
      <c r="R178" s="11"/>
      <c r="S178" s="463"/>
      <c r="T178" s="3">
        <v>2</v>
      </c>
      <c r="U178" s="45">
        <f>IF(W177=0,0,W177*(1+W$174))</f>
        <v>0</v>
      </c>
      <c r="V178" s="45">
        <f t="shared" si="72"/>
        <v>0</v>
      </c>
      <c r="W178" s="11">
        <f t="shared" si="73"/>
        <v>0</v>
      </c>
      <c r="X178" s="45">
        <f>IF(W178=0,0,W178*U$58)</f>
        <v>0</v>
      </c>
      <c r="Y178" s="45">
        <f t="shared" si="74"/>
        <v>0</v>
      </c>
      <c r="Z178" s="11">
        <f t="shared" si="75"/>
        <v>0</v>
      </c>
      <c r="AA178" s="11"/>
      <c r="AB178" s="463"/>
      <c r="AC178" s="3">
        <v>2</v>
      </c>
      <c r="AD178" s="45">
        <f>IF(AF177=0,0,AF177*(1+AF$174))</f>
        <v>0</v>
      </c>
      <c r="AE178" s="45">
        <f t="shared" si="76"/>
        <v>0</v>
      </c>
      <c r="AF178" s="11">
        <f t="shared" si="77"/>
        <v>0</v>
      </c>
      <c r="AG178" s="45">
        <f>IF(AF178=0,0,AF178*AD$58)</f>
        <v>0</v>
      </c>
      <c r="AH178" s="45">
        <f t="shared" si="78"/>
        <v>0</v>
      </c>
      <c r="AI178" s="11">
        <f t="shared" si="79"/>
        <v>0</v>
      </c>
      <c r="AJ178" s="11"/>
      <c r="AK178" s="463"/>
      <c r="AL178" s="3">
        <v>2</v>
      </c>
      <c r="AM178" s="11">
        <f t="shared" si="80"/>
        <v>0</v>
      </c>
      <c r="AN178" s="46">
        <f t="shared" ref="AN178:AN196" si="82">IF(OR($C$6=0,SUM($M$4:$M$7)=0),0,AM178/SUM($M$4:$M$7))</f>
        <v>0</v>
      </c>
      <c r="AO178" s="47">
        <f t="shared" si="81"/>
        <v>0</v>
      </c>
      <c r="AQ178" s="216"/>
      <c r="AR178" s="109">
        <v>2</v>
      </c>
      <c r="AS178" s="111">
        <f>E178+N178+W178+AF178</f>
        <v>0</v>
      </c>
    </row>
    <row r="179" spans="1:45" x14ac:dyDescent="0.2">
      <c r="A179" s="463"/>
      <c r="B179" s="3">
        <v>3</v>
      </c>
      <c r="C179" s="45">
        <f t="shared" ref="C179:C196" si="83">IF(E178=0,0,E178*(1+E$174))</f>
        <v>0</v>
      </c>
      <c r="D179" s="45">
        <f t="shared" si="64"/>
        <v>0</v>
      </c>
      <c r="E179" s="11">
        <f t="shared" si="65"/>
        <v>0</v>
      </c>
      <c r="F179" s="45">
        <f t="shared" ref="F179:F196" si="84">IF(E179=0,0,E179*C$58)</f>
        <v>0</v>
      </c>
      <c r="G179" s="45">
        <f t="shared" si="66"/>
        <v>0</v>
      </c>
      <c r="H179" s="11">
        <f t="shared" si="67"/>
        <v>0</v>
      </c>
      <c r="J179" s="463"/>
      <c r="K179" s="3">
        <v>3</v>
      </c>
      <c r="L179" s="45">
        <f t="shared" ref="L179:L196" si="85">IF(N178=0,0,N178*(1+N$174))</f>
        <v>0</v>
      </c>
      <c r="M179" s="45">
        <f t="shared" si="68"/>
        <v>0</v>
      </c>
      <c r="N179" s="11">
        <f t="shared" si="69"/>
        <v>0</v>
      </c>
      <c r="O179" s="45">
        <f t="shared" ref="O179:O196" si="86">IF(N179=0,0,N179*L$58)</f>
        <v>0</v>
      </c>
      <c r="P179" s="45">
        <f t="shared" si="70"/>
        <v>0</v>
      </c>
      <c r="Q179" s="11">
        <f t="shared" si="71"/>
        <v>0</v>
      </c>
      <c r="R179" s="11"/>
      <c r="S179" s="463"/>
      <c r="T179" s="3">
        <v>3</v>
      </c>
      <c r="U179" s="45">
        <f t="shared" ref="U179:U196" si="87">IF(W178=0,0,W178*(1+W$174))</f>
        <v>0</v>
      </c>
      <c r="V179" s="45">
        <f t="shared" si="72"/>
        <v>0</v>
      </c>
      <c r="W179" s="11">
        <f t="shared" si="73"/>
        <v>0</v>
      </c>
      <c r="X179" s="45">
        <f t="shared" ref="X179:X196" si="88">IF(W179=0,0,W179*U$58)</f>
        <v>0</v>
      </c>
      <c r="Y179" s="45">
        <f t="shared" si="74"/>
        <v>0</v>
      </c>
      <c r="Z179" s="11">
        <f t="shared" si="75"/>
        <v>0</v>
      </c>
      <c r="AA179" s="11"/>
      <c r="AB179" s="463"/>
      <c r="AC179" s="3">
        <v>3</v>
      </c>
      <c r="AD179" s="45">
        <f t="shared" ref="AD179:AD196" si="89">IF(AF178=0,0,AF178*(1+AF$174))</f>
        <v>0</v>
      </c>
      <c r="AE179" s="45">
        <f t="shared" si="76"/>
        <v>0</v>
      </c>
      <c r="AF179" s="11">
        <f t="shared" si="77"/>
        <v>0</v>
      </c>
      <c r="AG179" s="45">
        <f t="shared" ref="AG179:AG196" si="90">IF(AF179=0,0,AF179*AD$58)</f>
        <v>0</v>
      </c>
      <c r="AH179" s="45">
        <f t="shared" si="78"/>
        <v>0</v>
      </c>
      <c r="AI179" s="11">
        <f t="shared" si="79"/>
        <v>0</v>
      </c>
      <c r="AJ179" s="11"/>
      <c r="AK179" s="463"/>
      <c r="AL179" s="3">
        <v>3</v>
      </c>
      <c r="AM179" s="11">
        <f t="shared" si="80"/>
        <v>0</v>
      </c>
      <c r="AN179" s="46">
        <f t="shared" si="82"/>
        <v>0</v>
      </c>
      <c r="AO179" s="47">
        <f t="shared" si="81"/>
        <v>0</v>
      </c>
      <c r="AQ179" s="216"/>
      <c r="AR179" s="108">
        <v>3</v>
      </c>
      <c r="AS179" s="111">
        <f t="shared" ref="AS179:AS196" si="91">E179+N179+W179+AF179</f>
        <v>0</v>
      </c>
    </row>
    <row r="180" spans="1:45" x14ac:dyDescent="0.2">
      <c r="A180" s="463"/>
      <c r="B180" s="3">
        <v>4</v>
      </c>
      <c r="C180" s="45">
        <f t="shared" si="83"/>
        <v>0</v>
      </c>
      <c r="D180" s="45">
        <f t="shared" si="64"/>
        <v>0</v>
      </c>
      <c r="E180" s="11">
        <f t="shared" si="65"/>
        <v>0</v>
      </c>
      <c r="F180" s="45">
        <f t="shared" si="84"/>
        <v>0</v>
      </c>
      <c r="G180" s="45">
        <f t="shared" si="66"/>
        <v>0</v>
      </c>
      <c r="H180" s="11">
        <f t="shared" si="67"/>
        <v>0</v>
      </c>
      <c r="J180" s="463"/>
      <c r="K180" s="3">
        <v>4</v>
      </c>
      <c r="L180" s="45">
        <f t="shared" si="85"/>
        <v>0</v>
      </c>
      <c r="M180" s="45">
        <f t="shared" si="68"/>
        <v>0</v>
      </c>
      <c r="N180" s="11">
        <f t="shared" si="69"/>
        <v>0</v>
      </c>
      <c r="O180" s="45">
        <f t="shared" si="86"/>
        <v>0</v>
      </c>
      <c r="P180" s="45">
        <f t="shared" si="70"/>
        <v>0</v>
      </c>
      <c r="Q180" s="11">
        <f t="shared" si="71"/>
        <v>0</v>
      </c>
      <c r="R180" s="11"/>
      <c r="S180" s="463"/>
      <c r="T180" s="3">
        <v>4</v>
      </c>
      <c r="U180" s="45">
        <f t="shared" si="87"/>
        <v>0</v>
      </c>
      <c r="V180" s="45">
        <f t="shared" si="72"/>
        <v>0</v>
      </c>
      <c r="W180" s="11">
        <f t="shared" si="73"/>
        <v>0</v>
      </c>
      <c r="X180" s="45">
        <f t="shared" si="88"/>
        <v>0</v>
      </c>
      <c r="Y180" s="45">
        <f t="shared" si="74"/>
        <v>0</v>
      </c>
      <c r="Z180" s="11">
        <f t="shared" si="75"/>
        <v>0</v>
      </c>
      <c r="AA180" s="11"/>
      <c r="AB180" s="463"/>
      <c r="AC180" s="3">
        <v>4</v>
      </c>
      <c r="AD180" s="45">
        <f t="shared" si="89"/>
        <v>0</v>
      </c>
      <c r="AE180" s="45">
        <f t="shared" si="76"/>
        <v>0</v>
      </c>
      <c r="AF180" s="11">
        <f t="shared" si="77"/>
        <v>0</v>
      </c>
      <c r="AG180" s="45">
        <f t="shared" si="90"/>
        <v>0</v>
      </c>
      <c r="AH180" s="45">
        <f t="shared" si="78"/>
        <v>0</v>
      </c>
      <c r="AI180" s="11">
        <f t="shared" si="79"/>
        <v>0</v>
      </c>
      <c r="AJ180" s="11"/>
      <c r="AK180" s="463"/>
      <c r="AL180" s="3">
        <v>4</v>
      </c>
      <c r="AM180" s="11">
        <f t="shared" si="80"/>
        <v>0</v>
      </c>
      <c r="AN180" s="46">
        <f t="shared" si="82"/>
        <v>0</v>
      </c>
      <c r="AO180" s="47">
        <f t="shared" si="81"/>
        <v>0</v>
      </c>
      <c r="AQ180" s="216"/>
      <c r="AR180" s="109">
        <v>4</v>
      </c>
      <c r="AS180" s="111">
        <f t="shared" si="91"/>
        <v>0</v>
      </c>
    </row>
    <row r="181" spans="1:45" x14ac:dyDescent="0.2">
      <c r="A181" s="463"/>
      <c r="B181" s="3">
        <v>5</v>
      </c>
      <c r="C181" s="45">
        <f t="shared" si="83"/>
        <v>0</v>
      </c>
      <c r="D181" s="45">
        <f t="shared" si="64"/>
        <v>0</v>
      </c>
      <c r="E181" s="11">
        <f t="shared" si="65"/>
        <v>0</v>
      </c>
      <c r="F181" s="45">
        <f t="shared" si="84"/>
        <v>0</v>
      </c>
      <c r="G181" s="45">
        <f t="shared" si="66"/>
        <v>0</v>
      </c>
      <c r="H181" s="11">
        <f t="shared" si="67"/>
        <v>0</v>
      </c>
      <c r="J181" s="463"/>
      <c r="K181" s="3">
        <v>5</v>
      </c>
      <c r="L181" s="45">
        <f t="shared" si="85"/>
        <v>0</v>
      </c>
      <c r="M181" s="45">
        <f t="shared" si="68"/>
        <v>0</v>
      </c>
      <c r="N181" s="11">
        <f t="shared" si="69"/>
        <v>0</v>
      </c>
      <c r="O181" s="45">
        <f t="shared" si="86"/>
        <v>0</v>
      </c>
      <c r="P181" s="45">
        <f t="shared" si="70"/>
        <v>0</v>
      </c>
      <c r="Q181" s="11">
        <f t="shared" si="71"/>
        <v>0</v>
      </c>
      <c r="R181" s="11"/>
      <c r="S181" s="463"/>
      <c r="T181" s="3">
        <v>5</v>
      </c>
      <c r="U181" s="45">
        <f t="shared" si="87"/>
        <v>0</v>
      </c>
      <c r="V181" s="45">
        <f t="shared" si="72"/>
        <v>0</v>
      </c>
      <c r="W181" s="11">
        <f t="shared" si="73"/>
        <v>0</v>
      </c>
      <c r="X181" s="45">
        <f t="shared" si="88"/>
        <v>0</v>
      </c>
      <c r="Y181" s="45">
        <f t="shared" si="74"/>
        <v>0</v>
      </c>
      <c r="Z181" s="11">
        <f t="shared" si="75"/>
        <v>0</v>
      </c>
      <c r="AA181" s="11"/>
      <c r="AB181" s="463"/>
      <c r="AC181" s="3">
        <v>5</v>
      </c>
      <c r="AD181" s="45">
        <f t="shared" si="89"/>
        <v>0</v>
      </c>
      <c r="AE181" s="45">
        <f t="shared" si="76"/>
        <v>0</v>
      </c>
      <c r="AF181" s="11">
        <f t="shared" si="77"/>
        <v>0</v>
      </c>
      <c r="AG181" s="45">
        <f t="shared" si="90"/>
        <v>0</v>
      </c>
      <c r="AH181" s="45">
        <f t="shared" si="78"/>
        <v>0</v>
      </c>
      <c r="AI181" s="11">
        <f t="shared" si="79"/>
        <v>0</v>
      </c>
      <c r="AJ181" s="11"/>
      <c r="AK181" s="463"/>
      <c r="AL181" s="3">
        <v>5</v>
      </c>
      <c r="AM181" s="11">
        <f t="shared" si="80"/>
        <v>0</v>
      </c>
      <c r="AN181" s="46">
        <f t="shared" si="82"/>
        <v>0</v>
      </c>
      <c r="AO181" s="47">
        <f t="shared" si="81"/>
        <v>0</v>
      </c>
      <c r="AQ181" s="216"/>
      <c r="AR181" s="108">
        <v>5</v>
      </c>
      <c r="AS181" s="111">
        <f t="shared" si="91"/>
        <v>0</v>
      </c>
    </row>
    <row r="182" spans="1:45" x14ac:dyDescent="0.2">
      <c r="A182" s="463"/>
      <c r="B182" s="3">
        <v>6</v>
      </c>
      <c r="C182" s="45">
        <f t="shared" si="83"/>
        <v>0</v>
      </c>
      <c r="D182" s="45">
        <f t="shared" si="64"/>
        <v>0</v>
      </c>
      <c r="E182" s="11">
        <f t="shared" si="65"/>
        <v>0</v>
      </c>
      <c r="F182" s="45">
        <f t="shared" si="84"/>
        <v>0</v>
      </c>
      <c r="G182" s="45">
        <f t="shared" si="66"/>
        <v>0</v>
      </c>
      <c r="H182" s="11">
        <f t="shared" si="67"/>
        <v>0</v>
      </c>
      <c r="J182" s="463"/>
      <c r="K182" s="3">
        <v>6</v>
      </c>
      <c r="L182" s="45">
        <f t="shared" si="85"/>
        <v>0</v>
      </c>
      <c r="M182" s="45">
        <f t="shared" si="68"/>
        <v>0</v>
      </c>
      <c r="N182" s="11">
        <f t="shared" si="69"/>
        <v>0</v>
      </c>
      <c r="O182" s="45">
        <f t="shared" si="86"/>
        <v>0</v>
      </c>
      <c r="P182" s="45">
        <f t="shared" si="70"/>
        <v>0</v>
      </c>
      <c r="Q182" s="11">
        <f t="shared" si="71"/>
        <v>0</v>
      </c>
      <c r="R182" s="11"/>
      <c r="S182" s="463"/>
      <c r="T182" s="3">
        <v>6</v>
      </c>
      <c r="U182" s="45">
        <f t="shared" si="87"/>
        <v>0</v>
      </c>
      <c r="V182" s="45">
        <f t="shared" si="72"/>
        <v>0</v>
      </c>
      <c r="W182" s="11">
        <f t="shared" si="73"/>
        <v>0</v>
      </c>
      <c r="X182" s="45">
        <f t="shared" si="88"/>
        <v>0</v>
      </c>
      <c r="Y182" s="45">
        <f t="shared" si="74"/>
        <v>0</v>
      </c>
      <c r="Z182" s="11">
        <f t="shared" si="75"/>
        <v>0</v>
      </c>
      <c r="AA182" s="11"/>
      <c r="AB182" s="463"/>
      <c r="AC182" s="3">
        <v>6</v>
      </c>
      <c r="AD182" s="45">
        <f t="shared" si="89"/>
        <v>0</v>
      </c>
      <c r="AE182" s="45">
        <f t="shared" si="76"/>
        <v>0</v>
      </c>
      <c r="AF182" s="11">
        <f t="shared" si="77"/>
        <v>0</v>
      </c>
      <c r="AG182" s="45">
        <f t="shared" si="90"/>
        <v>0</v>
      </c>
      <c r="AH182" s="45">
        <f t="shared" si="78"/>
        <v>0</v>
      </c>
      <c r="AI182" s="11">
        <f t="shared" si="79"/>
        <v>0</v>
      </c>
      <c r="AJ182" s="11"/>
      <c r="AK182" s="463"/>
      <c r="AL182" s="3">
        <v>6</v>
      </c>
      <c r="AM182" s="11">
        <f t="shared" si="80"/>
        <v>0</v>
      </c>
      <c r="AN182" s="46">
        <f t="shared" si="82"/>
        <v>0</v>
      </c>
      <c r="AO182" s="47">
        <f t="shared" si="81"/>
        <v>0</v>
      </c>
      <c r="AQ182" s="216"/>
      <c r="AR182" s="109">
        <v>6</v>
      </c>
      <c r="AS182" s="111">
        <f t="shared" si="91"/>
        <v>0</v>
      </c>
    </row>
    <row r="183" spans="1:45" x14ac:dyDescent="0.2">
      <c r="A183" s="463"/>
      <c r="B183" s="3">
        <v>7</v>
      </c>
      <c r="C183" s="45">
        <f t="shared" si="83"/>
        <v>0</v>
      </c>
      <c r="D183" s="45">
        <f t="shared" si="64"/>
        <v>0</v>
      </c>
      <c r="E183" s="11">
        <f t="shared" si="65"/>
        <v>0</v>
      </c>
      <c r="F183" s="45">
        <f t="shared" si="84"/>
        <v>0</v>
      </c>
      <c r="G183" s="45">
        <f t="shared" si="66"/>
        <v>0</v>
      </c>
      <c r="H183" s="11">
        <f t="shared" si="67"/>
        <v>0</v>
      </c>
      <c r="J183" s="463"/>
      <c r="K183" s="3">
        <v>7</v>
      </c>
      <c r="L183" s="45">
        <f t="shared" si="85"/>
        <v>0</v>
      </c>
      <c r="M183" s="45">
        <f t="shared" si="68"/>
        <v>0</v>
      </c>
      <c r="N183" s="11">
        <f t="shared" si="69"/>
        <v>0</v>
      </c>
      <c r="O183" s="45">
        <f>IF(N183=0,0,N183*L$58)</f>
        <v>0</v>
      </c>
      <c r="P183" s="45">
        <f t="shared" si="70"/>
        <v>0</v>
      </c>
      <c r="Q183" s="11">
        <f t="shared" si="71"/>
        <v>0</v>
      </c>
      <c r="R183" s="11"/>
      <c r="S183" s="463"/>
      <c r="T183" s="3">
        <v>7</v>
      </c>
      <c r="U183" s="45">
        <f t="shared" si="87"/>
        <v>0</v>
      </c>
      <c r="V183" s="45">
        <f t="shared" si="72"/>
        <v>0</v>
      </c>
      <c r="W183" s="11">
        <f t="shared" si="73"/>
        <v>0</v>
      </c>
      <c r="X183" s="45">
        <f t="shared" si="88"/>
        <v>0</v>
      </c>
      <c r="Y183" s="45">
        <f t="shared" si="74"/>
        <v>0</v>
      </c>
      <c r="Z183" s="11">
        <f t="shared" si="75"/>
        <v>0</v>
      </c>
      <c r="AA183" s="11"/>
      <c r="AB183" s="463"/>
      <c r="AC183" s="3">
        <v>7</v>
      </c>
      <c r="AD183" s="45">
        <f t="shared" si="89"/>
        <v>0</v>
      </c>
      <c r="AE183" s="45">
        <f t="shared" si="76"/>
        <v>0</v>
      </c>
      <c r="AF183" s="11">
        <f t="shared" si="77"/>
        <v>0</v>
      </c>
      <c r="AG183" s="45">
        <f t="shared" si="90"/>
        <v>0</v>
      </c>
      <c r="AH183" s="45">
        <f t="shared" si="78"/>
        <v>0</v>
      </c>
      <c r="AI183" s="11">
        <f t="shared" si="79"/>
        <v>0</v>
      </c>
      <c r="AJ183" s="11"/>
      <c r="AK183" s="463"/>
      <c r="AL183" s="3">
        <v>7</v>
      </c>
      <c r="AM183" s="11">
        <f t="shared" si="80"/>
        <v>0</v>
      </c>
      <c r="AN183" s="46">
        <f t="shared" si="82"/>
        <v>0</v>
      </c>
      <c r="AO183" s="47">
        <f t="shared" si="81"/>
        <v>0</v>
      </c>
      <c r="AQ183" s="216"/>
      <c r="AR183" s="108">
        <v>7</v>
      </c>
      <c r="AS183" s="111">
        <f t="shared" si="91"/>
        <v>0</v>
      </c>
    </row>
    <row r="184" spans="1:45" x14ac:dyDescent="0.2">
      <c r="A184" s="463"/>
      <c r="B184" s="3">
        <v>8</v>
      </c>
      <c r="C184" s="45">
        <f t="shared" si="83"/>
        <v>0</v>
      </c>
      <c r="D184" s="45">
        <f t="shared" si="64"/>
        <v>0</v>
      </c>
      <c r="E184" s="11">
        <f t="shared" si="65"/>
        <v>0</v>
      </c>
      <c r="F184" s="45">
        <f t="shared" si="84"/>
        <v>0</v>
      </c>
      <c r="G184" s="45">
        <f t="shared" si="66"/>
        <v>0</v>
      </c>
      <c r="H184" s="11">
        <f t="shared" si="67"/>
        <v>0</v>
      </c>
      <c r="J184" s="463"/>
      <c r="K184" s="3">
        <v>8</v>
      </c>
      <c r="L184" s="45">
        <f>IF(N183=0,0,N183*(1+N$174))</f>
        <v>0</v>
      </c>
      <c r="M184" s="45">
        <f t="shared" si="68"/>
        <v>0</v>
      </c>
      <c r="N184" s="11">
        <f t="shared" si="69"/>
        <v>0</v>
      </c>
      <c r="O184" s="45">
        <f t="shared" si="86"/>
        <v>0</v>
      </c>
      <c r="P184" s="45">
        <f t="shared" si="70"/>
        <v>0</v>
      </c>
      <c r="Q184" s="11">
        <f t="shared" si="71"/>
        <v>0</v>
      </c>
      <c r="R184" s="11"/>
      <c r="S184" s="463"/>
      <c r="T184" s="3">
        <v>8</v>
      </c>
      <c r="U184" s="45">
        <f t="shared" si="87"/>
        <v>0</v>
      </c>
      <c r="V184" s="45">
        <f t="shared" si="72"/>
        <v>0</v>
      </c>
      <c r="W184" s="11">
        <f t="shared" si="73"/>
        <v>0</v>
      </c>
      <c r="X184" s="45">
        <f t="shared" si="88"/>
        <v>0</v>
      </c>
      <c r="Y184" s="45">
        <f t="shared" si="74"/>
        <v>0</v>
      </c>
      <c r="Z184" s="11">
        <f t="shared" si="75"/>
        <v>0</v>
      </c>
      <c r="AA184" s="11"/>
      <c r="AB184" s="463"/>
      <c r="AC184" s="3">
        <v>8</v>
      </c>
      <c r="AD184" s="45">
        <f t="shared" si="89"/>
        <v>0</v>
      </c>
      <c r="AE184" s="45">
        <f t="shared" si="76"/>
        <v>0</v>
      </c>
      <c r="AF184" s="11">
        <f t="shared" si="77"/>
        <v>0</v>
      </c>
      <c r="AG184" s="45">
        <f t="shared" si="90"/>
        <v>0</v>
      </c>
      <c r="AH184" s="45">
        <f t="shared" si="78"/>
        <v>0</v>
      </c>
      <c r="AI184" s="11">
        <f t="shared" si="79"/>
        <v>0</v>
      </c>
      <c r="AJ184" s="11"/>
      <c r="AK184" s="463"/>
      <c r="AL184" s="3">
        <v>8</v>
      </c>
      <c r="AM184" s="11">
        <f t="shared" si="80"/>
        <v>0</v>
      </c>
      <c r="AN184" s="46">
        <f t="shared" si="82"/>
        <v>0</v>
      </c>
      <c r="AO184" s="47">
        <f t="shared" si="81"/>
        <v>0</v>
      </c>
      <c r="AQ184" s="216"/>
      <c r="AR184" s="109">
        <v>8</v>
      </c>
      <c r="AS184" s="111">
        <f t="shared" si="91"/>
        <v>0</v>
      </c>
    </row>
    <row r="185" spans="1:45" x14ac:dyDescent="0.2">
      <c r="A185" s="463"/>
      <c r="B185" s="3">
        <v>9</v>
      </c>
      <c r="C185" s="45">
        <f t="shared" si="83"/>
        <v>0</v>
      </c>
      <c r="D185" s="45">
        <f t="shared" si="64"/>
        <v>0</v>
      </c>
      <c r="E185" s="11">
        <f t="shared" si="65"/>
        <v>0</v>
      </c>
      <c r="F185" s="45">
        <f t="shared" si="84"/>
        <v>0</v>
      </c>
      <c r="G185" s="45">
        <f t="shared" si="66"/>
        <v>0</v>
      </c>
      <c r="H185" s="11">
        <f t="shared" si="67"/>
        <v>0</v>
      </c>
      <c r="J185" s="463"/>
      <c r="K185" s="3">
        <v>9</v>
      </c>
      <c r="L185" s="45">
        <f t="shared" si="85"/>
        <v>0</v>
      </c>
      <c r="M185" s="45">
        <f t="shared" si="68"/>
        <v>0</v>
      </c>
      <c r="N185" s="11">
        <f t="shared" si="69"/>
        <v>0</v>
      </c>
      <c r="O185" s="45">
        <f t="shared" si="86"/>
        <v>0</v>
      </c>
      <c r="P185" s="45">
        <f t="shared" si="70"/>
        <v>0</v>
      </c>
      <c r="Q185" s="11">
        <f t="shared" si="71"/>
        <v>0</v>
      </c>
      <c r="R185" s="11"/>
      <c r="S185" s="463"/>
      <c r="T185" s="3">
        <v>9</v>
      </c>
      <c r="U185" s="45">
        <f t="shared" si="87"/>
        <v>0</v>
      </c>
      <c r="V185" s="45">
        <f t="shared" si="72"/>
        <v>0</v>
      </c>
      <c r="W185" s="11">
        <f t="shared" si="73"/>
        <v>0</v>
      </c>
      <c r="X185" s="45">
        <f t="shared" si="88"/>
        <v>0</v>
      </c>
      <c r="Y185" s="45">
        <f t="shared" si="74"/>
        <v>0</v>
      </c>
      <c r="Z185" s="11">
        <f t="shared" si="75"/>
        <v>0</v>
      </c>
      <c r="AA185" s="11"/>
      <c r="AB185" s="463"/>
      <c r="AC185" s="3">
        <v>9</v>
      </c>
      <c r="AD185" s="45">
        <f t="shared" si="89"/>
        <v>0</v>
      </c>
      <c r="AE185" s="45">
        <f t="shared" si="76"/>
        <v>0</v>
      </c>
      <c r="AF185" s="11">
        <f t="shared" si="77"/>
        <v>0</v>
      </c>
      <c r="AG185" s="45">
        <f t="shared" si="90"/>
        <v>0</v>
      </c>
      <c r="AH185" s="45">
        <f t="shared" si="78"/>
        <v>0</v>
      </c>
      <c r="AI185" s="11">
        <f t="shared" si="79"/>
        <v>0</v>
      </c>
      <c r="AJ185" s="11"/>
      <c r="AK185" s="463"/>
      <c r="AL185" s="3">
        <v>9</v>
      </c>
      <c r="AM185" s="11">
        <f t="shared" si="80"/>
        <v>0</v>
      </c>
      <c r="AN185" s="46">
        <f t="shared" si="82"/>
        <v>0</v>
      </c>
      <c r="AO185" s="47">
        <f t="shared" si="81"/>
        <v>0</v>
      </c>
      <c r="AQ185" s="216"/>
      <c r="AR185" s="108">
        <v>9</v>
      </c>
      <c r="AS185" s="111">
        <f t="shared" si="91"/>
        <v>0</v>
      </c>
    </row>
    <row r="186" spans="1:45" x14ac:dyDescent="0.2">
      <c r="A186" s="463"/>
      <c r="B186" s="3">
        <v>10</v>
      </c>
      <c r="C186" s="45">
        <f t="shared" si="83"/>
        <v>0</v>
      </c>
      <c r="D186" s="45">
        <f t="shared" si="64"/>
        <v>0</v>
      </c>
      <c r="E186" s="11">
        <f t="shared" si="65"/>
        <v>0</v>
      </c>
      <c r="F186" s="45">
        <f t="shared" si="84"/>
        <v>0</v>
      </c>
      <c r="G186" s="45">
        <f t="shared" si="66"/>
        <v>0</v>
      </c>
      <c r="H186" s="11">
        <f t="shared" si="67"/>
        <v>0</v>
      </c>
      <c r="J186" s="463"/>
      <c r="K186" s="3">
        <v>10</v>
      </c>
      <c r="L186" s="45">
        <f t="shared" si="85"/>
        <v>0</v>
      </c>
      <c r="M186" s="45">
        <f t="shared" si="68"/>
        <v>0</v>
      </c>
      <c r="N186" s="11">
        <f t="shared" si="69"/>
        <v>0</v>
      </c>
      <c r="O186" s="45">
        <f t="shared" si="86"/>
        <v>0</v>
      </c>
      <c r="P186" s="45">
        <f t="shared" si="70"/>
        <v>0</v>
      </c>
      <c r="Q186" s="11">
        <f t="shared" si="71"/>
        <v>0</v>
      </c>
      <c r="R186" s="11"/>
      <c r="S186" s="463"/>
      <c r="T186" s="3">
        <v>10</v>
      </c>
      <c r="U186" s="45">
        <f t="shared" si="87"/>
        <v>0</v>
      </c>
      <c r="V186" s="45">
        <f t="shared" si="72"/>
        <v>0</v>
      </c>
      <c r="W186" s="11">
        <f t="shared" si="73"/>
        <v>0</v>
      </c>
      <c r="X186" s="45">
        <f t="shared" si="88"/>
        <v>0</v>
      </c>
      <c r="Y186" s="45">
        <f t="shared" si="74"/>
        <v>0</v>
      </c>
      <c r="Z186" s="11">
        <f t="shared" si="75"/>
        <v>0</v>
      </c>
      <c r="AA186" s="11"/>
      <c r="AB186" s="463"/>
      <c r="AC186" s="3">
        <v>10</v>
      </c>
      <c r="AD186" s="45">
        <f t="shared" si="89"/>
        <v>0</v>
      </c>
      <c r="AE186" s="45">
        <f t="shared" si="76"/>
        <v>0</v>
      </c>
      <c r="AF186" s="11">
        <f t="shared" si="77"/>
        <v>0</v>
      </c>
      <c r="AG186" s="45">
        <f t="shared" si="90"/>
        <v>0</v>
      </c>
      <c r="AH186" s="45">
        <f t="shared" si="78"/>
        <v>0</v>
      </c>
      <c r="AI186" s="11">
        <f t="shared" si="79"/>
        <v>0</v>
      </c>
      <c r="AJ186" s="11"/>
      <c r="AK186" s="463"/>
      <c r="AL186" s="3">
        <v>10</v>
      </c>
      <c r="AM186" s="11">
        <f t="shared" si="80"/>
        <v>0</v>
      </c>
      <c r="AN186" s="46">
        <f t="shared" si="82"/>
        <v>0</v>
      </c>
      <c r="AO186" s="47">
        <f t="shared" si="81"/>
        <v>0</v>
      </c>
      <c r="AQ186" s="216"/>
      <c r="AR186" s="109">
        <v>10</v>
      </c>
      <c r="AS186" s="111">
        <f t="shared" si="91"/>
        <v>0</v>
      </c>
    </row>
    <row r="187" spans="1:45" ht="16" customHeight="1" x14ac:dyDescent="0.2">
      <c r="A187" s="463"/>
      <c r="B187" s="3">
        <v>11</v>
      </c>
      <c r="C187" s="45">
        <f t="shared" si="83"/>
        <v>0</v>
      </c>
      <c r="D187" s="45">
        <f t="shared" si="64"/>
        <v>0</v>
      </c>
      <c r="E187" s="11">
        <f t="shared" si="65"/>
        <v>0</v>
      </c>
      <c r="F187" s="45">
        <f t="shared" si="84"/>
        <v>0</v>
      </c>
      <c r="G187" s="45">
        <f t="shared" si="66"/>
        <v>0</v>
      </c>
      <c r="H187" s="11">
        <f t="shared" si="67"/>
        <v>0</v>
      </c>
      <c r="J187" s="463"/>
      <c r="K187" s="3">
        <v>11</v>
      </c>
      <c r="L187" s="45">
        <f t="shared" si="85"/>
        <v>0</v>
      </c>
      <c r="M187" s="45">
        <f t="shared" si="68"/>
        <v>0</v>
      </c>
      <c r="N187" s="11">
        <f t="shared" si="69"/>
        <v>0</v>
      </c>
      <c r="O187" s="45">
        <f t="shared" si="86"/>
        <v>0</v>
      </c>
      <c r="P187" s="45">
        <f t="shared" si="70"/>
        <v>0</v>
      </c>
      <c r="Q187" s="11">
        <f t="shared" si="71"/>
        <v>0</v>
      </c>
      <c r="R187" s="11"/>
      <c r="S187" s="463"/>
      <c r="T187" s="3">
        <v>11</v>
      </c>
      <c r="U187" s="45">
        <f t="shared" si="87"/>
        <v>0</v>
      </c>
      <c r="V187" s="45">
        <f t="shared" si="72"/>
        <v>0</v>
      </c>
      <c r="W187" s="11">
        <f t="shared" si="73"/>
        <v>0</v>
      </c>
      <c r="X187" s="45">
        <f t="shared" si="88"/>
        <v>0</v>
      </c>
      <c r="Y187" s="45">
        <f t="shared" si="74"/>
        <v>0</v>
      </c>
      <c r="Z187" s="11">
        <f t="shared" si="75"/>
        <v>0</v>
      </c>
      <c r="AA187" s="11"/>
      <c r="AB187" s="463"/>
      <c r="AC187" s="3">
        <v>11</v>
      </c>
      <c r="AD187" s="45">
        <f t="shared" si="89"/>
        <v>0</v>
      </c>
      <c r="AE187" s="45">
        <f t="shared" si="76"/>
        <v>0</v>
      </c>
      <c r="AF187" s="11">
        <f t="shared" si="77"/>
        <v>0</v>
      </c>
      <c r="AG187" s="45">
        <f t="shared" si="90"/>
        <v>0</v>
      </c>
      <c r="AH187" s="45">
        <f t="shared" si="78"/>
        <v>0</v>
      </c>
      <c r="AI187" s="11">
        <f t="shared" si="79"/>
        <v>0</v>
      </c>
      <c r="AJ187" s="11"/>
      <c r="AK187" s="463"/>
      <c r="AL187" s="3">
        <v>11</v>
      </c>
      <c r="AM187" s="11">
        <f t="shared" si="80"/>
        <v>0</v>
      </c>
      <c r="AN187" s="46">
        <f t="shared" si="82"/>
        <v>0</v>
      </c>
      <c r="AO187" s="47">
        <f t="shared" si="81"/>
        <v>0</v>
      </c>
      <c r="AQ187" s="216"/>
      <c r="AR187" s="108">
        <v>11</v>
      </c>
      <c r="AS187" s="111">
        <f t="shared" si="91"/>
        <v>0</v>
      </c>
    </row>
    <row r="188" spans="1:45" x14ac:dyDescent="0.2">
      <c r="A188" s="463"/>
      <c r="B188" s="3">
        <v>12</v>
      </c>
      <c r="C188" s="45">
        <f t="shared" si="83"/>
        <v>0</v>
      </c>
      <c r="D188" s="45">
        <f t="shared" si="64"/>
        <v>0</v>
      </c>
      <c r="E188" s="11">
        <f t="shared" si="65"/>
        <v>0</v>
      </c>
      <c r="F188" s="45">
        <f t="shared" si="84"/>
        <v>0</v>
      </c>
      <c r="G188" s="45">
        <f t="shared" si="66"/>
        <v>0</v>
      </c>
      <c r="H188" s="11">
        <f t="shared" si="67"/>
        <v>0</v>
      </c>
      <c r="J188" s="463"/>
      <c r="K188" s="3">
        <v>12</v>
      </c>
      <c r="L188" s="45">
        <f t="shared" si="85"/>
        <v>0</v>
      </c>
      <c r="M188" s="45">
        <f t="shared" si="68"/>
        <v>0</v>
      </c>
      <c r="N188" s="11">
        <f t="shared" si="69"/>
        <v>0</v>
      </c>
      <c r="O188" s="45">
        <f t="shared" si="86"/>
        <v>0</v>
      </c>
      <c r="P188" s="45">
        <f t="shared" si="70"/>
        <v>0</v>
      </c>
      <c r="Q188" s="11">
        <f t="shared" si="71"/>
        <v>0</v>
      </c>
      <c r="R188" s="11"/>
      <c r="S188" s="463"/>
      <c r="T188" s="3">
        <v>12</v>
      </c>
      <c r="U188" s="45">
        <f t="shared" si="87"/>
        <v>0</v>
      </c>
      <c r="V188" s="45">
        <f t="shared" si="72"/>
        <v>0</v>
      </c>
      <c r="W188" s="11">
        <f t="shared" si="73"/>
        <v>0</v>
      </c>
      <c r="X188" s="45">
        <f t="shared" si="88"/>
        <v>0</v>
      </c>
      <c r="Y188" s="45">
        <f t="shared" si="74"/>
        <v>0</v>
      </c>
      <c r="Z188" s="11">
        <f t="shared" si="75"/>
        <v>0</v>
      </c>
      <c r="AA188" s="11"/>
      <c r="AB188" s="463"/>
      <c r="AC188" s="3">
        <v>12</v>
      </c>
      <c r="AD188" s="45">
        <f t="shared" si="89"/>
        <v>0</v>
      </c>
      <c r="AE188" s="45">
        <f t="shared" si="76"/>
        <v>0</v>
      </c>
      <c r="AF188" s="11">
        <f t="shared" si="77"/>
        <v>0</v>
      </c>
      <c r="AG188" s="45">
        <f t="shared" si="90"/>
        <v>0</v>
      </c>
      <c r="AH188" s="45">
        <f t="shared" si="78"/>
        <v>0</v>
      </c>
      <c r="AI188" s="11">
        <f t="shared" si="79"/>
        <v>0</v>
      </c>
      <c r="AJ188" s="11"/>
      <c r="AK188" s="463"/>
      <c r="AL188" s="3">
        <v>12</v>
      </c>
      <c r="AM188" s="11">
        <f t="shared" si="80"/>
        <v>0</v>
      </c>
      <c r="AN188" s="46">
        <f t="shared" si="82"/>
        <v>0</v>
      </c>
      <c r="AO188" s="47">
        <f t="shared" si="81"/>
        <v>0</v>
      </c>
      <c r="AQ188" s="216"/>
      <c r="AR188" s="109">
        <v>12</v>
      </c>
      <c r="AS188" s="111">
        <f t="shared" si="91"/>
        <v>0</v>
      </c>
    </row>
    <row r="189" spans="1:45" x14ac:dyDescent="0.2">
      <c r="A189" s="463"/>
      <c r="B189" s="3">
        <v>13</v>
      </c>
      <c r="C189" s="45">
        <f t="shared" si="83"/>
        <v>0</v>
      </c>
      <c r="D189" s="45">
        <f t="shared" si="64"/>
        <v>0</v>
      </c>
      <c r="E189" s="11">
        <f t="shared" si="65"/>
        <v>0</v>
      </c>
      <c r="F189" s="45">
        <f t="shared" si="84"/>
        <v>0</v>
      </c>
      <c r="G189" s="45">
        <f t="shared" si="66"/>
        <v>0</v>
      </c>
      <c r="H189" s="11">
        <f t="shared" si="67"/>
        <v>0</v>
      </c>
      <c r="J189" s="463"/>
      <c r="K189" s="3">
        <v>13</v>
      </c>
      <c r="L189" s="45">
        <f t="shared" si="85"/>
        <v>0</v>
      </c>
      <c r="M189" s="45">
        <f t="shared" si="68"/>
        <v>0</v>
      </c>
      <c r="N189" s="11">
        <f t="shared" si="69"/>
        <v>0</v>
      </c>
      <c r="O189" s="45">
        <f t="shared" si="86"/>
        <v>0</v>
      </c>
      <c r="P189" s="45">
        <f t="shared" si="70"/>
        <v>0</v>
      </c>
      <c r="Q189" s="11">
        <f t="shared" si="71"/>
        <v>0</v>
      </c>
      <c r="R189" s="11"/>
      <c r="S189" s="463"/>
      <c r="T189" s="3">
        <v>13</v>
      </c>
      <c r="U189" s="45">
        <f t="shared" si="87"/>
        <v>0</v>
      </c>
      <c r="V189" s="45">
        <f t="shared" si="72"/>
        <v>0</v>
      </c>
      <c r="W189" s="11">
        <f t="shared" si="73"/>
        <v>0</v>
      </c>
      <c r="X189" s="45">
        <f t="shared" si="88"/>
        <v>0</v>
      </c>
      <c r="Y189" s="45">
        <f t="shared" si="74"/>
        <v>0</v>
      </c>
      <c r="Z189" s="11">
        <f t="shared" si="75"/>
        <v>0</v>
      </c>
      <c r="AA189" s="11"/>
      <c r="AB189" s="463"/>
      <c r="AC189" s="3">
        <v>13</v>
      </c>
      <c r="AD189" s="45">
        <f t="shared" si="89"/>
        <v>0</v>
      </c>
      <c r="AE189" s="45">
        <f t="shared" si="76"/>
        <v>0</v>
      </c>
      <c r="AF189" s="11">
        <f t="shared" si="77"/>
        <v>0</v>
      </c>
      <c r="AG189" s="45">
        <f t="shared" si="90"/>
        <v>0</v>
      </c>
      <c r="AH189" s="45">
        <f t="shared" si="78"/>
        <v>0</v>
      </c>
      <c r="AI189" s="11">
        <f t="shared" si="79"/>
        <v>0</v>
      </c>
      <c r="AJ189" s="11"/>
      <c r="AK189" s="463"/>
      <c r="AL189" s="3">
        <v>13</v>
      </c>
      <c r="AM189" s="11">
        <f t="shared" si="80"/>
        <v>0</v>
      </c>
      <c r="AN189" s="46">
        <f t="shared" si="82"/>
        <v>0</v>
      </c>
      <c r="AO189" s="47">
        <f t="shared" si="81"/>
        <v>0</v>
      </c>
      <c r="AQ189" s="216"/>
      <c r="AR189" s="108">
        <v>13</v>
      </c>
      <c r="AS189" s="111">
        <f t="shared" si="91"/>
        <v>0</v>
      </c>
    </row>
    <row r="190" spans="1:45" x14ac:dyDescent="0.2">
      <c r="A190" s="463"/>
      <c r="B190" s="3">
        <v>14</v>
      </c>
      <c r="C190" s="45">
        <f t="shared" si="83"/>
        <v>0</v>
      </c>
      <c r="D190" s="45">
        <f t="shared" si="64"/>
        <v>0</v>
      </c>
      <c r="E190" s="11">
        <f t="shared" si="65"/>
        <v>0</v>
      </c>
      <c r="F190" s="45">
        <f t="shared" si="84"/>
        <v>0</v>
      </c>
      <c r="G190" s="45">
        <f t="shared" si="66"/>
        <v>0</v>
      </c>
      <c r="H190" s="11">
        <f t="shared" si="67"/>
        <v>0</v>
      </c>
      <c r="I190" s="48"/>
      <c r="J190" s="463"/>
      <c r="K190" s="3">
        <v>14</v>
      </c>
      <c r="L190" s="45">
        <f t="shared" si="85"/>
        <v>0</v>
      </c>
      <c r="M190" s="45">
        <f t="shared" si="68"/>
        <v>0</v>
      </c>
      <c r="N190" s="11">
        <f t="shared" si="69"/>
        <v>0</v>
      </c>
      <c r="O190" s="45">
        <f t="shared" si="86"/>
        <v>0</v>
      </c>
      <c r="P190" s="45">
        <f t="shared" si="70"/>
        <v>0</v>
      </c>
      <c r="Q190" s="11">
        <f t="shared" si="71"/>
        <v>0</v>
      </c>
      <c r="R190" s="11"/>
      <c r="S190" s="463"/>
      <c r="T190" s="3">
        <v>14</v>
      </c>
      <c r="U190" s="45">
        <f t="shared" si="87"/>
        <v>0</v>
      </c>
      <c r="V190" s="45">
        <f t="shared" si="72"/>
        <v>0</v>
      </c>
      <c r="W190" s="11">
        <f t="shared" si="73"/>
        <v>0</v>
      </c>
      <c r="X190" s="45">
        <f t="shared" si="88"/>
        <v>0</v>
      </c>
      <c r="Y190" s="45">
        <f t="shared" si="74"/>
        <v>0</v>
      </c>
      <c r="Z190" s="11">
        <f t="shared" si="75"/>
        <v>0</v>
      </c>
      <c r="AA190" s="11"/>
      <c r="AB190" s="463"/>
      <c r="AC190" s="3">
        <v>14</v>
      </c>
      <c r="AD190" s="45">
        <f t="shared" si="89"/>
        <v>0</v>
      </c>
      <c r="AE190" s="45">
        <f t="shared" si="76"/>
        <v>0</v>
      </c>
      <c r="AF190" s="11">
        <f t="shared" si="77"/>
        <v>0</v>
      </c>
      <c r="AG190" s="45">
        <f t="shared" si="90"/>
        <v>0</v>
      </c>
      <c r="AH190" s="45">
        <f t="shared" si="78"/>
        <v>0</v>
      </c>
      <c r="AI190" s="11">
        <f t="shared" si="79"/>
        <v>0</v>
      </c>
      <c r="AJ190" s="11"/>
      <c r="AK190" s="463"/>
      <c r="AL190" s="3">
        <v>14</v>
      </c>
      <c r="AM190" s="11">
        <f t="shared" si="80"/>
        <v>0</v>
      </c>
      <c r="AN190" s="46">
        <f t="shared" si="82"/>
        <v>0</v>
      </c>
      <c r="AO190" s="47">
        <f t="shared" si="81"/>
        <v>0</v>
      </c>
      <c r="AQ190" s="216"/>
      <c r="AR190" s="109">
        <v>14</v>
      </c>
      <c r="AS190" s="111">
        <f t="shared" si="91"/>
        <v>0</v>
      </c>
    </row>
    <row r="191" spans="1:45" x14ac:dyDescent="0.2">
      <c r="A191" s="463"/>
      <c r="B191" s="3">
        <v>15</v>
      </c>
      <c r="C191" s="45">
        <f t="shared" si="83"/>
        <v>0</v>
      </c>
      <c r="D191" s="45">
        <f t="shared" si="64"/>
        <v>0</v>
      </c>
      <c r="E191" s="45">
        <f t="shared" si="65"/>
        <v>0</v>
      </c>
      <c r="F191" s="45">
        <f t="shared" si="84"/>
        <v>0</v>
      </c>
      <c r="G191" s="45">
        <f t="shared" si="66"/>
        <v>0</v>
      </c>
      <c r="H191" s="45">
        <f t="shared" si="67"/>
        <v>0</v>
      </c>
      <c r="J191" s="463"/>
      <c r="K191" s="3">
        <v>15</v>
      </c>
      <c r="L191" s="45">
        <f t="shared" si="85"/>
        <v>0</v>
      </c>
      <c r="M191" s="45">
        <f t="shared" si="68"/>
        <v>0</v>
      </c>
      <c r="N191" s="45">
        <f t="shared" si="69"/>
        <v>0</v>
      </c>
      <c r="O191" s="45">
        <f t="shared" si="86"/>
        <v>0</v>
      </c>
      <c r="P191" s="45">
        <f t="shared" si="70"/>
        <v>0</v>
      </c>
      <c r="Q191" s="45">
        <f t="shared" si="71"/>
        <v>0</v>
      </c>
      <c r="R191" s="45"/>
      <c r="S191" s="463"/>
      <c r="T191" s="3">
        <v>15</v>
      </c>
      <c r="U191" s="45">
        <f t="shared" si="87"/>
        <v>0</v>
      </c>
      <c r="V191" s="45">
        <f t="shared" si="72"/>
        <v>0</v>
      </c>
      <c r="W191" s="45">
        <f t="shared" si="73"/>
        <v>0</v>
      </c>
      <c r="X191" s="45">
        <f t="shared" si="88"/>
        <v>0</v>
      </c>
      <c r="Y191" s="45">
        <f t="shared" si="74"/>
        <v>0</v>
      </c>
      <c r="Z191" s="45">
        <f t="shared" si="75"/>
        <v>0</v>
      </c>
      <c r="AA191" s="45"/>
      <c r="AB191" s="463"/>
      <c r="AC191" s="3">
        <v>15</v>
      </c>
      <c r="AD191" s="45">
        <f t="shared" si="89"/>
        <v>0</v>
      </c>
      <c r="AE191" s="45">
        <f t="shared" si="76"/>
        <v>0</v>
      </c>
      <c r="AF191" s="45">
        <f t="shared" si="77"/>
        <v>0</v>
      </c>
      <c r="AG191" s="45">
        <f t="shared" si="90"/>
        <v>0</v>
      </c>
      <c r="AH191" s="45">
        <f t="shared" si="78"/>
        <v>0</v>
      </c>
      <c r="AI191" s="45">
        <f t="shared" si="79"/>
        <v>0</v>
      </c>
      <c r="AJ191" s="45"/>
      <c r="AK191" s="463"/>
      <c r="AL191" s="3">
        <v>15</v>
      </c>
      <c r="AM191" s="11">
        <f t="shared" si="80"/>
        <v>0</v>
      </c>
      <c r="AN191" s="46">
        <f t="shared" si="82"/>
        <v>0</v>
      </c>
      <c r="AO191" s="47">
        <f t="shared" si="81"/>
        <v>0</v>
      </c>
      <c r="AQ191" s="216"/>
      <c r="AR191" s="108">
        <v>15</v>
      </c>
      <c r="AS191" s="111">
        <f t="shared" si="91"/>
        <v>0</v>
      </c>
    </row>
    <row r="192" spans="1:45" x14ac:dyDescent="0.2">
      <c r="A192" s="463"/>
      <c r="B192" s="3">
        <v>16</v>
      </c>
      <c r="C192" s="45">
        <f t="shared" si="83"/>
        <v>0</v>
      </c>
      <c r="D192" s="45">
        <f t="shared" si="64"/>
        <v>0</v>
      </c>
      <c r="E192" s="45">
        <f t="shared" si="65"/>
        <v>0</v>
      </c>
      <c r="F192" s="45">
        <f t="shared" si="84"/>
        <v>0</v>
      </c>
      <c r="G192" s="45">
        <f t="shared" si="66"/>
        <v>0</v>
      </c>
      <c r="H192" s="11">
        <f t="shared" si="67"/>
        <v>0</v>
      </c>
      <c r="J192" s="463"/>
      <c r="K192" s="3">
        <v>16</v>
      </c>
      <c r="L192" s="45">
        <f t="shared" si="85"/>
        <v>0</v>
      </c>
      <c r="M192" s="45">
        <f t="shared" si="68"/>
        <v>0</v>
      </c>
      <c r="N192" s="45">
        <f t="shared" si="69"/>
        <v>0</v>
      </c>
      <c r="O192" s="45">
        <f t="shared" si="86"/>
        <v>0</v>
      </c>
      <c r="P192" s="45">
        <f t="shared" si="70"/>
        <v>0</v>
      </c>
      <c r="Q192" s="11">
        <f t="shared" si="71"/>
        <v>0</v>
      </c>
      <c r="R192" s="11"/>
      <c r="S192" s="463"/>
      <c r="T192" s="3">
        <v>16</v>
      </c>
      <c r="U192" s="45">
        <f t="shared" si="87"/>
        <v>0</v>
      </c>
      <c r="V192" s="45">
        <f t="shared" si="72"/>
        <v>0</v>
      </c>
      <c r="W192" s="45">
        <f t="shared" si="73"/>
        <v>0</v>
      </c>
      <c r="X192" s="45">
        <f t="shared" si="88"/>
        <v>0</v>
      </c>
      <c r="Y192" s="45">
        <f t="shared" si="74"/>
        <v>0</v>
      </c>
      <c r="Z192" s="11">
        <f t="shared" si="75"/>
        <v>0</v>
      </c>
      <c r="AA192" s="11"/>
      <c r="AB192" s="463"/>
      <c r="AC192" s="3">
        <v>16</v>
      </c>
      <c r="AD192" s="45">
        <f t="shared" si="89"/>
        <v>0</v>
      </c>
      <c r="AE192" s="45">
        <f t="shared" si="76"/>
        <v>0</v>
      </c>
      <c r="AF192" s="45">
        <f t="shared" si="77"/>
        <v>0</v>
      </c>
      <c r="AG192" s="45">
        <f t="shared" si="90"/>
        <v>0</v>
      </c>
      <c r="AH192" s="45">
        <f t="shared" si="78"/>
        <v>0</v>
      </c>
      <c r="AI192" s="11">
        <f t="shared" si="79"/>
        <v>0</v>
      </c>
      <c r="AJ192" s="11"/>
      <c r="AK192" s="463"/>
      <c r="AL192" s="3">
        <v>16</v>
      </c>
      <c r="AM192" s="11">
        <f t="shared" si="80"/>
        <v>0</v>
      </c>
      <c r="AN192" s="46">
        <f t="shared" si="82"/>
        <v>0</v>
      </c>
      <c r="AO192" s="47">
        <f t="shared" si="81"/>
        <v>0</v>
      </c>
      <c r="AQ192" s="216"/>
      <c r="AR192" s="109">
        <v>16</v>
      </c>
      <c r="AS192" s="111">
        <f t="shared" si="91"/>
        <v>0</v>
      </c>
    </row>
    <row r="193" spans="1:52" x14ac:dyDescent="0.2">
      <c r="A193" s="463"/>
      <c r="B193" s="3">
        <v>17</v>
      </c>
      <c r="C193" s="45">
        <f t="shared" si="83"/>
        <v>0</v>
      </c>
      <c r="D193" s="45">
        <f t="shared" si="64"/>
        <v>0</v>
      </c>
      <c r="E193" s="11">
        <f t="shared" si="65"/>
        <v>0</v>
      </c>
      <c r="F193" s="45">
        <f t="shared" si="84"/>
        <v>0</v>
      </c>
      <c r="G193" s="11">
        <f t="shared" si="66"/>
        <v>0</v>
      </c>
      <c r="H193" s="11">
        <f t="shared" si="67"/>
        <v>0</v>
      </c>
      <c r="J193" s="463"/>
      <c r="K193" s="3">
        <v>17</v>
      </c>
      <c r="L193" s="45">
        <f t="shared" si="85"/>
        <v>0</v>
      </c>
      <c r="M193" s="45">
        <f t="shared" si="68"/>
        <v>0</v>
      </c>
      <c r="N193" s="11">
        <f t="shared" si="69"/>
        <v>0</v>
      </c>
      <c r="O193" s="45">
        <f t="shared" si="86"/>
        <v>0</v>
      </c>
      <c r="P193" s="11">
        <f t="shared" si="70"/>
        <v>0</v>
      </c>
      <c r="Q193" s="11">
        <f t="shared" si="71"/>
        <v>0</v>
      </c>
      <c r="R193" s="11"/>
      <c r="S193" s="463"/>
      <c r="T193" s="3">
        <v>17</v>
      </c>
      <c r="U193" s="45">
        <f t="shared" si="87"/>
        <v>0</v>
      </c>
      <c r="V193" s="45">
        <f t="shared" si="72"/>
        <v>0</v>
      </c>
      <c r="W193" s="11">
        <f t="shared" si="73"/>
        <v>0</v>
      </c>
      <c r="X193" s="45">
        <f t="shared" si="88"/>
        <v>0</v>
      </c>
      <c r="Y193" s="11">
        <f t="shared" si="74"/>
        <v>0</v>
      </c>
      <c r="Z193" s="11">
        <f t="shared" si="75"/>
        <v>0</v>
      </c>
      <c r="AA193" s="11"/>
      <c r="AB193" s="463"/>
      <c r="AC193" s="3">
        <v>17</v>
      </c>
      <c r="AD193" s="45">
        <f t="shared" si="89"/>
        <v>0</v>
      </c>
      <c r="AE193" s="45">
        <f t="shared" si="76"/>
        <v>0</v>
      </c>
      <c r="AF193" s="11">
        <f t="shared" si="77"/>
        <v>0</v>
      </c>
      <c r="AG193" s="45">
        <f t="shared" si="90"/>
        <v>0</v>
      </c>
      <c r="AH193" s="11">
        <f t="shared" si="78"/>
        <v>0</v>
      </c>
      <c r="AI193" s="11">
        <f t="shared" si="79"/>
        <v>0</v>
      </c>
      <c r="AJ193" s="11"/>
      <c r="AK193" s="463"/>
      <c r="AL193" s="3">
        <v>17</v>
      </c>
      <c r="AM193" s="11">
        <f t="shared" si="80"/>
        <v>0</v>
      </c>
      <c r="AN193" s="46">
        <f t="shared" si="82"/>
        <v>0</v>
      </c>
      <c r="AO193" s="47">
        <f t="shared" si="81"/>
        <v>0</v>
      </c>
      <c r="AQ193" s="216"/>
      <c r="AR193" s="108">
        <v>17</v>
      </c>
      <c r="AS193" s="111">
        <f t="shared" si="91"/>
        <v>0</v>
      </c>
    </row>
    <row r="194" spans="1:52" x14ac:dyDescent="0.2">
      <c r="A194" s="463"/>
      <c r="B194" s="3">
        <v>18</v>
      </c>
      <c r="C194" s="45">
        <f t="shared" si="83"/>
        <v>0</v>
      </c>
      <c r="D194" s="45">
        <f t="shared" si="64"/>
        <v>0</v>
      </c>
      <c r="E194" s="11">
        <f t="shared" si="65"/>
        <v>0</v>
      </c>
      <c r="F194" s="45">
        <f t="shared" si="84"/>
        <v>0</v>
      </c>
      <c r="G194" s="11">
        <f t="shared" si="66"/>
        <v>0</v>
      </c>
      <c r="H194" s="11">
        <f t="shared" si="67"/>
        <v>0</v>
      </c>
      <c r="J194" s="463"/>
      <c r="K194" s="3">
        <v>18</v>
      </c>
      <c r="L194" s="45">
        <f t="shared" si="85"/>
        <v>0</v>
      </c>
      <c r="M194" s="45">
        <f t="shared" si="68"/>
        <v>0</v>
      </c>
      <c r="N194" s="11">
        <f t="shared" si="69"/>
        <v>0</v>
      </c>
      <c r="O194" s="45">
        <f t="shared" si="86"/>
        <v>0</v>
      </c>
      <c r="P194" s="11">
        <f t="shared" si="70"/>
        <v>0</v>
      </c>
      <c r="Q194" s="11">
        <f t="shared" si="71"/>
        <v>0</v>
      </c>
      <c r="R194" s="11"/>
      <c r="S194" s="463"/>
      <c r="T194" s="3">
        <v>18</v>
      </c>
      <c r="U194" s="45">
        <f t="shared" si="87"/>
        <v>0</v>
      </c>
      <c r="V194" s="45">
        <f t="shared" si="72"/>
        <v>0</v>
      </c>
      <c r="W194" s="11">
        <f t="shared" si="73"/>
        <v>0</v>
      </c>
      <c r="X194" s="45">
        <f t="shared" si="88"/>
        <v>0</v>
      </c>
      <c r="Y194" s="11">
        <f t="shared" si="74"/>
        <v>0</v>
      </c>
      <c r="Z194" s="11">
        <f t="shared" si="75"/>
        <v>0</v>
      </c>
      <c r="AA194" s="11"/>
      <c r="AB194" s="463"/>
      <c r="AC194" s="3">
        <v>18</v>
      </c>
      <c r="AD194" s="45">
        <f t="shared" si="89"/>
        <v>0</v>
      </c>
      <c r="AE194" s="45">
        <f t="shared" si="76"/>
        <v>0</v>
      </c>
      <c r="AF194" s="11">
        <f t="shared" si="77"/>
        <v>0</v>
      </c>
      <c r="AG194" s="45">
        <f t="shared" si="90"/>
        <v>0</v>
      </c>
      <c r="AH194" s="11">
        <f t="shared" si="78"/>
        <v>0</v>
      </c>
      <c r="AI194" s="11">
        <f t="shared" si="79"/>
        <v>0</v>
      </c>
      <c r="AJ194" s="11"/>
      <c r="AK194" s="463"/>
      <c r="AL194" s="3">
        <v>18</v>
      </c>
      <c r="AM194" s="11">
        <f t="shared" si="80"/>
        <v>0</v>
      </c>
      <c r="AN194" s="46">
        <f t="shared" si="82"/>
        <v>0</v>
      </c>
      <c r="AO194" s="47">
        <f t="shared" si="81"/>
        <v>0</v>
      </c>
      <c r="AQ194" s="216"/>
      <c r="AR194" s="109">
        <v>18</v>
      </c>
      <c r="AS194" s="111">
        <f t="shared" si="91"/>
        <v>0</v>
      </c>
    </row>
    <row r="195" spans="1:52" x14ac:dyDescent="0.2">
      <c r="A195" s="463"/>
      <c r="B195" s="3">
        <v>19</v>
      </c>
      <c r="C195" s="45">
        <f t="shared" si="83"/>
        <v>0</v>
      </c>
      <c r="D195" s="45">
        <f t="shared" si="64"/>
        <v>0</v>
      </c>
      <c r="E195" s="11">
        <f t="shared" si="65"/>
        <v>0</v>
      </c>
      <c r="F195" s="45">
        <f t="shared" si="84"/>
        <v>0</v>
      </c>
      <c r="G195" s="11">
        <f t="shared" si="66"/>
        <v>0</v>
      </c>
      <c r="H195" s="11">
        <f t="shared" si="67"/>
        <v>0</v>
      </c>
      <c r="J195" s="463"/>
      <c r="K195" s="3">
        <v>19</v>
      </c>
      <c r="L195" s="45">
        <f t="shared" si="85"/>
        <v>0</v>
      </c>
      <c r="M195" s="45">
        <f t="shared" si="68"/>
        <v>0</v>
      </c>
      <c r="N195" s="11">
        <f t="shared" si="69"/>
        <v>0</v>
      </c>
      <c r="O195" s="45">
        <f t="shared" si="86"/>
        <v>0</v>
      </c>
      <c r="P195" s="11">
        <f t="shared" si="70"/>
        <v>0</v>
      </c>
      <c r="Q195" s="11">
        <f t="shared" si="71"/>
        <v>0</v>
      </c>
      <c r="R195" s="11"/>
      <c r="S195" s="463"/>
      <c r="T195" s="3">
        <v>19</v>
      </c>
      <c r="U195" s="45">
        <f t="shared" si="87"/>
        <v>0</v>
      </c>
      <c r="V195" s="45">
        <f t="shared" si="72"/>
        <v>0</v>
      </c>
      <c r="W195" s="11">
        <f t="shared" si="73"/>
        <v>0</v>
      </c>
      <c r="X195" s="45">
        <f t="shared" si="88"/>
        <v>0</v>
      </c>
      <c r="Y195" s="11">
        <f t="shared" si="74"/>
        <v>0</v>
      </c>
      <c r="Z195" s="11">
        <f t="shared" si="75"/>
        <v>0</v>
      </c>
      <c r="AA195" s="11"/>
      <c r="AB195" s="463"/>
      <c r="AC195" s="3">
        <v>19</v>
      </c>
      <c r="AD195" s="45">
        <f t="shared" si="89"/>
        <v>0</v>
      </c>
      <c r="AE195" s="45">
        <f t="shared" si="76"/>
        <v>0</v>
      </c>
      <c r="AF195" s="11">
        <f t="shared" si="77"/>
        <v>0</v>
      </c>
      <c r="AG195" s="45">
        <f t="shared" si="90"/>
        <v>0</v>
      </c>
      <c r="AH195" s="11">
        <f t="shared" si="78"/>
        <v>0</v>
      </c>
      <c r="AI195" s="11">
        <f t="shared" si="79"/>
        <v>0</v>
      </c>
      <c r="AJ195" s="11"/>
      <c r="AK195" s="463"/>
      <c r="AL195" s="3">
        <v>19</v>
      </c>
      <c r="AM195" s="11">
        <f t="shared" si="80"/>
        <v>0</v>
      </c>
      <c r="AN195" s="46">
        <f t="shared" si="82"/>
        <v>0</v>
      </c>
      <c r="AO195" s="47">
        <f t="shared" si="81"/>
        <v>0</v>
      </c>
      <c r="AQ195" s="216"/>
      <c r="AR195" s="108">
        <v>19</v>
      </c>
      <c r="AS195" s="111">
        <f t="shared" si="91"/>
        <v>0</v>
      </c>
    </row>
    <row r="196" spans="1:52" x14ac:dyDescent="0.2">
      <c r="A196" s="463"/>
      <c r="B196" s="3">
        <v>20</v>
      </c>
      <c r="C196" s="45">
        <f t="shared" si="83"/>
        <v>0</v>
      </c>
      <c r="D196" s="45">
        <f t="shared" si="64"/>
        <v>0</v>
      </c>
      <c r="E196" s="11">
        <f t="shared" si="65"/>
        <v>0</v>
      </c>
      <c r="F196" s="45">
        <f t="shared" si="84"/>
        <v>0</v>
      </c>
      <c r="G196" s="11">
        <f t="shared" si="66"/>
        <v>0</v>
      </c>
      <c r="H196" s="11">
        <f t="shared" si="67"/>
        <v>0</v>
      </c>
      <c r="J196" s="463"/>
      <c r="K196" s="3">
        <v>20</v>
      </c>
      <c r="L196" s="45">
        <f t="shared" si="85"/>
        <v>0</v>
      </c>
      <c r="M196" s="45">
        <f t="shared" si="68"/>
        <v>0</v>
      </c>
      <c r="N196" s="11">
        <f t="shared" si="69"/>
        <v>0</v>
      </c>
      <c r="O196" s="45">
        <f t="shared" si="86"/>
        <v>0</v>
      </c>
      <c r="P196" s="11">
        <f t="shared" si="70"/>
        <v>0</v>
      </c>
      <c r="Q196" s="11">
        <f t="shared" si="71"/>
        <v>0</v>
      </c>
      <c r="R196" s="11"/>
      <c r="S196" s="463"/>
      <c r="T196" s="3">
        <v>20</v>
      </c>
      <c r="U196" s="45">
        <f t="shared" si="87"/>
        <v>0</v>
      </c>
      <c r="V196" s="45">
        <f t="shared" si="72"/>
        <v>0</v>
      </c>
      <c r="W196" s="11">
        <f t="shared" si="73"/>
        <v>0</v>
      </c>
      <c r="X196" s="45">
        <f t="shared" si="88"/>
        <v>0</v>
      </c>
      <c r="Y196" s="11">
        <f t="shared" si="74"/>
        <v>0</v>
      </c>
      <c r="Z196" s="11">
        <f t="shared" si="75"/>
        <v>0</v>
      </c>
      <c r="AA196" s="11"/>
      <c r="AB196" s="463"/>
      <c r="AC196" s="3">
        <v>20</v>
      </c>
      <c r="AD196" s="45">
        <f t="shared" si="89"/>
        <v>0</v>
      </c>
      <c r="AE196" s="45">
        <f t="shared" si="76"/>
        <v>0</v>
      </c>
      <c r="AF196" s="11">
        <f t="shared" si="77"/>
        <v>0</v>
      </c>
      <c r="AG196" s="45">
        <f t="shared" si="90"/>
        <v>0</v>
      </c>
      <c r="AH196" s="11">
        <f t="shared" si="78"/>
        <v>0</v>
      </c>
      <c r="AI196" s="11">
        <f t="shared" si="79"/>
        <v>0</v>
      </c>
      <c r="AJ196" s="11"/>
      <c r="AK196" s="463"/>
      <c r="AL196" s="3">
        <v>20</v>
      </c>
      <c r="AM196" s="11">
        <f t="shared" si="80"/>
        <v>0</v>
      </c>
      <c r="AN196" s="46">
        <f t="shared" si="82"/>
        <v>0</v>
      </c>
      <c r="AO196" s="47">
        <f t="shared" si="81"/>
        <v>0</v>
      </c>
      <c r="AQ196" s="216"/>
      <c r="AR196" s="109">
        <v>20</v>
      </c>
      <c r="AS196" s="111">
        <f t="shared" si="91"/>
        <v>0</v>
      </c>
    </row>
    <row r="198" spans="1:52" x14ac:dyDescent="0.2">
      <c r="A198" s="135" t="s">
        <v>627</v>
      </c>
      <c r="B198" s="135"/>
      <c r="C198" s="135"/>
      <c r="D198" s="135"/>
      <c r="E198" s="135"/>
      <c r="F198" s="135"/>
      <c r="G198" s="135"/>
      <c r="H198" s="135"/>
      <c r="I198" s="135"/>
      <c r="J198" s="135"/>
      <c r="K198" s="135"/>
      <c r="L198" s="135"/>
      <c r="M198" s="49"/>
      <c r="N198" s="49"/>
      <c r="O198" s="49"/>
      <c r="P198" s="49"/>
      <c r="Q198" s="49"/>
      <c r="R198" s="49"/>
      <c r="S198" s="49"/>
      <c r="T198" s="49"/>
      <c r="U198" s="49"/>
      <c r="V198" s="49"/>
      <c r="W198" s="49"/>
      <c r="X198" s="49"/>
      <c r="Y198" s="49"/>
      <c r="Z198" s="49"/>
      <c r="AA198" s="49"/>
      <c r="AB198" s="49"/>
      <c r="AC198" s="49"/>
      <c r="AD198" s="49"/>
      <c r="AE198" s="49"/>
      <c r="AF198" s="49"/>
      <c r="AG198" s="49"/>
      <c r="AH198" s="49"/>
      <c r="AI198" s="49"/>
      <c r="AJ198" s="49"/>
      <c r="AK198" s="49"/>
      <c r="AL198" s="49"/>
      <c r="AM198" s="49"/>
      <c r="AN198" s="49"/>
      <c r="AO198" s="49"/>
      <c r="AP198" s="49"/>
      <c r="AQ198" s="49"/>
      <c r="AR198" s="49"/>
      <c r="AS198" s="49"/>
      <c r="AT198" s="49"/>
      <c r="AU198" s="49"/>
      <c r="AV198" s="49"/>
      <c r="AW198" s="49"/>
      <c r="AX198" s="49"/>
      <c r="AY198" s="49"/>
      <c r="AZ198" s="49"/>
    </row>
    <row r="200" spans="1:52" x14ac:dyDescent="0.2">
      <c r="A200" s="463" t="s">
        <v>732</v>
      </c>
      <c r="B200" s="4" t="s">
        <v>94</v>
      </c>
      <c r="C200" s="4">
        <v>1</v>
      </c>
      <c r="D200" s="4">
        <v>2</v>
      </c>
      <c r="E200" s="4">
        <v>3</v>
      </c>
      <c r="F200" s="4">
        <v>4</v>
      </c>
      <c r="G200" s="4">
        <v>5</v>
      </c>
      <c r="H200" s="4">
        <v>6</v>
      </c>
      <c r="I200" s="4">
        <v>7</v>
      </c>
      <c r="J200" s="4">
        <v>8</v>
      </c>
      <c r="K200" s="4">
        <v>9</v>
      </c>
      <c r="L200" s="4">
        <v>10</v>
      </c>
      <c r="M200" s="4">
        <v>11</v>
      </c>
      <c r="N200" s="4">
        <v>12</v>
      </c>
      <c r="O200" s="4">
        <v>13</v>
      </c>
      <c r="P200" s="4">
        <v>14</v>
      </c>
      <c r="Q200" s="4">
        <v>15</v>
      </c>
      <c r="R200" s="4">
        <v>16</v>
      </c>
      <c r="S200" s="4">
        <v>17</v>
      </c>
      <c r="T200" s="4">
        <v>18</v>
      </c>
      <c r="U200" s="4">
        <v>19</v>
      </c>
      <c r="V200" s="4">
        <v>20</v>
      </c>
      <c r="W200" s="4"/>
      <c r="X200" s="4"/>
      <c r="Y200" s="4"/>
      <c r="Z200" s="4"/>
      <c r="AA200" s="4"/>
      <c r="AB200" s="4"/>
      <c r="AC200" s="4"/>
      <c r="AD200" s="4"/>
      <c r="AE200" s="4"/>
      <c r="AF200" s="4"/>
    </row>
    <row r="201" spans="1:52" x14ac:dyDescent="0.2">
      <c r="A201" s="463"/>
      <c r="B201" s="3" t="s">
        <v>629</v>
      </c>
      <c r="C201" s="50">
        <f>IF(C200=1,$C$6,B204)</f>
        <v>0</v>
      </c>
      <c r="D201" s="50">
        <f t="shared" ref="D201:V201" si="92">IF(D200=1,$C$6,C204)</f>
        <v>0</v>
      </c>
      <c r="E201" s="50">
        <f t="shared" si="92"/>
        <v>0</v>
      </c>
      <c r="F201" s="50">
        <f t="shared" si="92"/>
        <v>0</v>
      </c>
      <c r="G201" s="50">
        <f t="shared" si="92"/>
        <v>0</v>
      </c>
      <c r="H201" s="50">
        <f t="shared" si="92"/>
        <v>0</v>
      </c>
      <c r="I201" s="50">
        <f t="shared" si="92"/>
        <v>0</v>
      </c>
      <c r="J201" s="50">
        <f t="shared" si="92"/>
        <v>0</v>
      </c>
      <c r="K201" s="50">
        <f t="shared" si="92"/>
        <v>0</v>
      </c>
      <c r="L201" s="50">
        <f t="shared" si="92"/>
        <v>0</v>
      </c>
      <c r="M201" s="50">
        <f t="shared" si="92"/>
        <v>0</v>
      </c>
      <c r="N201" s="50">
        <f t="shared" si="92"/>
        <v>0</v>
      </c>
      <c r="O201" s="50">
        <f t="shared" si="92"/>
        <v>0</v>
      </c>
      <c r="P201" s="50">
        <f t="shared" si="92"/>
        <v>0</v>
      </c>
      <c r="Q201" s="50">
        <f t="shared" si="92"/>
        <v>0</v>
      </c>
      <c r="R201" s="50">
        <f t="shared" si="92"/>
        <v>0</v>
      </c>
      <c r="S201" s="50">
        <f t="shared" si="92"/>
        <v>0</v>
      </c>
      <c r="T201" s="50">
        <f t="shared" si="92"/>
        <v>0</v>
      </c>
      <c r="U201" s="50">
        <f t="shared" si="92"/>
        <v>0</v>
      </c>
      <c r="V201" s="50">
        <f t="shared" si="92"/>
        <v>0</v>
      </c>
      <c r="W201" s="50"/>
      <c r="X201" s="50"/>
      <c r="Y201" s="50"/>
      <c r="Z201" s="50"/>
      <c r="AA201" s="50"/>
      <c r="AB201" s="50"/>
      <c r="AC201" s="50"/>
      <c r="AD201" s="50"/>
      <c r="AE201" s="50"/>
      <c r="AF201" s="50"/>
    </row>
    <row r="202" spans="1:52" x14ac:dyDescent="0.2">
      <c r="A202" s="463"/>
      <c r="B202" s="3" t="s">
        <v>630</v>
      </c>
      <c r="C202" s="50">
        <f>IF(OR($C$6="",$C$6=0),0,IF(OR(ROUND(C201,2)&lt;=0,$C$168=100%),0,VLOOKUP(C200,$AL$177:$AO$196,4,FALSE)*C201))</f>
        <v>0</v>
      </c>
      <c r="D202" s="50">
        <f t="shared" ref="D202:V202" si="93">IF(OR($C$6="",$C$6=0),0,IF(OR(ROUND(D201,2)&lt;=0,$C$168=100%),0,VLOOKUP(D200,$AL$177:$AO$196,4,FALSE)*D201))</f>
        <v>0</v>
      </c>
      <c r="E202" s="50">
        <f t="shared" si="93"/>
        <v>0</v>
      </c>
      <c r="F202" s="50">
        <f t="shared" si="93"/>
        <v>0</v>
      </c>
      <c r="G202" s="50">
        <f t="shared" si="93"/>
        <v>0</v>
      </c>
      <c r="H202" s="50">
        <f t="shared" si="93"/>
        <v>0</v>
      </c>
      <c r="I202" s="50">
        <f t="shared" si="93"/>
        <v>0</v>
      </c>
      <c r="J202" s="50">
        <f t="shared" si="93"/>
        <v>0</v>
      </c>
      <c r="K202" s="50">
        <f t="shared" si="93"/>
        <v>0</v>
      </c>
      <c r="L202" s="50">
        <f t="shared" si="93"/>
        <v>0</v>
      </c>
      <c r="M202" s="50">
        <f t="shared" si="93"/>
        <v>0</v>
      </c>
      <c r="N202" s="50">
        <f t="shared" si="93"/>
        <v>0</v>
      </c>
      <c r="O202" s="50">
        <f t="shared" si="93"/>
        <v>0</v>
      </c>
      <c r="P202" s="50">
        <f t="shared" si="93"/>
        <v>0</v>
      </c>
      <c r="Q202" s="50">
        <f t="shared" si="93"/>
        <v>0</v>
      </c>
      <c r="R202" s="50">
        <f t="shared" si="93"/>
        <v>0</v>
      </c>
      <c r="S202" s="50">
        <f t="shared" si="93"/>
        <v>0</v>
      </c>
      <c r="T202" s="50">
        <f t="shared" si="93"/>
        <v>0</v>
      </c>
      <c r="U202" s="50">
        <f t="shared" si="93"/>
        <v>0</v>
      </c>
      <c r="V202" s="50">
        <f t="shared" si="93"/>
        <v>0</v>
      </c>
      <c r="W202" s="50"/>
      <c r="X202" s="50"/>
      <c r="Y202" s="50"/>
      <c r="Z202" s="50"/>
      <c r="AA202" s="50"/>
      <c r="AB202" s="50"/>
      <c r="AC202" s="50"/>
      <c r="AD202" s="50"/>
      <c r="AE202" s="50"/>
      <c r="AF202" s="50"/>
    </row>
    <row r="203" spans="1:52" x14ac:dyDescent="0.2">
      <c r="A203" s="463"/>
      <c r="B203" s="3" t="s">
        <v>631</v>
      </c>
      <c r="C203" s="50">
        <f>IF(C200=1,C202,C202+B203)</f>
        <v>0</v>
      </c>
      <c r="D203" s="50">
        <f t="shared" ref="D203:V203" si="94">IF(D200=1,D202,D202+C203)</f>
        <v>0</v>
      </c>
      <c r="E203" s="50">
        <f t="shared" si="94"/>
        <v>0</v>
      </c>
      <c r="F203" s="50">
        <f t="shared" si="94"/>
        <v>0</v>
      </c>
      <c r="G203" s="50">
        <f t="shared" si="94"/>
        <v>0</v>
      </c>
      <c r="H203" s="50">
        <f t="shared" si="94"/>
        <v>0</v>
      </c>
      <c r="I203" s="50">
        <f t="shared" si="94"/>
        <v>0</v>
      </c>
      <c r="J203" s="50">
        <f t="shared" si="94"/>
        <v>0</v>
      </c>
      <c r="K203" s="50">
        <f t="shared" si="94"/>
        <v>0</v>
      </c>
      <c r="L203" s="50">
        <f t="shared" si="94"/>
        <v>0</v>
      </c>
      <c r="M203" s="50">
        <f t="shared" si="94"/>
        <v>0</v>
      </c>
      <c r="N203" s="50">
        <f t="shared" si="94"/>
        <v>0</v>
      </c>
      <c r="O203" s="50">
        <f t="shared" si="94"/>
        <v>0</v>
      </c>
      <c r="P203" s="50">
        <f t="shared" si="94"/>
        <v>0</v>
      </c>
      <c r="Q203" s="50">
        <f t="shared" si="94"/>
        <v>0</v>
      </c>
      <c r="R203" s="50">
        <f t="shared" si="94"/>
        <v>0</v>
      </c>
      <c r="S203" s="50">
        <f t="shared" si="94"/>
        <v>0</v>
      </c>
      <c r="T203" s="50">
        <f t="shared" si="94"/>
        <v>0</v>
      </c>
      <c r="U203" s="50">
        <f t="shared" si="94"/>
        <v>0</v>
      </c>
      <c r="V203" s="50">
        <f t="shared" si="94"/>
        <v>0</v>
      </c>
      <c r="W203" s="50"/>
      <c r="X203" s="50"/>
      <c r="Y203" s="50"/>
      <c r="Z203" s="50"/>
      <c r="AA203" s="50"/>
      <c r="AB203" s="50"/>
      <c r="AC203" s="50"/>
      <c r="AD203" s="50"/>
      <c r="AE203" s="50"/>
      <c r="AF203" s="50"/>
      <c r="AH203" s="72"/>
    </row>
    <row r="204" spans="1:52" ht="17" x14ac:dyDescent="0.2">
      <c r="A204" s="463"/>
      <c r="B204" s="38" t="s">
        <v>632</v>
      </c>
      <c r="C204" s="50">
        <f>C201-C202</f>
        <v>0</v>
      </c>
      <c r="D204" s="50">
        <f t="shared" ref="D204:V204" si="95">D201-D202</f>
        <v>0</v>
      </c>
      <c r="E204" s="50">
        <f t="shared" si="95"/>
        <v>0</v>
      </c>
      <c r="F204" s="50">
        <f t="shared" si="95"/>
        <v>0</v>
      </c>
      <c r="G204" s="50">
        <f t="shared" si="95"/>
        <v>0</v>
      </c>
      <c r="H204" s="50">
        <f t="shared" si="95"/>
        <v>0</v>
      </c>
      <c r="I204" s="50">
        <f t="shared" si="95"/>
        <v>0</v>
      </c>
      <c r="J204" s="50">
        <f t="shared" si="95"/>
        <v>0</v>
      </c>
      <c r="K204" s="50">
        <f t="shared" si="95"/>
        <v>0</v>
      </c>
      <c r="L204" s="50">
        <f t="shared" si="95"/>
        <v>0</v>
      </c>
      <c r="M204" s="50">
        <f t="shared" si="95"/>
        <v>0</v>
      </c>
      <c r="N204" s="50">
        <f t="shared" si="95"/>
        <v>0</v>
      </c>
      <c r="O204" s="50">
        <f t="shared" si="95"/>
        <v>0</v>
      </c>
      <c r="P204" s="50">
        <f t="shared" si="95"/>
        <v>0</v>
      </c>
      <c r="Q204" s="50">
        <f t="shared" si="95"/>
        <v>0</v>
      </c>
      <c r="R204" s="50">
        <f t="shared" si="95"/>
        <v>0</v>
      </c>
      <c r="S204" s="50">
        <f t="shared" si="95"/>
        <v>0</v>
      </c>
      <c r="T204" s="50">
        <f t="shared" si="95"/>
        <v>0</v>
      </c>
      <c r="U204" s="50">
        <f t="shared" si="95"/>
        <v>0</v>
      </c>
      <c r="V204" s="50">
        <f t="shared" si="95"/>
        <v>0</v>
      </c>
      <c r="W204" s="50"/>
      <c r="X204" s="50"/>
      <c r="Y204" s="50"/>
      <c r="Z204" s="50"/>
      <c r="AA204" s="50"/>
      <c r="AB204" s="50"/>
      <c r="AC204" s="50"/>
      <c r="AD204" s="50"/>
      <c r="AE204" s="50"/>
      <c r="AF204" s="50"/>
    </row>
    <row r="205" spans="1:52" x14ac:dyDescent="0.2">
      <c r="A205" s="463"/>
      <c r="B205" s="53" t="s">
        <v>189</v>
      </c>
      <c r="C205" s="54">
        <f>SUM(C204,C203)</f>
        <v>0</v>
      </c>
      <c r="D205" s="54">
        <f t="shared" ref="D205:V205" si="96">SUM(D204,D203)</f>
        <v>0</v>
      </c>
      <c r="E205" s="54">
        <f t="shared" si="96"/>
        <v>0</v>
      </c>
      <c r="F205" s="54">
        <f t="shared" si="96"/>
        <v>0</v>
      </c>
      <c r="G205" s="54">
        <f t="shared" si="96"/>
        <v>0</v>
      </c>
      <c r="H205" s="54">
        <f t="shared" si="96"/>
        <v>0</v>
      </c>
      <c r="I205" s="54">
        <f t="shared" si="96"/>
        <v>0</v>
      </c>
      <c r="J205" s="54">
        <f t="shared" si="96"/>
        <v>0</v>
      </c>
      <c r="K205" s="54">
        <f t="shared" si="96"/>
        <v>0</v>
      </c>
      <c r="L205" s="54">
        <f t="shared" si="96"/>
        <v>0</v>
      </c>
      <c r="M205" s="54">
        <f t="shared" si="96"/>
        <v>0</v>
      </c>
      <c r="N205" s="54">
        <f t="shared" si="96"/>
        <v>0</v>
      </c>
      <c r="O205" s="54">
        <f t="shared" si="96"/>
        <v>0</v>
      </c>
      <c r="P205" s="54">
        <f t="shared" si="96"/>
        <v>0</v>
      </c>
      <c r="Q205" s="54">
        <f t="shared" si="96"/>
        <v>0</v>
      </c>
      <c r="R205" s="54">
        <f t="shared" si="96"/>
        <v>0</v>
      </c>
      <c r="S205" s="54">
        <f t="shared" si="96"/>
        <v>0</v>
      </c>
      <c r="T205" s="54">
        <f t="shared" si="96"/>
        <v>0</v>
      </c>
      <c r="U205" s="54">
        <f t="shared" si="96"/>
        <v>0</v>
      </c>
      <c r="V205" s="54">
        <f t="shared" si="96"/>
        <v>0</v>
      </c>
      <c r="W205" s="54"/>
      <c r="X205" s="54"/>
      <c r="Y205" s="54"/>
      <c r="Z205" s="54"/>
      <c r="AA205" s="54"/>
      <c r="AB205" s="54"/>
      <c r="AC205" s="54"/>
      <c r="AD205" s="54"/>
      <c r="AE205" s="54"/>
      <c r="AF205" s="54"/>
    </row>
    <row r="207" spans="1:52" ht="16" customHeight="1" x14ac:dyDescent="0.2">
      <c r="A207" s="463" t="s">
        <v>733</v>
      </c>
      <c r="B207" s="3" t="s">
        <v>94</v>
      </c>
      <c r="C207" s="3" t="s">
        <v>95</v>
      </c>
      <c r="D207" s="3" t="s">
        <v>96</v>
      </c>
      <c r="E207" s="3" t="s">
        <v>97</v>
      </c>
      <c r="F207" s="3" t="s">
        <v>98</v>
      </c>
      <c r="G207" s="3" t="s">
        <v>99</v>
      </c>
      <c r="H207" s="3" t="s">
        <v>100</v>
      </c>
      <c r="I207" s="3" t="s">
        <v>101</v>
      </c>
      <c r="J207" s="3" t="s">
        <v>102</v>
      </c>
      <c r="K207" s="3" t="s">
        <v>103</v>
      </c>
      <c r="L207" s="3" t="s">
        <v>104</v>
      </c>
      <c r="M207" s="3" t="s">
        <v>105</v>
      </c>
      <c r="N207" s="3" t="s">
        <v>106</v>
      </c>
      <c r="O207" s="3" t="s">
        <v>107</v>
      </c>
      <c r="P207" s="3" t="s">
        <v>108</v>
      </c>
      <c r="Q207" s="3" t="s">
        <v>109</v>
      </c>
      <c r="R207" s="3" t="s">
        <v>110</v>
      </c>
      <c r="S207" s="3" t="s">
        <v>111</v>
      </c>
      <c r="T207" s="3" t="s">
        <v>112</v>
      </c>
      <c r="U207" s="3" t="s">
        <v>113</v>
      </c>
      <c r="V207" s="3" t="s">
        <v>114</v>
      </c>
      <c r="W207" s="3" t="s">
        <v>117</v>
      </c>
      <c r="X207" s="3" t="s">
        <v>116</v>
      </c>
      <c r="Y207" s="3" t="s">
        <v>115</v>
      </c>
      <c r="Z207" s="3" t="s">
        <v>229</v>
      </c>
    </row>
    <row r="208" spans="1:52" ht="16" customHeight="1" x14ac:dyDescent="0.2">
      <c r="A208" s="463"/>
      <c r="B208" s="3">
        <v>1</v>
      </c>
      <c r="C208" s="11">
        <f>(C$202)*IF($B208&gt;=C$200,IF($B208=C$200,$E$19,VLOOKUP($B208-C$200,$B$19:$E$49,4,FALSE)),0)</f>
        <v>0</v>
      </c>
      <c r="D208" s="11">
        <f t="shared" ref="C208:R223" si="97">(D$202)*IF($B208&gt;=D$200,IF($B208=D$200,$E$19,VLOOKUP($B208-D$200,$B$19:$E$49,4,FALSE)),0)</f>
        <v>0</v>
      </c>
      <c r="E208" s="11">
        <f t="shared" si="97"/>
        <v>0</v>
      </c>
      <c r="F208" s="11">
        <f t="shared" si="97"/>
        <v>0</v>
      </c>
      <c r="G208" s="11">
        <f t="shared" si="97"/>
        <v>0</v>
      </c>
      <c r="H208" s="11">
        <f t="shared" si="97"/>
        <v>0</v>
      </c>
      <c r="I208" s="11">
        <f t="shared" si="97"/>
        <v>0</v>
      </c>
      <c r="J208" s="11">
        <f t="shared" si="97"/>
        <v>0</v>
      </c>
      <c r="K208" s="11">
        <f t="shared" si="97"/>
        <v>0</v>
      </c>
      <c r="L208" s="11">
        <f t="shared" si="97"/>
        <v>0</v>
      </c>
      <c r="M208" s="11">
        <f t="shared" si="97"/>
        <v>0</v>
      </c>
      <c r="N208" s="11">
        <f t="shared" si="97"/>
        <v>0</v>
      </c>
      <c r="O208" s="11">
        <f t="shared" si="97"/>
        <v>0</v>
      </c>
      <c r="P208" s="11">
        <f t="shared" si="97"/>
        <v>0</v>
      </c>
      <c r="Q208" s="11">
        <f t="shared" si="97"/>
        <v>0</v>
      </c>
      <c r="R208" s="11">
        <f t="shared" si="97"/>
        <v>0</v>
      </c>
      <c r="S208" s="11">
        <f t="shared" ref="S208:V227" si="98">(S$202)*IF($B208&gt;=S$200,IF($B208=S$200,$E$19,VLOOKUP($B208-S$200,$B$19:$E$49,4,FALSE)),0)</f>
        <v>0</v>
      </c>
      <c r="T208" s="11">
        <f t="shared" si="98"/>
        <v>0</v>
      </c>
      <c r="U208" s="11">
        <f t="shared" si="98"/>
        <v>0</v>
      </c>
      <c r="V208" s="11">
        <f t="shared" si="98"/>
        <v>0</v>
      </c>
      <c r="W208" s="11">
        <f>SUM(C208:V208)*D$11*C$11</f>
        <v>0</v>
      </c>
      <c r="X208" s="11">
        <f t="shared" ref="X208:X227" si="99">IF(W208&gt;0,EXP(-1.0587+0.8836*LN(W208)+0.284),0)</f>
        <v>0</v>
      </c>
      <c r="Y208" s="11">
        <f t="shared" ref="Y208:Y227" si="100">SUM(W208:X208)*0.475*44/12</f>
        <v>0</v>
      </c>
      <c r="Z208" s="11">
        <f>SUM(C208:V208)</f>
        <v>0</v>
      </c>
      <c r="AH208" s="11"/>
    </row>
    <row r="209" spans="1:34" x14ac:dyDescent="0.2">
      <c r="A209" s="463"/>
      <c r="B209" s="3">
        <v>2</v>
      </c>
      <c r="C209" s="11">
        <f t="shared" si="97"/>
        <v>0</v>
      </c>
      <c r="D209" s="11">
        <f t="shared" si="97"/>
        <v>0</v>
      </c>
      <c r="E209" s="11">
        <f t="shared" si="97"/>
        <v>0</v>
      </c>
      <c r="F209" s="11">
        <f t="shared" si="97"/>
        <v>0</v>
      </c>
      <c r="G209" s="11">
        <f t="shared" si="97"/>
        <v>0</v>
      </c>
      <c r="H209" s="11">
        <f t="shared" si="97"/>
        <v>0</v>
      </c>
      <c r="I209" s="11">
        <f t="shared" si="97"/>
        <v>0</v>
      </c>
      <c r="J209" s="11">
        <f t="shared" si="97"/>
        <v>0</v>
      </c>
      <c r="K209" s="11">
        <f t="shared" si="97"/>
        <v>0</v>
      </c>
      <c r="L209" s="11">
        <f t="shared" si="97"/>
        <v>0</v>
      </c>
      <c r="M209" s="11">
        <f t="shared" si="97"/>
        <v>0</v>
      </c>
      <c r="N209" s="11">
        <f t="shared" si="97"/>
        <v>0</v>
      </c>
      <c r="O209" s="11">
        <f t="shared" si="97"/>
        <v>0</v>
      </c>
      <c r="P209" s="11">
        <f t="shared" si="97"/>
        <v>0</v>
      </c>
      <c r="Q209" s="11">
        <f t="shared" si="97"/>
        <v>0</v>
      </c>
      <c r="R209" s="11">
        <f t="shared" si="97"/>
        <v>0</v>
      </c>
      <c r="S209" s="11">
        <f t="shared" si="98"/>
        <v>0</v>
      </c>
      <c r="T209" s="11">
        <f t="shared" si="98"/>
        <v>0</v>
      </c>
      <c r="U209" s="11">
        <f t="shared" si="98"/>
        <v>0</v>
      </c>
      <c r="V209" s="11">
        <f t="shared" si="98"/>
        <v>0</v>
      </c>
      <c r="W209" s="11">
        <f t="shared" ref="W209:W227" si="101">SUM(C209:V209)*D$11*C$11</f>
        <v>0</v>
      </c>
      <c r="X209" s="11">
        <f t="shared" si="99"/>
        <v>0</v>
      </c>
      <c r="Y209" s="11">
        <f t="shared" si="100"/>
        <v>0</v>
      </c>
      <c r="Z209" s="11">
        <f t="shared" ref="Z209:Z227" si="102">SUM(C209:V209)</f>
        <v>0</v>
      </c>
      <c r="AB209" s="474" t="s">
        <v>118</v>
      </c>
      <c r="AC209" s="474"/>
      <c r="AD209" s="474"/>
      <c r="AE209" s="474"/>
      <c r="AH209" s="11"/>
    </row>
    <row r="210" spans="1:34" x14ac:dyDescent="0.2">
      <c r="A210" s="463"/>
      <c r="B210" s="3">
        <v>3</v>
      </c>
      <c r="C210" s="11">
        <f t="shared" si="97"/>
        <v>0</v>
      </c>
      <c r="D210" s="11">
        <f t="shared" si="97"/>
        <v>0</v>
      </c>
      <c r="E210" s="11">
        <f t="shared" si="97"/>
        <v>0</v>
      </c>
      <c r="F210" s="11">
        <f t="shared" si="97"/>
        <v>0</v>
      </c>
      <c r="G210" s="11">
        <f t="shared" si="97"/>
        <v>0</v>
      </c>
      <c r="H210" s="11">
        <f t="shared" si="97"/>
        <v>0</v>
      </c>
      <c r="I210" s="11">
        <f t="shared" si="97"/>
        <v>0</v>
      </c>
      <c r="J210" s="11">
        <f t="shared" si="97"/>
        <v>0</v>
      </c>
      <c r="K210" s="11">
        <f t="shared" si="97"/>
        <v>0</v>
      </c>
      <c r="L210" s="11">
        <f t="shared" si="97"/>
        <v>0</v>
      </c>
      <c r="M210" s="11">
        <f t="shared" si="97"/>
        <v>0</v>
      </c>
      <c r="N210" s="11">
        <f t="shared" si="97"/>
        <v>0</v>
      </c>
      <c r="O210" s="11">
        <f t="shared" si="97"/>
        <v>0</v>
      </c>
      <c r="P210" s="11">
        <f t="shared" si="97"/>
        <v>0</v>
      </c>
      <c r="Q210" s="11">
        <f t="shared" si="97"/>
        <v>0</v>
      </c>
      <c r="R210" s="11">
        <f t="shared" si="97"/>
        <v>0</v>
      </c>
      <c r="S210" s="11">
        <f t="shared" si="98"/>
        <v>0</v>
      </c>
      <c r="T210" s="11">
        <f t="shared" si="98"/>
        <v>0</v>
      </c>
      <c r="U210" s="11">
        <f t="shared" si="98"/>
        <v>0</v>
      </c>
      <c r="V210" s="11">
        <f t="shared" si="98"/>
        <v>0</v>
      </c>
      <c r="W210" s="11">
        <f t="shared" si="101"/>
        <v>0</v>
      </c>
      <c r="X210" s="11">
        <f t="shared" si="99"/>
        <v>0</v>
      </c>
      <c r="Y210" s="11">
        <f t="shared" si="100"/>
        <v>0</v>
      </c>
      <c r="Z210" s="11">
        <f t="shared" si="102"/>
        <v>0</v>
      </c>
      <c r="AB210" s="474"/>
      <c r="AC210" s="474"/>
      <c r="AD210" s="474"/>
      <c r="AE210" s="474"/>
      <c r="AH210" s="11"/>
    </row>
    <row r="211" spans="1:34" x14ac:dyDescent="0.2">
      <c r="A211" s="463"/>
      <c r="B211" s="3">
        <v>4</v>
      </c>
      <c r="C211" s="11">
        <f t="shared" si="97"/>
        <v>0</v>
      </c>
      <c r="D211" s="11">
        <f t="shared" si="97"/>
        <v>0</v>
      </c>
      <c r="E211" s="11">
        <f t="shared" si="97"/>
        <v>0</v>
      </c>
      <c r="F211" s="11">
        <f t="shared" si="97"/>
        <v>0</v>
      </c>
      <c r="G211" s="11">
        <f t="shared" si="97"/>
        <v>0</v>
      </c>
      <c r="H211" s="11">
        <f t="shared" si="97"/>
        <v>0</v>
      </c>
      <c r="I211" s="11">
        <f t="shared" si="97"/>
        <v>0</v>
      </c>
      <c r="J211" s="11">
        <f t="shared" si="97"/>
        <v>0</v>
      </c>
      <c r="K211" s="11">
        <f t="shared" si="97"/>
        <v>0</v>
      </c>
      <c r="L211" s="11">
        <f t="shared" si="97"/>
        <v>0</v>
      </c>
      <c r="M211" s="11">
        <f t="shared" si="97"/>
        <v>0</v>
      </c>
      <c r="N211" s="11">
        <f t="shared" si="97"/>
        <v>0</v>
      </c>
      <c r="O211" s="11">
        <f t="shared" si="97"/>
        <v>0</v>
      </c>
      <c r="P211" s="11">
        <f t="shared" si="97"/>
        <v>0</v>
      </c>
      <c r="Q211" s="11">
        <f t="shared" si="97"/>
        <v>0</v>
      </c>
      <c r="R211" s="11">
        <f t="shared" si="97"/>
        <v>0</v>
      </c>
      <c r="S211" s="11">
        <f t="shared" si="98"/>
        <v>0</v>
      </c>
      <c r="T211" s="11">
        <f t="shared" si="98"/>
        <v>0</v>
      </c>
      <c r="U211" s="11">
        <f t="shared" si="98"/>
        <v>0</v>
      </c>
      <c r="V211" s="11">
        <f t="shared" si="98"/>
        <v>0</v>
      </c>
      <c r="W211" s="11">
        <f t="shared" si="101"/>
        <v>0</v>
      </c>
      <c r="X211" s="11">
        <f t="shared" si="99"/>
        <v>0</v>
      </c>
      <c r="Y211" s="11">
        <f t="shared" si="100"/>
        <v>0</v>
      </c>
      <c r="Z211" s="11">
        <f t="shared" si="102"/>
        <v>0</v>
      </c>
      <c r="AB211" s="474"/>
      <c r="AC211" s="474"/>
      <c r="AD211" s="474"/>
      <c r="AE211" s="474"/>
      <c r="AH211" s="11"/>
    </row>
    <row r="212" spans="1:34" x14ac:dyDescent="0.2">
      <c r="A212" s="463"/>
      <c r="B212" s="3">
        <v>5</v>
      </c>
      <c r="C212" s="11">
        <f t="shared" si="97"/>
        <v>0</v>
      </c>
      <c r="D212" s="11">
        <f t="shared" si="97"/>
        <v>0</v>
      </c>
      <c r="E212" s="11">
        <f t="shared" si="97"/>
        <v>0</v>
      </c>
      <c r="F212" s="11">
        <f t="shared" si="97"/>
        <v>0</v>
      </c>
      <c r="G212" s="11">
        <f t="shared" si="97"/>
        <v>0</v>
      </c>
      <c r="H212" s="11">
        <f t="shared" si="97"/>
        <v>0</v>
      </c>
      <c r="I212" s="11">
        <f t="shared" si="97"/>
        <v>0</v>
      </c>
      <c r="J212" s="11">
        <f t="shared" si="97"/>
        <v>0</v>
      </c>
      <c r="K212" s="11">
        <f t="shared" si="97"/>
        <v>0</v>
      </c>
      <c r="L212" s="11">
        <f t="shared" si="97"/>
        <v>0</v>
      </c>
      <c r="M212" s="11">
        <f t="shared" si="97"/>
        <v>0</v>
      </c>
      <c r="N212" s="11">
        <f t="shared" si="97"/>
        <v>0</v>
      </c>
      <c r="O212" s="11">
        <f t="shared" si="97"/>
        <v>0</v>
      </c>
      <c r="P212" s="11">
        <f t="shared" si="97"/>
        <v>0</v>
      </c>
      <c r="Q212" s="11">
        <f t="shared" si="97"/>
        <v>0</v>
      </c>
      <c r="R212" s="11">
        <f t="shared" si="97"/>
        <v>0</v>
      </c>
      <c r="S212" s="11">
        <f t="shared" si="98"/>
        <v>0</v>
      </c>
      <c r="T212" s="11">
        <f t="shared" si="98"/>
        <v>0</v>
      </c>
      <c r="U212" s="11">
        <f t="shared" si="98"/>
        <v>0</v>
      </c>
      <c r="V212" s="11">
        <f t="shared" si="98"/>
        <v>0</v>
      </c>
      <c r="W212" s="11">
        <f t="shared" si="101"/>
        <v>0</v>
      </c>
      <c r="X212" s="11">
        <f t="shared" si="99"/>
        <v>0</v>
      </c>
      <c r="Y212" s="11">
        <f t="shared" si="100"/>
        <v>0</v>
      </c>
      <c r="Z212" s="11">
        <f t="shared" si="102"/>
        <v>0</v>
      </c>
      <c r="AB212" s="474"/>
      <c r="AC212" s="474"/>
      <c r="AD212" s="474"/>
      <c r="AE212" s="474"/>
      <c r="AH212" s="11"/>
    </row>
    <row r="213" spans="1:34" x14ac:dyDescent="0.2">
      <c r="A213" s="463"/>
      <c r="B213" s="3">
        <v>6</v>
      </c>
      <c r="C213" s="11">
        <f t="shared" si="97"/>
        <v>0</v>
      </c>
      <c r="D213" s="11">
        <f t="shared" si="97"/>
        <v>0</v>
      </c>
      <c r="E213" s="11">
        <f t="shared" si="97"/>
        <v>0</v>
      </c>
      <c r="F213" s="11">
        <f t="shared" si="97"/>
        <v>0</v>
      </c>
      <c r="G213" s="11">
        <f t="shared" si="97"/>
        <v>0</v>
      </c>
      <c r="H213" s="11">
        <f t="shared" si="97"/>
        <v>0</v>
      </c>
      <c r="I213" s="11">
        <f t="shared" si="97"/>
        <v>0</v>
      </c>
      <c r="J213" s="11">
        <f t="shared" si="97"/>
        <v>0</v>
      </c>
      <c r="K213" s="11">
        <f t="shared" si="97"/>
        <v>0</v>
      </c>
      <c r="L213" s="11">
        <f t="shared" si="97"/>
        <v>0</v>
      </c>
      <c r="M213" s="11">
        <f t="shared" si="97"/>
        <v>0</v>
      </c>
      <c r="N213" s="11">
        <f t="shared" si="97"/>
        <v>0</v>
      </c>
      <c r="O213" s="11">
        <f t="shared" si="97"/>
        <v>0</v>
      </c>
      <c r="P213" s="11">
        <f t="shared" si="97"/>
        <v>0</v>
      </c>
      <c r="Q213" s="11">
        <f t="shared" si="97"/>
        <v>0</v>
      </c>
      <c r="R213" s="11">
        <f t="shared" si="97"/>
        <v>0</v>
      </c>
      <c r="S213" s="11">
        <f t="shared" si="98"/>
        <v>0</v>
      </c>
      <c r="T213" s="11">
        <f t="shared" si="98"/>
        <v>0</v>
      </c>
      <c r="U213" s="11">
        <f t="shared" si="98"/>
        <v>0</v>
      </c>
      <c r="V213" s="11">
        <f t="shared" si="98"/>
        <v>0</v>
      </c>
      <c r="W213" s="11">
        <f t="shared" si="101"/>
        <v>0</v>
      </c>
      <c r="X213" s="11">
        <f t="shared" si="99"/>
        <v>0</v>
      </c>
      <c r="Y213" s="11">
        <f t="shared" si="100"/>
        <v>0</v>
      </c>
      <c r="Z213" s="11">
        <f t="shared" si="102"/>
        <v>0</v>
      </c>
      <c r="AB213" s="474"/>
      <c r="AC213" s="474"/>
      <c r="AD213" s="474"/>
      <c r="AE213" s="474"/>
      <c r="AH213" s="11"/>
    </row>
    <row r="214" spans="1:34" x14ac:dyDescent="0.2">
      <c r="A214" s="463"/>
      <c r="B214" s="3">
        <v>7</v>
      </c>
      <c r="C214" s="11">
        <f t="shared" si="97"/>
        <v>0</v>
      </c>
      <c r="D214" s="11">
        <f t="shared" si="97"/>
        <v>0</v>
      </c>
      <c r="E214" s="11">
        <f t="shared" si="97"/>
        <v>0</v>
      </c>
      <c r="F214" s="11">
        <f t="shared" si="97"/>
        <v>0</v>
      </c>
      <c r="G214" s="11">
        <f t="shared" si="97"/>
        <v>0</v>
      </c>
      <c r="H214" s="11">
        <f t="shared" si="97"/>
        <v>0</v>
      </c>
      <c r="I214" s="11">
        <f t="shared" si="97"/>
        <v>0</v>
      </c>
      <c r="J214" s="11">
        <f t="shared" si="97"/>
        <v>0</v>
      </c>
      <c r="K214" s="11">
        <f t="shared" si="97"/>
        <v>0</v>
      </c>
      <c r="L214" s="11">
        <f t="shared" si="97"/>
        <v>0</v>
      </c>
      <c r="M214" s="11">
        <f t="shared" si="97"/>
        <v>0</v>
      </c>
      <c r="N214" s="11">
        <f t="shared" si="97"/>
        <v>0</v>
      </c>
      <c r="O214" s="11">
        <f t="shared" si="97"/>
        <v>0</v>
      </c>
      <c r="P214" s="11">
        <f t="shared" si="97"/>
        <v>0</v>
      </c>
      <c r="Q214" s="11">
        <f t="shared" si="97"/>
        <v>0</v>
      </c>
      <c r="R214" s="11">
        <f t="shared" si="97"/>
        <v>0</v>
      </c>
      <c r="S214" s="11">
        <f t="shared" si="98"/>
        <v>0</v>
      </c>
      <c r="T214" s="11">
        <f t="shared" si="98"/>
        <v>0</v>
      </c>
      <c r="U214" s="11">
        <f t="shared" si="98"/>
        <v>0</v>
      </c>
      <c r="V214" s="11">
        <f t="shared" si="98"/>
        <v>0</v>
      </c>
      <c r="W214" s="11">
        <f t="shared" si="101"/>
        <v>0</v>
      </c>
      <c r="X214" s="11">
        <f t="shared" si="99"/>
        <v>0</v>
      </c>
      <c r="Y214" s="11">
        <f t="shared" si="100"/>
        <v>0</v>
      </c>
      <c r="Z214" s="11">
        <f t="shared" si="102"/>
        <v>0</v>
      </c>
      <c r="AB214" s="474"/>
      <c r="AC214" s="474"/>
      <c r="AD214" s="474"/>
      <c r="AE214" s="474"/>
      <c r="AH214" s="11"/>
    </row>
    <row r="215" spans="1:34" ht="16" customHeight="1" x14ac:dyDescent="0.2">
      <c r="A215" s="463"/>
      <c r="B215" s="3">
        <v>8</v>
      </c>
      <c r="C215" s="11">
        <f t="shared" si="97"/>
        <v>0</v>
      </c>
      <c r="D215" s="11">
        <f t="shared" si="97"/>
        <v>0</v>
      </c>
      <c r="E215" s="11">
        <f t="shared" si="97"/>
        <v>0</v>
      </c>
      <c r="F215" s="11">
        <f t="shared" si="97"/>
        <v>0</v>
      </c>
      <c r="G215" s="11">
        <f t="shared" si="97"/>
        <v>0</v>
      </c>
      <c r="H215" s="11">
        <f t="shared" si="97"/>
        <v>0</v>
      </c>
      <c r="I215" s="11">
        <f t="shared" si="97"/>
        <v>0</v>
      </c>
      <c r="J215" s="11">
        <f t="shared" si="97"/>
        <v>0</v>
      </c>
      <c r="K215" s="11">
        <f t="shared" si="97"/>
        <v>0</v>
      </c>
      <c r="L215" s="11">
        <f t="shared" si="97"/>
        <v>0</v>
      </c>
      <c r="M215" s="11">
        <f t="shared" si="97"/>
        <v>0</v>
      </c>
      <c r="N215" s="11">
        <f t="shared" si="97"/>
        <v>0</v>
      </c>
      <c r="O215" s="11">
        <f t="shared" si="97"/>
        <v>0</v>
      </c>
      <c r="P215" s="11">
        <f t="shared" si="97"/>
        <v>0</v>
      </c>
      <c r="Q215" s="11">
        <f t="shared" si="97"/>
        <v>0</v>
      </c>
      <c r="R215" s="11">
        <f t="shared" si="97"/>
        <v>0</v>
      </c>
      <c r="S215" s="11">
        <f t="shared" si="98"/>
        <v>0</v>
      </c>
      <c r="T215" s="11">
        <f t="shared" si="98"/>
        <v>0</v>
      </c>
      <c r="U215" s="11">
        <f t="shared" si="98"/>
        <v>0</v>
      </c>
      <c r="V215" s="11">
        <f t="shared" si="98"/>
        <v>0</v>
      </c>
      <c r="W215" s="11">
        <f t="shared" si="101"/>
        <v>0</v>
      </c>
      <c r="X215" s="11">
        <f t="shared" si="99"/>
        <v>0</v>
      </c>
      <c r="Y215" s="11">
        <f t="shared" si="100"/>
        <v>0</v>
      </c>
      <c r="Z215" s="11">
        <f t="shared" si="102"/>
        <v>0</v>
      </c>
      <c r="AC215" s="31"/>
      <c r="AD215" s="31"/>
      <c r="AE215" s="31"/>
      <c r="AH215" s="11"/>
    </row>
    <row r="216" spans="1:34" x14ac:dyDescent="0.2">
      <c r="A216" s="463"/>
      <c r="B216" s="3">
        <v>9</v>
      </c>
      <c r="C216" s="11">
        <f t="shared" si="97"/>
        <v>0</v>
      </c>
      <c r="D216" s="11">
        <f t="shared" si="97"/>
        <v>0</v>
      </c>
      <c r="E216" s="11">
        <f t="shared" si="97"/>
        <v>0</v>
      </c>
      <c r="F216" s="11">
        <f t="shared" si="97"/>
        <v>0</v>
      </c>
      <c r="G216" s="11">
        <f t="shared" si="97"/>
        <v>0</v>
      </c>
      <c r="H216" s="11">
        <f t="shared" si="97"/>
        <v>0</v>
      </c>
      <c r="I216" s="11">
        <f t="shared" si="97"/>
        <v>0</v>
      </c>
      <c r="J216" s="11">
        <f t="shared" si="97"/>
        <v>0</v>
      </c>
      <c r="K216" s="11">
        <f t="shared" si="97"/>
        <v>0</v>
      </c>
      <c r="L216" s="11">
        <f t="shared" si="97"/>
        <v>0</v>
      </c>
      <c r="M216" s="11">
        <f t="shared" si="97"/>
        <v>0</v>
      </c>
      <c r="N216" s="11">
        <f t="shared" si="97"/>
        <v>0</v>
      </c>
      <c r="O216" s="11">
        <f t="shared" si="97"/>
        <v>0</v>
      </c>
      <c r="P216" s="11">
        <f t="shared" si="97"/>
        <v>0</v>
      </c>
      <c r="Q216" s="11">
        <f t="shared" si="97"/>
        <v>0</v>
      </c>
      <c r="R216" s="11">
        <f t="shared" si="97"/>
        <v>0</v>
      </c>
      <c r="S216" s="11">
        <f t="shared" si="98"/>
        <v>0</v>
      </c>
      <c r="T216" s="11">
        <f t="shared" si="98"/>
        <v>0</v>
      </c>
      <c r="U216" s="11">
        <f t="shared" si="98"/>
        <v>0</v>
      </c>
      <c r="V216" s="11">
        <f t="shared" si="98"/>
        <v>0</v>
      </c>
      <c r="W216" s="11">
        <f t="shared" si="101"/>
        <v>0</v>
      </c>
      <c r="X216" s="11">
        <f t="shared" si="99"/>
        <v>0</v>
      </c>
      <c r="Y216" s="11">
        <f t="shared" si="100"/>
        <v>0</v>
      </c>
      <c r="Z216" s="11">
        <f t="shared" si="102"/>
        <v>0</v>
      </c>
      <c r="AB216" s="31"/>
      <c r="AC216" s="31"/>
      <c r="AD216" s="31"/>
      <c r="AE216" s="31"/>
      <c r="AH216" s="11"/>
    </row>
    <row r="217" spans="1:34" x14ac:dyDescent="0.2">
      <c r="A217" s="463"/>
      <c r="B217" s="3">
        <v>10</v>
      </c>
      <c r="C217" s="11">
        <f t="shared" si="97"/>
        <v>0</v>
      </c>
      <c r="D217" s="11">
        <f t="shared" si="97"/>
        <v>0</v>
      </c>
      <c r="E217" s="11">
        <f t="shared" si="97"/>
        <v>0</v>
      </c>
      <c r="F217" s="11">
        <f t="shared" si="97"/>
        <v>0</v>
      </c>
      <c r="G217" s="11">
        <f t="shared" si="97"/>
        <v>0</v>
      </c>
      <c r="H217" s="11">
        <f t="shared" si="97"/>
        <v>0</v>
      </c>
      <c r="I217" s="11">
        <f t="shared" si="97"/>
        <v>0</v>
      </c>
      <c r="J217" s="11">
        <f t="shared" si="97"/>
        <v>0</v>
      </c>
      <c r="K217" s="11">
        <f t="shared" si="97"/>
        <v>0</v>
      </c>
      <c r="L217" s="11">
        <f t="shared" si="97"/>
        <v>0</v>
      </c>
      <c r="M217" s="11">
        <f t="shared" si="97"/>
        <v>0</v>
      </c>
      <c r="N217" s="11">
        <f t="shared" si="97"/>
        <v>0</v>
      </c>
      <c r="O217" s="11">
        <f t="shared" si="97"/>
        <v>0</v>
      </c>
      <c r="P217" s="11">
        <f t="shared" si="97"/>
        <v>0</v>
      </c>
      <c r="Q217" s="11">
        <f t="shared" si="97"/>
        <v>0</v>
      </c>
      <c r="R217" s="11">
        <f t="shared" si="97"/>
        <v>0</v>
      </c>
      <c r="S217" s="11">
        <f t="shared" si="98"/>
        <v>0</v>
      </c>
      <c r="T217" s="11">
        <f t="shared" si="98"/>
        <v>0</v>
      </c>
      <c r="U217" s="11">
        <f t="shared" si="98"/>
        <v>0</v>
      </c>
      <c r="V217" s="11">
        <f t="shared" si="98"/>
        <v>0</v>
      </c>
      <c r="W217" s="11">
        <f t="shared" si="101"/>
        <v>0</v>
      </c>
      <c r="X217" s="11">
        <f t="shared" si="99"/>
        <v>0</v>
      </c>
      <c r="Y217" s="11">
        <f t="shared" si="100"/>
        <v>0</v>
      </c>
      <c r="Z217" s="11">
        <f t="shared" si="102"/>
        <v>0</v>
      </c>
      <c r="AB217" s="86"/>
      <c r="AC217" s="86"/>
      <c r="AD217" s="86"/>
      <c r="AE217" s="86"/>
      <c r="AH217" s="11"/>
    </row>
    <row r="218" spans="1:34" x14ac:dyDescent="0.2">
      <c r="A218" s="463"/>
      <c r="B218" s="3">
        <v>11</v>
      </c>
      <c r="C218" s="11">
        <f t="shared" si="97"/>
        <v>0</v>
      </c>
      <c r="D218" s="11">
        <f t="shared" si="97"/>
        <v>0</v>
      </c>
      <c r="E218" s="11">
        <f t="shared" si="97"/>
        <v>0</v>
      </c>
      <c r="F218" s="11">
        <f t="shared" si="97"/>
        <v>0</v>
      </c>
      <c r="G218" s="11">
        <f t="shared" si="97"/>
        <v>0</v>
      </c>
      <c r="H218" s="11">
        <f t="shared" si="97"/>
        <v>0</v>
      </c>
      <c r="I218" s="11">
        <f t="shared" si="97"/>
        <v>0</v>
      </c>
      <c r="J218" s="11">
        <f t="shared" si="97"/>
        <v>0</v>
      </c>
      <c r="K218" s="11">
        <f t="shared" si="97"/>
        <v>0</v>
      </c>
      <c r="L218" s="11">
        <f t="shared" si="97"/>
        <v>0</v>
      </c>
      <c r="M218" s="11">
        <f t="shared" si="97"/>
        <v>0</v>
      </c>
      <c r="N218" s="11">
        <f t="shared" si="97"/>
        <v>0</v>
      </c>
      <c r="O218" s="11">
        <f t="shared" si="97"/>
        <v>0</v>
      </c>
      <c r="P218" s="11">
        <f t="shared" si="97"/>
        <v>0</v>
      </c>
      <c r="Q218" s="11">
        <f t="shared" si="97"/>
        <v>0</v>
      </c>
      <c r="R218" s="11">
        <f t="shared" si="97"/>
        <v>0</v>
      </c>
      <c r="S218" s="11">
        <f t="shared" si="98"/>
        <v>0</v>
      </c>
      <c r="T218" s="11">
        <f t="shared" si="98"/>
        <v>0</v>
      </c>
      <c r="U218" s="11">
        <f t="shared" si="98"/>
        <v>0</v>
      </c>
      <c r="V218" s="11">
        <f t="shared" si="98"/>
        <v>0</v>
      </c>
      <c r="W218" s="11">
        <f t="shared" si="101"/>
        <v>0</v>
      </c>
      <c r="X218" s="11">
        <f t="shared" si="99"/>
        <v>0</v>
      </c>
      <c r="Y218" s="11">
        <f t="shared" si="100"/>
        <v>0</v>
      </c>
      <c r="Z218" s="11">
        <f t="shared" si="102"/>
        <v>0</v>
      </c>
      <c r="AB218" s="86"/>
      <c r="AC218" s="86"/>
      <c r="AD218" s="86"/>
      <c r="AE218" s="86"/>
      <c r="AH218" s="11"/>
    </row>
    <row r="219" spans="1:34" x14ac:dyDescent="0.2">
      <c r="A219" s="463"/>
      <c r="B219" s="3">
        <v>12</v>
      </c>
      <c r="C219" s="11">
        <f t="shared" si="97"/>
        <v>0</v>
      </c>
      <c r="D219" s="11">
        <f t="shared" si="97"/>
        <v>0</v>
      </c>
      <c r="E219" s="11">
        <f t="shared" si="97"/>
        <v>0</v>
      </c>
      <c r="F219" s="11">
        <f t="shared" si="97"/>
        <v>0</v>
      </c>
      <c r="G219" s="11">
        <f t="shared" si="97"/>
        <v>0</v>
      </c>
      <c r="H219" s="11">
        <f t="shared" si="97"/>
        <v>0</v>
      </c>
      <c r="I219" s="11">
        <f t="shared" si="97"/>
        <v>0</v>
      </c>
      <c r="J219" s="11">
        <f t="shared" si="97"/>
        <v>0</v>
      </c>
      <c r="K219" s="11">
        <f t="shared" si="97"/>
        <v>0</v>
      </c>
      <c r="L219" s="11">
        <f t="shared" si="97"/>
        <v>0</v>
      </c>
      <c r="M219" s="11">
        <f t="shared" si="97"/>
        <v>0</v>
      </c>
      <c r="N219" s="11">
        <f t="shared" si="97"/>
        <v>0</v>
      </c>
      <c r="O219" s="11">
        <f t="shared" si="97"/>
        <v>0</v>
      </c>
      <c r="P219" s="11">
        <f t="shared" si="97"/>
        <v>0</v>
      </c>
      <c r="Q219" s="11">
        <f t="shared" si="97"/>
        <v>0</v>
      </c>
      <c r="R219" s="11">
        <f t="shared" si="97"/>
        <v>0</v>
      </c>
      <c r="S219" s="11">
        <f t="shared" si="98"/>
        <v>0</v>
      </c>
      <c r="T219" s="11">
        <f t="shared" si="98"/>
        <v>0</v>
      </c>
      <c r="U219" s="11">
        <f t="shared" si="98"/>
        <v>0</v>
      </c>
      <c r="V219" s="11">
        <f t="shared" si="98"/>
        <v>0</v>
      </c>
      <c r="W219" s="11">
        <f t="shared" si="101"/>
        <v>0</v>
      </c>
      <c r="X219" s="11">
        <f t="shared" si="99"/>
        <v>0</v>
      </c>
      <c r="Y219" s="11">
        <f t="shared" si="100"/>
        <v>0</v>
      </c>
      <c r="Z219" s="11">
        <f t="shared" si="102"/>
        <v>0</v>
      </c>
      <c r="AB219" s="86"/>
      <c r="AC219" s="86"/>
      <c r="AD219" s="86"/>
      <c r="AE219" s="86"/>
      <c r="AH219" s="11"/>
    </row>
    <row r="220" spans="1:34" x14ac:dyDescent="0.2">
      <c r="A220" s="463"/>
      <c r="B220" s="3">
        <v>13</v>
      </c>
      <c r="C220" s="11">
        <f t="shared" si="97"/>
        <v>0</v>
      </c>
      <c r="D220" s="11">
        <f t="shared" si="97"/>
        <v>0</v>
      </c>
      <c r="E220" s="11">
        <f t="shared" si="97"/>
        <v>0</v>
      </c>
      <c r="F220" s="11">
        <f t="shared" si="97"/>
        <v>0</v>
      </c>
      <c r="G220" s="11">
        <f t="shared" si="97"/>
        <v>0</v>
      </c>
      <c r="H220" s="11">
        <f t="shared" si="97"/>
        <v>0</v>
      </c>
      <c r="I220" s="11">
        <f t="shared" si="97"/>
        <v>0</v>
      </c>
      <c r="J220" s="11">
        <f t="shared" si="97"/>
        <v>0</v>
      </c>
      <c r="K220" s="11">
        <f t="shared" si="97"/>
        <v>0</v>
      </c>
      <c r="L220" s="11">
        <f t="shared" si="97"/>
        <v>0</v>
      </c>
      <c r="M220" s="11">
        <f t="shared" si="97"/>
        <v>0</v>
      </c>
      <c r="N220" s="11">
        <f t="shared" si="97"/>
        <v>0</v>
      </c>
      <c r="O220" s="11">
        <f t="shared" si="97"/>
        <v>0</v>
      </c>
      <c r="P220" s="11">
        <f t="shared" si="97"/>
        <v>0</v>
      </c>
      <c r="Q220" s="11">
        <f t="shared" si="97"/>
        <v>0</v>
      </c>
      <c r="R220" s="11">
        <f t="shared" si="97"/>
        <v>0</v>
      </c>
      <c r="S220" s="11">
        <f t="shared" si="98"/>
        <v>0</v>
      </c>
      <c r="T220" s="11">
        <f t="shared" si="98"/>
        <v>0</v>
      </c>
      <c r="U220" s="11">
        <f t="shared" si="98"/>
        <v>0</v>
      </c>
      <c r="V220" s="11">
        <f t="shared" si="98"/>
        <v>0</v>
      </c>
      <c r="W220" s="11">
        <f t="shared" si="101"/>
        <v>0</v>
      </c>
      <c r="X220" s="11">
        <f t="shared" si="99"/>
        <v>0</v>
      </c>
      <c r="Y220" s="11">
        <f t="shared" si="100"/>
        <v>0</v>
      </c>
      <c r="Z220" s="11">
        <f t="shared" si="102"/>
        <v>0</v>
      </c>
      <c r="AB220" s="86"/>
      <c r="AC220" s="86"/>
      <c r="AD220" s="86"/>
      <c r="AE220" s="86"/>
      <c r="AH220" s="11"/>
    </row>
    <row r="221" spans="1:34" x14ac:dyDescent="0.2">
      <c r="A221" s="463"/>
      <c r="B221" s="3">
        <v>14</v>
      </c>
      <c r="C221" s="11">
        <f t="shared" si="97"/>
        <v>0</v>
      </c>
      <c r="D221" s="11">
        <f t="shared" si="97"/>
        <v>0</v>
      </c>
      <c r="E221" s="11">
        <f t="shared" si="97"/>
        <v>0</v>
      </c>
      <c r="F221" s="11">
        <f t="shared" si="97"/>
        <v>0</v>
      </c>
      <c r="G221" s="11">
        <f t="shared" si="97"/>
        <v>0</v>
      </c>
      <c r="H221" s="11">
        <f t="shared" si="97"/>
        <v>0</v>
      </c>
      <c r="I221" s="11">
        <f t="shared" si="97"/>
        <v>0</v>
      </c>
      <c r="J221" s="11">
        <f t="shared" si="97"/>
        <v>0</v>
      </c>
      <c r="K221" s="11">
        <f t="shared" si="97"/>
        <v>0</v>
      </c>
      <c r="L221" s="11">
        <f t="shared" si="97"/>
        <v>0</v>
      </c>
      <c r="M221" s="11">
        <f t="shared" si="97"/>
        <v>0</v>
      </c>
      <c r="N221" s="11">
        <f t="shared" si="97"/>
        <v>0</v>
      </c>
      <c r="O221" s="11">
        <f t="shared" si="97"/>
        <v>0</v>
      </c>
      <c r="P221" s="11">
        <f t="shared" si="97"/>
        <v>0</v>
      </c>
      <c r="Q221" s="11">
        <f t="shared" si="97"/>
        <v>0</v>
      </c>
      <c r="R221" s="11">
        <f t="shared" si="97"/>
        <v>0</v>
      </c>
      <c r="S221" s="11">
        <f t="shared" si="98"/>
        <v>0</v>
      </c>
      <c r="T221" s="11">
        <f t="shared" si="98"/>
        <v>0</v>
      </c>
      <c r="U221" s="11">
        <f t="shared" si="98"/>
        <v>0</v>
      </c>
      <c r="V221" s="11">
        <f t="shared" si="98"/>
        <v>0</v>
      </c>
      <c r="W221" s="11">
        <f t="shared" si="101"/>
        <v>0</v>
      </c>
      <c r="X221" s="11">
        <f t="shared" si="99"/>
        <v>0</v>
      </c>
      <c r="Y221" s="11">
        <f t="shared" si="100"/>
        <v>0</v>
      </c>
      <c r="Z221" s="11">
        <f t="shared" si="102"/>
        <v>0</v>
      </c>
      <c r="AB221" s="86"/>
      <c r="AC221" s="86"/>
      <c r="AD221" s="86"/>
      <c r="AE221" s="86"/>
      <c r="AH221" s="11"/>
    </row>
    <row r="222" spans="1:34" x14ac:dyDescent="0.2">
      <c r="A222" s="463"/>
      <c r="B222" s="3">
        <v>15</v>
      </c>
      <c r="C222" s="11">
        <f t="shared" si="97"/>
        <v>0</v>
      </c>
      <c r="D222" s="11">
        <f t="shared" si="97"/>
        <v>0</v>
      </c>
      <c r="E222" s="11">
        <f t="shared" si="97"/>
        <v>0</v>
      </c>
      <c r="F222" s="11">
        <f t="shared" si="97"/>
        <v>0</v>
      </c>
      <c r="G222" s="11">
        <f t="shared" si="97"/>
        <v>0</v>
      </c>
      <c r="H222" s="11">
        <f t="shared" si="97"/>
        <v>0</v>
      </c>
      <c r="I222" s="11">
        <f t="shared" si="97"/>
        <v>0</v>
      </c>
      <c r="J222" s="11">
        <f t="shared" si="97"/>
        <v>0</v>
      </c>
      <c r="K222" s="11">
        <f t="shared" si="97"/>
        <v>0</v>
      </c>
      <c r="L222" s="11">
        <f t="shared" si="97"/>
        <v>0</v>
      </c>
      <c r="M222" s="11">
        <f t="shared" si="97"/>
        <v>0</v>
      </c>
      <c r="N222" s="11">
        <f t="shared" si="97"/>
        <v>0</v>
      </c>
      <c r="O222" s="11">
        <f t="shared" si="97"/>
        <v>0</v>
      </c>
      <c r="P222" s="11">
        <f t="shared" si="97"/>
        <v>0</v>
      </c>
      <c r="Q222" s="11">
        <f t="shared" si="97"/>
        <v>0</v>
      </c>
      <c r="R222" s="11">
        <f t="shared" si="97"/>
        <v>0</v>
      </c>
      <c r="S222" s="11">
        <f t="shared" si="98"/>
        <v>0</v>
      </c>
      <c r="T222" s="11">
        <f t="shared" si="98"/>
        <v>0</v>
      </c>
      <c r="U222" s="11">
        <f t="shared" si="98"/>
        <v>0</v>
      </c>
      <c r="V222" s="11">
        <f t="shared" si="98"/>
        <v>0</v>
      </c>
      <c r="W222" s="11">
        <f t="shared" si="101"/>
        <v>0</v>
      </c>
      <c r="X222" s="11">
        <f t="shared" si="99"/>
        <v>0</v>
      </c>
      <c r="Y222" s="11">
        <f t="shared" si="100"/>
        <v>0</v>
      </c>
      <c r="Z222" s="11">
        <f t="shared" si="102"/>
        <v>0</v>
      </c>
      <c r="AH222" s="11"/>
    </row>
    <row r="223" spans="1:34" x14ac:dyDescent="0.2">
      <c r="A223" s="463"/>
      <c r="B223" s="3">
        <v>16</v>
      </c>
      <c r="C223" s="11">
        <f t="shared" si="97"/>
        <v>0</v>
      </c>
      <c r="D223" s="11">
        <f t="shared" si="97"/>
        <v>0</v>
      </c>
      <c r="E223" s="11">
        <f t="shared" si="97"/>
        <v>0</v>
      </c>
      <c r="F223" s="11">
        <f t="shared" si="97"/>
        <v>0</v>
      </c>
      <c r="G223" s="11">
        <f t="shared" si="97"/>
        <v>0</v>
      </c>
      <c r="H223" s="11">
        <f t="shared" si="97"/>
        <v>0</v>
      </c>
      <c r="I223" s="11">
        <f t="shared" si="97"/>
        <v>0</v>
      </c>
      <c r="J223" s="11">
        <f t="shared" si="97"/>
        <v>0</v>
      </c>
      <c r="K223" s="11">
        <f t="shared" si="97"/>
        <v>0</v>
      </c>
      <c r="L223" s="11">
        <f t="shared" si="97"/>
        <v>0</v>
      </c>
      <c r="M223" s="11">
        <f t="shared" si="97"/>
        <v>0</v>
      </c>
      <c r="N223" s="11">
        <f t="shared" si="97"/>
        <v>0</v>
      </c>
      <c r="O223" s="11">
        <f t="shared" si="97"/>
        <v>0</v>
      </c>
      <c r="P223" s="11">
        <f t="shared" si="97"/>
        <v>0</v>
      </c>
      <c r="Q223" s="11">
        <f t="shared" si="97"/>
        <v>0</v>
      </c>
      <c r="R223" s="11">
        <f t="shared" ref="R223:R227" si="103">(R$202)*IF($B223&gt;=R$200,IF($B223=R$200,$E$19,VLOOKUP($B223-R$200,$B$19:$E$49,4,FALSE)),0)</f>
        <v>0</v>
      </c>
      <c r="S223" s="11">
        <f t="shared" si="98"/>
        <v>0</v>
      </c>
      <c r="T223" s="11">
        <f t="shared" si="98"/>
        <v>0</v>
      </c>
      <c r="U223" s="11">
        <f t="shared" si="98"/>
        <v>0</v>
      </c>
      <c r="V223" s="11">
        <f t="shared" si="98"/>
        <v>0</v>
      </c>
      <c r="W223" s="11">
        <f t="shared" si="101"/>
        <v>0</v>
      </c>
      <c r="X223" s="11">
        <f t="shared" si="99"/>
        <v>0</v>
      </c>
      <c r="Y223" s="11">
        <f t="shared" si="100"/>
        <v>0</v>
      </c>
      <c r="Z223" s="11">
        <f t="shared" si="102"/>
        <v>0</v>
      </c>
      <c r="AH223" s="11"/>
    </row>
    <row r="224" spans="1:34" x14ac:dyDescent="0.2">
      <c r="A224" s="463"/>
      <c r="B224" s="3">
        <v>17</v>
      </c>
      <c r="C224" s="11">
        <f t="shared" ref="C224:Q227" si="104">(C$202)*IF($B224&gt;=C$200,IF($B224=C$200,$E$19,VLOOKUP($B224-C$200,$B$19:$E$49,4,FALSE)),0)</f>
        <v>0</v>
      </c>
      <c r="D224" s="11">
        <f t="shared" si="104"/>
        <v>0</v>
      </c>
      <c r="E224" s="11">
        <f t="shared" si="104"/>
        <v>0</v>
      </c>
      <c r="F224" s="11">
        <f t="shared" si="104"/>
        <v>0</v>
      </c>
      <c r="G224" s="11">
        <f t="shared" si="104"/>
        <v>0</v>
      </c>
      <c r="H224" s="11">
        <f t="shared" si="104"/>
        <v>0</v>
      </c>
      <c r="I224" s="11">
        <f t="shared" si="104"/>
        <v>0</v>
      </c>
      <c r="J224" s="11">
        <f t="shared" si="104"/>
        <v>0</v>
      </c>
      <c r="K224" s="11">
        <f t="shared" si="104"/>
        <v>0</v>
      </c>
      <c r="L224" s="11">
        <f t="shared" si="104"/>
        <v>0</v>
      </c>
      <c r="M224" s="11">
        <f t="shared" si="104"/>
        <v>0</v>
      </c>
      <c r="N224" s="11">
        <f t="shared" si="104"/>
        <v>0</v>
      </c>
      <c r="O224" s="11">
        <f t="shared" si="104"/>
        <v>0</v>
      </c>
      <c r="P224" s="11">
        <f t="shared" si="104"/>
        <v>0</v>
      </c>
      <c r="Q224" s="11">
        <f t="shared" si="104"/>
        <v>0</v>
      </c>
      <c r="R224" s="11">
        <f t="shared" si="103"/>
        <v>0</v>
      </c>
      <c r="S224" s="11">
        <f t="shared" si="98"/>
        <v>0</v>
      </c>
      <c r="T224" s="11">
        <f t="shared" si="98"/>
        <v>0</v>
      </c>
      <c r="U224" s="11">
        <f t="shared" si="98"/>
        <v>0</v>
      </c>
      <c r="V224" s="11">
        <f t="shared" si="98"/>
        <v>0</v>
      </c>
      <c r="W224" s="11">
        <f t="shared" si="101"/>
        <v>0</v>
      </c>
      <c r="X224" s="11">
        <f t="shared" si="99"/>
        <v>0</v>
      </c>
      <c r="Y224" s="11">
        <f t="shared" si="100"/>
        <v>0</v>
      </c>
      <c r="Z224" s="11">
        <f t="shared" si="102"/>
        <v>0</v>
      </c>
      <c r="AH224" s="11"/>
    </row>
    <row r="225" spans="1:52" x14ac:dyDescent="0.2">
      <c r="A225" s="463"/>
      <c r="B225" s="3">
        <v>18</v>
      </c>
      <c r="C225" s="11">
        <f t="shared" si="104"/>
        <v>0</v>
      </c>
      <c r="D225" s="11">
        <f t="shared" si="104"/>
        <v>0</v>
      </c>
      <c r="E225" s="11">
        <f t="shared" si="104"/>
        <v>0</v>
      </c>
      <c r="F225" s="11">
        <f t="shared" si="104"/>
        <v>0</v>
      </c>
      <c r="G225" s="11">
        <f t="shared" si="104"/>
        <v>0</v>
      </c>
      <c r="H225" s="11">
        <f t="shared" si="104"/>
        <v>0</v>
      </c>
      <c r="I225" s="11">
        <f t="shared" si="104"/>
        <v>0</v>
      </c>
      <c r="J225" s="11">
        <f t="shared" si="104"/>
        <v>0</v>
      </c>
      <c r="K225" s="11">
        <f t="shared" si="104"/>
        <v>0</v>
      </c>
      <c r="L225" s="11">
        <f t="shared" si="104"/>
        <v>0</v>
      </c>
      <c r="M225" s="11">
        <f t="shared" si="104"/>
        <v>0</v>
      </c>
      <c r="N225" s="11">
        <f t="shared" si="104"/>
        <v>0</v>
      </c>
      <c r="O225" s="11">
        <f t="shared" si="104"/>
        <v>0</v>
      </c>
      <c r="P225" s="11">
        <f t="shared" si="104"/>
        <v>0</v>
      </c>
      <c r="Q225" s="11">
        <f t="shared" si="104"/>
        <v>0</v>
      </c>
      <c r="R225" s="11">
        <f t="shared" si="103"/>
        <v>0</v>
      </c>
      <c r="S225" s="11">
        <f t="shared" si="98"/>
        <v>0</v>
      </c>
      <c r="T225" s="11">
        <f t="shared" si="98"/>
        <v>0</v>
      </c>
      <c r="U225" s="11">
        <f t="shared" si="98"/>
        <v>0</v>
      </c>
      <c r="V225" s="11">
        <f t="shared" si="98"/>
        <v>0</v>
      </c>
      <c r="W225" s="11">
        <f t="shared" si="101"/>
        <v>0</v>
      </c>
      <c r="X225" s="11">
        <f t="shared" si="99"/>
        <v>0</v>
      </c>
      <c r="Y225" s="11">
        <f t="shared" si="100"/>
        <v>0</v>
      </c>
      <c r="Z225" s="11">
        <f t="shared" si="102"/>
        <v>0</v>
      </c>
      <c r="AH225" s="11"/>
    </row>
    <row r="226" spans="1:52" x14ac:dyDescent="0.2">
      <c r="A226" s="463"/>
      <c r="B226" s="3">
        <v>19</v>
      </c>
      <c r="C226" s="11">
        <f t="shared" si="104"/>
        <v>0</v>
      </c>
      <c r="D226" s="11">
        <f t="shared" si="104"/>
        <v>0</v>
      </c>
      <c r="E226" s="11">
        <f t="shared" si="104"/>
        <v>0</v>
      </c>
      <c r="F226" s="11">
        <f t="shared" si="104"/>
        <v>0</v>
      </c>
      <c r="G226" s="11">
        <f t="shared" si="104"/>
        <v>0</v>
      </c>
      <c r="H226" s="11">
        <f t="shared" si="104"/>
        <v>0</v>
      </c>
      <c r="I226" s="11">
        <f t="shared" si="104"/>
        <v>0</v>
      </c>
      <c r="J226" s="11">
        <f t="shared" si="104"/>
        <v>0</v>
      </c>
      <c r="K226" s="11">
        <f t="shared" si="104"/>
        <v>0</v>
      </c>
      <c r="L226" s="11">
        <f t="shared" si="104"/>
        <v>0</v>
      </c>
      <c r="M226" s="11">
        <f t="shared" si="104"/>
        <v>0</v>
      </c>
      <c r="N226" s="11">
        <f t="shared" si="104"/>
        <v>0</v>
      </c>
      <c r="O226" s="11">
        <f t="shared" si="104"/>
        <v>0</v>
      </c>
      <c r="P226" s="11">
        <f t="shared" si="104"/>
        <v>0</v>
      </c>
      <c r="Q226" s="11">
        <f t="shared" si="104"/>
        <v>0</v>
      </c>
      <c r="R226" s="11">
        <f t="shared" si="103"/>
        <v>0</v>
      </c>
      <c r="S226" s="11">
        <f t="shared" si="98"/>
        <v>0</v>
      </c>
      <c r="T226" s="11">
        <f t="shared" si="98"/>
        <v>0</v>
      </c>
      <c r="U226" s="11">
        <f t="shared" si="98"/>
        <v>0</v>
      </c>
      <c r="V226" s="11">
        <f t="shared" si="98"/>
        <v>0</v>
      </c>
      <c r="W226" s="11">
        <f t="shared" si="101"/>
        <v>0</v>
      </c>
      <c r="X226" s="11">
        <f t="shared" si="99"/>
        <v>0</v>
      </c>
      <c r="Y226" s="11">
        <f t="shared" si="100"/>
        <v>0</v>
      </c>
      <c r="Z226" s="11">
        <f t="shared" si="102"/>
        <v>0</v>
      </c>
      <c r="AH226" s="11"/>
    </row>
    <row r="227" spans="1:52" x14ac:dyDescent="0.2">
      <c r="A227" s="463"/>
      <c r="B227" s="3">
        <v>20</v>
      </c>
      <c r="C227" s="11">
        <f t="shared" si="104"/>
        <v>0</v>
      </c>
      <c r="D227" s="11">
        <f t="shared" si="104"/>
        <v>0</v>
      </c>
      <c r="E227" s="11">
        <f t="shared" si="104"/>
        <v>0</v>
      </c>
      <c r="F227" s="11">
        <f t="shared" si="104"/>
        <v>0</v>
      </c>
      <c r="G227" s="11">
        <f t="shared" si="104"/>
        <v>0</v>
      </c>
      <c r="H227" s="11">
        <f t="shared" si="104"/>
        <v>0</v>
      </c>
      <c r="I227" s="11">
        <f t="shared" si="104"/>
        <v>0</v>
      </c>
      <c r="J227" s="11">
        <f t="shared" si="104"/>
        <v>0</v>
      </c>
      <c r="K227" s="11">
        <f t="shared" si="104"/>
        <v>0</v>
      </c>
      <c r="L227" s="11">
        <f t="shared" si="104"/>
        <v>0</v>
      </c>
      <c r="M227" s="11">
        <f t="shared" si="104"/>
        <v>0</v>
      </c>
      <c r="N227" s="11">
        <f t="shared" si="104"/>
        <v>0</v>
      </c>
      <c r="O227" s="11">
        <f t="shared" si="104"/>
        <v>0</v>
      </c>
      <c r="P227" s="11">
        <f t="shared" si="104"/>
        <v>0</v>
      </c>
      <c r="Q227" s="11">
        <f t="shared" si="104"/>
        <v>0</v>
      </c>
      <c r="R227" s="11">
        <f t="shared" si="103"/>
        <v>0</v>
      </c>
      <c r="S227" s="11">
        <f t="shared" si="98"/>
        <v>0</v>
      </c>
      <c r="T227" s="11">
        <f t="shared" si="98"/>
        <v>0</v>
      </c>
      <c r="U227" s="11">
        <f t="shared" si="98"/>
        <v>0</v>
      </c>
      <c r="V227" s="11">
        <f t="shared" si="98"/>
        <v>0</v>
      </c>
      <c r="W227" s="11">
        <f t="shared" si="101"/>
        <v>0</v>
      </c>
      <c r="X227" s="11">
        <f t="shared" si="99"/>
        <v>0</v>
      </c>
      <c r="Y227" s="11">
        <f t="shared" si="100"/>
        <v>0</v>
      </c>
      <c r="Z227" s="11">
        <f t="shared" si="102"/>
        <v>0</v>
      </c>
      <c r="AH227" s="11"/>
    </row>
    <row r="229" spans="1:52" x14ac:dyDescent="0.2">
      <c r="A229" s="135" t="s">
        <v>628</v>
      </c>
      <c r="B229" s="135"/>
      <c r="C229" s="135"/>
      <c r="D229" s="135"/>
      <c r="E229" s="135"/>
      <c r="F229" s="135"/>
      <c r="G229" s="135"/>
      <c r="H229" s="135"/>
      <c r="I229" s="135"/>
      <c r="J229" s="135"/>
      <c r="K229" s="135"/>
      <c r="L229" s="135"/>
      <c r="M229" s="49"/>
      <c r="N229" s="49"/>
      <c r="O229" s="49"/>
      <c r="P229" s="49"/>
      <c r="Q229" s="49"/>
      <c r="R229" s="49"/>
      <c r="S229" s="49"/>
      <c r="T229" s="49"/>
      <c r="U229" s="49"/>
      <c r="V229" s="49"/>
      <c r="W229" s="49"/>
      <c r="X229" s="49"/>
      <c r="Y229" s="49"/>
      <c r="Z229" s="49"/>
      <c r="AA229" s="49"/>
      <c r="AB229" s="49"/>
      <c r="AC229" s="49"/>
      <c r="AD229" s="49"/>
      <c r="AE229" s="49"/>
      <c r="AF229" s="49"/>
      <c r="AG229" s="49"/>
      <c r="AH229" s="49"/>
      <c r="AI229" s="49"/>
      <c r="AJ229" s="49"/>
      <c r="AK229" s="49"/>
      <c r="AL229" s="49"/>
      <c r="AM229" s="49"/>
      <c r="AN229" s="49"/>
      <c r="AO229" s="49"/>
      <c r="AP229" s="49"/>
      <c r="AQ229" s="49"/>
      <c r="AR229" s="49"/>
      <c r="AS229" s="49"/>
      <c r="AT229" s="49"/>
      <c r="AU229" s="49"/>
      <c r="AV229" s="49"/>
      <c r="AW229" s="49"/>
      <c r="AX229" s="49"/>
      <c r="AY229" s="49"/>
      <c r="AZ229" s="49"/>
    </row>
    <row r="230" spans="1:52" x14ac:dyDescent="0.2">
      <c r="A230" s="38"/>
      <c r="C230" s="11"/>
      <c r="D230" s="11"/>
      <c r="E230" s="11"/>
      <c r="F230" s="11"/>
      <c r="G230" s="11"/>
      <c r="H230" s="11"/>
      <c r="I230" s="11"/>
      <c r="J230" s="11"/>
      <c r="K230" s="11"/>
      <c r="L230" s="11"/>
      <c r="M230" s="11"/>
      <c r="N230" s="11"/>
      <c r="O230" s="11"/>
      <c r="P230" s="11"/>
      <c r="Q230" s="11"/>
      <c r="R230" s="11"/>
      <c r="S230" s="11"/>
      <c r="T230" s="11"/>
      <c r="U230" s="11"/>
      <c r="V230" s="11"/>
      <c r="W230" s="11"/>
      <c r="X230" s="11"/>
      <c r="Y230" s="11"/>
      <c r="Z230" s="11"/>
      <c r="AA230" s="11"/>
      <c r="AB230" s="11"/>
      <c r="AC230" s="11"/>
      <c r="AD230" s="11"/>
      <c r="AE230" s="11"/>
      <c r="AF230" s="11"/>
      <c r="AG230" s="11"/>
      <c r="AH230" s="11"/>
      <c r="AI230" s="11"/>
    </row>
    <row r="231" spans="1:52" x14ac:dyDescent="0.2">
      <c r="A231" s="23"/>
      <c r="B231" s="3" t="str">
        <f>B174</f>
        <v/>
      </c>
      <c r="C231" s="3" t="e">
        <f>IF(B231=0,0,VLOOKUP(B231,Listes!$C$7:$E$36,3,FALSE))</f>
        <v>#N/A</v>
      </c>
      <c r="L231" s="3" t="str">
        <f>K174</f>
        <v/>
      </c>
      <c r="M231" s="3" t="e">
        <f>IF(L231=0,0,VLOOKUP(L231,Listes!$C$7:$E$36,3,FALSE))</f>
        <v>#N/A</v>
      </c>
      <c r="V231" s="3" t="str">
        <f>T174</f>
        <v/>
      </c>
      <c r="W231" s="3" t="e">
        <f>IF(V231=0,0,VLOOKUP(V231,Listes!$C$7:$E$36,3,FALSE))</f>
        <v>#N/A</v>
      </c>
      <c r="AF231" s="3" t="str">
        <f>AC174</f>
        <v/>
      </c>
      <c r="AG231" s="3" t="e">
        <f>IF(AF231=0,0,VLOOKUP(AF231,Listes!$C$7:$E$36,3,FALSE))</f>
        <v>#N/A</v>
      </c>
    </row>
    <row r="232" spans="1:52" ht="16" customHeight="1" x14ac:dyDescent="0.2">
      <c r="A232" s="463" t="s">
        <v>735</v>
      </c>
      <c r="B232" s="3" t="s">
        <v>15</v>
      </c>
      <c r="C232" s="3" t="s">
        <v>127</v>
      </c>
      <c r="D232" s="3" t="s">
        <v>161</v>
      </c>
      <c r="E232" s="3" t="s">
        <v>162</v>
      </c>
      <c r="F232" s="3" t="s">
        <v>163</v>
      </c>
      <c r="G232" s="3" t="s">
        <v>81</v>
      </c>
      <c r="H232" s="3" t="s">
        <v>84</v>
      </c>
      <c r="I232" s="3" t="s">
        <v>83</v>
      </c>
      <c r="K232" s="463" t="s">
        <v>734</v>
      </c>
      <c r="L232" s="3" t="s">
        <v>15</v>
      </c>
      <c r="M232" s="3" t="s">
        <v>127</v>
      </c>
      <c r="N232" s="3" t="s">
        <v>161</v>
      </c>
      <c r="O232" s="3" t="s">
        <v>162</v>
      </c>
      <c r="P232" s="3" t="s">
        <v>163</v>
      </c>
      <c r="Q232" s="3" t="s">
        <v>81</v>
      </c>
      <c r="R232" s="3" t="s">
        <v>84</v>
      </c>
      <c r="S232" s="3" t="s">
        <v>83</v>
      </c>
      <c r="U232" s="463" t="s">
        <v>736</v>
      </c>
      <c r="V232" s="3" t="s">
        <v>15</v>
      </c>
      <c r="W232" s="3" t="s">
        <v>127</v>
      </c>
      <c r="X232" s="3" t="s">
        <v>161</v>
      </c>
      <c r="Y232" s="3" t="s">
        <v>162</v>
      </c>
      <c r="Z232" s="3" t="s">
        <v>163</v>
      </c>
      <c r="AA232" s="3" t="s">
        <v>81</v>
      </c>
      <c r="AB232" s="3" t="s">
        <v>84</v>
      </c>
      <c r="AC232" s="3" t="s">
        <v>83</v>
      </c>
      <c r="AE232" s="463" t="s">
        <v>737</v>
      </c>
      <c r="AF232" s="3" t="s">
        <v>15</v>
      </c>
      <c r="AG232" s="3" t="s">
        <v>127</v>
      </c>
      <c r="AH232" s="3" t="s">
        <v>161</v>
      </c>
      <c r="AI232" s="3" t="s">
        <v>162</v>
      </c>
      <c r="AJ232" s="3" t="s">
        <v>163</v>
      </c>
      <c r="AK232" s="3" t="s">
        <v>81</v>
      </c>
      <c r="AL232" s="3" t="s">
        <v>84</v>
      </c>
      <c r="AM232" s="3" t="s">
        <v>83</v>
      </c>
      <c r="AO232" s="463" t="s">
        <v>184</v>
      </c>
      <c r="AP232" s="3" t="s">
        <v>15</v>
      </c>
      <c r="AQ232" s="3" t="s">
        <v>81</v>
      </c>
      <c r="AR232" s="3" t="s">
        <v>84</v>
      </c>
      <c r="AS232" s="3" t="s">
        <v>83</v>
      </c>
      <c r="AT232" s="3" t="s">
        <v>27</v>
      </c>
      <c r="AU232" s="3" t="s">
        <v>85</v>
      </c>
    </row>
    <row r="233" spans="1:52" x14ac:dyDescent="0.2">
      <c r="A233" s="463"/>
      <c r="B233" s="3">
        <v>1</v>
      </c>
      <c r="C233" s="45">
        <f>D177</f>
        <v>0</v>
      </c>
      <c r="D233" s="45">
        <f t="shared" ref="D233:D252" si="105">IF(OR(C233="",C233=0),0,C233*C$174*0.475)</f>
        <v>0</v>
      </c>
      <c r="E233" s="45">
        <f>IF(OR(D233=0,D233="",B$116=0),0,D233*INDEX(Listes!$K$1:$Q$12,MATCH(B$116,Listes!$K$1:$K$12,0),MATCH(E$117,Listes!$K$1:$Q$1,0)))</f>
        <v>0</v>
      </c>
      <c r="F233" s="45">
        <f t="shared" ref="F233:F252" si="106">D233-E233</f>
        <v>0</v>
      </c>
      <c r="G233" s="45">
        <f>IF(OR(B$231=0,B$231=""),0,F233*INDEX(Listes!$K$15:$P$26,MATCH(B$231,Listes!$K$15:$K$26,0),MATCH(G$232,Listes!$K$15:$P$15,0))*INDEX(Listes!$K$29:$O$31,MATCH(C$231,Listes!$K$29:$K$31,0),MATCH(G$232,Listes!$K$29:$O$29,0)))</f>
        <v>0</v>
      </c>
      <c r="H233" s="45">
        <f>IF(OR(B$231=0,B$231=""),0,F233*INDEX(Listes!$K$15:$P$26,MATCH(B$231,Listes!$K$15:$K$26,0),MATCH(H$232,Listes!$K$15:$P$15,0))*INDEX(Listes!$K$29:$O$31,MATCH(C$231,Listes!$K$29:$K$31,0),MATCH(H$232,Listes!$K$29:$O$29,0)))</f>
        <v>0</v>
      </c>
      <c r="I233" s="45">
        <f>IF(OR(B$231=0,B$231=""),0,F233*INDEX(Listes!$K$15:$P$26,MATCH(B$231,Listes!$K$15:$K$26,0),MATCH(I$232,Listes!$K$15:$P$15,0))*INDEX(Listes!$K$29:$O$31,MATCH(C$231,Listes!$K$29:$K$31,0),MATCH(I$232,Listes!$K$29:$O$29,0)))</f>
        <v>0</v>
      </c>
      <c r="K233" s="463"/>
      <c r="L233" s="3">
        <v>1</v>
      </c>
      <c r="M233" s="45">
        <f t="shared" ref="M233:M252" si="107">M177</f>
        <v>0</v>
      </c>
      <c r="N233" s="45">
        <f t="shared" ref="N233:N252" si="108">IF(OR(M233="",M233=0),0,M233*L$174*0.475)</f>
        <v>0</v>
      </c>
      <c r="O233" s="45">
        <f>IF(OR(N233=0,N233="",L$116=0),0,N233*INDEX(Listes!$K$1:$Q$12,MATCH(L$116,Listes!$K$1:$K$12,0),MATCH(O$117,Listes!$K$1:$Q$1,0)))</f>
        <v>0</v>
      </c>
      <c r="P233" s="45">
        <f t="shared" ref="P233:P252" si="109">N233-O233</f>
        <v>0</v>
      </c>
      <c r="Q233" s="45">
        <f>IF(OR(L$231=0,L$231=""),0,P233*INDEX(Listes!$K$15:$P$26,MATCH(L$231,Listes!$K$15:$K$26,0),MATCH(Q$232,Listes!$K$15:$P$15,0))*INDEX(Listes!$K$29:$O$31,MATCH(M$231,Listes!$K$29:$K$31,0),MATCH(Q$232,Listes!$K$29:$O$29,0)))</f>
        <v>0</v>
      </c>
      <c r="R233" s="45">
        <f>IF(OR(L$231=0,L$231=""),0,P233*INDEX(Listes!$K$15:$P$26,MATCH(L$231,Listes!$K$15:$K$26,0),MATCH(R$232,Listes!$K$15:$P$15,0))*INDEX(Listes!$K$29:$O$31,MATCH(M$231,Listes!$K$29:$K$31,0),MATCH(R$232,Listes!$K$29:$O$29,0)))</f>
        <v>0</v>
      </c>
      <c r="S233" s="45">
        <f>IF(OR(L$231=0,L$231=""),0,P233*INDEX(Listes!$K$15:$P$26,MATCH(L$231,Listes!$K$15:$K$26,0),MATCH(S$232,Listes!$K$15:$P$15,0))*INDEX(Listes!$K$29:$O$31,MATCH(M$231,Listes!$K$29:$K$31,0),MATCH(S$232,Listes!$K$29:$O$29,0)))</f>
        <v>0</v>
      </c>
      <c r="U233" s="463"/>
      <c r="V233" s="3">
        <v>1</v>
      </c>
      <c r="W233" s="45">
        <f t="shared" ref="W233:W252" si="110">V177</f>
        <v>0</v>
      </c>
      <c r="X233" s="45">
        <f t="shared" ref="X233:X252" si="111">IF(OR(W233="",W233=0),0,W233*U$174*0.475)</f>
        <v>0</v>
      </c>
      <c r="Y233" s="45">
        <f>IF(OR(X233=0,X233="",V$116=0),0,X233*INDEX(Listes!$K$1:$Q$12,MATCH(V$116,Listes!$K$1:$K$12,0),MATCH(Y$117,Listes!$K$1:$Q$1,0)))</f>
        <v>0</v>
      </c>
      <c r="Z233" s="45">
        <f t="shared" ref="Z233:Z252" si="112">X233-Y233</f>
        <v>0</v>
      </c>
      <c r="AA233" s="45">
        <f>IF(OR(V$231=0,V$231=""),0,Z233*INDEX(Listes!$K$15:$P$26,MATCH(V$231,Listes!$K$15:$K$26,0),MATCH(AA$232,Listes!$K$15:$P$15,0))*INDEX(Listes!$K$29:$O$31,MATCH(W$231,Listes!$K$29:$K$31,0),MATCH(AA$232,Listes!$K$29:$O$29,0)))</f>
        <v>0</v>
      </c>
      <c r="AB233" s="45">
        <f>IF(OR(V$231=0,V$231=""),0,Z233*INDEX(Listes!$K$15:$P$26,MATCH(V$231,Listes!$K$15:$K$26,0),MATCH(AB$232,Listes!$K$15:$P$15,0))*INDEX(Listes!$K$29:$O$31,MATCH(W$231,Listes!$K$29:$K$31,0),MATCH(AB$232,Listes!$K$29:$O$29,0)))</f>
        <v>0</v>
      </c>
      <c r="AC233" s="45">
        <f>IF(OR(V$231=0,V$231=""),0,Z233*INDEX(Listes!$K$15:$P$26,MATCH(V$231,Listes!$K$15:$K$26,0),MATCH(AC$232,Listes!$K$15:$P$15,0))*INDEX(Listes!$K$29:$O$31,MATCH(W$231,Listes!$K$29:$K$31,0),MATCH(AC$232,Listes!$K$29:$O$29,0)))</f>
        <v>0</v>
      </c>
      <c r="AE233" s="463"/>
      <c r="AF233" s="3">
        <v>1</v>
      </c>
      <c r="AG233" s="45">
        <f t="shared" ref="AG233:AG252" si="113">AE177</f>
        <v>0</v>
      </c>
      <c r="AH233" s="45">
        <f t="shared" ref="AH233:AH252" si="114">IF(OR(AG233="",AG233=0),0,AG233*AD$174*0.475)</f>
        <v>0</v>
      </c>
      <c r="AI233" s="45">
        <f>IF(OR(AH233=0,AH233="",AF$116=0),0,AH233*INDEX(Listes!$K$1:$Q$12,MATCH(AF$116,Listes!$K$1:$K$12,0),MATCH(AI$117,Listes!$K$1:$Q$1,0)))</f>
        <v>0</v>
      </c>
      <c r="AJ233" s="45">
        <f t="shared" ref="AJ233:AJ252" si="115">AH233-AI233</f>
        <v>0</v>
      </c>
      <c r="AK233" s="45">
        <f>IF(OR(AF$231=0,AF$231=""),0,AJ233*INDEX(Listes!$K$15:$P$26,MATCH(AF$231,Listes!$K$15:$K$26,0),MATCH(AK$232,Listes!$K$15:$P$15,0))*INDEX(Listes!$K$29:$O$31,MATCH(AG$231,Listes!$K$29:$K$31,0),MATCH(AK$232,Listes!$K$29:$O$29,0)))</f>
        <v>0</v>
      </c>
      <c r="AL233" s="45">
        <f>IF(OR(AF$231=0,AF$231=""),0,AJ233*INDEX(Listes!$K$15:$P$26,MATCH(AF$231,Listes!$K$15:$K$26,0),MATCH(AL$232,Listes!$K$15:$P$15,0))*INDEX(Listes!$K$29:$O$31,MATCH(AG$231,Listes!$K$29:$K$31,0),MATCH(AL$232,Listes!$K$29:$O$29,0)))</f>
        <v>0</v>
      </c>
      <c r="AM233" s="45">
        <f>IF(OR(AF$231=0,AF$231=""),0,AJ233*INDEX(Listes!$K$15:$P$26,MATCH(AF$231,Listes!$K$15:$K$26,0),MATCH(AM$232,Listes!$K$15:$P$15,0))*INDEX(Listes!$K$29:$O$31,MATCH(AG$231,Listes!$K$29:$K$31,0),MATCH(AM$232,Listes!$K$29:$O$29,0)))</f>
        <v>0</v>
      </c>
      <c r="AO233" s="463"/>
      <c r="AP233" s="3">
        <v>1</v>
      </c>
      <c r="AQ233" s="11">
        <f t="shared" ref="AQ233:AS252" si="116">SUM(G233,Q233,AA233,AK233)</f>
        <v>0</v>
      </c>
      <c r="AR233" s="11">
        <f t="shared" si="116"/>
        <v>0</v>
      </c>
      <c r="AS233" s="11">
        <f t="shared" si="116"/>
        <v>0</v>
      </c>
      <c r="AT233" s="11">
        <f>AQ233*VLOOKUP(AQ$232,Tableau17[],4,FALSE)+AR233*VLOOKUP(AR$232,Tableau17[],4,FALSE)+AS233*VLOOKUP(AS$232,Tableau17[],4,FALSE)</f>
        <v>0</v>
      </c>
      <c r="AU233" s="11">
        <f>AQ233*VLOOKUP(AQ$232,Tableau17[],3,FALSE)+AR233*VLOOKUP(AR$232,Tableau17[],3,FALSE)+AS233*VLOOKUP(AS$232,Tableau17[],3,FALSE)</f>
        <v>0</v>
      </c>
    </row>
    <row r="234" spans="1:52" x14ac:dyDescent="0.2">
      <c r="A234" s="463"/>
      <c r="B234" s="3">
        <v>2</v>
      </c>
      <c r="C234" s="45">
        <f t="shared" ref="C234:C252" si="117">D178</f>
        <v>0</v>
      </c>
      <c r="D234" s="45">
        <f t="shared" si="105"/>
        <v>0</v>
      </c>
      <c r="E234" s="45">
        <f>IF(OR(D234=0,D234="",B$116=0),0,D234*INDEX(Listes!$K$1:$Q$12,MATCH(B$116,Listes!$K$1:$K$12,0),MATCH(E$117,Listes!$K$1:$Q$1,0)))</f>
        <v>0</v>
      </c>
      <c r="F234" s="45">
        <f t="shared" si="106"/>
        <v>0</v>
      </c>
      <c r="G234" s="45">
        <f>IF(OR(B$231=0,B$231=""),0,F234*INDEX(Listes!$K$15:$P$26,MATCH(B$231,Listes!$K$15:$K$26,0),MATCH(G$232,Listes!$K$15:$P$15,0))*INDEX(Listes!$K$29:$O$31,MATCH(C$231,Listes!$K$29:$K$31,0),MATCH(G$232,Listes!$K$29:$O$29,0)))</f>
        <v>0</v>
      </c>
      <c r="H234" s="45">
        <f>IF(OR(B$231=0,B$231=""),0,F234*INDEX(Listes!$K$15:$P$26,MATCH(B$231,Listes!$K$15:$K$26,0),MATCH(H$232,Listes!$K$15:$P$15,0))*INDEX(Listes!$K$29:$O$31,MATCH(C$231,Listes!$K$29:$K$31,0),MATCH(H$232,Listes!$K$29:$O$29,0)))</f>
        <v>0</v>
      </c>
      <c r="I234" s="45">
        <f>IF(OR(B$231=0,B$231=""),0,F234*INDEX(Listes!$K$15:$P$26,MATCH(B$231,Listes!$K$15:$K$26,0),MATCH(I$232,Listes!$K$15:$P$15,0))*INDEX(Listes!$K$29:$O$31,MATCH(C$231,Listes!$K$29:$K$31,0),MATCH(I$232,Listes!$K$29:$O$29,0)))</f>
        <v>0</v>
      </c>
      <c r="K234" s="463"/>
      <c r="L234" s="3">
        <v>2</v>
      </c>
      <c r="M234" s="45">
        <f t="shared" si="107"/>
        <v>0</v>
      </c>
      <c r="N234" s="45">
        <f t="shared" si="108"/>
        <v>0</v>
      </c>
      <c r="O234" s="45">
        <f>IF(OR(N234=0,N234="",L$116=0),0,N234*INDEX(Listes!$K$1:$Q$12,MATCH(L$116,Listes!$K$1:$K$12,0),MATCH(O$117,Listes!$K$1:$Q$1,0)))</f>
        <v>0</v>
      </c>
      <c r="P234" s="45">
        <f t="shared" si="109"/>
        <v>0</v>
      </c>
      <c r="Q234" s="45">
        <f>IF(OR(L$231=0,L$231=""),0,P234*INDEX(Listes!$K$15:$P$26,MATCH(L$231,Listes!$K$15:$K$26,0),MATCH(Q$232,Listes!$K$15:$P$15,0))*INDEX(Listes!$K$29:$O$31,MATCH(M$231,Listes!$K$29:$K$31,0),MATCH(Q$232,Listes!$K$29:$O$29,0)))</f>
        <v>0</v>
      </c>
      <c r="R234" s="45">
        <f>IF(OR(L$231=0,L$231=""),0,P234*INDEX(Listes!$K$15:$P$26,MATCH(L$231,Listes!$K$15:$K$26,0),MATCH(R$232,Listes!$K$15:$P$15,0))*INDEX(Listes!$K$29:$O$31,MATCH(M$231,Listes!$K$29:$K$31,0),MATCH(R$232,Listes!$K$29:$O$29,0)))</f>
        <v>0</v>
      </c>
      <c r="S234" s="45">
        <f>IF(OR(L$231=0,L$231=""),0,P234*INDEX(Listes!$K$15:$P$26,MATCH(L$231,Listes!$K$15:$K$26,0),MATCH(S$232,Listes!$K$15:$P$15,0))*INDEX(Listes!$K$29:$O$31,MATCH(M$231,Listes!$K$29:$K$31,0),MATCH(S$232,Listes!$K$29:$O$29,0)))</f>
        <v>0</v>
      </c>
      <c r="U234" s="463"/>
      <c r="V234" s="3">
        <v>2</v>
      </c>
      <c r="W234" s="45">
        <f t="shared" si="110"/>
        <v>0</v>
      </c>
      <c r="X234" s="45">
        <f t="shared" si="111"/>
        <v>0</v>
      </c>
      <c r="Y234" s="45">
        <f>IF(OR(X234=0,X234="",V$116=0),0,X234*INDEX(Listes!$K$1:$Q$12,MATCH(V$116,Listes!$K$1:$K$12,0),MATCH(Y$117,Listes!$K$1:$Q$1,0)))</f>
        <v>0</v>
      </c>
      <c r="Z234" s="45">
        <f t="shared" si="112"/>
        <v>0</v>
      </c>
      <c r="AA234" s="45">
        <f>IF(OR(V$231=0,V$231=""),0,Z234*INDEX(Listes!$K$15:$P$26,MATCH(V$231,Listes!$K$15:$K$26,0),MATCH(AA$232,Listes!$K$15:$P$15,0))*INDEX(Listes!$K$29:$O$31,MATCH(W$231,Listes!$K$29:$K$31,0),MATCH(AA$232,Listes!$K$29:$O$29,0)))</f>
        <v>0</v>
      </c>
      <c r="AB234" s="45">
        <f>IF(OR(V$231=0,V$231=""),0,Z234*INDEX(Listes!$K$15:$P$26,MATCH(V$231,Listes!$K$15:$K$26,0),MATCH(AB$232,Listes!$K$15:$P$15,0))*INDEX(Listes!$K$29:$O$31,MATCH(W$231,Listes!$K$29:$K$31,0),MATCH(AB$232,Listes!$K$29:$O$29,0)))</f>
        <v>0</v>
      </c>
      <c r="AC234" s="45">
        <f>IF(OR(V$231=0,V$231=""),0,Z234*INDEX(Listes!$K$15:$P$26,MATCH(V$231,Listes!$K$15:$K$26,0),MATCH(AC$232,Listes!$K$15:$P$15,0))*INDEX(Listes!$K$29:$O$31,MATCH(W$231,Listes!$K$29:$K$31,0),MATCH(AC$232,Listes!$K$29:$O$29,0)))</f>
        <v>0</v>
      </c>
      <c r="AE234" s="463"/>
      <c r="AF234" s="3">
        <v>2</v>
      </c>
      <c r="AG234" s="45">
        <f>AE178</f>
        <v>0</v>
      </c>
      <c r="AH234" s="45">
        <f t="shared" si="114"/>
        <v>0</v>
      </c>
      <c r="AI234" s="45">
        <f>IF(OR(AH234=0,AH234="",AF$116=0),0,AH234*INDEX(Listes!$K$1:$Q$12,MATCH(AF$116,Listes!$K$1:$K$12,0),MATCH(AI$117,Listes!$K$1:$Q$1,0)))</f>
        <v>0</v>
      </c>
      <c r="AJ234" s="45">
        <f t="shared" si="115"/>
        <v>0</v>
      </c>
      <c r="AK234" s="45">
        <f>IF(OR(AF$231=0,AF$231=""),0,AJ234*INDEX(Listes!$K$15:$P$26,MATCH(AF$231,Listes!$K$15:$K$26,0),MATCH(AK$232,Listes!$K$15:$P$15,0))*INDEX(Listes!$K$29:$O$31,MATCH(AG$231,Listes!$K$29:$K$31,0),MATCH(AK$232,Listes!$K$29:$O$29,0)))</f>
        <v>0</v>
      </c>
      <c r="AL234" s="45">
        <f>IF(OR(AF$231=0,AF$231=""),0,AJ234*INDEX(Listes!$K$15:$P$26,MATCH(AF$231,Listes!$K$15:$K$26,0),MATCH(AL$232,Listes!$K$15:$P$15,0))*INDEX(Listes!$K$29:$O$31,MATCH(AG$231,Listes!$K$29:$K$31,0),MATCH(AL$232,Listes!$K$29:$O$29,0)))</f>
        <v>0</v>
      </c>
      <c r="AM234" s="45">
        <f>IF(OR(AF$231=0,AF$231=""),0,AJ234*INDEX(Listes!$K$15:$P$26,MATCH(AF$231,Listes!$K$15:$K$26,0),MATCH(AM$232,Listes!$K$15:$P$15,0))*INDEX(Listes!$K$29:$O$31,MATCH(AG$231,Listes!$K$29:$K$31,0),MATCH(AM$232,Listes!$K$29:$O$29,0)))</f>
        <v>0</v>
      </c>
      <c r="AO234" s="463"/>
      <c r="AP234" s="3">
        <v>2</v>
      </c>
      <c r="AQ234" s="11">
        <f t="shared" si="116"/>
        <v>0</v>
      </c>
      <c r="AR234" s="11">
        <f t="shared" si="116"/>
        <v>0</v>
      </c>
      <c r="AS234" s="11">
        <f t="shared" si="116"/>
        <v>0</v>
      </c>
      <c r="AT234" s="11">
        <f>AQ234*VLOOKUP(AQ$232,Tableau17[],4,FALSE)+AR234*VLOOKUP(AR$232,Tableau17[],4,FALSE)+AS234*VLOOKUP(AS$232,Tableau17[],4,FALSE)</f>
        <v>0</v>
      </c>
      <c r="AU234" s="11">
        <f>AQ234*VLOOKUP(AQ$232,Tableau17[],3,FALSE)+AR234*VLOOKUP(AR$232,Tableau17[],3,FALSE)+AS234*VLOOKUP(AS$232,Tableau17[],3,FALSE)</f>
        <v>0</v>
      </c>
    </row>
    <row r="235" spans="1:52" x14ac:dyDescent="0.2">
      <c r="A235" s="463"/>
      <c r="B235" s="3">
        <v>3</v>
      </c>
      <c r="C235" s="45">
        <f t="shared" si="117"/>
        <v>0</v>
      </c>
      <c r="D235" s="45">
        <f t="shared" si="105"/>
        <v>0</v>
      </c>
      <c r="E235" s="45">
        <f>IF(OR(D235=0,D235="",B$116=0),0,D235*INDEX(Listes!$K$1:$Q$12,MATCH(B$116,Listes!$K$1:$K$12,0),MATCH(E$117,Listes!$K$1:$Q$1,0)))</f>
        <v>0</v>
      </c>
      <c r="F235" s="45">
        <f t="shared" si="106"/>
        <v>0</v>
      </c>
      <c r="G235" s="45">
        <f>IF(OR(B$231=0,B$231=""),0,F235*INDEX(Listes!$K$15:$P$26,MATCH(B$231,Listes!$K$15:$K$26,0),MATCH(G$232,Listes!$K$15:$P$15,0))*INDEX(Listes!$K$29:$O$31,MATCH(C$231,Listes!$K$29:$K$31,0),MATCH(G$232,Listes!$K$29:$O$29,0)))</f>
        <v>0</v>
      </c>
      <c r="H235" s="45">
        <f>IF(OR(B$231=0,B$231=""),0,F235*INDEX(Listes!$K$15:$P$26,MATCH(B$231,Listes!$K$15:$K$26,0),MATCH(H$232,Listes!$K$15:$P$15,0))*INDEX(Listes!$K$29:$O$31,MATCH(C$231,Listes!$K$29:$K$31,0),MATCH(H$232,Listes!$K$29:$O$29,0)))</f>
        <v>0</v>
      </c>
      <c r="I235" s="45">
        <f>IF(OR(B$231=0,B$231=""),0,F235*INDEX(Listes!$K$15:$P$26,MATCH(B$231,Listes!$K$15:$K$26,0),MATCH(I$232,Listes!$K$15:$P$15,0))*INDEX(Listes!$K$29:$O$31,MATCH(C$231,Listes!$K$29:$K$31,0),MATCH(I$232,Listes!$K$29:$O$29,0)))</f>
        <v>0</v>
      </c>
      <c r="K235" s="463"/>
      <c r="L235" s="3">
        <v>3</v>
      </c>
      <c r="M235" s="45">
        <f t="shared" si="107"/>
        <v>0</v>
      </c>
      <c r="N235" s="45">
        <f t="shared" si="108"/>
        <v>0</v>
      </c>
      <c r="O235" s="45">
        <f>IF(OR(N235=0,N235="",L$116=0),0,N235*INDEX(Listes!$K$1:$Q$12,MATCH(L$116,Listes!$K$1:$K$12,0),MATCH(O$117,Listes!$K$1:$Q$1,0)))</f>
        <v>0</v>
      </c>
      <c r="P235" s="45">
        <f t="shared" si="109"/>
        <v>0</v>
      </c>
      <c r="Q235" s="45">
        <f>IF(OR(L$231=0,L$231=""),0,P235*INDEX(Listes!$K$15:$P$26,MATCH(L$231,Listes!$K$15:$K$26,0),MATCH(Q$232,Listes!$K$15:$P$15,0))*INDEX(Listes!$K$29:$O$31,MATCH(M$231,Listes!$K$29:$K$31,0),MATCH(Q$232,Listes!$K$29:$O$29,0)))</f>
        <v>0</v>
      </c>
      <c r="R235" s="45">
        <f>IF(OR(L$231=0,L$231=""),0,P235*INDEX(Listes!$K$15:$P$26,MATCH(L$231,Listes!$K$15:$K$26,0),MATCH(R$232,Listes!$K$15:$P$15,0))*INDEX(Listes!$K$29:$O$31,MATCH(M$231,Listes!$K$29:$K$31,0),MATCH(R$232,Listes!$K$29:$O$29,0)))</f>
        <v>0</v>
      </c>
      <c r="S235" s="45">
        <f>IF(OR(L$231=0,L$231=""),0,P235*INDEX(Listes!$K$15:$P$26,MATCH(L$231,Listes!$K$15:$K$26,0),MATCH(S$232,Listes!$K$15:$P$15,0))*INDEX(Listes!$K$29:$O$31,MATCH(M$231,Listes!$K$29:$K$31,0),MATCH(S$232,Listes!$K$29:$O$29,0)))</f>
        <v>0</v>
      </c>
      <c r="U235" s="463"/>
      <c r="V235" s="3">
        <v>3</v>
      </c>
      <c r="W235" s="45">
        <f t="shared" si="110"/>
        <v>0</v>
      </c>
      <c r="X235" s="45">
        <f t="shared" si="111"/>
        <v>0</v>
      </c>
      <c r="Y235" s="45">
        <f>IF(OR(X235=0,X235="",V$116=0),0,X235*INDEX(Listes!$K$1:$Q$12,MATCH(V$116,Listes!$K$1:$K$12,0),MATCH(Y$117,Listes!$K$1:$Q$1,0)))</f>
        <v>0</v>
      </c>
      <c r="Z235" s="45">
        <f t="shared" si="112"/>
        <v>0</v>
      </c>
      <c r="AA235" s="45">
        <f>IF(OR(V$231=0,V$231=""),0,Z235*INDEX(Listes!$K$15:$P$26,MATCH(V$231,Listes!$K$15:$K$26,0),MATCH(AA$232,Listes!$K$15:$P$15,0))*INDEX(Listes!$K$29:$O$31,MATCH(W$231,Listes!$K$29:$K$31,0),MATCH(AA$232,Listes!$K$29:$O$29,0)))</f>
        <v>0</v>
      </c>
      <c r="AB235" s="45">
        <f>IF(OR(V$231=0,V$231=""),0,Z235*INDEX(Listes!$K$15:$P$26,MATCH(V$231,Listes!$K$15:$K$26,0),MATCH(AB$232,Listes!$K$15:$P$15,0))*INDEX(Listes!$K$29:$O$31,MATCH(W$231,Listes!$K$29:$K$31,0),MATCH(AB$232,Listes!$K$29:$O$29,0)))</f>
        <v>0</v>
      </c>
      <c r="AC235" s="45">
        <f>IF(OR(V$231=0,V$231=""),0,Z235*INDEX(Listes!$K$15:$P$26,MATCH(V$231,Listes!$K$15:$K$26,0),MATCH(AC$232,Listes!$K$15:$P$15,0))*INDEX(Listes!$K$29:$O$31,MATCH(W$231,Listes!$K$29:$K$31,0),MATCH(AC$232,Listes!$K$29:$O$29,0)))</f>
        <v>0</v>
      </c>
      <c r="AE235" s="463"/>
      <c r="AF235" s="3">
        <v>3</v>
      </c>
      <c r="AG235" s="45">
        <f t="shared" si="113"/>
        <v>0</v>
      </c>
      <c r="AH235" s="45">
        <f t="shared" si="114"/>
        <v>0</v>
      </c>
      <c r="AI235" s="45">
        <f>IF(OR(AH235=0,AH235="",AF$116=0),0,AH235*INDEX(Listes!$K$1:$Q$12,MATCH(AF$116,Listes!$K$1:$K$12,0),MATCH(AI$117,Listes!$K$1:$Q$1,0)))</f>
        <v>0</v>
      </c>
      <c r="AJ235" s="45">
        <f t="shared" si="115"/>
        <v>0</v>
      </c>
      <c r="AK235" s="45">
        <f>IF(OR(AF$231=0,AF$231=""),0,AJ235*INDEX(Listes!$K$15:$P$26,MATCH(AF$231,Listes!$K$15:$K$26,0),MATCH(AK$232,Listes!$K$15:$P$15,0))*INDEX(Listes!$K$29:$O$31,MATCH(AG$231,Listes!$K$29:$K$31,0),MATCH(AK$232,Listes!$K$29:$O$29,0)))</f>
        <v>0</v>
      </c>
      <c r="AL235" s="45">
        <f>IF(OR(AF$231=0,AF$231=""),0,AJ235*INDEX(Listes!$K$15:$P$26,MATCH(AF$231,Listes!$K$15:$K$26,0),MATCH(AL$232,Listes!$K$15:$P$15,0))*INDEX(Listes!$K$29:$O$31,MATCH(AG$231,Listes!$K$29:$K$31,0),MATCH(AL$232,Listes!$K$29:$O$29,0)))</f>
        <v>0</v>
      </c>
      <c r="AM235" s="45">
        <f>IF(OR(AF$231=0,AF$231=""),0,AJ235*INDEX(Listes!$K$15:$P$26,MATCH(AF$231,Listes!$K$15:$K$26,0),MATCH(AM$232,Listes!$K$15:$P$15,0))*INDEX(Listes!$K$29:$O$31,MATCH(AG$231,Listes!$K$29:$K$31,0),MATCH(AM$232,Listes!$K$29:$O$29,0)))</f>
        <v>0</v>
      </c>
      <c r="AO235" s="463"/>
      <c r="AP235" s="3">
        <v>3</v>
      </c>
      <c r="AQ235" s="11">
        <f t="shared" si="116"/>
        <v>0</v>
      </c>
      <c r="AR235" s="11">
        <f t="shared" si="116"/>
        <v>0</v>
      </c>
      <c r="AS235" s="11">
        <f t="shared" si="116"/>
        <v>0</v>
      </c>
      <c r="AT235" s="11">
        <f>AQ235*VLOOKUP(AQ$232,Tableau17[],4,FALSE)+AR235*VLOOKUP(AR$232,Tableau17[],4,FALSE)+AS235*VLOOKUP(AS$232,Tableau17[],4,FALSE)</f>
        <v>0</v>
      </c>
      <c r="AU235" s="11">
        <f>AQ235*VLOOKUP(AQ$232,Tableau17[],3,FALSE)+AR235*VLOOKUP(AR$232,Tableau17[],3,FALSE)+AS235*VLOOKUP(AS$232,Tableau17[],3,FALSE)</f>
        <v>0</v>
      </c>
    </row>
    <row r="236" spans="1:52" x14ac:dyDescent="0.2">
      <c r="A236" s="463"/>
      <c r="B236" s="3">
        <v>4</v>
      </c>
      <c r="C236" s="45">
        <f t="shared" si="117"/>
        <v>0</v>
      </c>
      <c r="D236" s="45">
        <f t="shared" si="105"/>
        <v>0</v>
      </c>
      <c r="E236" s="45">
        <f>IF(OR(D236=0,D236="",B$116=0),0,D236*INDEX(Listes!$K$1:$Q$12,MATCH(B$116,Listes!$K$1:$K$12,0),MATCH(E$117,Listes!$K$1:$Q$1,0)))</f>
        <v>0</v>
      </c>
      <c r="F236" s="45">
        <f t="shared" si="106"/>
        <v>0</v>
      </c>
      <c r="G236" s="45">
        <f>IF(OR(B$231=0,B$231=""),0,F236*INDEX(Listes!$K$15:$P$26,MATCH(B$231,Listes!$K$15:$K$26,0),MATCH(G$232,Listes!$K$15:$P$15,0))*INDEX(Listes!$K$29:$O$31,MATCH(C$231,Listes!$K$29:$K$31,0),MATCH(G$232,Listes!$K$29:$O$29,0)))</f>
        <v>0</v>
      </c>
      <c r="H236" s="45">
        <f>IF(OR(B$231=0,B$231=""),0,F236*INDEX(Listes!$K$15:$P$26,MATCH(B$231,Listes!$K$15:$K$26,0),MATCH(H$232,Listes!$K$15:$P$15,0))*INDEX(Listes!$K$29:$O$31,MATCH(C$231,Listes!$K$29:$K$31,0),MATCH(H$232,Listes!$K$29:$O$29,0)))</f>
        <v>0</v>
      </c>
      <c r="I236" s="45">
        <f>IF(OR(B$231=0,B$231=""),0,F236*INDEX(Listes!$K$15:$P$26,MATCH(B$231,Listes!$K$15:$K$26,0),MATCH(I$232,Listes!$K$15:$P$15,0))*INDEX(Listes!$K$29:$O$31,MATCH(C$231,Listes!$K$29:$K$31,0),MATCH(I$232,Listes!$K$29:$O$29,0)))</f>
        <v>0</v>
      </c>
      <c r="K236" s="463"/>
      <c r="L236" s="3">
        <v>4</v>
      </c>
      <c r="M236" s="45">
        <f t="shared" si="107"/>
        <v>0</v>
      </c>
      <c r="N236" s="45">
        <f t="shared" si="108"/>
        <v>0</v>
      </c>
      <c r="O236" s="45">
        <f>IF(OR(N236=0,N236="",L$116=0),0,N236*INDEX(Listes!$K$1:$Q$12,MATCH(L$116,Listes!$K$1:$K$12,0),MATCH(O$117,Listes!$K$1:$Q$1,0)))</f>
        <v>0</v>
      </c>
      <c r="P236" s="45">
        <f t="shared" si="109"/>
        <v>0</v>
      </c>
      <c r="Q236" s="45">
        <f>IF(OR(L$231=0,L$231=""),0,P236*INDEX(Listes!$K$15:$P$26,MATCH(L$231,Listes!$K$15:$K$26,0),MATCH(Q$232,Listes!$K$15:$P$15,0))*INDEX(Listes!$K$29:$O$31,MATCH(M$231,Listes!$K$29:$K$31,0),MATCH(Q$232,Listes!$K$29:$O$29,0)))</f>
        <v>0</v>
      </c>
      <c r="R236" s="45">
        <f>IF(OR(L$231=0,L$231=""),0,P236*INDEX(Listes!$K$15:$P$26,MATCH(L$231,Listes!$K$15:$K$26,0),MATCH(R$232,Listes!$K$15:$P$15,0))*INDEX(Listes!$K$29:$O$31,MATCH(M$231,Listes!$K$29:$K$31,0),MATCH(R$232,Listes!$K$29:$O$29,0)))</f>
        <v>0</v>
      </c>
      <c r="S236" s="45">
        <f>IF(OR(L$231=0,L$231=""),0,P236*INDEX(Listes!$K$15:$P$26,MATCH(L$231,Listes!$K$15:$K$26,0),MATCH(S$232,Listes!$K$15:$P$15,0))*INDEX(Listes!$K$29:$O$31,MATCH(M$231,Listes!$K$29:$K$31,0),MATCH(S$232,Listes!$K$29:$O$29,0)))</f>
        <v>0</v>
      </c>
      <c r="U236" s="463"/>
      <c r="V236" s="3">
        <v>4</v>
      </c>
      <c r="W236" s="45">
        <f t="shared" si="110"/>
        <v>0</v>
      </c>
      <c r="X236" s="45">
        <f t="shared" si="111"/>
        <v>0</v>
      </c>
      <c r="Y236" s="45">
        <f>IF(OR(X236=0,X236="",V$116=0),0,X236*INDEX(Listes!$K$1:$Q$12,MATCH(V$116,Listes!$K$1:$K$12,0),MATCH(Y$117,Listes!$K$1:$Q$1,0)))</f>
        <v>0</v>
      </c>
      <c r="Z236" s="45">
        <f t="shared" si="112"/>
        <v>0</v>
      </c>
      <c r="AA236" s="45">
        <f>IF(OR(V$231=0,V$231=""),0,Z236*INDEX(Listes!$K$15:$P$26,MATCH(V$231,Listes!$K$15:$K$26,0),MATCH(AA$232,Listes!$K$15:$P$15,0))*INDEX(Listes!$K$29:$O$31,MATCH(W$231,Listes!$K$29:$K$31,0),MATCH(AA$232,Listes!$K$29:$O$29,0)))</f>
        <v>0</v>
      </c>
      <c r="AB236" s="45">
        <f>IF(OR(V$231=0,V$231=""),0,Z236*INDEX(Listes!$K$15:$P$26,MATCH(V$231,Listes!$K$15:$K$26,0),MATCH(AB$232,Listes!$K$15:$P$15,0))*INDEX(Listes!$K$29:$O$31,MATCH(W$231,Listes!$K$29:$K$31,0),MATCH(AB$232,Listes!$K$29:$O$29,0)))</f>
        <v>0</v>
      </c>
      <c r="AC236" s="45">
        <f>IF(OR(V$231=0,V$231=""),0,Z236*INDEX(Listes!$K$15:$P$26,MATCH(V$231,Listes!$K$15:$K$26,0),MATCH(AC$232,Listes!$K$15:$P$15,0))*INDEX(Listes!$K$29:$O$31,MATCH(W$231,Listes!$K$29:$K$31,0),MATCH(AC$232,Listes!$K$29:$O$29,0)))</f>
        <v>0</v>
      </c>
      <c r="AE236" s="463"/>
      <c r="AF236" s="3">
        <v>4</v>
      </c>
      <c r="AG236" s="45">
        <f t="shared" si="113"/>
        <v>0</v>
      </c>
      <c r="AH236" s="45">
        <f t="shared" si="114"/>
        <v>0</v>
      </c>
      <c r="AI236" s="45">
        <f>IF(OR(AH236=0,AH236="",AF$116=0),0,AH236*INDEX(Listes!$K$1:$Q$12,MATCH(AF$116,Listes!$K$1:$K$12,0),MATCH(AI$117,Listes!$K$1:$Q$1,0)))</f>
        <v>0</v>
      </c>
      <c r="AJ236" s="45">
        <f t="shared" si="115"/>
        <v>0</v>
      </c>
      <c r="AK236" s="45">
        <f>IF(OR(AF$231=0,AF$231=""),0,AJ236*INDEX(Listes!$K$15:$P$26,MATCH(AF$231,Listes!$K$15:$K$26,0),MATCH(AK$232,Listes!$K$15:$P$15,0))*INDEX(Listes!$K$29:$O$31,MATCH(AG$231,Listes!$K$29:$K$31,0),MATCH(AK$232,Listes!$K$29:$O$29,0)))</f>
        <v>0</v>
      </c>
      <c r="AL236" s="45">
        <f>IF(OR(AF$231=0,AF$231=""),0,AJ236*INDEX(Listes!$K$15:$P$26,MATCH(AF$231,Listes!$K$15:$K$26,0),MATCH(AL$232,Listes!$K$15:$P$15,0))*INDEX(Listes!$K$29:$O$31,MATCH(AG$231,Listes!$K$29:$K$31,0),MATCH(AL$232,Listes!$K$29:$O$29,0)))</f>
        <v>0</v>
      </c>
      <c r="AM236" s="45">
        <f>IF(OR(AF$231=0,AF$231=""),0,AJ236*INDEX(Listes!$K$15:$P$26,MATCH(AF$231,Listes!$K$15:$K$26,0),MATCH(AM$232,Listes!$K$15:$P$15,0))*INDEX(Listes!$K$29:$O$31,MATCH(AG$231,Listes!$K$29:$K$31,0),MATCH(AM$232,Listes!$K$29:$O$29,0)))</f>
        <v>0</v>
      </c>
      <c r="AO236" s="463"/>
      <c r="AP236" s="3">
        <v>4</v>
      </c>
      <c r="AQ236" s="11">
        <f t="shared" si="116"/>
        <v>0</v>
      </c>
      <c r="AR236" s="11">
        <f t="shared" si="116"/>
        <v>0</v>
      </c>
      <c r="AS236" s="11">
        <f t="shared" si="116"/>
        <v>0</v>
      </c>
      <c r="AT236" s="11">
        <f>AQ236*VLOOKUP(AQ$232,Tableau17[],4,FALSE)+AR236*VLOOKUP(AR$232,Tableau17[],4,FALSE)+AS236*VLOOKUP(AS$232,Tableau17[],4,FALSE)</f>
        <v>0</v>
      </c>
      <c r="AU236" s="11">
        <f>AQ236*VLOOKUP(AQ$232,Tableau17[],3,FALSE)+AR236*VLOOKUP(AR$232,Tableau17[],3,FALSE)+AS236*VLOOKUP(AS$232,Tableau17[],3,FALSE)</f>
        <v>0</v>
      </c>
    </row>
    <row r="237" spans="1:52" x14ac:dyDescent="0.2">
      <c r="A237" s="463"/>
      <c r="B237" s="3">
        <v>5</v>
      </c>
      <c r="C237" s="45">
        <f t="shared" si="117"/>
        <v>0</v>
      </c>
      <c r="D237" s="45">
        <f t="shared" si="105"/>
        <v>0</v>
      </c>
      <c r="E237" s="45">
        <f>IF(OR(D237=0,D237="",B$116=0),0,D237*INDEX(Listes!$K$1:$Q$12,MATCH(B$116,Listes!$K$1:$K$12,0),MATCH(E$117,Listes!$K$1:$Q$1,0)))</f>
        <v>0</v>
      </c>
      <c r="F237" s="45">
        <f t="shared" si="106"/>
        <v>0</v>
      </c>
      <c r="G237" s="45">
        <f>IF(OR(B$231=0,B$231=""),0,F237*INDEX(Listes!$K$15:$P$26,MATCH(B$231,Listes!$K$15:$K$26,0),MATCH(G$232,Listes!$K$15:$P$15,0))*INDEX(Listes!$K$29:$O$31,MATCH(C$231,Listes!$K$29:$K$31,0),MATCH(G$232,Listes!$K$29:$O$29,0)))</f>
        <v>0</v>
      </c>
      <c r="H237" s="45">
        <f>IF(OR(B$231=0,B$231=""),0,F237*INDEX(Listes!$K$15:$P$26,MATCH(B$231,Listes!$K$15:$K$26,0),MATCH(H$232,Listes!$K$15:$P$15,0))*INDEX(Listes!$K$29:$O$31,MATCH(C$231,Listes!$K$29:$K$31,0),MATCH(H$232,Listes!$K$29:$O$29,0)))</f>
        <v>0</v>
      </c>
      <c r="I237" s="45">
        <f>IF(OR(B$231=0,B$231=""),0,F237*INDEX(Listes!$K$15:$P$26,MATCH(B$231,Listes!$K$15:$K$26,0),MATCH(I$232,Listes!$K$15:$P$15,0))*INDEX(Listes!$K$29:$O$31,MATCH(C$231,Listes!$K$29:$K$31,0),MATCH(I$232,Listes!$K$29:$O$29,0)))</f>
        <v>0</v>
      </c>
      <c r="K237" s="463"/>
      <c r="L237" s="3">
        <v>5</v>
      </c>
      <c r="M237" s="45">
        <f t="shared" si="107"/>
        <v>0</v>
      </c>
      <c r="N237" s="45">
        <f t="shared" si="108"/>
        <v>0</v>
      </c>
      <c r="O237" s="45">
        <f>IF(OR(N237=0,N237="",L$116=0),0,N237*INDEX(Listes!$K$1:$Q$12,MATCH(L$116,Listes!$K$1:$K$12,0),MATCH(O$117,Listes!$K$1:$Q$1,0)))</f>
        <v>0</v>
      </c>
      <c r="P237" s="45">
        <f t="shared" si="109"/>
        <v>0</v>
      </c>
      <c r="Q237" s="45">
        <f>IF(OR(L$231=0,L$231=""),0,P237*INDEX(Listes!$K$15:$P$26,MATCH(L$231,Listes!$K$15:$K$26,0),MATCH(Q$232,Listes!$K$15:$P$15,0))*INDEX(Listes!$K$29:$O$31,MATCH(M$231,Listes!$K$29:$K$31,0),MATCH(Q$232,Listes!$K$29:$O$29,0)))</f>
        <v>0</v>
      </c>
      <c r="R237" s="45">
        <f>IF(OR(L$231=0,L$231=""),0,P237*INDEX(Listes!$K$15:$P$26,MATCH(L$231,Listes!$K$15:$K$26,0),MATCH(R$232,Listes!$K$15:$P$15,0))*INDEX(Listes!$K$29:$O$31,MATCH(M$231,Listes!$K$29:$K$31,0),MATCH(R$232,Listes!$K$29:$O$29,0)))</f>
        <v>0</v>
      </c>
      <c r="S237" s="45">
        <f>IF(OR(L$231=0,L$231=""),0,P237*INDEX(Listes!$K$15:$P$26,MATCH(L$231,Listes!$K$15:$K$26,0),MATCH(S$232,Listes!$K$15:$P$15,0))*INDEX(Listes!$K$29:$O$31,MATCH(M$231,Listes!$K$29:$K$31,0),MATCH(S$232,Listes!$K$29:$O$29,0)))</f>
        <v>0</v>
      </c>
      <c r="U237" s="463"/>
      <c r="V237" s="3">
        <v>5</v>
      </c>
      <c r="W237" s="45">
        <f t="shared" si="110"/>
        <v>0</v>
      </c>
      <c r="X237" s="45">
        <f t="shared" si="111"/>
        <v>0</v>
      </c>
      <c r="Y237" s="45">
        <f>IF(OR(X237=0,X237="",V$116=0),0,X237*INDEX(Listes!$K$1:$Q$12,MATCH(V$116,Listes!$K$1:$K$12,0),MATCH(Y$117,Listes!$K$1:$Q$1,0)))</f>
        <v>0</v>
      </c>
      <c r="Z237" s="45">
        <f t="shared" si="112"/>
        <v>0</v>
      </c>
      <c r="AA237" s="45">
        <f>IF(OR(V$231=0,V$231=""),0,Z237*INDEX(Listes!$K$15:$P$26,MATCH(V$231,Listes!$K$15:$K$26,0),MATCH(AA$232,Listes!$K$15:$P$15,0))*INDEX(Listes!$K$29:$O$31,MATCH(W$231,Listes!$K$29:$K$31,0),MATCH(AA$232,Listes!$K$29:$O$29,0)))</f>
        <v>0</v>
      </c>
      <c r="AB237" s="45">
        <f>IF(OR(V$231=0,V$231=""),0,Z237*INDEX(Listes!$K$15:$P$26,MATCH(V$231,Listes!$K$15:$K$26,0),MATCH(AB$232,Listes!$K$15:$P$15,0))*INDEX(Listes!$K$29:$O$31,MATCH(W$231,Listes!$K$29:$K$31,0),MATCH(AB$232,Listes!$K$29:$O$29,0)))</f>
        <v>0</v>
      </c>
      <c r="AC237" s="45">
        <f>IF(OR(V$231=0,V$231=""),0,Z237*INDEX(Listes!$K$15:$P$26,MATCH(V$231,Listes!$K$15:$K$26,0),MATCH(AC$232,Listes!$K$15:$P$15,0))*INDEX(Listes!$K$29:$O$31,MATCH(W$231,Listes!$K$29:$K$31,0),MATCH(AC$232,Listes!$K$29:$O$29,0)))</f>
        <v>0</v>
      </c>
      <c r="AE237" s="463"/>
      <c r="AF237" s="3">
        <v>5</v>
      </c>
      <c r="AG237" s="45">
        <f t="shared" si="113"/>
        <v>0</v>
      </c>
      <c r="AH237" s="45">
        <f t="shared" si="114"/>
        <v>0</v>
      </c>
      <c r="AI237" s="45">
        <f>IF(OR(AH237=0,AH237="",AF$116=0),0,AH237*INDEX(Listes!$K$1:$Q$12,MATCH(AF$116,Listes!$K$1:$K$12,0),MATCH(AI$117,Listes!$K$1:$Q$1,0)))</f>
        <v>0</v>
      </c>
      <c r="AJ237" s="45">
        <f t="shared" si="115"/>
        <v>0</v>
      </c>
      <c r="AK237" s="45">
        <f>IF(OR(AF$231=0,AF$231=""),0,AJ237*INDEX(Listes!$K$15:$P$26,MATCH(AF$231,Listes!$K$15:$K$26,0),MATCH(AK$232,Listes!$K$15:$P$15,0))*INDEX(Listes!$K$29:$O$31,MATCH(AG$231,Listes!$K$29:$K$31,0),MATCH(AK$232,Listes!$K$29:$O$29,0)))</f>
        <v>0</v>
      </c>
      <c r="AL237" s="45">
        <f>IF(OR(AF$231=0,AF$231=""),0,AJ237*INDEX(Listes!$K$15:$P$26,MATCH(AF$231,Listes!$K$15:$K$26,0),MATCH(AL$232,Listes!$K$15:$P$15,0))*INDEX(Listes!$K$29:$O$31,MATCH(AG$231,Listes!$K$29:$K$31,0),MATCH(AL$232,Listes!$K$29:$O$29,0)))</f>
        <v>0</v>
      </c>
      <c r="AM237" s="45">
        <f>IF(OR(AF$231=0,AF$231=""),0,AJ237*INDEX(Listes!$K$15:$P$26,MATCH(AF$231,Listes!$K$15:$K$26,0),MATCH(AM$232,Listes!$K$15:$P$15,0))*INDEX(Listes!$K$29:$O$31,MATCH(AG$231,Listes!$K$29:$K$31,0),MATCH(AM$232,Listes!$K$29:$O$29,0)))</f>
        <v>0</v>
      </c>
      <c r="AO237" s="463"/>
      <c r="AP237" s="3">
        <v>5</v>
      </c>
      <c r="AQ237" s="11">
        <f t="shared" si="116"/>
        <v>0</v>
      </c>
      <c r="AR237" s="11">
        <f t="shared" si="116"/>
        <v>0</v>
      </c>
      <c r="AS237" s="11">
        <f t="shared" si="116"/>
        <v>0</v>
      </c>
      <c r="AT237" s="11">
        <f>AQ237*VLOOKUP(AQ$232,Tableau17[],4,FALSE)+AR237*VLOOKUP(AR$232,Tableau17[],4,FALSE)+AS237*VLOOKUP(AS$232,Tableau17[],4,FALSE)</f>
        <v>0</v>
      </c>
      <c r="AU237" s="11">
        <f>AQ237*VLOOKUP(AQ$232,Tableau17[],3,FALSE)+AR237*VLOOKUP(AR$232,Tableau17[],3,FALSE)+AS237*VLOOKUP(AS$232,Tableau17[],3,FALSE)</f>
        <v>0</v>
      </c>
    </row>
    <row r="238" spans="1:52" x14ac:dyDescent="0.2">
      <c r="A238" s="463"/>
      <c r="B238" s="3">
        <v>6</v>
      </c>
      <c r="C238" s="45">
        <f t="shared" si="117"/>
        <v>0</v>
      </c>
      <c r="D238" s="45">
        <f t="shared" si="105"/>
        <v>0</v>
      </c>
      <c r="E238" s="45">
        <f>IF(OR(D238=0,D238="",B$116=0),0,D238*INDEX(Listes!$K$1:$Q$12,MATCH(B$116,Listes!$K$1:$K$12,0),MATCH(E$117,Listes!$K$1:$Q$1,0)))</f>
        <v>0</v>
      </c>
      <c r="F238" s="45">
        <f t="shared" si="106"/>
        <v>0</v>
      </c>
      <c r="G238" s="45">
        <f>IF(OR(B$231=0,B$231=""),0,F238*INDEX(Listes!$K$15:$P$26,MATCH(B$231,Listes!$K$15:$K$26,0),MATCH(G$232,Listes!$K$15:$P$15,0))*INDEX(Listes!$K$29:$O$31,MATCH(C$231,Listes!$K$29:$K$31,0),MATCH(G$232,Listes!$K$29:$O$29,0)))</f>
        <v>0</v>
      </c>
      <c r="H238" s="45">
        <f>IF(OR(B$231=0,B$231=""),0,F238*INDEX(Listes!$K$15:$P$26,MATCH(B$231,Listes!$K$15:$K$26,0),MATCH(H$232,Listes!$K$15:$P$15,0))*INDEX(Listes!$K$29:$O$31,MATCH(C$231,Listes!$K$29:$K$31,0),MATCH(H$232,Listes!$K$29:$O$29,0)))</f>
        <v>0</v>
      </c>
      <c r="I238" s="45">
        <f>IF(OR(B$231=0,B$231=""),0,F238*INDEX(Listes!$K$15:$P$26,MATCH(B$231,Listes!$K$15:$K$26,0),MATCH(I$232,Listes!$K$15:$P$15,0))*INDEX(Listes!$K$29:$O$31,MATCH(C$231,Listes!$K$29:$K$31,0),MATCH(I$232,Listes!$K$29:$O$29,0)))</f>
        <v>0</v>
      </c>
      <c r="K238" s="463"/>
      <c r="L238" s="3">
        <v>6</v>
      </c>
      <c r="M238" s="45">
        <f t="shared" si="107"/>
        <v>0</v>
      </c>
      <c r="N238" s="45">
        <f t="shared" si="108"/>
        <v>0</v>
      </c>
      <c r="O238" s="45">
        <f>IF(OR(N238=0,N238="",L$116=0),0,N238*INDEX(Listes!$K$1:$Q$12,MATCH(L$116,Listes!$K$1:$K$12,0),MATCH(O$117,Listes!$K$1:$Q$1,0)))</f>
        <v>0</v>
      </c>
      <c r="P238" s="45">
        <f t="shared" si="109"/>
        <v>0</v>
      </c>
      <c r="Q238" s="45">
        <f>IF(OR(L$231=0,L$231=""),0,P238*INDEX(Listes!$K$15:$P$26,MATCH(L$231,Listes!$K$15:$K$26,0),MATCH(Q$232,Listes!$K$15:$P$15,0))*INDEX(Listes!$K$29:$O$31,MATCH(M$231,Listes!$K$29:$K$31,0),MATCH(Q$232,Listes!$K$29:$O$29,0)))</f>
        <v>0</v>
      </c>
      <c r="R238" s="45">
        <f>IF(OR(L$231=0,L$231=""),0,P238*INDEX(Listes!$K$15:$P$26,MATCH(L$231,Listes!$K$15:$K$26,0),MATCH(R$232,Listes!$K$15:$P$15,0))*INDEX(Listes!$K$29:$O$31,MATCH(M$231,Listes!$K$29:$K$31,0),MATCH(R$232,Listes!$K$29:$O$29,0)))</f>
        <v>0</v>
      </c>
      <c r="S238" s="45">
        <f>IF(OR(L$231=0,L$231=""),0,P238*INDEX(Listes!$K$15:$P$26,MATCH(L$231,Listes!$K$15:$K$26,0),MATCH(S$232,Listes!$K$15:$P$15,0))*INDEX(Listes!$K$29:$O$31,MATCH(M$231,Listes!$K$29:$K$31,0),MATCH(S$232,Listes!$K$29:$O$29,0)))</f>
        <v>0</v>
      </c>
      <c r="U238" s="463"/>
      <c r="V238" s="3">
        <v>6</v>
      </c>
      <c r="W238" s="45">
        <f t="shared" si="110"/>
        <v>0</v>
      </c>
      <c r="X238" s="45">
        <f t="shared" si="111"/>
        <v>0</v>
      </c>
      <c r="Y238" s="45">
        <f>IF(OR(X238=0,X238="",V$116=0),0,X238*INDEX(Listes!$K$1:$Q$12,MATCH(V$116,Listes!$K$1:$K$12,0),MATCH(Y$117,Listes!$K$1:$Q$1,0)))</f>
        <v>0</v>
      </c>
      <c r="Z238" s="45">
        <f t="shared" si="112"/>
        <v>0</v>
      </c>
      <c r="AA238" s="45">
        <f>IF(OR(V$231=0,V$231=""),0,Z238*INDEX(Listes!$K$15:$P$26,MATCH(V$231,Listes!$K$15:$K$26,0),MATCH(AA$232,Listes!$K$15:$P$15,0))*INDEX(Listes!$K$29:$O$31,MATCH(W$231,Listes!$K$29:$K$31,0),MATCH(AA$232,Listes!$K$29:$O$29,0)))</f>
        <v>0</v>
      </c>
      <c r="AB238" s="45">
        <f>IF(OR(V$231=0,V$231=""),0,Z238*INDEX(Listes!$K$15:$P$26,MATCH(V$231,Listes!$K$15:$K$26,0),MATCH(AB$232,Listes!$K$15:$P$15,0))*INDEX(Listes!$K$29:$O$31,MATCH(W$231,Listes!$K$29:$K$31,0),MATCH(AB$232,Listes!$K$29:$O$29,0)))</f>
        <v>0</v>
      </c>
      <c r="AC238" s="45">
        <f>IF(OR(V$231=0,V$231=""),0,Z238*INDEX(Listes!$K$15:$P$26,MATCH(V$231,Listes!$K$15:$K$26,0),MATCH(AC$232,Listes!$K$15:$P$15,0))*INDEX(Listes!$K$29:$O$31,MATCH(W$231,Listes!$K$29:$K$31,0),MATCH(AC$232,Listes!$K$29:$O$29,0)))</f>
        <v>0</v>
      </c>
      <c r="AE238" s="463"/>
      <c r="AF238" s="3">
        <v>6</v>
      </c>
      <c r="AG238" s="45">
        <f t="shared" si="113"/>
        <v>0</v>
      </c>
      <c r="AH238" s="45">
        <f t="shared" si="114"/>
        <v>0</v>
      </c>
      <c r="AI238" s="45">
        <f>IF(OR(AH238=0,AH238="",AF$116=0),0,AH238*INDEX(Listes!$K$1:$Q$12,MATCH(AF$116,Listes!$K$1:$K$12,0),MATCH(AI$117,Listes!$K$1:$Q$1,0)))</f>
        <v>0</v>
      </c>
      <c r="AJ238" s="45">
        <f t="shared" si="115"/>
        <v>0</v>
      </c>
      <c r="AK238" s="45">
        <f>IF(OR(AF$231=0,AF$231=""),0,AJ238*INDEX(Listes!$K$15:$P$26,MATCH(AF$231,Listes!$K$15:$K$26,0),MATCH(AK$232,Listes!$K$15:$P$15,0))*INDEX(Listes!$K$29:$O$31,MATCH(AG$231,Listes!$K$29:$K$31,0),MATCH(AK$232,Listes!$K$29:$O$29,0)))</f>
        <v>0</v>
      </c>
      <c r="AL238" s="45">
        <f>IF(OR(AF$231=0,AF$231=""),0,AJ238*INDEX(Listes!$K$15:$P$26,MATCH(AF$231,Listes!$K$15:$K$26,0),MATCH(AL$232,Listes!$K$15:$P$15,0))*INDEX(Listes!$K$29:$O$31,MATCH(AG$231,Listes!$K$29:$K$31,0),MATCH(AL$232,Listes!$K$29:$O$29,0)))</f>
        <v>0</v>
      </c>
      <c r="AM238" s="45">
        <f>IF(OR(AF$231=0,AF$231=""),0,AJ238*INDEX(Listes!$K$15:$P$26,MATCH(AF$231,Listes!$K$15:$K$26,0),MATCH(AM$232,Listes!$K$15:$P$15,0))*INDEX(Listes!$K$29:$O$31,MATCH(AG$231,Listes!$K$29:$K$31,0),MATCH(AM$232,Listes!$K$29:$O$29,0)))</f>
        <v>0</v>
      </c>
      <c r="AO238" s="463"/>
      <c r="AP238" s="3">
        <v>6</v>
      </c>
      <c r="AQ238" s="11">
        <f t="shared" si="116"/>
        <v>0</v>
      </c>
      <c r="AR238" s="11">
        <f t="shared" si="116"/>
        <v>0</v>
      </c>
      <c r="AS238" s="11">
        <f t="shared" si="116"/>
        <v>0</v>
      </c>
      <c r="AT238" s="11">
        <f>AQ238*VLOOKUP(AQ$232,Tableau17[],4,FALSE)+AR238*VLOOKUP(AR$232,Tableau17[],4,FALSE)+AS238*VLOOKUP(AS$232,Tableau17[],4,FALSE)</f>
        <v>0</v>
      </c>
      <c r="AU238" s="11">
        <f>AQ238*VLOOKUP(AQ$232,Tableau17[],3,FALSE)+AR238*VLOOKUP(AR$232,Tableau17[],3,FALSE)+AS238*VLOOKUP(AS$232,Tableau17[],3,FALSE)</f>
        <v>0</v>
      </c>
    </row>
    <row r="239" spans="1:52" x14ac:dyDescent="0.2">
      <c r="A239" s="463"/>
      <c r="B239" s="3">
        <v>7</v>
      </c>
      <c r="C239" s="45">
        <f t="shared" si="117"/>
        <v>0</v>
      </c>
      <c r="D239" s="45">
        <f t="shared" si="105"/>
        <v>0</v>
      </c>
      <c r="E239" s="45">
        <f>IF(OR(D239=0,D239="",B$116=0),0,D239*INDEX(Listes!$K$1:$Q$12,MATCH(B$116,Listes!$K$1:$K$12,0),MATCH(E$117,Listes!$K$1:$Q$1,0)))</f>
        <v>0</v>
      </c>
      <c r="F239" s="45">
        <f t="shared" si="106"/>
        <v>0</v>
      </c>
      <c r="G239" s="45">
        <f>IF(OR(B$231=0,B$231=""),0,F239*INDEX(Listes!$K$15:$P$26,MATCH(B$231,Listes!$K$15:$K$26,0),MATCH(G$232,Listes!$K$15:$P$15,0))*INDEX(Listes!$K$29:$O$31,MATCH(C$231,Listes!$K$29:$K$31,0),MATCH(G$232,Listes!$K$29:$O$29,0)))</f>
        <v>0</v>
      </c>
      <c r="H239" s="45">
        <f>IF(OR(B$231=0,B$231=""),0,F239*INDEX(Listes!$K$15:$P$26,MATCH(B$231,Listes!$K$15:$K$26,0),MATCH(H$232,Listes!$K$15:$P$15,0))*INDEX(Listes!$K$29:$O$31,MATCH(C$231,Listes!$K$29:$K$31,0),MATCH(H$232,Listes!$K$29:$O$29,0)))</f>
        <v>0</v>
      </c>
      <c r="I239" s="45">
        <f>IF(OR(B$231=0,B$231=""),0,F239*INDEX(Listes!$K$15:$P$26,MATCH(B$231,Listes!$K$15:$K$26,0),MATCH(I$232,Listes!$K$15:$P$15,0))*INDEX(Listes!$K$29:$O$31,MATCH(C$231,Listes!$K$29:$K$31,0),MATCH(I$232,Listes!$K$29:$O$29,0)))</f>
        <v>0</v>
      </c>
      <c r="K239" s="463"/>
      <c r="L239" s="3">
        <v>7</v>
      </c>
      <c r="M239" s="45">
        <f t="shared" si="107"/>
        <v>0</v>
      </c>
      <c r="N239" s="45">
        <f t="shared" si="108"/>
        <v>0</v>
      </c>
      <c r="O239" s="45">
        <f>IF(OR(N239=0,N239="",L$116=0),0,N239*INDEX(Listes!$K$1:$Q$12,MATCH(L$116,Listes!$K$1:$K$12,0),MATCH(O$117,Listes!$K$1:$Q$1,0)))</f>
        <v>0</v>
      </c>
      <c r="P239" s="45">
        <f t="shared" si="109"/>
        <v>0</v>
      </c>
      <c r="Q239" s="45">
        <f>IF(OR(L$231=0,L$231=""),0,P239*INDEX(Listes!$K$15:$P$26,MATCH(L$231,Listes!$K$15:$K$26,0),MATCH(Q$232,Listes!$K$15:$P$15,0))*INDEX(Listes!$K$29:$O$31,MATCH(M$231,Listes!$K$29:$K$31,0),MATCH(Q$232,Listes!$K$29:$O$29,0)))</f>
        <v>0</v>
      </c>
      <c r="R239" s="45">
        <f>IF(OR(L$231=0,L$231=""),0,P239*INDEX(Listes!$K$15:$P$26,MATCH(L$231,Listes!$K$15:$K$26,0),MATCH(R$232,Listes!$K$15:$P$15,0))*INDEX(Listes!$K$29:$O$31,MATCH(M$231,Listes!$K$29:$K$31,0),MATCH(R$232,Listes!$K$29:$O$29,0)))</f>
        <v>0</v>
      </c>
      <c r="S239" s="45">
        <f>IF(OR(L$231=0,L$231=""),0,P239*INDEX(Listes!$K$15:$P$26,MATCH(L$231,Listes!$K$15:$K$26,0),MATCH(S$232,Listes!$K$15:$P$15,0))*INDEX(Listes!$K$29:$O$31,MATCH(M$231,Listes!$K$29:$K$31,0),MATCH(S$232,Listes!$K$29:$O$29,0)))</f>
        <v>0</v>
      </c>
      <c r="U239" s="463"/>
      <c r="V239" s="3">
        <v>7</v>
      </c>
      <c r="W239" s="45">
        <f t="shared" si="110"/>
        <v>0</v>
      </c>
      <c r="X239" s="45">
        <f t="shared" si="111"/>
        <v>0</v>
      </c>
      <c r="Y239" s="45">
        <f>IF(OR(X239=0,X239="",V$116=0),0,X239*INDEX(Listes!$K$1:$Q$12,MATCH(V$116,Listes!$K$1:$K$12,0),MATCH(Y$117,Listes!$K$1:$Q$1,0)))</f>
        <v>0</v>
      </c>
      <c r="Z239" s="45">
        <f t="shared" si="112"/>
        <v>0</v>
      </c>
      <c r="AA239" s="45">
        <f>IF(OR(V$231=0,V$231=""),0,Z239*INDEX(Listes!$K$15:$P$26,MATCH(V$231,Listes!$K$15:$K$26,0),MATCH(AA$232,Listes!$K$15:$P$15,0))*INDEX(Listes!$K$29:$O$31,MATCH(W$231,Listes!$K$29:$K$31,0),MATCH(AA$232,Listes!$K$29:$O$29,0)))</f>
        <v>0</v>
      </c>
      <c r="AB239" s="45">
        <f>IF(OR(V$231=0,V$231=""),0,Z239*INDEX(Listes!$K$15:$P$26,MATCH(V$231,Listes!$K$15:$K$26,0),MATCH(AB$232,Listes!$K$15:$P$15,0))*INDEX(Listes!$K$29:$O$31,MATCH(W$231,Listes!$K$29:$K$31,0),MATCH(AB$232,Listes!$K$29:$O$29,0)))</f>
        <v>0</v>
      </c>
      <c r="AC239" s="45">
        <f>IF(OR(V$231=0,V$231=""),0,Z239*INDEX(Listes!$K$15:$P$26,MATCH(V$231,Listes!$K$15:$K$26,0),MATCH(AC$232,Listes!$K$15:$P$15,0))*INDEX(Listes!$K$29:$O$31,MATCH(W$231,Listes!$K$29:$K$31,0),MATCH(AC$232,Listes!$K$29:$O$29,0)))</f>
        <v>0</v>
      </c>
      <c r="AE239" s="463"/>
      <c r="AF239" s="3">
        <v>7</v>
      </c>
      <c r="AG239" s="45">
        <f t="shared" si="113"/>
        <v>0</v>
      </c>
      <c r="AH239" s="45">
        <f t="shared" si="114"/>
        <v>0</v>
      </c>
      <c r="AI239" s="45">
        <f>IF(OR(AH239=0,AH239="",AF$116=0),0,AH239*INDEX(Listes!$K$1:$Q$12,MATCH(AF$116,Listes!$K$1:$K$12,0),MATCH(AI$117,Listes!$K$1:$Q$1,0)))</f>
        <v>0</v>
      </c>
      <c r="AJ239" s="45">
        <f t="shared" si="115"/>
        <v>0</v>
      </c>
      <c r="AK239" s="45">
        <f>IF(OR(AF$231=0,AF$231=""),0,AJ239*INDEX(Listes!$K$15:$P$26,MATCH(AF$231,Listes!$K$15:$K$26,0),MATCH(AK$232,Listes!$K$15:$P$15,0))*INDEX(Listes!$K$29:$O$31,MATCH(AG$231,Listes!$K$29:$K$31,0),MATCH(AK$232,Listes!$K$29:$O$29,0)))</f>
        <v>0</v>
      </c>
      <c r="AL239" s="45">
        <f>IF(OR(AF$231=0,AF$231=""),0,AJ239*INDEX(Listes!$K$15:$P$26,MATCH(AF$231,Listes!$K$15:$K$26,0),MATCH(AL$232,Listes!$K$15:$P$15,0))*INDEX(Listes!$K$29:$O$31,MATCH(AG$231,Listes!$K$29:$K$31,0),MATCH(AL$232,Listes!$K$29:$O$29,0)))</f>
        <v>0</v>
      </c>
      <c r="AM239" s="45">
        <f>IF(OR(AF$231=0,AF$231=""),0,AJ239*INDEX(Listes!$K$15:$P$26,MATCH(AF$231,Listes!$K$15:$K$26,0),MATCH(AM$232,Listes!$K$15:$P$15,0))*INDEX(Listes!$K$29:$O$31,MATCH(AG$231,Listes!$K$29:$K$31,0),MATCH(AM$232,Listes!$K$29:$O$29,0)))</f>
        <v>0</v>
      </c>
      <c r="AO239" s="463"/>
      <c r="AP239" s="3">
        <v>7</v>
      </c>
      <c r="AQ239" s="11">
        <f t="shared" si="116"/>
        <v>0</v>
      </c>
      <c r="AR239" s="11">
        <f t="shared" si="116"/>
        <v>0</v>
      </c>
      <c r="AS239" s="11">
        <f t="shared" si="116"/>
        <v>0</v>
      </c>
      <c r="AT239" s="11">
        <f>AQ239*VLOOKUP(AQ$232,Tableau17[],4,FALSE)+AR239*VLOOKUP(AR$232,Tableau17[],4,FALSE)+AS239*VLOOKUP(AS$232,Tableau17[],4,FALSE)</f>
        <v>0</v>
      </c>
      <c r="AU239" s="11">
        <f>AQ239*VLOOKUP(AQ$232,Tableau17[],3,FALSE)+AR239*VLOOKUP(AR$232,Tableau17[],3,FALSE)+AS239*VLOOKUP(AS$232,Tableau17[],3,FALSE)</f>
        <v>0</v>
      </c>
    </row>
    <row r="240" spans="1:52" x14ac:dyDescent="0.2">
      <c r="A240" s="463"/>
      <c r="B240" s="3">
        <v>8</v>
      </c>
      <c r="C240" s="45">
        <f t="shared" si="117"/>
        <v>0</v>
      </c>
      <c r="D240" s="45">
        <f t="shared" si="105"/>
        <v>0</v>
      </c>
      <c r="E240" s="45">
        <f>IF(OR(D240=0,D240="",B$116=0),0,D240*INDEX(Listes!$K$1:$Q$12,MATCH(B$116,Listes!$K$1:$K$12,0),MATCH(E$117,Listes!$K$1:$Q$1,0)))</f>
        <v>0</v>
      </c>
      <c r="F240" s="45">
        <f t="shared" si="106"/>
        <v>0</v>
      </c>
      <c r="G240" s="45">
        <f>IF(OR(B$231=0,B$231=""),0,F240*INDEX(Listes!$K$15:$P$26,MATCH(B$231,Listes!$K$15:$K$26,0),MATCH(G$232,Listes!$K$15:$P$15,0))*INDEX(Listes!$K$29:$O$31,MATCH(C$231,Listes!$K$29:$K$31,0),MATCH(G$232,Listes!$K$29:$O$29,0)))</f>
        <v>0</v>
      </c>
      <c r="H240" s="45">
        <f>IF(OR(B$231=0,B$231=""),0,F240*INDEX(Listes!$K$15:$P$26,MATCH(B$231,Listes!$K$15:$K$26,0),MATCH(H$232,Listes!$K$15:$P$15,0))*INDEX(Listes!$K$29:$O$31,MATCH(C$231,Listes!$K$29:$K$31,0),MATCH(H$232,Listes!$K$29:$O$29,0)))</f>
        <v>0</v>
      </c>
      <c r="I240" s="45">
        <f>IF(OR(B$231=0,B$231=""),0,F240*INDEX(Listes!$K$15:$P$26,MATCH(B$231,Listes!$K$15:$K$26,0),MATCH(I$232,Listes!$K$15:$P$15,0))*INDEX(Listes!$K$29:$O$31,MATCH(C$231,Listes!$K$29:$K$31,0),MATCH(I$232,Listes!$K$29:$O$29,0)))</f>
        <v>0</v>
      </c>
      <c r="K240" s="463"/>
      <c r="L240" s="3">
        <v>8</v>
      </c>
      <c r="M240" s="45">
        <f t="shared" si="107"/>
        <v>0</v>
      </c>
      <c r="N240" s="45">
        <f t="shared" si="108"/>
        <v>0</v>
      </c>
      <c r="O240" s="45">
        <f>IF(OR(N240=0,N240="",L$116=0),0,N240*INDEX(Listes!$K$1:$Q$12,MATCH(L$116,Listes!$K$1:$K$12,0),MATCH(O$117,Listes!$K$1:$Q$1,0)))</f>
        <v>0</v>
      </c>
      <c r="P240" s="45">
        <f t="shared" si="109"/>
        <v>0</v>
      </c>
      <c r="Q240" s="45">
        <f>IF(OR(L$231=0,L$231=""),0,P240*INDEX(Listes!$K$15:$P$26,MATCH(L$231,Listes!$K$15:$K$26,0),MATCH(Q$232,Listes!$K$15:$P$15,0))*INDEX(Listes!$K$29:$O$31,MATCH(M$231,Listes!$K$29:$K$31,0),MATCH(Q$232,Listes!$K$29:$O$29,0)))</f>
        <v>0</v>
      </c>
      <c r="R240" s="45">
        <f>IF(OR(L$231=0,L$231=""),0,P240*INDEX(Listes!$K$15:$P$26,MATCH(L$231,Listes!$K$15:$K$26,0),MATCH(R$232,Listes!$K$15:$P$15,0))*INDEX(Listes!$K$29:$O$31,MATCH(M$231,Listes!$K$29:$K$31,0),MATCH(R$232,Listes!$K$29:$O$29,0)))</f>
        <v>0</v>
      </c>
      <c r="S240" s="45">
        <f>IF(OR(L$231=0,L$231=""),0,P240*INDEX(Listes!$K$15:$P$26,MATCH(L$231,Listes!$K$15:$K$26,0),MATCH(S$232,Listes!$K$15:$P$15,0))*INDEX(Listes!$K$29:$O$31,MATCH(M$231,Listes!$K$29:$K$31,0),MATCH(S$232,Listes!$K$29:$O$29,0)))</f>
        <v>0</v>
      </c>
      <c r="U240" s="463"/>
      <c r="V240" s="3">
        <v>8</v>
      </c>
      <c r="W240" s="45">
        <f t="shared" si="110"/>
        <v>0</v>
      </c>
      <c r="X240" s="45">
        <f t="shared" si="111"/>
        <v>0</v>
      </c>
      <c r="Y240" s="45">
        <f>IF(OR(X240=0,X240="",V$116=0),0,X240*INDEX(Listes!$K$1:$Q$12,MATCH(V$116,Listes!$K$1:$K$12,0),MATCH(Y$117,Listes!$K$1:$Q$1,0)))</f>
        <v>0</v>
      </c>
      <c r="Z240" s="45">
        <f t="shared" si="112"/>
        <v>0</v>
      </c>
      <c r="AA240" s="45">
        <f>IF(OR(V$231=0,V$231=""),0,Z240*INDEX(Listes!$K$15:$P$26,MATCH(V$231,Listes!$K$15:$K$26,0),MATCH(AA$232,Listes!$K$15:$P$15,0))*INDEX(Listes!$K$29:$O$31,MATCH(W$231,Listes!$K$29:$K$31,0),MATCH(AA$232,Listes!$K$29:$O$29,0)))</f>
        <v>0</v>
      </c>
      <c r="AB240" s="45">
        <f>IF(OR(V$231=0,V$231=""),0,Z240*INDEX(Listes!$K$15:$P$26,MATCH(V$231,Listes!$K$15:$K$26,0),MATCH(AB$232,Listes!$K$15:$P$15,0))*INDEX(Listes!$K$29:$O$31,MATCH(W$231,Listes!$K$29:$K$31,0),MATCH(AB$232,Listes!$K$29:$O$29,0)))</f>
        <v>0</v>
      </c>
      <c r="AC240" s="45">
        <f>IF(OR(V$231=0,V$231=""),0,Z240*INDEX(Listes!$K$15:$P$26,MATCH(V$231,Listes!$K$15:$K$26,0),MATCH(AC$232,Listes!$K$15:$P$15,0))*INDEX(Listes!$K$29:$O$31,MATCH(W$231,Listes!$K$29:$K$31,0),MATCH(AC$232,Listes!$K$29:$O$29,0)))</f>
        <v>0</v>
      </c>
      <c r="AE240" s="463"/>
      <c r="AF240" s="3">
        <v>8</v>
      </c>
      <c r="AG240" s="45">
        <f t="shared" si="113"/>
        <v>0</v>
      </c>
      <c r="AH240" s="45">
        <f t="shared" si="114"/>
        <v>0</v>
      </c>
      <c r="AI240" s="45">
        <f>IF(OR(AH240=0,AH240="",AF$116=0),0,AH240*INDEX(Listes!$K$1:$Q$12,MATCH(AF$116,Listes!$K$1:$K$12,0),MATCH(AI$117,Listes!$K$1:$Q$1,0)))</f>
        <v>0</v>
      </c>
      <c r="AJ240" s="45">
        <f t="shared" si="115"/>
        <v>0</v>
      </c>
      <c r="AK240" s="45">
        <f>IF(OR(AF$231=0,AF$231=""),0,AJ240*INDEX(Listes!$K$15:$P$26,MATCH(AF$231,Listes!$K$15:$K$26,0),MATCH(AK$232,Listes!$K$15:$P$15,0))*INDEX(Listes!$K$29:$O$31,MATCH(AG$231,Listes!$K$29:$K$31,0),MATCH(AK$232,Listes!$K$29:$O$29,0)))</f>
        <v>0</v>
      </c>
      <c r="AL240" s="45">
        <f>IF(OR(AF$231=0,AF$231=""),0,AJ240*INDEX(Listes!$K$15:$P$26,MATCH(AF$231,Listes!$K$15:$K$26,0),MATCH(AL$232,Listes!$K$15:$P$15,0))*INDEX(Listes!$K$29:$O$31,MATCH(AG$231,Listes!$K$29:$K$31,0),MATCH(AL$232,Listes!$K$29:$O$29,0)))</f>
        <v>0</v>
      </c>
      <c r="AM240" s="45">
        <f>IF(OR(AF$231=0,AF$231=""),0,AJ240*INDEX(Listes!$K$15:$P$26,MATCH(AF$231,Listes!$K$15:$K$26,0),MATCH(AM$232,Listes!$K$15:$P$15,0))*INDEX(Listes!$K$29:$O$31,MATCH(AG$231,Listes!$K$29:$K$31,0),MATCH(AM$232,Listes!$K$29:$O$29,0)))</f>
        <v>0</v>
      </c>
      <c r="AO240" s="463"/>
      <c r="AP240" s="3">
        <v>8</v>
      </c>
      <c r="AQ240" s="11">
        <f t="shared" si="116"/>
        <v>0</v>
      </c>
      <c r="AR240" s="11">
        <f t="shared" si="116"/>
        <v>0</v>
      </c>
      <c r="AS240" s="11">
        <f t="shared" si="116"/>
        <v>0</v>
      </c>
      <c r="AT240" s="11">
        <f>AQ240*VLOOKUP(AQ$232,Tableau17[],4,FALSE)+AR240*VLOOKUP(AR$232,Tableau17[],4,FALSE)+AS240*VLOOKUP(AS$232,Tableau17[],4,FALSE)</f>
        <v>0</v>
      </c>
      <c r="AU240" s="11">
        <f>AQ240*VLOOKUP(AQ$232,Tableau17[],3,FALSE)+AR240*VLOOKUP(AR$232,Tableau17[],3,FALSE)+AS240*VLOOKUP(AS$232,Tableau17[],3,FALSE)</f>
        <v>0</v>
      </c>
    </row>
    <row r="241" spans="1:52" x14ac:dyDescent="0.2">
      <c r="A241" s="463"/>
      <c r="B241" s="3">
        <v>9</v>
      </c>
      <c r="C241" s="45">
        <f t="shared" si="117"/>
        <v>0</v>
      </c>
      <c r="D241" s="45">
        <f t="shared" si="105"/>
        <v>0</v>
      </c>
      <c r="E241" s="45">
        <f>IF(OR(D241=0,D241="",B$116=0),0,D241*INDEX(Listes!$K$1:$Q$12,MATCH(B$116,Listes!$K$1:$K$12,0),MATCH(E$117,Listes!$K$1:$Q$1,0)))</f>
        <v>0</v>
      </c>
      <c r="F241" s="45">
        <f t="shared" si="106"/>
        <v>0</v>
      </c>
      <c r="G241" s="45">
        <f>IF(OR(B$231=0,B$231=""),0,F241*INDEX(Listes!$K$15:$P$26,MATCH(B$231,Listes!$K$15:$K$26,0),MATCH(G$232,Listes!$K$15:$P$15,0))*INDEX(Listes!$K$29:$O$31,MATCH(C$231,Listes!$K$29:$K$31,0),MATCH(G$232,Listes!$K$29:$O$29,0)))</f>
        <v>0</v>
      </c>
      <c r="H241" s="45">
        <f>IF(OR(B$231=0,B$231=""),0,F241*INDEX(Listes!$K$15:$P$26,MATCH(B$231,Listes!$K$15:$K$26,0),MATCH(H$232,Listes!$K$15:$P$15,0))*INDEX(Listes!$K$29:$O$31,MATCH(C$231,Listes!$K$29:$K$31,0),MATCH(H$232,Listes!$K$29:$O$29,0)))</f>
        <v>0</v>
      </c>
      <c r="I241" s="45">
        <f>IF(OR(B$231=0,B$231=""),0,F241*INDEX(Listes!$K$15:$P$26,MATCH(B$231,Listes!$K$15:$K$26,0),MATCH(I$232,Listes!$K$15:$P$15,0))*INDEX(Listes!$K$29:$O$31,MATCH(C$231,Listes!$K$29:$K$31,0),MATCH(I$232,Listes!$K$29:$O$29,0)))</f>
        <v>0</v>
      </c>
      <c r="K241" s="463"/>
      <c r="L241" s="3">
        <v>9</v>
      </c>
      <c r="M241" s="45">
        <f t="shared" si="107"/>
        <v>0</v>
      </c>
      <c r="N241" s="45">
        <f t="shared" si="108"/>
        <v>0</v>
      </c>
      <c r="O241" s="45">
        <f>IF(OR(N241=0,N241="",L$116=0),0,N241*INDEX(Listes!$K$1:$Q$12,MATCH(L$116,Listes!$K$1:$K$12,0),MATCH(O$117,Listes!$K$1:$Q$1,0)))</f>
        <v>0</v>
      </c>
      <c r="P241" s="45">
        <f t="shared" si="109"/>
        <v>0</v>
      </c>
      <c r="Q241" s="45">
        <f>IF(OR(L$231=0,L$231=""),0,P241*INDEX(Listes!$K$15:$P$26,MATCH(L$231,Listes!$K$15:$K$26,0),MATCH(Q$232,Listes!$K$15:$P$15,0))*INDEX(Listes!$K$29:$O$31,MATCH(M$231,Listes!$K$29:$K$31,0),MATCH(Q$232,Listes!$K$29:$O$29,0)))</f>
        <v>0</v>
      </c>
      <c r="R241" s="45">
        <f>IF(OR(L$231=0,L$231=""),0,P241*INDEX(Listes!$K$15:$P$26,MATCH(L$231,Listes!$K$15:$K$26,0),MATCH(R$232,Listes!$K$15:$P$15,0))*INDEX(Listes!$K$29:$O$31,MATCH(M$231,Listes!$K$29:$K$31,0),MATCH(R$232,Listes!$K$29:$O$29,0)))</f>
        <v>0</v>
      </c>
      <c r="S241" s="45">
        <f>IF(OR(L$231=0,L$231=""),0,P241*INDEX(Listes!$K$15:$P$26,MATCH(L$231,Listes!$K$15:$K$26,0),MATCH(S$232,Listes!$K$15:$P$15,0))*INDEX(Listes!$K$29:$O$31,MATCH(M$231,Listes!$K$29:$K$31,0),MATCH(S$232,Listes!$K$29:$O$29,0)))</f>
        <v>0</v>
      </c>
      <c r="U241" s="463"/>
      <c r="V241" s="3">
        <v>9</v>
      </c>
      <c r="W241" s="45">
        <f t="shared" si="110"/>
        <v>0</v>
      </c>
      <c r="X241" s="45">
        <f t="shared" si="111"/>
        <v>0</v>
      </c>
      <c r="Y241" s="45">
        <f>IF(OR(X241=0,X241="",V$116=0),0,X241*INDEX(Listes!$K$1:$Q$12,MATCH(V$116,Listes!$K$1:$K$12,0),MATCH(Y$117,Listes!$K$1:$Q$1,0)))</f>
        <v>0</v>
      </c>
      <c r="Z241" s="45">
        <f t="shared" si="112"/>
        <v>0</v>
      </c>
      <c r="AA241" s="45">
        <f>IF(OR(V$231=0,V$231=""),0,Z241*INDEX(Listes!$K$15:$P$26,MATCH(V$231,Listes!$K$15:$K$26,0),MATCH(AA$232,Listes!$K$15:$P$15,0))*INDEX(Listes!$K$29:$O$31,MATCH(W$231,Listes!$K$29:$K$31,0),MATCH(AA$232,Listes!$K$29:$O$29,0)))</f>
        <v>0</v>
      </c>
      <c r="AB241" s="45">
        <f>IF(OR(V$231=0,V$231=""),0,Z241*INDEX(Listes!$K$15:$P$26,MATCH(V$231,Listes!$K$15:$K$26,0),MATCH(AB$232,Listes!$K$15:$P$15,0))*INDEX(Listes!$K$29:$O$31,MATCH(W$231,Listes!$K$29:$K$31,0),MATCH(AB$232,Listes!$K$29:$O$29,0)))</f>
        <v>0</v>
      </c>
      <c r="AC241" s="45">
        <f>IF(OR(V$231=0,V$231=""),0,Z241*INDEX(Listes!$K$15:$P$26,MATCH(V$231,Listes!$K$15:$K$26,0),MATCH(AC$232,Listes!$K$15:$P$15,0))*INDEX(Listes!$K$29:$O$31,MATCH(W$231,Listes!$K$29:$K$31,0),MATCH(AC$232,Listes!$K$29:$O$29,0)))</f>
        <v>0</v>
      </c>
      <c r="AE241" s="463"/>
      <c r="AF241" s="3">
        <v>9</v>
      </c>
      <c r="AG241" s="45">
        <f t="shared" si="113"/>
        <v>0</v>
      </c>
      <c r="AH241" s="45">
        <f t="shared" si="114"/>
        <v>0</v>
      </c>
      <c r="AI241" s="45">
        <f>IF(OR(AH241=0,AH241="",AF$116=0),0,AH241*INDEX(Listes!$K$1:$Q$12,MATCH(AF$116,Listes!$K$1:$K$12,0),MATCH(AI$117,Listes!$K$1:$Q$1,0)))</f>
        <v>0</v>
      </c>
      <c r="AJ241" s="45">
        <f t="shared" si="115"/>
        <v>0</v>
      </c>
      <c r="AK241" s="45">
        <f>IF(OR(AF$231=0,AF$231=""),0,AJ241*INDEX(Listes!$K$15:$P$26,MATCH(AF$231,Listes!$K$15:$K$26,0),MATCH(AK$232,Listes!$K$15:$P$15,0))*INDEX(Listes!$K$29:$O$31,MATCH(AG$231,Listes!$K$29:$K$31,0),MATCH(AK$232,Listes!$K$29:$O$29,0)))</f>
        <v>0</v>
      </c>
      <c r="AL241" s="45">
        <f>IF(OR(AF$231=0,AF$231=""),0,AJ241*INDEX(Listes!$K$15:$P$26,MATCH(AF$231,Listes!$K$15:$K$26,0),MATCH(AL$232,Listes!$K$15:$P$15,0))*INDEX(Listes!$K$29:$O$31,MATCH(AG$231,Listes!$K$29:$K$31,0),MATCH(AL$232,Listes!$K$29:$O$29,0)))</f>
        <v>0</v>
      </c>
      <c r="AM241" s="45">
        <f>IF(OR(AF$231=0,AF$231=""),0,AJ241*INDEX(Listes!$K$15:$P$26,MATCH(AF$231,Listes!$K$15:$K$26,0),MATCH(AM$232,Listes!$K$15:$P$15,0))*INDEX(Listes!$K$29:$O$31,MATCH(AG$231,Listes!$K$29:$K$31,0),MATCH(AM$232,Listes!$K$29:$O$29,0)))</f>
        <v>0</v>
      </c>
      <c r="AO241" s="463"/>
      <c r="AP241" s="3">
        <v>9</v>
      </c>
      <c r="AQ241" s="11">
        <f t="shared" si="116"/>
        <v>0</v>
      </c>
      <c r="AR241" s="11">
        <f t="shared" si="116"/>
        <v>0</v>
      </c>
      <c r="AS241" s="11">
        <f t="shared" si="116"/>
        <v>0</v>
      </c>
      <c r="AT241" s="11">
        <f>AQ241*VLOOKUP(AQ$232,Tableau17[],4,FALSE)+AR241*VLOOKUP(AR$232,Tableau17[],4,FALSE)+AS241*VLOOKUP(AS$232,Tableau17[],4,FALSE)</f>
        <v>0</v>
      </c>
      <c r="AU241" s="11">
        <f>AQ241*VLOOKUP(AQ$232,Tableau17[],3,FALSE)+AR241*VLOOKUP(AR$232,Tableau17[],3,FALSE)+AS241*VLOOKUP(AS$232,Tableau17[],3,FALSE)</f>
        <v>0</v>
      </c>
    </row>
    <row r="242" spans="1:52" x14ac:dyDescent="0.2">
      <c r="A242" s="463"/>
      <c r="B242" s="3">
        <v>10</v>
      </c>
      <c r="C242" s="45">
        <f t="shared" si="117"/>
        <v>0</v>
      </c>
      <c r="D242" s="45">
        <f t="shared" si="105"/>
        <v>0</v>
      </c>
      <c r="E242" s="45">
        <f>IF(OR(D242=0,D242="",B$116=0),0,D242*INDEX(Listes!$K$1:$Q$12,MATCH(B$116,Listes!$K$1:$K$12,0),MATCH(E$117,Listes!$K$1:$Q$1,0)))</f>
        <v>0</v>
      </c>
      <c r="F242" s="45">
        <f t="shared" si="106"/>
        <v>0</v>
      </c>
      <c r="G242" s="45">
        <f>IF(OR(B$231=0,B$231=""),0,F242*INDEX(Listes!$K$15:$P$26,MATCH(B$231,Listes!$K$15:$K$26,0),MATCH(G$232,Listes!$K$15:$P$15,0))*INDEX(Listes!$K$29:$O$31,MATCH(C$231,Listes!$K$29:$K$31,0),MATCH(G$232,Listes!$K$29:$O$29,0)))</f>
        <v>0</v>
      </c>
      <c r="H242" s="45">
        <f>IF(OR(B$231=0,B$231=""),0,F242*INDEX(Listes!$K$15:$P$26,MATCH(B$231,Listes!$K$15:$K$26,0),MATCH(H$232,Listes!$K$15:$P$15,0))*INDEX(Listes!$K$29:$O$31,MATCH(C$231,Listes!$K$29:$K$31,0),MATCH(H$232,Listes!$K$29:$O$29,0)))</f>
        <v>0</v>
      </c>
      <c r="I242" s="45">
        <f>IF(OR(B$231=0,B$231=""),0,F242*INDEX(Listes!$K$15:$P$26,MATCH(B$231,Listes!$K$15:$K$26,0),MATCH(I$232,Listes!$K$15:$P$15,0))*INDEX(Listes!$K$29:$O$31,MATCH(C$231,Listes!$K$29:$K$31,0),MATCH(I$232,Listes!$K$29:$O$29,0)))</f>
        <v>0</v>
      </c>
      <c r="K242" s="463"/>
      <c r="L242" s="3">
        <v>10</v>
      </c>
      <c r="M242" s="45">
        <f t="shared" si="107"/>
        <v>0</v>
      </c>
      <c r="N242" s="45">
        <f t="shared" si="108"/>
        <v>0</v>
      </c>
      <c r="O242" s="45">
        <f>IF(OR(N242=0,N242="",L$116=0),0,N242*INDEX(Listes!$K$1:$Q$12,MATCH(L$116,Listes!$K$1:$K$12,0),MATCH(O$117,Listes!$K$1:$Q$1,0)))</f>
        <v>0</v>
      </c>
      <c r="P242" s="45">
        <f t="shared" si="109"/>
        <v>0</v>
      </c>
      <c r="Q242" s="45">
        <f>IF(OR(L$231=0,L$231=""),0,P242*INDEX(Listes!$K$15:$P$26,MATCH(L$231,Listes!$K$15:$K$26,0),MATCH(Q$232,Listes!$K$15:$P$15,0))*INDEX(Listes!$K$29:$O$31,MATCH(M$231,Listes!$K$29:$K$31,0),MATCH(Q$232,Listes!$K$29:$O$29,0)))</f>
        <v>0</v>
      </c>
      <c r="R242" s="45">
        <f>IF(OR(L$231=0,L$231=""),0,P242*INDEX(Listes!$K$15:$P$26,MATCH(L$231,Listes!$K$15:$K$26,0),MATCH(R$232,Listes!$K$15:$P$15,0))*INDEX(Listes!$K$29:$O$31,MATCH(M$231,Listes!$K$29:$K$31,0),MATCH(R$232,Listes!$K$29:$O$29,0)))</f>
        <v>0</v>
      </c>
      <c r="S242" s="45">
        <f>IF(OR(L$231=0,L$231=""),0,P242*INDEX(Listes!$K$15:$P$26,MATCH(L$231,Listes!$K$15:$K$26,0),MATCH(S$232,Listes!$K$15:$P$15,0))*INDEX(Listes!$K$29:$O$31,MATCH(M$231,Listes!$K$29:$K$31,0),MATCH(S$232,Listes!$K$29:$O$29,0)))</f>
        <v>0</v>
      </c>
      <c r="U242" s="463"/>
      <c r="V242" s="3">
        <v>10</v>
      </c>
      <c r="W242" s="45">
        <f t="shared" si="110"/>
        <v>0</v>
      </c>
      <c r="X242" s="45">
        <f t="shared" si="111"/>
        <v>0</v>
      </c>
      <c r="Y242" s="45">
        <f>IF(OR(X242=0,X242="",V$116=0),0,X242*INDEX(Listes!$K$1:$Q$12,MATCH(V$116,Listes!$K$1:$K$12,0),MATCH(Y$117,Listes!$K$1:$Q$1,0)))</f>
        <v>0</v>
      </c>
      <c r="Z242" s="45">
        <f t="shared" si="112"/>
        <v>0</v>
      </c>
      <c r="AA242" s="45">
        <f>IF(OR(V$231=0,V$231=""),0,Z242*INDEX(Listes!$K$15:$P$26,MATCH(V$231,Listes!$K$15:$K$26,0),MATCH(AA$232,Listes!$K$15:$P$15,0))*INDEX(Listes!$K$29:$O$31,MATCH(W$231,Listes!$K$29:$K$31,0),MATCH(AA$232,Listes!$K$29:$O$29,0)))</f>
        <v>0</v>
      </c>
      <c r="AB242" s="45">
        <f>IF(OR(V$231=0,V$231=""),0,Z242*INDEX(Listes!$K$15:$P$26,MATCH(V$231,Listes!$K$15:$K$26,0),MATCH(AB$232,Listes!$K$15:$P$15,0))*INDEX(Listes!$K$29:$O$31,MATCH(W$231,Listes!$K$29:$K$31,0),MATCH(AB$232,Listes!$K$29:$O$29,0)))</f>
        <v>0</v>
      </c>
      <c r="AC242" s="45">
        <f>IF(OR(V$231=0,V$231=""),0,Z242*INDEX(Listes!$K$15:$P$26,MATCH(V$231,Listes!$K$15:$K$26,0),MATCH(AC$232,Listes!$K$15:$P$15,0))*INDEX(Listes!$K$29:$O$31,MATCH(W$231,Listes!$K$29:$K$31,0),MATCH(AC$232,Listes!$K$29:$O$29,0)))</f>
        <v>0</v>
      </c>
      <c r="AE242" s="463"/>
      <c r="AF242" s="3">
        <v>10</v>
      </c>
      <c r="AG242" s="45">
        <f t="shared" si="113"/>
        <v>0</v>
      </c>
      <c r="AH242" s="45">
        <f t="shared" si="114"/>
        <v>0</v>
      </c>
      <c r="AI242" s="45">
        <f>IF(OR(AH242=0,AH242="",AF$116=0),0,AH242*INDEX(Listes!$K$1:$Q$12,MATCH(AF$116,Listes!$K$1:$K$12,0),MATCH(AI$117,Listes!$K$1:$Q$1,0)))</f>
        <v>0</v>
      </c>
      <c r="AJ242" s="45">
        <f t="shared" si="115"/>
        <v>0</v>
      </c>
      <c r="AK242" s="45">
        <f>IF(OR(AF$231=0,AF$231=""),0,AJ242*INDEX(Listes!$K$15:$P$26,MATCH(AF$231,Listes!$K$15:$K$26,0),MATCH(AK$232,Listes!$K$15:$P$15,0))*INDEX(Listes!$K$29:$O$31,MATCH(AG$231,Listes!$K$29:$K$31,0),MATCH(AK$232,Listes!$K$29:$O$29,0)))</f>
        <v>0</v>
      </c>
      <c r="AL242" s="45">
        <f>IF(OR(AF$231=0,AF$231=""),0,AJ242*INDEX(Listes!$K$15:$P$26,MATCH(AF$231,Listes!$K$15:$K$26,0),MATCH(AL$232,Listes!$K$15:$P$15,0))*INDEX(Listes!$K$29:$O$31,MATCH(AG$231,Listes!$K$29:$K$31,0),MATCH(AL$232,Listes!$K$29:$O$29,0)))</f>
        <v>0</v>
      </c>
      <c r="AM242" s="45">
        <f>IF(OR(AF$231=0,AF$231=""),0,AJ242*INDEX(Listes!$K$15:$P$26,MATCH(AF$231,Listes!$K$15:$K$26,0),MATCH(AM$232,Listes!$K$15:$P$15,0))*INDEX(Listes!$K$29:$O$31,MATCH(AG$231,Listes!$K$29:$K$31,0),MATCH(AM$232,Listes!$K$29:$O$29,0)))</f>
        <v>0</v>
      </c>
      <c r="AO242" s="463"/>
      <c r="AP242" s="3">
        <v>10</v>
      </c>
      <c r="AQ242" s="11">
        <f t="shared" si="116"/>
        <v>0</v>
      </c>
      <c r="AR242" s="11">
        <f t="shared" si="116"/>
        <v>0</v>
      </c>
      <c r="AS242" s="11">
        <f t="shared" si="116"/>
        <v>0</v>
      </c>
      <c r="AT242" s="11">
        <f>AQ242*VLOOKUP(AQ$232,Tableau17[],4,FALSE)+AR242*VLOOKUP(AR$232,Tableau17[],4,FALSE)+AS242*VLOOKUP(AS$232,Tableau17[],4,FALSE)</f>
        <v>0</v>
      </c>
      <c r="AU242" s="11">
        <f>AQ242*VLOOKUP(AQ$232,Tableau17[],3,FALSE)+AR242*VLOOKUP(AR$232,Tableau17[],3,FALSE)+AS242*VLOOKUP(AS$232,Tableau17[],3,FALSE)</f>
        <v>0</v>
      </c>
    </row>
    <row r="243" spans="1:52" x14ac:dyDescent="0.2">
      <c r="A243" s="463"/>
      <c r="B243" s="3">
        <v>11</v>
      </c>
      <c r="C243" s="45">
        <f t="shared" si="117"/>
        <v>0</v>
      </c>
      <c r="D243" s="45">
        <f t="shared" si="105"/>
        <v>0</v>
      </c>
      <c r="E243" s="45">
        <f>IF(OR(D243=0,D243="",B$116=0),0,D243*INDEX(Listes!$K$1:$Q$12,MATCH(B$116,Listes!$K$1:$K$12,0),MATCH(E$117,Listes!$K$1:$Q$1,0)))</f>
        <v>0</v>
      </c>
      <c r="F243" s="45">
        <f t="shared" si="106"/>
        <v>0</v>
      </c>
      <c r="G243" s="45">
        <f>IF(OR(B$231=0,B$231=""),0,F243*INDEX(Listes!$K$15:$P$26,MATCH(B$231,Listes!$K$15:$K$26,0),MATCH(G$232,Listes!$K$15:$P$15,0))*INDEX(Listes!$K$29:$O$31,MATCH(C$231,Listes!$K$29:$K$31,0),MATCH(G$232,Listes!$K$29:$O$29,0)))</f>
        <v>0</v>
      </c>
      <c r="H243" s="45">
        <f>IF(OR(B$231=0,B$231=""),0,F243*INDEX(Listes!$K$15:$P$26,MATCH(B$231,Listes!$K$15:$K$26,0),MATCH(H$232,Listes!$K$15:$P$15,0))*INDEX(Listes!$K$29:$O$31,MATCH(C$231,Listes!$K$29:$K$31,0),MATCH(H$232,Listes!$K$29:$O$29,0)))</f>
        <v>0</v>
      </c>
      <c r="I243" s="45">
        <f>IF(OR(B$231=0,B$231=""),0,F243*INDEX(Listes!$K$15:$P$26,MATCH(B$231,Listes!$K$15:$K$26,0),MATCH(I$232,Listes!$K$15:$P$15,0))*INDEX(Listes!$K$29:$O$31,MATCH(C$231,Listes!$K$29:$K$31,0),MATCH(I$232,Listes!$K$29:$O$29,0)))</f>
        <v>0</v>
      </c>
      <c r="K243" s="463"/>
      <c r="L243" s="3">
        <v>11</v>
      </c>
      <c r="M243" s="45">
        <f t="shared" si="107"/>
        <v>0</v>
      </c>
      <c r="N243" s="45">
        <f t="shared" si="108"/>
        <v>0</v>
      </c>
      <c r="O243" s="45">
        <f>IF(OR(N243=0,N243="",L$116=0),0,N243*INDEX(Listes!$K$1:$Q$12,MATCH(L$116,Listes!$K$1:$K$12,0),MATCH(O$117,Listes!$K$1:$Q$1,0)))</f>
        <v>0</v>
      </c>
      <c r="P243" s="45">
        <f t="shared" si="109"/>
        <v>0</v>
      </c>
      <c r="Q243" s="45">
        <f>IF(OR(L$231=0,L$231=""),0,P243*INDEX(Listes!$K$15:$P$26,MATCH(L$231,Listes!$K$15:$K$26,0),MATCH(Q$232,Listes!$K$15:$P$15,0))*INDEX(Listes!$K$29:$O$31,MATCH(M$231,Listes!$K$29:$K$31,0),MATCH(Q$232,Listes!$K$29:$O$29,0)))</f>
        <v>0</v>
      </c>
      <c r="R243" s="45">
        <f>IF(OR(L$231=0,L$231=""),0,P243*INDEX(Listes!$K$15:$P$26,MATCH(L$231,Listes!$K$15:$K$26,0),MATCH(R$232,Listes!$K$15:$P$15,0))*INDEX(Listes!$K$29:$O$31,MATCH(M$231,Listes!$K$29:$K$31,0),MATCH(R$232,Listes!$K$29:$O$29,0)))</f>
        <v>0</v>
      </c>
      <c r="S243" s="45">
        <f>IF(OR(L$231=0,L$231=""),0,P243*INDEX(Listes!$K$15:$P$26,MATCH(L$231,Listes!$K$15:$K$26,0),MATCH(S$232,Listes!$K$15:$P$15,0))*INDEX(Listes!$K$29:$O$31,MATCH(M$231,Listes!$K$29:$K$31,0),MATCH(S$232,Listes!$K$29:$O$29,0)))</f>
        <v>0</v>
      </c>
      <c r="U243" s="463"/>
      <c r="V243" s="3">
        <v>11</v>
      </c>
      <c r="W243" s="45">
        <f t="shared" si="110"/>
        <v>0</v>
      </c>
      <c r="X243" s="45">
        <f t="shared" si="111"/>
        <v>0</v>
      </c>
      <c r="Y243" s="45">
        <f>IF(OR(X243=0,X243="",V$116=0),0,X243*INDEX(Listes!$K$1:$Q$12,MATCH(V$116,Listes!$K$1:$K$12,0),MATCH(Y$117,Listes!$K$1:$Q$1,0)))</f>
        <v>0</v>
      </c>
      <c r="Z243" s="45">
        <f t="shared" si="112"/>
        <v>0</v>
      </c>
      <c r="AA243" s="45">
        <f>IF(OR(V$231=0,V$231=""),0,Z243*INDEX(Listes!$K$15:$P$26,MATCH(V$231,Listes!$K$15:$K$26,0),MATCH(AA$232,Listes!$K$15:$P$15,0))*INDEX(Listes!$K$29:$O$31,MATCH(W$231,Listes!$K$29:$K$31,0),MATCH(AA$232,Listes!$K$29:$O$29,0)))</f>
        <v>0</v>
      </c>
      <c r="AB243" s="45">
        <f>IF(OR(V$231=0,V$231=""),0,Z243*INDEX(Listes!$K$15:$P$26,MATCH(V$231,Listes!$K$15:$K$26,0),MATCH(AB$232,Listes!$K$15:$P$15,0))*INDEX(Listes!$K$29:$O$31,MATCH(W$231,Listes!$K$29:$K$31,0),MATCH(AB$232,Listes!$K$29:$O$29,0)))</f>
        <v>0</v>
      </c>
      <c r="AC243" s="45">
        <f>IF(OR(V$231=0,V$231=""),0,Z243*INDEX(Listes!$K$15:$P$26,MATCH(V$231,Listes!$K$15:$K$26,0),MATCH(AC$232,Listes!$K$15:$P$15,0))*INDEX(Listes!$K$29:$O$31,MATCH(W$231,Listes!$K$29:$K$31,0),MATCH(AC$232,Listes!$K$29:$O$29,0)))</f>
        <v>0</v>
      </c>
      <c r="AE243" s="463"/>
      <c r="AF243" s="3">
        <v>11</v>
      </c>
      <c r="AG243" s="45">
        <f t="shared" si="113"/>
        <v>0</v>
      </c>
      <c r="AH243" s="45">
        <f t="shared" si="114"/>
        <v>0</v>
      </c>
      <c r="AI243" s="45">
        <f>IF(OR(AH243=0,AH243="",AF$116=0),0,AH243*INDEX(Listes!$K$1:$Q$12,MATCH(AF$116,Listes!$K$1:$K$12,0),MATCH(AI$117,Listes!$K$1:$Q$1,0)))</f>
        <v>0</v>
      </c>
      <c r="AJ243" s="45">
        <f t="shared" si="115"/>
        <v>0</v>
      </c>
      <c r="AK243" s="45">
        <f>IF(OR(AF$231=0,AF$231=""),0,AJ243*INDEX(Listes!$K$15:$P$26,MATCH(AF$231,Listes!$K$15:$K$26,0),MATCH(AK$232,Listes!$K$15:$P$15,0))*INDEX(Listes!$K$29:$O$31,MATCH(AG$231,Listes!$K$29:$K$31,0),MATCH(AK$232,Listes!$K$29:$O$29,0)))</f>
        <v>0</v>
      </c>
      <c r="AL243" s="45">
        <f>IF(OR(AF$231=0,AF$231=""),0,AJ243*INDEX(Listes!$K$15:$P$26,MATCH(AF$231,Listes!$K$15:$K$26,0),MATCH(AL$232,Listes!$K$15:$P$15,0))*INDEX(Listes!$K$29:$O$31,MATCH(AG$231,Listes!$K$29:$K$31,0),MATCH(AL$232,Listes!$K$29:$O$29,0)))</f>
        <v>0</v>
      </c>
      <c r="AM243" s="45">
        <f>IF(OR(AF$231=0,AF$231=""),0,AJ243*INDEX(Listes!$K$15:$P$26,MATCH(AF$231,Listes!$K$15:$K$26,0),MATCH(AM$232,Listes!$K$15:$P$15,0))*INDEX(Listes!$K$29:$O$31,MATCH(AG$231,Listes!$K$29:$K$31,0),MATCH(AM$232,Listes!$K$29:$O$29,0)))</f>
        <v>0</v>
      </c>
      <c r="AO243" s="463"/>
      <c r="AP243" s="3">
        <v>11</v>
      </c>
      <c r="AQ243" s="11">
        <f t="shared" si="116"/>
        <v>0</v>
      </c>
      <c r="AR243" s="11">
        <f t="shared" si="116"/>
        <v>0</v>
      </c>
      <c r="AS243" s="11">
        <f t="shared" si="116"/>
        <v>0</v>
      </c>
      <c r="AT243" s="11">
        <f>AQ243*VLOOKUP(AQ$232,Tableau17[],4,FALSE)+AR243*VLOOKUP(AR$232,Tableau17[],4,FALSE)+AS243*VLOOKUP(AS$232,Tableau17[],4,FALSE)</f>
        <v>0</v>
      </c>
      <c r="AU243" s="11">
        <f>AQ243*VLOOKUP(AQ$232,Tableau17[],3,FALSE)+AR243*VLOOKUP(AR$232,Tableau17[],3,FALSE)+AS243*VLOOKUP(AS$232,Tableau17[],3,FALSE)</f>
        <v>0</v>
      </c>
    </row>
    <row r="244" spans="1:52" x14ac:dyDescent="0.2">
      <c r="A244" s="463"/>
      <c r="B244" s="3">
        <v>12</v>
      </c>
      <c r="C244" s="45">
        <f t="shared" si="117"/>
        <v>0</v>
      </c>
      <c r="D244" s="45">
        <f t="shared" si="105"/>
        <v>0</v>
      </c>
      <c r="E244" s="45">
        <f>IF(OR(D244=0,D244="",B$116=0),0,D244*INDEX(Listes!$K$1:$Q$12,MATCH(B$116,Listes!$K$1:$K$12,0),MATCH(E$117,Listes!$K$1:$Q$1,0)))</f>
        <v>0</v>
      </c>
      <c r="F244" s="45">
        <f t="shared" si="106"/>
        <v>0</v>
      </c>
      <c r="G244" s="45">
        <f>IF(OR(B$231=0,B$231=""),0,F244*INDEX(Listes!$K$15:$P$26,MATCH(B$231,Listes!$K$15:$K$26,0),MATCH(G$232,Listes!$K$15:$P$15,0))*INDEX(Listes!$K$29:$O$31,MATCH(C$231,Listes!$K$29:$K$31,0),MATCH(G$232,Listes!$K$29:$O$29,0)))</f>
        <v>0</v>
      </c>
      <c r="H244" s="45">
        <f>IF(OR(B$231=0,B$231=""),0,F244*INDEX(Listes!$K$15:$P$26,MATCH(B$231,Listes!$K$15:$K$26,0),MATCH(H$232,Listes!$K$15:$P$15,0))*INDEX(Listes!$K$29:$O$31,MATCH(C$231,Listes!$K$29:$K$31,0),MATCH(H$232,Listes!$K$29:$O$29,0)))</f>
        <v>0</v>
      </c>
      <c r="I244" s="45">
        <f>IF(OR(B$231=0,B$231=""),0,F244*INDEX(Listes!$K$15:$P$26,MATCH(B$231,Listes!$K$15:$K$26,0),MATCH(I$232,Listes!$K$15:$P$15,0))*INDEX(Listes!$K$29:$O$31,MATCH(C$231,Listes!$K$29:$K$31,0),MATCH(I$232,Listes!$K$29:$O$29,0)))</f>
        <v>0</v>
      </c>
      <c r="K244" s="463"/>
      <c r="L244" s="3">
        <v>12</v>
      </c>
      <c r="M244" s="45">
        <f t="shared" si="107"/>
        <v>0</v>
      </c>
      <c r="N244" s="45">
        <f t="shared" si="108"/>
        <v>0</v>
      </c>
      <c r="O244" s="45">
        <f>IF(OR(N244=0,N244="",L$116=0),0,N244*INDEX(Listes!$K$1:$Q$12,MATCH(L$116,Listes!$K$1:$K$12,0),MATCH(O$117,Listes!$K$1:$Q$1,0)))</f>
        <v>0</v>
      </c>
      <c r="P244" s="45">
        <f t="shared" si="109"/>
        <v>0</v>
      </c>
      <c r="Q244" s="45">
        <f>IF(OR(L$231=0,L$231=""),0,P244*INDEX(Listes!$K$15:$P$26,MATCH(L$231,Listes!$K$15:$K$26,0),MATCH(Q$232,Listes!$K$15:$P$15,0))*INDEX(Listes!$K$29:$O$31,MATCH(M$231,Listes!$K$29:$K$31,0),MATCH(Q$232,Listes!$K$29:$O$29,0)))</f>
        <v>0</v>
      </c>
      <c r="R244" s="45">
        <f>IF(OR(L$231=0,L$231=""),0,P244*INDEX(Listes!$K$15:$P$26,MATCH(L$231,Listes!$K$15:$K$26,0),MATCH(R$232,Listes!$K$15:$P$15,0))*INDEX(Listes!$K$29:$O$31,MATCH(M$231,Listes!$K$29:$K$31,0),MATCH(R$232,Listes!$K$29:$O$29,0)))</f>
        <v>0</v>
      </c>
      <c r="S244" s="45">
        <f>IF(OR(L$231=0,L$231=""),0,P244*INDEX(Listes!$K$15:$P$26,MATCH(L$231,Listes!$K$15:$K$26,0),MATCH(S$232,Listes!$K$15:$P$15,0))*INDEX(Listes!$K$29:$O$31,MATCH(M$231,Listes!$K$29:$K$31,0),MATCH(S$232,Listes!$K$29:$O$29,0)))</f>
        <v>0</v>
      </c>
      <c r="U244" s="463"/>
      <c r="V244" s="3">
        <v>12</v>
      </c>
      <c r="W244" s="45">
        <f t="shared" si="110"/>
        <v>0</v>
      </c>
      <c r="X244" s="45">
        <f t="shared" si="111"/>
        <v>0</v>
      </c>
      <c r="Y244" s="45">
        <f>IF(OR(X244=0,X244="",V$116=0),0,X244*INDEX(Listes!$K$1:$Q$12,MATCH(V$116,Listes!$K$1:$K$12,0),MATCH(Y$117,Listes!$K$1:$Q$1,0)))</f>
        <v>0</v>
      </c>
      <c r="Z244" s="45">
        <f t="shared" si="112"/>
        <v>0</v>
      </c>
      <c r="AA244" s="45">
        <f>IF(OR(V$231=0,V$231=""),0,Z244*INDEX(Listes!$K$15:$P$26,MATCH(V$231,Listes!$K$15:$K$26,0),MATCH(AA$232,Listes!$K$15:$P$15,0))*INDEX(Listes!$K$29:$O$31,MATCH(W$231,Listes!$K$29:$K$31,0),MATCH(AA$232,Listes!$K$29:$O$29,0)))</f>
        <v>0</v>
      </c>
      <c r="AB244" s="45">
        <f>IF(OR(V$231=0,V$231=""),0,Z244*INDEX(Listes!$K$15:$P$26,MATCH(V$231,Listes!$K$15:$K$26,0),MATCH(AB$232,Listes!$K$15:$P$15,0))*INDEX(Listes!$K$29:$O$31,MATCH(W$231,Listes!$K$29:$K$31,0),MATCH(AB$232,Listes!$K$29:$O$29,0)))</f>
        <v>0</v>
      </c>
      <c r="AC244" s="45">
        <f>IF(OR(V$231=0,V$231=""),0,Z244*INDEX(Listes!$K$15:$P$26,MATCH(V$231,Listes!$K$15:$K$26,0),MATCH(AC$232,Listes!$K$15:$P$15,0))*INDEX(Listes!$K$29:$O$31,MATCH(W$231,Listes!$K$29:$K$31,0),MATCH(AC$232,Listes!$K$29:$O$29,0)))</f>
        <v>0</v>
      </c>
      <c r="AE244" s="463"/>
      <c r="AF244" s="3">
        <v>12</v>
      </c>
      <c r="AG244" s="45">
        <f t="shared" si="113"/>
        <v>0</v>
      </c>
      <c r="AH244" s="45">
        <f t="shared" si="114"/>
        <v>0</v>
      </c>
      <c r="AI244" s="45">
        <f>IF(OR(AH244=0,AH244="",AF$116=0),0,AH244*INDEX(Listes!$K$1:$Q$12,MATCH(AF$116,Listes!$K$1:$K$12,0),MATCH(AI$117,Listes!$K$1:$Q$1,0)))</f>
        <v>0</v>
      </c>
      <c r="AJ244" s="45">
        <f t="shared" si="115"/>
        <v>0</v>
      </c>
      <c r="AK244" s="45">
        <f>IF(OR(AF$231=0,AF$231=""),0,AJ244*INDEX(Listes!$K$15:$P$26,MATCH(AF$231,Listes!$K$15:$K$26,0),MATCH(AK$232,Listes!$K$15:$P$15,0))*INDEX(Listes!$K$29:$O$31,MATCH(AG$231,Listes!$K$29:$K$31,0),MATCH(AK$232,Listes!$K$29:$O$29,0)))</f>
        <v>0</v>
      </c>
      <c r="AL244" s="45">
        <f>IF(OR(AF$231=0,AF$231=""),0,AJ244*INDEX(Listes!$K$15:$P$26,MATCH(AF$231,Listes!$K$15:$K$26,0),MATCH(AL$232,Listes!$K$15:$P$15,0))*INDEX(Listes!$K$29:$O$31,MATCH(AG$231,Listes!$K$29:$K$31,0),MATCH(AL$232,Listes!$K$29:$O$29,0)))</f>
        <v>0</v>
      </c>
      <c r="AM244" s="45">
        <f>IF(OR(AF$231=0,AF$231=""),0,AJ244*INDEX(Listes!$K$15:$P$26,MATCH(AF$231,Listes!$K$15:$K$26,0),MATCH(AM$232,Listes!$K$15:$P$15,0))*INDEX(Listes!$K$29:$O$31,MATCH(AG$231,Listes!$K$29:$K$31,0),MATCH(AM$232,Listes!$K$29:$O$29,0)))</f>
        <v>0</v>
      </c>
      <c r="AO244" s="463"/>
      <c r="AP244" s="3">
        <v>12</v>
      </c>
      <c r="AQ244" s="11">
        <f t="shared" si="116"/>
        <v>0</v>
      </c>
      <c r="AR244" s="11">
        <f t="shared" si="116"/>
        <v>0</v>
      </c>
      <c r="AS244" s="11">
        <f t="shared" si="116"/>
        <v>0</v>
      </c>
      <c r="AT244" s="11">
        <f>AQ244*VLOOKUP(AQ$232,Tableau17[],4,FALSE)+AR244*VLOOKUP(AR$232,Tableau17[],4,FALSE)+AS244*VLOOKUP(AS$232,Tableau17[],4,FALSE)</f>
        <v>0</v>
      </c>
      <c r="AU244" s="11">
        <f>AQ244*VLOOKUP(AQ$232,Tableau17[],3,FALSE)+AR244*VLOOKUP(AR$232,Tableau17[],3,FALSE)+AS244*VLOOKUP(AS$232,Tableau17[],3,FALSE)</f>
        <v>0</v>
      </c>
    </row>
    <row r="245" spans="1:52" x14ac:dyDescent="0.2">
      <c r="A245" s="463"/>
      <c r="B245" s="3">
        <v>13</v>
      </c>
      <c r="C245" s="45">
        <f t="shared" si="117"/>
        <v>0</v>
      </c>
      <c r="D245" s="45">
        <f t="shared" si="105"/>
        <v>0</v>
      </c>
      <c r="E245" s="45">
        <f>IF(OR(D245=0,D245="",B$116=0),0,D245*INDEX(Listes!$K$1:$Q$12,MATCH(B$116,Listes!$K$1:$K$12,0),MATCH(E$117,Listes!$K$1:$Q$1,0)))</f>
        <v>0</v>
      </c>
      <c r="F245" s="45">
        <f t="shared" si="106"/>
        <v>0</v>
      </c>
      <c r="G245" s="45">
        <f>IF(OR(B$231=0,B$231=""),0,F245*INDEX(Listes!$K$15:$P$26,MATCH(B$231,Listes!$K$15:$K$26,0),MATCH(G$232,Listes!$K$15:$P$15,0))*INDEX(Listes!$K$29:$O$31,MATCH(C$231,Listes!$K$29:$K$31,0),MATCH(G$232,Listes!$K$29:$O$29,0)))</f>
        <v>0</v>
      </c>
      <c r="H245" s="45">
        <f>IF(OR(B$231=0,B$231=""),0,F245*INDEX(Listes!$K$15:$P$26,MATCH(B$231,Listes!$K$15:$K$26,0),MATCH(H$232,Listes!$K$15:$P$15,0))*INDEX(Listes!$K$29:$O$31,MATCH(C$231,Listes!$K$29:$K$31,0),MATCH(H$232,Listes!$K$29:$O$29,0)))</f>
        <v>0</v>
      </c>
      <c r="I245" s="45">
        <f>IF(OR(B$231=0,B$231=""),0,F245*INDEX(Listes!$K$15:$P$26,MATCH(B$231,Listes!$K$15:$K$26,0),MATCH(I$232,Listes!$K$15:$P$15,0))*INDEX(Listes!$K$29:$O$31,MATCH(C$231,Listes!$K$29:$K$31,0),MATCH(I$232,Listes!$K$29:$O$29,0)))</f>
        <v>0</v>
      </c>
      <c r="K245" s="463"/>
      <c r="L245" s="3">
        <v>13</v>
      </c>
      <c r="M245" s="45">
        <f t="shared" si="107"/>
        <v>0</v>
      </c>
      <c r="N245" s="45">
        <f t="shared" si="108"/>
        <v>0</v>
      </c>
      <c r="O245" s="45">
        <f>IF(OR(N245=0,N245="",L$116=0),0,N245*INDEX(Listes!$K$1:$Q$12,MATCH(L$116,Listes!$K$1:$K$12,0),MATCH(O$117,Listes!$K$1:$Q$1,0)))</f>
        <v>0</v>
      </c>
      <c r="P245" s="45">
        <f t="shared" si="109"/>
        <v>0</v>
      </c>
      <c r="Q245" s="45">
        <f>IF(OR(L$231=0,L$231=""),0,P245*INDEX(Listes!$K$15:$P$26,MATCH(L$231,Listes!$K$15:$K$26,0),MATCH(Q$232,Listes!$K$15:$P$15,0))*INDEX(Listes!$K$29:$O$31,MATCH(M$231,Listes!$K$29:$K$31,0),MATCH(Q$232,Listes!$K$29:$O$29,0)))</f>
        <v>0</v>
      </c>
      <c r="R245" s="45">
        <f>IF(OR(L$231=0,L$231=""),0,P245*INDEX(Listes!$K$15:$P$26,MATCH(L$231,Listes!$K$15:$K$26,0),MATCH(R$232,Listes!$K$15:$P$15,0))*INDEX(Listes!$K$29:$O$31,MATCH(M$231,Listes!$K$29:$K$31,0),MATCH(R$232,Listes!$K$29:$O$29,0)))</f>
        <v>0</v>
      </c>
      <c r="S245" s="45">
        <f>IF(OR(L$231=0,L$231=""),0,P245*INDEX(Listes!$K$15:$P$26,MATCH(L$231,Listes!$K$15:$K$26,0),MATCH(S$232,Listes!$K$15:$P$15,0))*INDEX(Listes!$K$29:$O$31,MATCH(M$231,Listes!$K$29:$K$31,0),MATCH(S$232,Listes!$K$29:$O$29,0)))</f>
        <v>0</v>
      </c>
      <c r="U245" s="463"/>
      <c r="V245" s="3">
        <v>13</v>
      </c>
      <c r="W245" s="45">
        <f t="shared" si="110"/>
        <v>0</v>
      </c>
      <c r="X245" s="45">
        <f t="shared" si="111"/>
        <v>0</v>
      </c>
      <c r="Y245" s="45">
        <f>IF(OR(X245=0,X245="",V$116=0),0,X245*INDEX(Listes!$K$1:$Q$12,MATCH(V$116,Listes!$K$1:$K$12,0),MATCH(Y$117,Listes!$K$1:$Q$1,0)))</f>
        <v>0</v>
      </c>
      <c r="Z245" s="45">
        <f t="shared" si="112"/>
        <v>0</v>
      </c>
      <c r="AA245" s="45">
        <f>IF(OR(V$231=0,V$231=""),0,Z245*INDEX(Listes!$K$15:$P$26,MATCH(V$231,Listes!$K$15:$K$26,0),MATCH(AA$232,Listes!$K$15:$P$15,0))*INDEX(Listes!$K$29:$O$31,MATCH(W$231,Listes!$K$29:$K$31,0),MATCH(AA$232,Listes!$K$29:$O$29,0)))</f>
        <v>0</v>
      </c>
      <c r="AB245" s="45">
        <f>IF(OR(V$231=0,V$231=""),0,Z245*INDEX(Listes!$K$15:$P$26,MATCH(V$231,Listes!$K$15:$K$26,0),MATCH(AB$232,Listes!$K$15:$P$15,0))*INDEX(Listes!$K$29:$O$31,MATCH(W$231,Listes!$K$29:$K$31,0),MATCH(AB$232,Listes!$K$29:$O$29,0)))</f>
        <v>0</v>
      </c>
      <c r="AC245" s="45">
        <f>IF(OR(V$231=0,V$231=""),0,Z245*INDEX(Listes!$K$15:$P$26,MATCH(V$231,Listes!$K$15:$K$26,0),MATCH(AC$232,Listes!$K$15:$P$15,0))*INDEX(Listes!$K$29:$O$31,MATCH(W$231,Listes!$K$29:$K$31,0),MATCH(AC$232,Listes!$K$29:$O$29,0)))</f>
        <v>0</v>
      </c>
      <c r="AE245" s="463"/>
      <c r="AF245" s="3">
        <v>13</v>
      </c>
      <c r="AG245" s="45">
        <f t="shared" si="113"/>
        <v>0</v>
      </c>
      <c r="AH245" s="45">
        <f t="shared" si="114"/>
        <v>0</v>
      </c>
      <c r="AI245" s="45">
        <f>IF(OR(AH245=0,AH245="",AF$116=0),0,AH245*INDEX(Listes!$K$1:$Q$12,MATCH(AF$116,Listes!$K$1:$K$12,0),MATCH(AI$117,Listes!$K$1:$Q$1,0)))</f>
        <v>0</v>
      </c>
      <c r="AJ245" s="45">
        <f t="shared" si="115"/>
        <v>0</v>
      </c>
      <c r="AK245" s="45">
        <f>IF(OR(AF$231=0,AF$231=""),0,AJ245*INDEX(Listes!$K$15:$P$26,MATCH(AF$231,Listes!$K$15:$K$26,0),MATCH(AK$232,Listes!$K$15:$P$15,0))*INDEX(Listes!$K$29:$O$31,MATCH(AG$231,Listes!$K$29:$K$31,0),MATCH(AK$232,Listes!$K$29:$O$29,0)))</f>
        <v>0</v>
      </c>
      <c r="AL245" s="45">
        <f>IF(OR(AF$231=0,AF$231=""),0,AJ245*INDEX(Listes!$K$15:$P$26,MATCH(AF$231,Listes!$K$15:$K$26,0),MATCH(AL$232,Listes!$K$15:$P$15,0))*INDEX(Listes!$K$29:$O$31,MATCH(AG$231,Listes!$K$29:$K$31,0),MATCH(AL$232,Listes!$K$29:$O$29,0)))</f>
        <v>0</v>
      </c>
      <c r="AM245" s="45">
        <f>IF(OR(AF$231=0,AF$231=""),0,AJ245*INDEX(Listes!$K$15:$P$26,MATCH(AF$231,Listes!$K$15:$K$26,0),MATCH(AM$232,Listes!$K$15:$P$15,0))*INDEX(Listes!$K$29:$O$31,MATCH(AG$231,Listes!$K$29:$K$31,0),MATCH(AM$232,Listes!$K$29:$O$29,0)))</f>
        <v>0</v>
      </c>
      <c r="AO245" s="463"/>
      <c r="AP245" s="3">
        <v>13</v>
      </c>
      <c r="AQ245" s="11">
        <f t="shared" si="116"/>
        <v>0</v>
      </c>
      <c r="AR245" s="11">
        <f t="shared" si="116"/>
        <v>0</v>
      </c>
      <c r="AS245" s="11">
        <f t="shared" si="116"/>
        <v>0</v>
      </c>
      <c r="AT245" s="11">
        <f>AQ245*VLOOKUP(AQ$232,Tableau17[],4,FALSE)+AR245*VLOOKUP(AR$232,Tableau17[],4,FALSE)+AS245*VLOOKUP(AS$232,Tableau17[],4,FALSE)</f>
        <v>0</v>
      </c>
      <c r="AU245" s="11">
        <f>AQ245*VLOOKUP(AQ$232,Tableau17[],3,FALSE)+AR245*VLOOKUP(AR$232,Tableau17[],3,FALSE)+AS245*VLOOKUP(AS$232,Tableau17[],3,FALSE)</f>
        <v>0</v>
      </c>
    </row>
    <row r="246" spans="1:52" x14ac:dyDescent="0.2">
      <c r="A246" s="463"/>
      <c r="B246" s="3">
        <v>14</v>
      </c>
      <c r="C246" s="45">
        <f t="shared" si="117"/>
        <v>0</v>
      </c>
      <c r="D246" s="45">
        <f t="shared" si="105"/>
        <v>0</v>
      </c>
      <c r="E246" s="45">
        <f>IF(OR(D246=0,D246="",B$116=0),0,D246*INDEX(Listes!$K$1:$Q$12,MATCH(B$116,Listes!$K$1:$K$12,0),MATCH(E$117,Listes!$K$1:$Q$1,0)))</f>
        <v>0</v>
      </c>
      <c r="F246" s="45">
        <f t="shared" si="106"/>
        <v>0</v>
      </c>
      <c r="G246" s="45">
        <f>IF(OR(B$231=0,B$231=""),0,F246*INDEX(Listes!$K$15:$P$26,MATCH(B$231,Listes!$K$15:$K$26,0),MATCH(G$232,Listes!$K$15:$P$15,0))*INDEX(Listes!$K$29:$O$31,MATCH(C$231,Listes!$K$29:$K$31,0),MATCH(G$232,Listes!$K$29:$O$29,0)))</f>
        <v>0</v>
      </c>
      <c r="H246" s="45">
        <f>IF(OR(B$231=0,B$231=""),0,F246*INDEX(Listes!$K$15:$P$26,MATCH(B$231,Listes!$K$15:$K$26,0),MATCH(H$232,Listes!$K$15:$P$15,0))*INDEX(Listes!$K$29:$O$31,MATCH(C$231,Listes!$K$29:$K$31,0),MATCH(H$232,Listes!$K$29:$O$29,0)))</f>
        <v>0</v>
      </c>
      <c r="I246" s="45">
        <f>IF(OR(B$231=0,B$231=""),0,F246*INDEX(Listes!$K$15:$P$26,MATCH(B$231,Listes!$K$15:$K$26,0),MATCH(I$232,Listes!$K$15:$P$15,0))*INDEX(Listes!$K$29:$O$31,MATCH(C$231,Listes!$K$29:$K$31,0),MATCH(I$232,Listes!$K$29:$O$29,0)))</f>
        <v>0</v>
      </c>
      <c r="K246" s="463"/>
      <c r="L246" s="3">
        <v>14</v>
      </c>
      <c r="M246" s="45">
        <f t="shared" si="107"/>
        <v>0</v>
      </c>
      <c r="N246" s="45">
        <f t="shared" si="108"/>
        <v>0</v>
      </c>
      <c r="O246" s="45">
        <f>IF(OR(N246=0,N246="",L$116=0),0,N246*INDEX(Listes!$K$1:$Q$12,MATCH(L$116,Listes!$K$1:$K$12,0),MATCH(O$117,Listes!$K$1:$Q$1,0)))</f>
        <v>0</v>
      </c>
      <c r="P246" s="45">
        <f t="shared" si="109"/>
        <v>0</v>
      </c>
      <c r="Q246" s="45">
        <f>IF(OR(L$231=0,L$231=""),0,P246*INDEX(Listes!$K$15:$P$26,MATCH(L$231,Listes!$K$15:$K$26,0),MATCH(Q$232,Listes!$K$15:$P$15,0))*INDEX(Listes!$K$29:$O$31,MATCH(M$231,Listes!$K$29:$K$31,0),MATCH(Q$232,Listes!$K$29:$O$29,0)))</f>
        <v>0</v>
      </c>
      <c r="R246" s="45">
        <f>IF(OR(L$231=0,L$231=""),0,P246*INDEX(Listes!$K$15:$P$26,MATCH(L$231,Listes!$K$15:$K$26,0),MATCH(R$232,Listes!$K$15:$P$15,0))*INDEX(Listes!$K$29:$O$31,MATCH(M$231,Listes!$K$29:$K$31,0),MATCH(R$232,Listes!$K$29:$O$29,0)))</f>
        <v>0</v>
      </c>
      <c r="S246" s="45">
        <f>IF(OR(L$231=0,L$231=""),0,P246*INDEX(Listes!$K$15:$P$26,MATCH(L$231,Listes!$K$15:$K$26,0),MATCH(S$232,Listes!$K$15:$P$15,0))*INDEX(Listes!$K$29:$O$31,MATCH(M$231,Listes!$K$29:$K$31,0),MATCH(S$232,Listes!$K$29:$O$29,0)))</f>
        <v>0</v>
      </c>
      <c r="U246" s="463"/>
      <c r="V246" s="3">
        <v>14</v>
      </c>
      <c r="W246" s="45">
        <f t="shared" si="110"/>
        <v>0</v>
      </c>
      <c r="X246" s="45">
        <f t="shared" si="111"/>
        <v>0</v>
      </c>
      <c r="Y246" s="45">
        <f>IF(OR(X246=0,X246="",V$116=0),0,X246*INDEX(Listes!$K$1:$Q$12,MATCH(V$116,Listes!$K$1:$K$12,0),MATCH(Y$117,Listes!$K$1:$Q$1,0)))</f>
        <v>0</v>
      </c>
      <c r="Z246" s="45">
        <f t="shared" si="112"/>
        <v>0</v>
      </c>
      <c r="AA246" s="45">
        <f>IF(OR(V$231=0,V$231=""),0,Z246*INDEX(Listes!$K$15:$P$26,MATCH(V$231,Listes!$K$15:$K$26,0),MATCH(AA$232,Listes!$K$15:$P$15,0))*INDEX(Listes!$K$29:$O$31,MATCH(W$231,Listes!$K$29:$K$31,0),MATCH(AA$232,Listes!$K$29:$O$29,0)))</f>
        <v>0</v>
      </c>
      <c r="AB246" s="45">
        <f>IF(OR(V$231=0,V$231=""),0,Z246*INDEX(Listes!$K$15:$P$26,MATCH(V$231,Listes!$K$15:$K$26,0),MATCH(AB$232,Listes!$K$15:$P$15,0))*INDEX(Listes!$K$29:$O$31,MATCH(W$231,Listes!$K$29:$K$31,0),MATCH(AB$232,Listes!$K$29:$O$29,0)))</f>
        <v>0</v>
      </c>
      <c r="AC246" s="45">
        <f>IF(OR(V$231=0,V$231=""),0,Z246*INDEX(Listes!$K$15:$P$26,MATCH(V$231,Listes!$K$15:$K$26,0),MATCH(AC$232,Listes!$K$15:$P$15,0))*INDEX(Listes!$K$29:$O$31,MATCH(W$231,Listes!$K$29:$K$31,0),MATCH(AC$232,Listes!$K$29:$O$29,0)))</f>
        <v>0</v>
      </c>
      <c r="AE246" s="463"/>
      <c r="AF246" s="3">
        <v>14</v>
      </c>
      <c r="AG246" s="45">
        <f t="shared" si="113"/>
        <v>0</v>
      </c>
      <c r="AH246" s="45">
        <f t="shared" si="114"/>
        <v>0</v>
      </c>
      <c r="AI246" s="45">
        <f>IF(OR(AH246=0,AH246="",AF$116=0),0,AH246*INDEX(Listes!$K$1:$Q$12,MATCH(AF$116,Listes!$K$1:$K$12,0),MATCH(AI$117,Listes!$K$1:$Q$1,0)))</f>
        <v>0</v>
      </c>
      <c r="AJ246" s="45">
        <f t="shared" si="115"/>
        <v>0</v>
      </c>
      <c r="AK246" s="45">
        <f>IF(OR(AF$231=0,AF$231=""),0,AJ246*INDEX(Listes!$K$15:$P$26,MATCH(AF$231,Listes!$K$15:$K$26,0),MATCH(AK$232,Listes!$K$15:$P$15,0))*INDEX(Listes!$K$29:$O$31,MATCH(AG$231,Listes!$K$29:$K$31,0),MATCH(AK$232,Listes!$K$29:$O$29,0)))</f>
        <v>0</v>
      </c>
      <c r="AL246" s="45">
        <f>IF(OR(AF$231=0,AF$231=""),0,AJ246*INDEX(Listes!$K$15:$P$26,MATCH(AF$231,Listes!$K$15:$K$26,0),MATCH(AL$232,Listes!$K$15:$P$15,0))*INDEX(Listes!$K$29:$O$31,MATCH(AG$231,Listes!$K$29:$K$31,0),MATCH(AL$232,Listes!$K$29:$O$29,0)))</f>
        <v>0</v>
      </c>
      <c r="AM246" s="45">
        <f>IF(OR(AF$231=0,AF$231=""),0,AJ246*INDEX(Listes!$K$15:$P$26,MATCH(AF$231,Listes!$K$15:$K$26,0),MATCH(AM$232,Listes!$K$15:$P$15,0))*INDEX(Listes!$K$29:$O$31,MATCH(AG$231,Listes!$K$29:$K$31,0),MATCH(AM$232,Listes!$K$29:$O$29,0)))</f>
        <v>0</v>
      </c>
      <c r="AO246" s="463"/>
      <c r="AP246" s="3">
        <v>14</v>
      </c>
      <c r="AQ246" s="11">
        <f t="shared" si="116"/>
        <v>0</v>
      </c>
      <c r="AR246" s="11">
        <f t="shared" si="116"/>
        <v>0</v>
      </c>
      <c r="AS246" s="11">
        <f t="shared" si="116"/>
        <v>0</v>
      </c>
      <c r="AT246" s="11">
        <f>AQ246*VLOOKUP(AQ$232,Tableau17[],4,FALSE)+AR246*VLOOKUP(AR$232,Tableau17[],4,FALSE)+AS246*VLOOKUP(AS$232,Tableau17[],4,FALSE)</f>
        <v>0</v>
      </c>
      <c r="AU246" s="11">
        <f>AQ246*VLOOKUP(AQ$232,Tableau17[],3,FALSE)+AR246*VLOOKUP(AR$232,Tableau17[],3,FALSE)+AS246*VLOOKUP(AS$232,Tableau17[],3,FALSE)</f>
        <v>0</v>
      </c>
    </row>
    <row r="247" spans="1:52" x14ac:dyDescent="0.2">
      <c r="A247" s="463"/>
      <c r="B247" s="3">
        <v>15</v>
      </c>
      <c r="C247" s="45">
        <f t="shared" si="117"/>
        <v>0</v>
      </c>
      <c r="D247" s="45">
        <f t="shared" si="105"/>
        <v>0</v>
      </c>
      <c r="E247" s="45">
        <f>IF(OR(D247=0,D247="",B$116=0),0,D247*INDEX(Listes!$K$1:$Q$12,MATCH(B$116,Listes!$K$1:$K$12,0),MATCH(E$117,Listes!$K$1:$Q$1,0)))</f>
        <v>0</v>
      </c>
      <c r="F247" s="45">
        <f t="shared" si="106"/>
        <v>0</v>
      </c>
      <c r="G247" s="45">
        <f>IF(OR(B$231=0,B$231=""),0,F247*INDEX(Listes!$K$15:$P$26,MATCH(B$231,Listes!$K$15:$K$26,0),MATCH(G$232,Listes!$K$15:$P$15,0))*INDEX(Listes!$K$29:$O$31,MATCH(C$231,Listes!$K$29:$K$31,0),MATCH(G$232,Listes!$K$29:$O$29,0)))</f>
        <v>0</v>
      </c>
      <c r="H247" s="45">
        <f>IF(OR(B$231=0,B$231=""),0,F247*INDEX(Listes!$K$15:$P$26,MATCH(B$231,Listes!$K$15:$K$26,0),MATCH(H$232,Listes!$K$15:$P$15,0))*INDEX(Listes!$K$29:$O$31,MATCH(C$231,Listes!$K$29:$K$31,0),MATCH(H$232,Listes!$K$29:$O$29,0)))</f>
        <v>0</v>
      </c>
      <c r="I247" s="45">
        <f>IF(OR(B$231=0,B$231=""),0,F247*INDEX(Listes!$K$15:$P$26,MATCH(B$231,Listes!$K$15:$K$26,0),MATCH(I$232,Listes!$K$15:$P$15,0))*INDEX(Listes!$K$29:$O$31,MATCH(C$231,Listes!$K$29:$K$31,0),MATCH(I$232,Listes!$K$29:$O$29,0)))</f>
        <v>0</v>
      </c>
      <c r="K247" s="463"/>
      <c r="L247" s="3">
        <v>15</v>
      </c>
      <c r="M247" s="45">
        <f t="shared" si="107"/>
        <v>0</v>
      </c>
      <c r="N247" s="45">
        <f t="shared" si="108"/>
        <v>0</v>
      </c>
      <c r="O247" s="45">
        <f>IF(OR(N247=0,N247="",L$116=0),0,N247*INDEX(Listes!$K$1:$Q$12,MATCH(L$116,Listes!$K$1:$K$12,0),MATCH(O$117,Listes!$K$1:$Q$1,0)))</f>
        <v>0</v>
      </c>
      <c r="P247" s="45">
        <f t="shared" si="109"/>
        <v>0</v>
      </c>
      <c r="Q247" s="45">
        <f>IF(OR(L$231=0,L$231=""),0,P247*INDEX(Listes!$K$15:$P$26,MATCH(L$231,Listes!$K$15:$K$26,0),MATCH(Q$232,Listes!$K$15:$P$15,0))*INDEX(Listes!$K$29:$O$31,MATCH(M$231,Listes!$K$29:$K$31,0),MATCH(Q$232,Listes!$K$29:$O$29,0)))</f>
        <v>0</v>
      </c>
      <c r="R247" s="45">
        <f>IF(OR(L$231=0,L$231=""),0,P247*INDEX(Listes!$K$15:$P$26,MATCH(L$231,Listes!$K$15:$K$26,0),MATCH(R$232,Listes!$K$15:$P$15,0))*INDEX(Listes!$K$29:$O$31,MATCH(M$231,Listes!$K$29:$K$31,0),MATCH(R$232,Listes!$K$29:$O$29,0)))</f>
        <v>0</v>
      </c>
      <c r="S247" s="45">
        <f>IF(OR(L$231=0,L$231=""),0,P247*INDEX(Listes!$K$15:$P$26,MATCH(L$231,Listes!$K$15:$K$26,0),MATCH(S$232,Listes!$K$15:$P$15,0))*INDEX(Listes!$K$29:$O$31,MATCH(M$231,Listes!$K$29:$K$31,0),MATCH(S$232,Listes!$K$29:$O$29,0)))</f>
        <v>0</v>
      </c>
      <c r="U247" s="463"/>
      <c r="V247" s="3">
        <v>15</v>
      </c>
      <c r="W247" s="45">
        <f t="shared" si="110"/>
        <v>0</v>
      </c>
      <c r="X247" s="45">
        <f t="shared" si="111"/>
        <v>0</v>
      </c>
      <c r="Y247" s="45">
        <f>IF(OR(X247=0,X247="",V$116=0),0,X247*INDEX(Listes!$K$1:$Q$12,MATCH(V$116,Listes!$K$1:$K$12,0),MATCH(Y$117,Listes!$K$1:$Q$1,0)))</f>
        <v>0</v>
      </c>
      <c r="Z247" s="45">
        <f t="shared" si="112"/>
        <v>0</v>
      </c>
      <c r="AA247" s="45">
        <f>IF(OR(V$231=0,V$231=""),0,Z247*INDEX(Listes!$K$15:$P$26,MATCH(V$231,Listes!$K$15:$K$26,0),MATCH(AA$232,Listes!$K$15:$P$15,0))*INDEX(Listes!$K$29:$O$31,MATCH(W$231,Listes!$K$29:$K$31,0),MATCH(AA$232,Listes!$K$29:$O$29,0)))</f>
        <v>0</v>
      </c>
      <c r="AB247" s="45">
        <f>IF(OR(V$231=0,V$231=""),0,Z247*INDEX(Listes!$K$15:$P$26,MATCH(V$231,Listes!$K$15:$K$26,0),MATCH(AB$232,Listes!$K$15:$P$15,0))*INDEX(Listes!$K$29:$O$31,MATCH(W$231,Listes!$K$29:$K$31,0),MATCH(AB$232,Listes!$K$29:$O$29,0)))</f>
        <v>0</v>
      </c>
      <c r="AC247" s="45">
        <f>IF(OR(V$231=0,V$231=""),0,Z247*INDEX(Listes!$K$15:$P$26,MATCH(V$231,Listes!$K$15:$K$26,0),MATCH(AC$232,Listes!$K$15:$P$15,0))*INDEX(Listes!$K$29:$O$31,MATCH(W$231,Listes!$K$29:$K$31,0),MATCH(AC$232,Listes!$K$29:$O$29,0)))</f>
        <v>0</v>
      </c>
      <c r="AE247" s="463"/>
      <c r="AF247" s="3">
        <v>15</v>
      </c>
      <c r="AG247" s="45">
        <f t="shared" si="113"/>
        <v>0</v>
      </c>
      <c r="AH247" s="45">
        <f t="shared" si="114"/>
        <v>0</v>
      </c>
      <c r="AI247" s="45">
        <f>IF(OR(AH247=0,AH247="",AF$116=0),0,AH247*INDEX(Listes!$K$1:$Q$12,MATCH(AF$116,Listes!$K$1:$K$12,0),MATCH(AI$117,Listes!$K$1:$Q$1,0)))</f>
        <v>0</v>
      </c>
      <c r="AJ247" s="45">
        <f t="shared" si="115"/>
        <v>0</v>
      </c>
      <c r="AK247" s="45">
        <f>IF(OR(AF$231=0,AF$231=""),0,AJ247*INDEX(Listes!$K$15:$P$26,MATCH(AF$231,Listes!$K$15:$K$26,0),MATCH(AK$232,Listes!$K$15:$P$15,0))*INDEX(Listes!$K$29:$O$31,MATCH(AG$231,Listes!$K$29:$K$31,0),MATCH(AK$232,Listes!$K$29:$O$29,0)))</f>
        <v>0</v>
      </c>
      <c r="AL247" s="45">
        <f>IF(OR(AF$231=0,AF$231=""),0,AJ247*INDEX(Listes!$K$15:$P$26,MATCH(AF$231,Listes!$K$15:$K$26,0),MATCH(AL$232,Listes!$K$15:$P$15,0))*INDEX(Listes!$K$29:$O$31,MATCH(AG$231,Listes!$K$29:$K$31,0),MATCH(AL$232,Listes!$K$29:$O$29,0)))</f>
        <v>0</v>
      </c>
      <c r="AM247" s="45">
        <f>IF(OR(AF$231=0,AF$231=""),0,AJ247*INDEX(Listes!$K$15:$P$26,MATCH(AF$231,Listes!$K$15:$K$26,0),MATCH(AM$232,Listes!$K$15:$P$15,0))*INDEX(Listes!$K$29:$O$31,MATCH(AG$231,Listes!$K$29:$K$31,0),MATCH(AM$232,Listes!$K$29:$O$29,0)))</f>
        <v>0</v>
      </c>
      <c r="AO247" s="463"/>
      <c r="AP247" s="3">
        <v>15</v>
      </c>
      <c r="AQ247" s="11">
        <f t="shared" si="116"/>
        <v>0</v>
      </c>
      <c r="AR247" s="11">
        <f t="shared" si="116"/>
        <v>0</v>
      </c>
      <c r="AS247" s="11">
        <f t="shared" si="116"/>
        <v>0</v>
      </c>
      <c r="AT247" s="11">
        <f>AQ247*VLOOKUP(AQ$232,Tableau17[],4,FALSE)+AR247*VLOOKUP(AR$232,Tableau17[],4,FALSE)+AS247*VLOOKUP(AS$232,Tableau17[],4,FALSE)</f>
        <v>0</v>
      </c>
      <c r="AU247" s="11">
        <f>AQ247*VLOOKUP(AQ$232,Tableau17[],3,FALSE)+AR247*VLOOKUP(AR$232,Tableau17[],3,FALSE)+AS247*VLOOKUP(AS$232,Tableau17[],3,FALSE)</f>
        <v>0</v>
      </c>
    </row>
    <row r="248" spans="1:52" x14ac:dyDescent="0.2">
      <c r="A248" s="463"/>
      <c r="B248" s="3">
        <v>16</v>
      </c>
      <c r="C248" s="45">
        <f t="shared" si="117"/>
        <v>0</v>
      </c>
      <c r="D248" s="45">
        <f t="shared" si="105"/>
        <v>0</v>
      </c>
      <c r="E248" s="45">
        <f>IF(OR(D248=0,D248="",B$116=0),0,D248*INDEX(Listes!$K$1:$Q$12,MATCH(B$116,Listes!$K$1:$K$12,0),MATCH(E$117,Listes!$K$1:$Q$1,0)))</f>
        <v>0</v>
      </c>
      <c r="F248" s="45">
        <f t="shared" si="106"/>
        <v>0</v>
      </c>
      <c r="G248" s="45">
        <f>IF(OR(B$231=0,B$231=""),0,F248*INDEX(Listes!$K$15:$P$26,MATCH(B$231,Listes!$K$15:$K$26,0),MATCH(G$232,Listes!$K$15:$P$15,0))*INDEX(Listes!$K$29:$O$31,MATCH(C$231,Listes!$K$29:$K$31,0),MATCH(G$232,Listes!$K$29:$O$29,0)))</f>
        <v>0</v>
      </c>
      <c r="H248" s="45">
        <f>IF(OR(B$231=0,B$231=""),0,F248*INDEX(Listes!$K$15:$P$26,MATCH(B$231,Listes!$K$15:$K$26,0),MATCH(H$232,Listes!$K$15:$P$15,0))*INDEX(Listes!$K$29:$O$31,MATCH(C$231,Listes!$K$29:$K$31,0),MATCH(H$232,Listes!$K$29:$O$29,0)))</f>
        <v>0</v>
      </c>
      <c r="I248" s="45">
        <f>IF(OR(B$231=0,B$231=""),0,F248*INDEX(Listes!$K$15:$P$26,MATCH(B$231,Listes!$K$15:$K$26,0),MATCH(I$232,Listes!$K$15:$P$15,0))*INDEX(Listes!$K$29:$O$31,MATCH(C$231,Listes!$K$29:$K$31,0),MATCH(I$232,Listes!$K$29:$O$29,0)))</f>
        <v>0</v>
      </c>
      <c r="K248" s="463"/>
      <c r="L248" s="3">
        <v>16</v>
      </c>
      <c r="M248" s="45">
        <f t="shared" si="107"/>
        <v>0</v>
      </c>
      <c r="N248" s="45">
        <f t="shared" si="108"/>
        <v>0</v>
      </c>
      <c r="O248" s="45">
        <f>IF(OR(N248=0,N248="",L$116=0),0,N248*INDEX(Listes!$K$1:$Q$12,MATCH(L$116,Listes!$K$1:$K$12,0),MATCH(O$117,Listes!$K$1:$Q$1,0)))</f>
        <v>0</v>
      </c>
      <c r="P248" s="45">
        <f t="shared" si="109"/>
        <v>0</v>
      </c>
      <c r="Q248" s="45">
        <f>IF(OR(L$231=0,L$231=""),0,P248*INDEX(Listes!$K$15:$P$26,MATCH(L$231,Listes!$K$15:$K$26,0),MATCH(Q$232,Listes!$K$15:$P$15,0))*INDEX(Listes!$K$29:$O$31,MATCH(M$231,Listes!$K$29:$K$31,0),MATCH(Q$232,Listes!$K$29:$O$29,0)))</f>
        <v>0</v>
      </c>
      <c r="R248" s="45">
        <f>IF(OR(L$231=0,L$231=""),0,P248*INDEX(Listes!$K$15:$P$26,MATCH(L$231,Listes!$K$15:$K$26,0),MATCH(R$232,Listes!$K$15:$P$15,0))*INDEX(Listes!$K$29:$O$31,MATCH(M$231,Listes!$K$29:$K$31,0),MATCH(R$232,Listes!$K$29:$O$29,0)))</f>
        <v>0</v>
      </c>
      <c r="S248" s="45">
        <f>IF(OR(L$231=0,L$231=""),0,P248*INDEX(Listes!$K$15:$P$26,MATCH(L$231,Listes!$K$15:$K$26,0),MATCH(S$232,Listes!$K$15:$P$15,0))*INDEX(Listes!$K$29:$O$31,MATCH(M$231,Listes!$K$29:$K$31,0),MATCH(S$232,Listes!$K$29:$O$29,0)))</f>
        <v>0</v>
      </c>
      <c r="U248" s="463"/>
      <c r="V248" s="3">
        <v>16</v>
      </c>
      <c r="W248" s="45">
        <f t="shared" si="110"/>
        <v>0</v>
      </c>
      <c r="X248" s="45">
        <f t="shared" si="111"/>
        <v>0</v>
      </c>
      <c r="Y248" s="45">
        <f>IF(OR(X248=0,X248="",V$116=0),0,X248*INDEX(Listes!$K$1:$Q$12,MATCH(V$116,Listes!$K$1:$K$12,0),MATCH(Y$117,Listes!$K$1:$Q$1,0)))</f>
        <v>0</v>
      </c>
      <c r="Z248" s="45">
        <f t="shared" si="112"/>
        <v>0</v>
      </c>
      <c r="AA248" s="45">
        <f>IF(OR(V$231=0,V$231=""),0,Z248*INDEX(Listes!$K$15:$P$26,MATCH(V$231,Listes!$K$15:$K$26,0),MATCH(AA$232,Listes!$K$15:$P$15,0))*INDEX(Listes!$K$29:$O$31,MATCH(W$231,Listes!$K$29:$K$31,0),MATCH(AA$232,Listes!$K$29:$O$29,0)))</f>
        <v>0</v>
      </c>
      <c r="AB248" s="45">
        <f>IF(OR(V$231=0,V$231=""),0,Z248*INDEX(Listes!$K$15:$P$26,MATCH(V$231,Listes!$K$15:$K$26,0),MATCH(AB$232,Listes!$K$15:$P$15,0))*INDEX(Listes!$K$29:$O$31,MATCH(W$231,Listes!$K$29:$K$31,0),MATCH(AB$232,Listes!$K$29:$O$29,0)))</f>
        <v>0</v>
      </c>
      <c r="AC248" s="45">
        <f>IF(OR(V$231=0,V$231=""),0,Z248*INDEX(Listes!$K$15:$P$26,MATCH(V$231,Listes!$K$15:$K$26,0),MATCH(AC$232,Listes!$K$15:$P$15,0))*INDEX(Listes!$K$29:$O$31,MATCH(W$231,Listes!$K$29:$K$31,0),MATCH(AC$232,Listes!$K$29:$O$29,0)))</f>
        <v>0</v>
      </c>
      <c r="AE248" s="463"/>
      <c r="AF248" s="3">
        <v>16</v>
      </c>
      <c r="AG248" s="45">
        <f t="shared" si="113"/>
        <v>0</v>
      </c>
      <c r="AH248" s="45">
        <f t="shared" si="114"/>
        <v>0</v>
      </c>
      <c r="AI248" s="45">
        <f>IF(OR(AH248=0,AH248="",AF$116=0),0,AH248*INDEX(Listes!$K$1:$Q$12,MATCH(AF$116,Listes!$K$1:$K$12,0),MATCH(AI$117,Listes!$K$1:$Q$1,0)))</f>
        <v>0</v>
      </c>
      <c r="AJ248" s="45">
        <f t="shared" si="115"/>
        <v>0</v>
      </c>
      <c r="AK248" s="45">
        <f>IF(OR(AF$231=0,AF$231=""),0,AJ248*INDEX(Listes!$K$15:$P$26,MATCH(AF$231,Listes!$K$15:$K$26,0),MATCH(AK$232,Listes!$K$15:$P$15,0))*INDEX(Listes!$K$29:$O$31,MATCH(AG$231,Listes!$K$29:$K$31,0),MATCH(AK$232,Listes!$K$29:$O$29,0)))</f>
        <v>0</v>
      </c>
      <c r="AL248" s="45">
        <f>IF(OR(AF$231=0,AF$231=""),0,AJ248*INDEX(Listes!$K$15:$P$26,MATCH(AF$231,Listes!$K$15:$K$26,0),MATCH(AL$232,Listes!$K$15:$P$15,0))*INDEX(Listes!$K$29:$O$31,MATCH(AG$231,Listes!$K$29:$K$31,0),MATCH(AL$232,Listes!$K$29:$O$29,0)))</f>
        <v>0</v>
      </c>
      <c r="AM248" s="45">
        <f>IF(OR(AF$231=0,AF$231=""),0,AJ248*INDEX(Listes!$K$15:$P$26,MATCH(AF$231,Listes!$K$15:$K$26,0),MATCH(AM$232,Listes!$K$15:$P$15,0))*INDEX(Listes!$K$29:$O$31,MATCH(AG$231,Listes!$K$29:$K$31,0),MATCH(AM$232,Listes!$K$29:$O$29,0)))</f>
        <v>0</v>
      </c>
      <c r="AO248" s="463"/>
      <c r="AP248" s="3">
        <v>16</v>
      </c>
      <c r="AQ248" s="11">
        <f t="shared" si="116"/>
        <v>0</v>
      </c>
      <c r="AR248" s="11">
        <f t="shared" si="116"/>
        <v>0</v>
      </c>
      <c r="AS248" s="11">
        <f t="shared" si="116"/>
        <v>0</v>
      </c>
      <c r="AT248" s="11">
        <f>AQ248*VLOOKUP(AQ$232,Tableau17[],4,FALSE)+AR248*VLOOKUP(AR$232,Tableau17[],4,FALSE)+AS248*VLOOKUP(AS$232,Tableau17[],4,FALSE)</f>
        <v>0</v>
      </c>
      <c r="AU248" s="11">
        <f>AQ248*VLOOKUP(AQ$232,Tableau17[],3,FALSE)+AR248*VLOOKUP(AR$232,Tableau17[],3,FALSE)+AS248*VLOOKUP(AS$232,Tableau17[],3,FALSE)</f>
        <v>0</v>
      </c>
    </row>
    <row r="249" spans="1:52" x14ac:dyDescent="0.2">
      <c r="A249" s="463"/>
      <c r="B249" s="3">
        <v>17</v>
      </c>
      <c r="C249" s="45">
        <f t="shared" si="117"/>
        <v>0</v>
      </c>
      <c r="D249" s="45">
        <f t="shared" si="105"/>
        <v>0</v>
      </c>
      <c r="E249" s="45">
        <f>IF(OR(D249=0,D249="",B$116=0),0,D249*INDEX(Listes!$K$1:$Q$12,MATCH(B$116,Listes!$K$1:$K$12,0),MATCH(E$117,Listes!$K$1:$Q$1,0)))</f>
        <v>0</v>
      </c>
      <c r="F249" s="45">
        <f t="shared" si="106"/>
        <v>0</v>
      </c>
      <c r="G249" s="45">
        <f>IF(OR(B$231=0,B$231=""),0,F249*INDEX(Listes!$K$15:$P$26,MATCH(B$231,Listes!$K$15:$K$26,0),MATCH(G$232,Listes!$K$15:$P$15,0))*INDEX(Listes!$K$29:$O$31,MATCH(C$231,Listes!$K$29:$K$31,0),MATCH(G$232,Listes!$K$29:$O$29,0)))</f>
        <v>0</v>
      </c>
      <c r="H249" s="45">
        <f>IF(OR(B$231=0,B$231=""),0,F249*INDEX(Listes!$K$15:$P$26,MATCH(B$231,Listes!$K$15:$K$26,0),MATCH(H$232,Listes!$K$15:$P$15,0))*INDEX(Listes!$K$29:$O$31,MATCH(C$231,Listes!$K$29:$K$31,0),MATCH(H$232,Listes!$K$29:$O$29,0)))</f>
        <v>0</v>
      </c>
      <c r="I249" s="45">
        <f>IF(OR(B$231=0,B$231=""),0,F249*INDEX(Listes!$K$15:$P$26,MATCH(B$231,Listes!$K$15:$K$26,0),MATCH(I$232,Listes!$K$15:$P$15,0))*INDEX(Listes!$K$29:$O$31,MATCH(C$231,Listes!$K$29:$K$31,0),MATCH(I$232,Listes!$K$29:$O$29,0)))</f>
        <v>0</v>
      </c>
      <c r="K249" s="463"/>
      <c r="L249" s="3">
        <v>17</v>
      </c>
      <c r="M249" s="45">
        <f t="shared" si="107"/>
        <v>0</v>
      </c>
      <c r="N249" s="45">
        <f t="shared" si="108"/>
        <v>0</v>
      </c>
      <c r="O249" s="45">
        <f>IF(OR(N249=0,N249="",L$116=0),0,N249*INDEX(Listes!$K$1:$Q$12,MATCH(L$116,Listes!$K$1:$K$12,0),MATCH(O$117,Listes!$K$1:$Q$1,0)))</f>
        <v>0</v>
      </c>
      <c r="P249" s="45">
        <f t="shared" si="109"/>
        <v>0</v>
      </c>
      <c r="Q249" s="45">
        <f>IF(OR(L$231=0,L$231=""),0,P249*INDEX(Listes!$K$15:$P$26,MATCH(L$231,Listes!$K$15:$K$26,0),MATCH(Q$232,Listes!$K$15:$P$15,0))*INDEX(Listes!$K$29:$O$31,MATCH(M$231,Listes!$K$29:$K$31,0),MATCH(Q$232,Listes!$K$29:$O$29,0)))</f>
        <v>0</v>
      </c>
      <c r="R249" s="45">
        <f>IF(OR(L$231=0,L$231=""),0,P249*INDEX(Listes!$K$15:$P$26,MATCH(L$231,Listes!$K$15:$K$26,0),MATCH(R$232,Listes!$K$15:$P$15,0))*INDEX(Listes!$K$29:$O$31,MATCH(M$231,Listes!$K$29:$K$31,0),MATCH(R$232,Listes!$K$29:$O$29,0)))</f>
        <v>0</v>
      </c>
      <c r="S249" s="45">
        <f>IF(OR(L$231=0,L$231=""),0,P249*INDEX(Listes!$K$15:$P$26,MATCH(L$231,Listes!$K$15:$K$26,0),MATCH(S$232,Listes!$K$15:$P$15,0))*INDEX(Listes!$K$29:$O$31,MATCH(M$231,Listes!$K$29:$K$31,0),MATCH(S$232,Listes!$K$29:$O$29,0)))</f>
        <v>0</v>
      </c>
      <c r="U249" s="463"/>
      <c r="V249" s="3">
        <v>17</v>
      </c>
      <c r="W249" s="45">
        <f t="shared" si="110"/>
        <v>0</v>
      </c>
      <c r="X249" s="45">
        <f t="shared" si="111"/>
        <v>0</v>
      </c>
      <c r="Y249" s="45">
        <f>IF(OR(X249=0,X249="",V$116=0),0,X249*INDEX(Listes!$K$1:$Q$12,MATCH(V$116,Listes!$K$1:$K$12,0),MATCH(Y$117,Listes!$K$1:$Q$1,0)))</f>
        <v>0</v>
      </c>
      <c r="Z249" s="45">
        <f t="shared" si="112"/>
        <v>0</v>
      </c>
      <c r="AA249" s="45">
        <f>IF(OR(V$231=0,V$231=""),0,Z249*INDEX(Listes!$K$15:$P$26,MATCH(V$231,Listes!$K$15:$K$26,0),MATCH(AA$232,Listes!$K$15:$P$15,0))*INDEX(Listes!$K$29:$O$31,MATCH(W$231,Listes!$K$29:$K$31,0),MATCH(AA$232,Listes!$K$29:$O$29,0)))</f>
        <v>0</v>
      </c>
      <c r="AB249" s="45">
        <f>IF(OR(V$231=0,V$231=""),0,Z249*INDEX(Listes!$K$15:$P$26,MATCH(V$231,Listes!$K$15:$K$26,0),MATCH(AB$232,Listes!$K$15:$P$15,0))*INDEX(Listes!$K$29:$O$31,MATCH(W$231,Listes!$K$29:$K$31,0),MATCH(AB$232,Listes!$K$29:$O$29,0)))</f>
        <v>0</v>
      </c>
      <c r="AC249" s="45">
        <f>IF(OR(V$231=0,V$231=""),0,Z249*INDEX(Listes!$K$15:$P$26,MATCH(V$231,Listes!$K$15:$K$26,0),MATCH(AC$232,Listes!$K$15:$P$15,0))*INDEX(Listes!$K$29:$O$31,MATCH(W$231,Listes!$K$29:$K$31,0),MATCH(AC$232,Listes!$K$29:$O$29,0)))</f>
        <v>0</v>
      </c>
      <c r="AE249" s="463"/>
      <c r="AF249" s="3">
        <v>17</v>
      </c>
      <c r="AG249" s="45">
        <f t="shared" si="113"/>
        <v>0</v>
      </c>
      <c r="AH249" s="45">
        <f t="shared" si="114"/>
        <v>0</v>
      </c>
      <c r="AI249" s="45">
        <f>IF(OR(AH249=0,AH249="",AF$116=0),0,AH249*INDEX(Listes!$K$1:$Q$12,MATCH(AF$116,Listes!$K$1:$K$12,0),MATCH(AI$117,Listes!$K$1:$Q$1,0)))</f>
        <v>0</v>
      </c>
      <c r="AJ249" s="45">
        <f t="shared" si="115"/>
        <v>0</v>
      </c>
      <c r="AK249" s="45">
        <f>IF(OR(AF$231=0,AF$231=""),0,AJ249*INDEX(Listes!$K$15:$P$26,MATCH(AF$231,Listes!$K$15:$K$26,0),MATCH(AK$232,Listes!$K$15:$P$15,0))*INDEX(Listes!$K$29:$O$31,MATCH(AG$231,Listes!$K$29:$K$31,0),MATCH(AK$232,Listes!$K$29:$O$29,0)))</f>
        <v>0</v>
      </c>
      <c r="AL249" s="45">
        <f>IF(OR(AF$231=0,AF$231=""),0,AJ249*INDEX(Listes!$K$15:$P$26,MATCH(AF$231,Listes!$K$15:$K$26,0),MATCH(AL$232,Listes!$K$15:$P$15,0))*INDEX(Listes!$K$29:$O$31,MATCH(AG$231,Listes!$K$29:$K$31,0),MATCH(AL$232,Listes!$K$29:$O$29,0)))</f>
        <v>0</v>
      </c>
      <c r="AM249" s="45">
        <f>IF(OR(AF$231=0,AF$231=""),0,AJ249*INDEX(Listes!$K$15:$P$26,MATCH(AF$231,Listes!$K$15:$K$26,0),MATCH(AM$232,Listes!$K$15:$P$15,0))*INDEX(Listes!$K$29:$O$31,MATCH(AG$231,Listes!$K$29:$K$31,0),MATCH(AM$232,Listes!$K$29:$O$29,0)))</f>
        <v>0</v>
      </c>
      <c r="AO249" s="463"/>
      <c r="AP249" s="3">
        <v>17</v>
      </c>
      <c r="AQ249" s="11">
        <f t="shared" si="116"/>
        <v>0</v>
      </c>
      <c r="AR249" s="11">
        <f t="shared" si="116"/>
        <v>0</v>
      </c>
      <c r="AS249" s="11">
        <f t="shared" si="116"/>
        <v>0</v>
      </c>
      <c r="AT249" s="11">
        <f>AQ249*VLOOKUP(AQ$232,Tableau17[],4,FALSE)+AR249*VLOOKUP(AR$232,Tableau17[],4,FALSE)+AS249*VLOOKUP(AS$232,Tableau17[],4,FALSE)</f>
        <v>0</v>
      </c>
      <c r="AU249" s="11">
        <f>AQ249*VLOOKUP(AQ$232,Tableau17[],3,FALSE)+AR249*VLOOKUP(AR$232,Tableau17[],3,FALSE)+AS249*VLOOKUP(AS$232,Tableau17[],3,FALSE)</f>
        <v>0</v>
      </c>
    </row>
    <row r="250" spans="1:52" x14ac:dyDescent="0.2">
      <c r="A250" s="463"/>
      <c r="B250" s="3">
        <v>18</v>
      </c>
      <c r="C250" s="45">
        <f t="shared" si="117"/>
        <v>0</v>
      </c>
      <c r="D250" s="45">
        <f t="shared" si="105"/>
        <v>0</v>
      </c>
      <c r="E250" s="45">
        <f>IF(OR(D250=0,D250="",B$116=0),0,D250*INDEX(Listes!$K$1:$Q$12,MATCH(B$116,Listes!$K$1:$K$12,0),MATCH(E$117,Listes!$K$1:$Q$1,0)))</f>
        <v>0</v>
      </c>
      <c r="F250" s="45">
        <f t="shared" si="106"/>
        <v>0</v>
      </c>
      <c r="G250" s="45">
        <f>IF(OR(B$231=0,B$231=""),0,F250*INDEX(Listes!$K$15:$P$26,MATCH(B$231,Listes!$K$15:$K$26,0),MATCH(G$232,Listes!$K$15:$P$15,0))*INDEX(Listes!$K$29:$O$31,MATCH(C$231,Listes!$K$29:$K$31,0),MATCH(G$232,Listes!$K$29:$O$29,0)))</f>
        <v>0</v>
      </c>
      <c r="H250" s="45">
        <f>IF(OR(B$231=0,B$231=""),0,F250*INDEX(Listes!$K$15:$P$26,MATCH(B$231,Listes!$K$15:$K$26,0),MATCH(H$232,Listes!$K$15:$P$15,0))*INDEX(Listes!$K$29:$O$31,MATCH(C$231,Listes!$K$29:$K$31,0),MATCH(H$232,Listes!$K$29:$O$29,0)))</f>
        <v>0</v>
      </c>
      <c r="I250" s="45">
        <f>IF(OR(B$231=0,B$231=""),0,F250*INDEX(Listes!$K$15:$P$26,MATCH(B$231,Listes!$K$15:$K$26,0),MATCH(I$232,Listes!$K$15:$P$15,0))*INDEX(Listes!$K$29:$O$31,MATCH(C$231,Listes!$K$29:$K$31,0),MATCH(I$232,Listes!$K$29:$O$29,0)))</f>
        <v>0</v>
      </c>
      <c r="K250" s="463"/>
      <c r="L250" s="3">
        <v>18</v>
      </c>
      <c r="M250" s="45">
        <f t="shared" si="107"/>
        <v>0</v>
      </c>
      <c r="N250" s="45">
        <f t="shared" si="108"/>
        <v>0</v>
      </c>
      <c r="O250" s="45">
        <f>IF(OR(N250=0,N250="",L$116=0),0,N250*INDEX(Listes!$K$1:$Q$12,MATCH(L$116,Listes!$K$1:$K$12,0),MATCH(O$117,Listes!$K$1:$Q$1,0)))</f>
        <v>0</v>
      </c>
      <c r="P250" s="45">
        <f t="shared" si="109"/>
        <v>0</v>
      </c>
      <c r="Q250" s="45">
        <f>IF(OR(L$231=0,L$231=""),0,P250*INDEX(Listes!$K$15:$P$26,MATCH(L$231,Listes!$K$15:$K$26,0),MATCH(Q$232,Listes!$K$15:$P$15,0))*INDEX(Listes!$K$29:$O$31,MATCH(M$231,Listes!$K$29:$K$31,0),MATCH(Q$232,Listes!$K$29:$O$29,0)))</f>
        <v>0</v>
      </c>
      <c r="R250" s="45">
        <f>IF(OR(L$231=0,L$231=""),0,P250*INDEX(Listes!$K$15:$P$26,MATCH(L$231,Listes!$K$15:$K$26,0),MATCH(R$232,Listes!$K$15:$P$15,0))*INDEX(Listes!$K$29:$O$31,MATCH(M$231,Listes!$K$29:$K$31,0),MATCH(R$232,Listes!$K$29:$O$29,0)))</f>
        <v>0</v>
      </c>
      <c r="S250" s="45">
        <f>IF(OR(L$231=0,L$231=""),0,P250*INDEX(Listes!$K$15:$P$26,MATCH(L$231,Listes!$K$15:$K$26,0),MATCH(S$232,Listes!$K$15:$P$15,0))*INDEX(Listes!$K$29:$O$31,MATCH(M$231,Listes!$K$29:$K$31,0),MATCH(S$232,Listes!$K$29:$O$29,0)))</f>
        <v>0</v>
      </c>
      <c r="U250" s="463"/>
      <c r="V250" s="3">
        <v>18</v>
      </c>
      <c r="W250" s="45">
        <f t="shared" si="110"/>
        <v>0</v>
      </c>
      <c r="X250" s="45">
        <f t="shared" si="111"/>
        <v>0</v>
      </c>
      <c r="Y250" s="45">
        <f>IF(OR(X250=0,X250="",V$116=0),0,X250*INDEX(Listes!$K$1:$Q$12,MATCH(V$116,Listes!$K$1:$K$12,0),MATCH(Y$117,Listes!$K$1:$Q$1,0)))</f>
        <v>0</v>
      </c>
      <c r="Z250" s="45">
        <f t="shared" si="112"/>
        <v>0</v>
      </c>
      <c r="AA250" s="45">
        <f>IF(OR(V$231=0,V$231=""),0,Z250*INDEX(Listes!$K$15:$P$26,MATCH(V$231,Listes!$K$15:$K$26,0),MATCH(AA$232,Listes!$K$15:$P$15,0))*INDEX(Listes!$K$29:$O$31,MATCH(W$231,Listes!$K$29:$K$31,0),MATCH(AA$232,Listes!$K$29:$O$29,0)))</f>
        <v>0</v>
      </c>
      <c r="AB250" s="45">
        <f>IF(OR(V$231=0,V$231=""),0,Z250*INDEX(Listes!$K$15:$P$26,MATCH(V$231,Listes!$K$15:$K$26,0),MATCH(AB$232,Listes!$K$15:$P$15,0))*INDEX(Listes!$K$29:$O$31,MATCH(W$231,Listes!$K$29:$K$31,0),MATCH(AB$232,Listes!$K$29:$O$29,0)))</f>
        <v>0</v>
      </c>
      <c r="AC250" s="45">
        <f>IF(OR(V$231=0,V$231=""),0,Z250*INDEX(Listes!$K$15:$P$26,MATCH(V$231,Listes!$K$15:$K$26,0),MATCH(AC$232,Listes!$K$15:$P$15,0))*INDEX(Listes!$K$29:$O$31,MATCH(W$231,Listes!$K$29:$K$31,0),MATCH(AC$232,Listes!$K$29:$O$29,0)))</f>
        <v>0</v>
      </c>
      <c r="AE250" s="463"/>
      <c r="AF250" s="3">
        <v>18</v>
      </c>
      <c r="AG250" s="45">
        <f t="shared" si="113"/>
        <v>0</v>
      </c>
      <c r="AH250" s="45">
        <f t="shared" si="114"/>
        <v>0</v>
      </c>
      <c r="AI250" s="45">
        <f>IF(OR(AH250=0,AH250="",AF$116=0),0,AH250*INDEX(Listes!$K$1:$Q$12,MATCH(AF$116,Listes!$K$1:$K$12,0),MATCH(AI$117,Listes!$K$1:$Q$1,0)))</f>
        <v>0</v>
      </c>
      <c r="AJ250" s="45">
        <f t="shared" si="115"/>
        <v>0</v>
      </c>
      <c r="AK250" s="45">
        <f>IF(OR(AF$231=0,AF$231=""),0,AJ250*INDEX(Listes!$K$15:$P$26,MATCH(AF$231,Listes!$K$15:$K$26,0),MATCH(AK$232,Listes!$K$15:$P$15,0))*INDEX(Listes!$K$29:$O$31,MATCH(AG$231,Listes!$K$29:$K$31,0),MATCH(AK$232,Listes!$K$29:$O$29,0)))</f>
        <v>0</v>
      </c>
      <c r="AL250" s="45">
        <f>IF(OR(AF$231=0,AF$231=""),0,AJ250*INDEX(Listes!$K$15:$P$26,MATCH(AF$231,Listes!$K$15:$K$26,0),MATCH(AL$232,Listes!$K$15:$P$15,0))*INDEX(Listes!$K$29:$O$31,MATCH(AG$231,Listes!$K$29:$K$31,0),MATCH(AL$232,Listes!$K$29:$O$29,0)))</f>
        <v>0</v>
      </c>
      <c r="AM250" s="45">
        <f>IF(OR(AF$231=0,AF$231=""),0,AJ250*INDEX(Listes!$K$15:$P$26,MATCH(AF$231,Listes!$K$15:$K$26,0),MATCH(AM$232,Listes!$K$15:$P$15,0))*INDEX(Listes!$K$29:$O$31,MATCH(AG$231,Listes!$K$29:$K$31,0),MATCH(AM$232,Listes!$K$29:$O$29,0)))</f>
        <v>0</v>
      </c>
      <c r="AO250" s="463"/>
      <c r="AP250" s="3">
        <v>18</v>
      </c>
      <c r="AQ250" s="11">
        <f t="shared" si="116"/>
        <v>0</v>
      </c>
      <c r="AR250" s="11">
        <f t="shared" si="116"/>
        <v>0</v>
      </c>
      <c r="AS250" s="11">
        <f t="shared" si="116"/>
        <v>0</v>
      </c>
      <c r="AT250" s="11">
        <f>AQ250*VLOOKUP(AQ$232,Tableau17[],4,FALSE)+AR250*VLOOKUP(AR$232,Tableau17[],4,FALSE)+AS250*VLOOKUP(AS$232,Tableau17[],4,FALSE)</f>
        <v>0</v>
      </c>
      <c r="AU250" s="11">
        <f>AQ250*VLOOKUP(AQ$232,Tableau17[],3,FALSE)+AR250*VLOOKUP(AR$232,Tableau17[],3,FALSE)+AS250*VLOOKUP(AS$232,Tableau17[],3,FALSE)</f>
        <v>0</v>
      </c>
    </row>
    <row r="251" spans="1:52" x14ac:dyDescent="0.2">
      <c r="A251" s="463"/>
      <c r="B251" s="3">
        <v>19</v>
      </c>
      <c r="C251" s="45">
        <f t="shared" si="117"/>
        <v>0</v>
      </c>
      <c r="D251" s="45">
        <f t="shared" si="105"/>
        <v>0</v>
      </c>
      <c r="E251" s="45">
        <f>IF(OR(D251=0,D251="",B$116=0),0,D251*INDEX(Listes!$K$1:$Q$12,MATCH(B$116,Listes!$K$1:$K$12,0),MATCH(E$117,Listes!$K$1:$Q$1,0)))</f>
        <v>0</v>
      </c>
      <c r="F251" s="45">
        <f t="shared" si="106"/>
        <v>0</v>
      </c>
      <c r="G251" s="45">
        <f>IF(OR(B$231=0,B$231=""),0,F251*INDEX(Listes!$K$15:$P$26,MATCH(B$231,Listes!$K$15:$K$26,0),MATCH(G$232,Listes!$K$15:$P$15,0))*INDEX(Listes!$K$29:$O$31,MATCH(C$231,Listes!$K$29:$K$31,0),MATCH(G$232,Listes!$K$29:$O$29,0)))</f>
        <v>0</v>
      </c>
      <c r="H251" s="45">
        <f>IF(OR(B$231=0,B$231=""),0,F251*INDEX(Listes!$K$15:$P$26,MATCH(B$231,Listes!$K$15:$K$26,0),MATCH(H$232,Listes!$K$15:$P$15,0))*INDEX(Listes!$K$29:$O$31,MATCH(C$231,Listes!$K$29:$K$31,0),MATCH(H$232,Listes!$K$29:$O$29,0)))</f>
        <v>0</v>
      </c>
      <c r="I251" s="45">
        <f>IF(OR(B$231=0,B$231=""),0,F251*INDEX(Listes!$K$15:$P$26,MATCH(B$231,Listes!$K$15:$K$26,0),MATCH(I$232,Listes!$K$15:$P$15,0))*INDEX(Listes!$K$29:$O$31,MATCH(C$231,Listes!$K$29:$K$31,0),MATCH(I$232,Listes!$K$29:$O$29,0)))</f>
        <v>0</v>
      </c>
      <c r="K251" s="463"/>
      <c r="L251" s="3">
        <v>19</v>
      </c>
      <c r="M251" s="45">
        <f t="shared" si="107"/>
        <v>0</v>
      </c>
      <c r="N251" s="45">
        <f t="shared" si="108"/>
        <v>0</v>
      </c>
      <c r="O251" s="45">
        <f>IF(OR(N251=0,N251="",L$116=0),0,N251*INDEX(Listes!$K$1:$Q$12,MATCH(L$116,Listes!$K$1:$K$12,0),MATCH(O$117,Listes!$K$1:$Q$1,0)))</f>
        <v>0</v>
      </c>
      <c r="P251" s="45">
        <f t="shared" si="109"/>
        <v>0</v>
      </c>
      <c r="Q251" s="45">
        <f>IF(OR(L$231=0,L$231=""),0,P251*INDEX(Listes!$K$15:$P$26,MATCH(L$231,Listes!$K$15:$K$26,0),MATCH(Q$232,Listes!$K$15:$P$15,0))*INDEX(Listes!$K$29:$O$31,MATCH(M$231,Listes!$K$29:$K$31,0),MATCH(Q$232,Listes!$K$29:$O$29,0)))</f>
        <v>0</v>
      </c>
      <c r="R251" s="45">
        <f>IF(OR(L$231=0,L$231=""),0,P251*INDEX(Listes!$K$15:$P$26,MATCH(L$231,Listes!$K$15:$K$26,0),MATCH(R$232,Listes!$K$15:$P$15,0))*INDEX(Listes!$K$29:$O$31,MATCH(M$231,Listes!$K$29:$K$31,0),MATCH(R$232,Listes!$K$29:$O$29,0)))</f>
        <v>0</v>
      </c>
      <c r="S251" s="45">
        <f>IF(OR(L$231=0,L$231=""),0,P251*INDEX(Listes!$K$15:$P$26,MATCH(L$231,Listes!$K$15:$K$26,0),MATCH(S$232,Listes!$K$15:$P$15,0))*INDEX(Listes!$K$29:$O$31,MATCH(M$231,Listes!$K$29:$K$31,0),MATCH(S$232,Listes!$K$29:$O$29,0)))</f>
        <v>0</v>
      </c>
      <c r="U251" s="463"/>
      <c r="V251" s="3">
        <v>19</v>
      </c>
      <c r="W251" s="45">
        <f t="shared" si="110"/>
        <v>0</v>
      </c>
      <c r="X251" s="45">
        <f t="shared" si="111"/>
        <v>0</v>
      </c>
      <c r="Y251" s="45">
        <f>IF(OR(X251=0,X251="",V$116=0),0,X251*INDEX(Listes!$K$1:$Q$12,MATCH(V$116,Listes!$K$1:$K$12,0),MATCH(Y$117,Listes!$K$1:$Q$1,0)))</f>
        <v>0</v>
      </c>
      <c r="Z251" s="45">
        <f t="shared" si="112"/>
        <v>0</v>
      </c>
      <c r="AA251" s="45">
        <f>IF(OR(V$231=0,V$231=""),0,Z251*INDEX(Listes!$K$15:$P$26,MATCH(V$231,Listes!$K$15:$K$26,0),MATCH(AA$232,Listes!$K$15:$P$15,0))*INDEX(Listes!$K$29:$O$31,MATCH(W$231,Listes!$K$29:$K$31,0),MATCH(AA$232,Listes!$K$29:$O$29,0)))</f>
        <v>0</v>
      </c>
      <c r="AB251" s="45">
        <f>IF(OR(V$231=0,V$231=""),0,Z251*INDEX(Listes!$K$15:$P$26,MATCH(V$231,Listes!$K$15:$K$26,0),MATCH(AB$232,Listes!$K$15:$P$15,0))*INDEX(Listes!$K$29:$O$31,MATCH(W$231,Listes!$K$29:$K$31,0),MATCH(AB$232,Listes!$K$29:$O$29,0)))</f>
        <v>0</v>
      </c>
      <c r="AC251" s="45">
        <f>IF(OR(V$231=0,V$231=""),0,Z251*INDEX(Listes!$K$15:$P$26,MATCH(V$231,Listes!$K$15:$K$26,0),MATCH(AC$232,Listes!$K$15:$P$15,0))*INDEX(Listes!$K$29:$O$31,MATCH(W$231,Listes!$K$29:$K$31,0),MATCH(AC$232,Listes!$K$29:$O$29,0)))</f>
        <v>0</v>
      </c>
      <c r="AE251" s="463"/>
      <c r="AF251" s="3">
        <v>19</v>
      </c>
      <c r="AG251" s="45">
        <f t="shared" si="113"/>
        <v>0</v>
      </c>
      <c r="AH251" s="45">
        <f t="shared" si="114"/>
        <v>0</v>
      </c>
      <c r="AI251" s="45">
        <f>IF(OR(AH251=0,AH251="",AF$116=0),0,AH251*INDEX(Listes!$K$1:$Q$12,MATCH(AF$116,Listes!$K$1:$K$12,0),MATCH(AI$117,Listes!$K$1:$Q$1,0)))</f>
        <v>0</v>
      </c>
      <c r="AJ251" s="45">
        <f t="shared" si="115"/>
        <v>0</v>
      </c>
      <c r="AK251" s="45">
        <f>IF(OR(AF$231=0,AF$231=""),0,AJ251*INDEX(Listes!$K$15:$P$26,MATCH(AF$231,Listes!$K$15:$K$26,0),MATCH(AK$232,Listes!$K$15:$P$15,0))*INDEX(Listes!$K$29:$O$31,MATCH(AG$231,Listes!$K$29:$K$31,0),MATCH(AK$232,Listes!$K$29:$O$29,0)))</f>
        <v>0</v>
      </c>
      <c r="AL251" s="45">
        <f>IF(OR(AF$231=0,AF$231=""),0,AJ251*INDEX(Listes!$K$15:$P$26,MATCH(AF$231,Listes!$K$15:$K$26,0),MATCH(AL$232,Listes!$K$15:$P$15,0))*INDEX(Listes!$K$29:$O$31,MATCH(AG$231,Listes!$K$29:$K$31,0),MATCH(AL$232,Listes!$K$29:$O$29,0)))</f>
        <v>0</v>
      </c>
      <c r="AM251" s="45">
        <f>IF(OR(AF$231=0,AF$231=""),0,AJ251*INDEX(Listes!$K$15:$P$26,MATCH(AF$231,Listes!$K$15:$K$26,0),MATCH(AM$232,Listes!$K$15:$P$15,0))*INDEX(Listes!$K$29:$O$31,MATCH(AG$231,Listes!$K$29:$K$31,0),MATCH(AM$232,Listes!$K$29:$O$29,0)))</f>
        <v>0</v>
      </c>
      <c r="AO251" s="463"/>
      <c r="AP251" s="3">
        <v>19</v>
      </c>
      <c r="AQ251" s="11">
        <f t="shared" si="116"/>
        <v>0</v>
      </c>
      <c r="AR251" s="11">
        <f t="shared" si="116"/>
        <v>0</v>
      </c>
      <c r="AS251" s="11">
        <f t="shared" si="116"/>
        <v>0</v>
      </c>
      <c r="AT251" s="11">
        <f>AQ251*VLOOKUP(AQ$232,Tableau17[],4,FALSE)+AR251*VLOOKUP(AR$232,Tableau17[],4,FALSE)+AS251*VLOOKUP(AS$232,Tableau17[],4,FALSE)</f>
        <v>0</v>
      </c>
      <c r="AU251" s="11">
        <f>AQ251*VLOOKUP(AQ$232,Tableau17[],3,FALSE)+AR251*VLOOKUP(AR$232,Tableau17[],3,FALSE)+AS251*VLOOKUP(AS$232,Tableau17[],3,FALSE)</f>
        <v>0</v>
      </c>
    </row>
    <row r="252" spans="1:52" x14ac:dyDescent="0.2">
      <c r="A252" s="463"/>
      <c r="B252" s="3">
        <v>20</v>
      </c>
      <c r="C252" s="45">
        <f t="shared" si="117"/>
        <v>0</v>
      </c>
      <c r="D252" s="45">
        <f t="shared" si="105"/>
        <v>0</v>
      </c>
      <c r="E252" s="45">
        <f>IF(OR(D252=0,D252="",B$116=0),0,D252*INDEX(Listes!$K$1:$Q$12,MATCH(B$116,Listes!$K$1:$K$12,0),MATCH(E$117,Listes!$K$1:$Q$1,0)))</f>
        <v>0</v>
      </c>
      <c r="F252" s="45">
        <f t="shared" si="106"/>
        <v>0</v>
      </c>
      <c r="G252" s="45">
        <f>IF(OR(B$231=0,B$231=""),0,F252*INDEX(Listes!$K$15:$P$26,MATCH(B$231,Listes!$K$15:$K$26,0),MATCH(G$232,Listes!$K$15:$P$15,0))*INDEX(Listes!$K$29:$O$31,MATCH(C$231,Listes!$K$29:$K$31,0),MATCH(G$232,Listes!$K$29:$O$29,0)))</f>
        <v>0</v>
      </c>
      <c r="H252" s="45">
        <f>IF(OR(B$231=0,B$231=""),0,F252*INDEX(Listes!$K$15:$P$26,MATCH(B$231,Listes!$K$15:$K$26,0),MATCH(H$232,Listes!$K$15:$P$15,0))*INDEX(Listes!$K$29:$O$31,MATCH(C$231,Listes!$K$29:$K$31,0),MATCH(H$232,Listes!$K$29:$O$29,0)))</f>
        <v>0</v>
      </c>
      <c r="I252" s="45">
        <f>IF(OR(B$231=0,B$231=""),0,F252*INDEX(Listes!$K$15:$P$26,MATCH(B$231,Listes!$K$15:$K$26,0),MATCH(I$232,Listes!$K$15:$P$15,0))*INDEX(Listes!$K$29:$O$31,MATCH(C$231,Listes!$K$29:$K$31,0),MATCH(I$232,Listes!$K$29:$O$29,0)))</f>
        <v>0</v>
      </c>
      <c r="K252" s="463"/>
      <c r="L252" s="3">
        <v>20</v>
      </c>
      <c r="M252" s="45">
        <f t="shared" si="107"/>
        <v>0</v>
      </c>
      <c r="N252" s="45">
        <f t="shared" si="108"/>
        <v>0</v>
      </c>
      <c r="O252" s="45">
        <f>IF(OR(N252=0,N252="",L$116=0),0,N252*INDEX(Listes!$K$1:$Q$12,MATCH(L$116,Listes!$K$1:$K$12,0),MATCH(O$117,Listes!$K$1:$Q$1,0)))</f>
        <v>0</v>
      </c>
      <c r="P252" s="45">
        <f t="shared" si="109"/>
        <v>0</v>
      </c>
      <c r="Q252" s="45">
        <f>IF(OR(L$231=0,L$231=""),0,P252*INDEX(Listes!$K$15:$P$26,MATCH(L$231,Listes!$K$15:$K$26,0),MATCH(Q$232,Listes!$K$15:$P$15,0))*INDEX(Listes!$K$29:$O$31,MATCH(M$231,Listes!$K$29:$K$31,0),MATCH(Q$232,Listes!$K$29:$O$29,0)))</f>
        <v>0</v>
      </c>
      <c r="R252" s="45">
        <f>IF(OR(L$231=0,L$231=""),0,P252*INDEX(Listes!$K$15:$P$26,MATCH(L$231,Listes!$K$15:$K$26,0),MATCH(R$232,Listes!$K$15:$P$15,0))*INDEX(Listes!$K$29:$O$31,MATCH(M$231,Listes!$K$29:$K$31,0),MATCH(R$232,Listes!$K$29:$O$29,0)))</f>
        <v>0</v>
      </c>
      <c r="S252" s="45">
        <f>IF(OR(L$231=0,L$231=""),0,P252*INDEX(Listes!$K$15:$P$26,MATCH(L$231,Listes!$K$15:$K$26,0),MATCH(S$232,Listes!$K$15:$P$15,0))*INDEX(Listes!$K$29:$O$31,MATCH(M$231,Listes!$K$29:$K$31,0),MATCH(S$232,Listes!$K$29:$O$29,0)))</f>
        <v>0</v>
      </c>
      <c r="U252" s="463"/>
      <c r="V252" s="3">
        <v>20</v>
      </c>
      <c r="W252" s="45">
        <f t="shared" si="110"/>
        <v>0</v>
      </c>
      <c r="X252" s="45">
        <f t="shared" si="111"/>
        <v>0</v>
      </c>
      <c r="Y252" s="45">
        <f>IF(OR(X252=0,X252="",V$116=0),0,X252*INDEX(Listes!$K$1:$Q$12,MATCH(V$116,Listes!$K$1:$K$12,0),MATCH(Y$117,Listes!$K$1:$Q$1,0)))</f>
        <v>0</v>
      </c>
      <c r="Z252" s="45">
        <f t="shared" si="112"/>
        <v>0</v>
      </c>
      <c r="AA252" s="45">
        <f>IF(OR(V$231=0,V$231=""),0,Z252*INDEX(Listes!$K$15:$P$26,MATCH(V$231,Listes!$K$15:$K$26,0),MATCH(AA$232,Listes!$K$15:$P$15,0))*INDEX(Listes!$K$29:$O$31,MATCH(W$231,Listes!$K$29:$K$31,0),MATCH(AA$232,Listes!$K$29:$O$29,0)))</f>
        <v>0</v>
      </c>
      <c r="AB252" s="45">
        <f>IF(OR(V$231=0,V$231=""),0,Z252*INDEX(Listes!$K$15:$P$26,MATCH(V$231,Listes!$K$15:$K$26,0),MATCH(AB$232,Listes!$K$15:$P$15,0))*INDEX(Listes!$K$29:$O$31,MATCH(W$231,Listes!$K$29:$K$31,0),MATCH(AB$232,Listes!$K$29:$O$29,0)))</f>
        <v>0</v>
      </c>
      <c r="AC252" s="45">
        <f>IF(OR(V$231=0,V$231=""),0,Z252*INDEX(Listes!$K$15:$P$26,MATCH(V$231,Listes!$K$15:$K$26,0),MATCH(AC$232,Listes!$K$15:$P$15,0))*INDEX(Listes!$K$29:$O$31,MATCH(W$231,Listes!$K$29:$K$31,0),MATCH(AC$232,Listes!$K$29:$O$29,0)))</f>
        <v>0</v>
      </c>
      <c r="AE252" s="463"/>
      <c r="AF252" s="3">
        <v>20</v>
      </c>
      <c r="AG252" s="45">
        <f t="shared" si="113"/>
        <v>0</v>
      </c>
      <c r="AH252" s="45">
        <f t="shared" si="114"/>
        <v>0</v>
      </c>
      <c r="AI252" s="45">
        <f>IF(OR(AH252=0,AH252="",AF$116=0),0,AH252*INDEX(Listes!$K$1:$Q$12,MATCH(AF$116,Listes!$K$1:$K$12,0),MATCH(AI$117,Listes!$K$1:$Q$1,0)))</f>
        <v>0</v>
      </c>
      <c r="AJ252" s="45">
        <f t="shared" si="115"/>
        <v>0</v>
      </c>
      <c r="AK252" s="45">
        <f>IF(OR(AF$231=0,AF$231=""),0,AJ252*INDEX(Listes!$K$15:$P$26,MATCH(AF$231,Listes!$K$15:$K$26,0),MATCH(AK$232,Listes!$K$15:$P$15,0))*INDEX(Listes!$K$29:$O$31,MATCH(AG$231,Listes!$K$29:$K$31,0),MATCH(AK$232,Listes!$K$29:$O$29,0)))</f>
        <v>0</v>
      </c>
      <c r="AL252" s="45">
        <f>IF(OR(AF$231=0,AF$231=""),0,AJ252*INDEX(Listes!$K$15:$P$26,MATCH(AF$231,Listes!$K$15:$K$26,0),MATCH(AL$232,Listes!$K$15:$P$15,0))*INDEX(Listes!$K$29:$O$31,MATCH(AG$231,Listes!$K$29:$K$31,0),MATCH(AL$232,Listes!$K$29:$O$29,0)))</f>
        <v>0</v>
      </c>
      <c r="AM252" s="45">
        <f>IF(OR(AF$231=0,AF$231=""),0,AJ252*INDEX(Listes!$K$15:$P$26,MATCH(AF$231,Listes!$K$15:$K$26,0),MATCH(AM$232,Listes!$K$15:$P$15,0))*INDEX(Listes!$K$29:$O$31,MATCH(AG$231,Listes!$K$29:$K$31,0),MATCH(AM$232,Listes!$K$29:$O$29,0)))</f>
        <v>0</v>
      </c>
      <c r="AO252" s="463"/>
      <c r="AP252" s="3">
        <v>20</v>
      </c>
      <c r="AQ252" s="11">
        <f t="shared" si="116"/>
        <v>0</v>
      </c>
      <c r="AR252" s="11">
        <f t="shared" si="116"/>
        <v>0</v>
      </c>
      <c r="AS252" s="11">
        <f t="shared" si="116"/>
        <v>0</v>
      </c>
      <c r="AT252" s="11">
        <f>AQ252*VLOOKUP(AQ$232,Tableau17[],4,FALSE)+AR252*VLOOKUP(AR$232,Tableau17[],4,FALSE)+AS252*VLOOKUP(AS$232,Tableau17[],4,FALSE)</f>
        <v>0</v>
      </c>
      <c r="AU252" s="11">
        <f>AQ252*VLOOKUP(AQ$232,Tableau17[],3,FALSE)+AR252*VLOOKUP(AR$232,Tableau17[],3,FALSE)+AS252*VLOOKUP(AS$232,Tableau17[],3,FALSE)</f>
        <v>0</v>
      </c>
    </row>
    <row r="254" spans="1:52" x14ac:dyDescent="0.2">
      <c r="A254" s="136" t="s">
        <v>633</v>
      </c>
      <c r="B254" s="136"/>
      <c r="C254" s="136"/>
      <c r="D254" s="136"/>
      <c r="E254" s="136"/>
      <c r="F254" s="136"/>
      <c r="G254" s="136"/>
      <c r="H254" s="136"/>
      <c r="I254" s="136"/>
      <c r="J254" s="136"/>
      <c r="K254" s="136"/>
      <c r="L254" s="136"/>
      <c r="M254" s="49"/>
      <c r="N254" s="49"/>
      <c r="O254" s="49"/>
      <c r="P254" s="49"/>
      <c r="Q254" s="49"/>
      <c r="R254" s="49"/>
      <c r="S254" s="49"/>
      <c r="T254" s="49"/>
      <c r="U254" s="49"/>
      <c r="V254" s="49"/>
      <c r="W254" s="49"/>
      <c r="X254" s="49"/>
      <c r="Y254" s="49"/>
      <c r="Z254" s="49"/>
      <c r="AA254" s="49"/>
      <c r="AB254" s="49"/>
      <c r="AC254" s="49"/>
      <c r="AD254" s="49"/>
      <c r="AE254" s="49"/>
      <c r="AF254" s="49"/>
      <c r="AG254" s="49"/>
      <c r="AH254" s="49"/>
      <c r="AI254" s="49"/>
      <c r="AJ254" s="49"/>
      <c r="AK254" s="49"/>
      <c r="AL254" s="49"/>
      <c r="AM254" s="49"/>
      <c r="AN254" s="49"/>
      <c r="AO254" s="49"/>
      <c r="AP254" s="49"/>
      <c r="AQ254" s="49"/>
      <c r="AR254" s="49"/>
      <c r="AS254" s="49"/>
      <c r="AT254" s="49"/>
      <c r="AU254" s="49"/>
      <c r="AV254" s="49"/>
      <c r="AW254" s="49"/>
      <c r="AX254" s="49"/>
      <c r="AY254" s="49"/>
      <c r="AZ254" s="49"/>
    </row>
    <row r="256" spans="1:52" x14ac:dyDescent="0.2">
      <c r="A256" s="463" t="s">
        <v>185</v>
      </c>
      <c r="B256" s="3" t="s">
        <v>28</v>
      </c>
      <c r="C256" s="3">
        <v>1</v>
      </c>
      <c r="D256" s="3">
        <v>2</v>
      </c>
      <c r="E256" s="3">
        <v>3</v>
      </c>
      <c r="F256" s="3">
        <v>4</v>
      </c>
      <c r="G256" s="3">
        <v>5</v>
      </c>
      <c r="H256" s="3">
        <v>6</v>
      </c>
      <c r="I256" s="3">
        <v>7</v>
      </c>
      <c r="J256" s="3">
        <v>8</v>
      </c>
      <c r="K256" s="3">
        <v>9</v>
      </c>
      <c r="L256" s="3">
        <v>10</v>
      </c>
      <c r="M256" s="3">
        <v>11</v>
      </c>
      <c r="N256" s="3">
        <v>12</v>
      </c>
      <c r="O256" s="3">
        <v>13</v>
      </c>
      <c r="P256" s="3">
        <v>14</v>
      </c>
      <c r="Q256" s="3">
        <v>15</v>
      </c>
      <c r="R256" s="3">
        <v>16</v>
      </c>
      <c r="S256" s="3">
        <v>17</v>
      </c>
      <c r="T256" s="3">
        <v>18</v>
      </c>
      <c r="U256" s="3">
        <v>19</v>
      </c>
      <c r="V256" s="3">
        <v>20</v>
      </c>
    </row>
    <row r="257" spans="1:32" x14ac:dyDescent="0.2">
      <c r="A257" s="463"/>
      <c r="B257" s="3" t="s">
        <v>86</v>
      </c>
      <c r="C257" s="11">
        <f>VLOOKUP(C256,Tableau4668167392431470[],6,FALSE)</f>
        <v>0</v>
      </c>
      <c r="D257" s="11">
        <f>VLOOKUP(D256,Tableau4668167392431470[],6,FALSE)</f>
        <v>0</v>
      </c>
      <c r="E257" s="11">
        <f>VLOOKUP(E256,Tableau4668167392431470[],6,FALSE)</f>
        <v>0</v>
      </c>
      <c r="F257" s="11">
        <f>VLOOKUP(F256,Tableau4668167392431470[],6,FALSE)</f>
        <v>0</v>
      </c>
      <c r="G257" s="11">
        <f>VLOOKUP(G256,Tableau4668167392431470[],6,FALSE)</f>
        <v>0</v>
      </c>
      <c r="H257" s="11">
        <f>VLOOKUP(H256,Tableau4668167392431470[],6,FALSE)</f>
        <v>0</v>
      </c>
      <c r="I257" s="11">
        <f>VLOOKUP(I256,Tableau4668167392431470[],6,FALSE)</f>
        <v>0</v>
      </c>
      <c r="J257" s="11">
        <f>VLOOKUP(J256,Tableau4668167392431470[],6,FALSE)</f>
        <v>0</v>
      </c>
      <c r="K257" s="11">
        <f>VLOOKUP(K256,Tableau4668167392431470[],6,FALSE)</f>
        <v>0</v>
      </c>
      <c r="L257" s="11">
        <f>VLOOKUP(L256,Tableau4668167392431470[],6,FALSE)</f>
        <v>0</v>
      </c>
      <c r="M257" s="11">
        <f>VLOOKUP(M256,Tableau4668167392431470[],6,FALSE)</f>
        <v>0</v>
      </c>
      <c r="N257" s="11">
        <f>VLOOKUP(N256,Tableau4668167392431470[],6,FALSE)</f>
        <v>0</v>
      </c>
      <c r="O257" s="11">
        <f>VLOOKUP(O256,Tableau4668167392431470[],6,FALSE)</f>
        <v>0</v>
      </c>
      <c r="P257" s="11">
        <f>VLOOKUP(P256,Tableau4668167392431470[],6,FALSE)</f>
        <v>0</v>
      </c>
      <c r="Q257" s="11">
        <f>VLOOKUP(Q256,Tableau4668167392431470[],6,FALSE)</f>
        <v>0</v>
      </c>
      <c r="R257" s="11">
        <f>VLOOKUP(R256,Tableau4668167392431470[],6,FALSE)</f>
        <v>0</v>
      </c>
      <c r="S257" s="11">
        <f>VLOOKUP(S256,Tableau4668167392431470[],6,FALSE)</f>
        <v>0</v>
      </c>
      <c r="T257" s="11">
        <f>VLOOKUP(T256,Tableau4668167392431470[],6,FALSE)</f>
        <v>0</v>
      </c>
      <c r="U257" s="11">
        <f>VLOOKUP(U256,Tableau4668167392431470[],6,FALSE)</f>
        <v>0</v>
      </c>
      <c r="V257" s="11">
        <f>VLOOKUP(V256,Tableau4668167392431470[],6,FALSE)</f>
        <v>0</v>
      </c>
      <c r="W257" s="11"/>
      <c r="X257" s="11"/>
      <c r="Y257" s="11"/>
      <c r="Z257" s="11"/>
      <c r="AA257" s="11"/>
      <c r="AB257" s="11"/>
      <c r="AC257" s="11"/>
      <c r="AD257" s="11"/>
      <c r="AE257" s="11"/>
      <c r="AF257" s="11"/>
    </row>
    <row r="259" spans="1:32" ht="16" customHeight="1" x14ac:dyDescent="0.2">
      <c r="A259" s="463" t="s">
        <v>186</v>
      </c>
      <c r="B259" s="3" t="s">
        <v>28</v>
      </c>
      <c r="C259" s="3" t="s">
        <v>27</v>
      </c>
      <c r="D259" s="3" t="s">
        <v>29</v>
      </c>
      <c r="E259" s="3" t="s">
        <v>30</v>
      </c>
      <c r="F259" s="3" t="s">
        <v>31</v>
      </c>
      <c r="G259" s="3" t="s">
        <v>32</v>
      </c>
      <c r="H259" s="3" t="s">
        <v>33</v>
      </c>
      <c r="I259" s="3" t="s">
        <v>34</v>
      </c>
      <c r="J259" s="3" t="s">
        <v>35</v>
      </c>
      <c r="K259" s="3" t="s">
        <v>36</v>
      </c>
      <c r="L259" s="3" t="s">
        <v>37</v>
      </c>
      <c r="M259" s="3" t="s">
        <v>38</v>
      </c>
      <c r="N259" s="3" t="s">
        <v>39</v>
      </c>
      <c r="O259" s="3" t="s">
        <v>40</v>
      </c>
      <c r="P259" s="3" t="s">
        <v>41</v>
      </c>
      <c r="Q259" s="3" t="s">
        <v>42</v>
      </c>
      <c r="R259" s="3" t="s">
        <v>43</v>
      </c>
      <c r="S259" s="3" t="s">
        <v>44</v>
      </c>
      <c r="T259" s="3" t="s">
        <v>45</v>
      </c>
      <c r="U259" s="3" t="s">
        <v>46</v>
      </c>
      <c r="V259" s="3" t="s">
        <v>47</v>
      </c>
      <c r="W259" s="3" t="s">
        <v>48</v>
      </c>
      <c r="X259" s="3" t="s">
        <v>49</v>
      </c>
    </row>
    <row r="260" spans="1:32" x14ac:dyDescent="0.2">
      <c r="A260" s="463"/>
      <c r="B260" s="3">
        <v>1</v>
      </c>
      <c r="C260" s="45">
        <f t="shared" ref="C260:C279" si="118">AT233+IF($B260=1,0,C259)</f>
        <v>0</v>
      </c>
      <c r="D260" s="45">
        <f t="shared" ref="D260:W272" si="119">IF($B260&gt;=C$256,IF($B260=C$256,C$257,C$257*((20+C$256)-$B260)/20),0)*IF((20+C$256)-$B260&lt;0,0,1)</f>
        <v>0</v>
      </c>
      <c r="E260" s="45">
        <f t="shared" si="119"/>
        <v>0</v>
      </c>
      <c r="F260" s="45">
        <f t="shared" si="119"/>
        <v>0</v>
      </c>
      <c r="G260" s="45">
        <f t="shared" si="119"/>
        <v>0</v>
      </c>
      <c r="H260" s="45">
        <f t="shared" si="119"/>
        <v>0</v>
      </c>
      <c r="I260" s="45">
        <f t="shared" si="119"/>
        <v>0</v>
      </c>
      <c r="J260" s="45">
        <f t="shared" si="119"/>
        <v>0</v>
      </c>
      <c r="K260" s="45">
        <f t="shared" si="119"/>
        <v>0</v>
      </c>
      <c r="L260" s="45">
        <f t="shared" si="119"/>
        <v>0</v>
      </c>
      <c r="M260" s="45">
        <f t="shared" si="119"/>
        <v>0</v>
      </c>
      <c r="N260" s="45">
        <f t="shared" si="119"/>
        <v>0</v>
      </c>
      <c r="O260" s="45">
        <f t="shared" si="119"/>
        <v>0</v>
      </c>
      <c r="P260" s="45">
        <f t="shared" si="119"/>
        <v>0</v>
      </c>
      <c r="Q260" s="45">
        <f t="shared" si="119"/>
        <v>0</v>
      </c>
      <c r="R260" s="45">
        <f t="shared" si="119"/>
        <v>0</v>
      </c>
      <c r="S260" s="45">
        <f t="shared" si="119"/>
        <v>0</v>
      </c>
      <c r="T260" s="45">
        <f t="shared" si="119"/>
        <v>0</v>
      </c>
      <c r="U260" s="45">
        <f t="shared" si="119"/>
        <v>0</v>
      </c>
      <c r="V260" s="45">
        <f t="shared" si="119"/>
        <v>0</v>
      </c>
      <c r="W260" s="45">
        <f t="shared" si="119"/>
        <v>0</v>
      </c>
      <c r="X260" s="45">
        <f t="shared" ref="X260:X279" si="120">SUM(C260:W260)*44/12</f>
        <v>0</v>
      </c>
    </row>
    <row r="261" spans="1:32" x14ac:dyDescent="0.2">
      <c r="A261" s="463"/>
      <c r="B261" s="3">
        <v>2</v>
      </c>
      <c r="C261" s="11">
        <f t="shared" si="118"/>
        <v>0</v>
      </c>
      <c r="D261" s="45">
        <f t="shared" si="119"/>
        <v>0</v>
      </c>
      <c r="E261" s="45">
        <f t="shared" si="119"/>
        <v>0</v>
      </c>
      <c r="F261" s="45">
        <f t="shared" si="119"/>
        <v>0</v>
      </c>
      <c r="G261" s="45">
        <f t="shared" si="119"/>
        <v>0</v>
      </c>
      <c r="H261" s="45">
        <f t="shared" si="119"/>
        <v>0</v>
      </c>
      <c r="I261" s="45">
        <f t="shared" si="119"/>
        <v>0</v>
      </c>
      <c r="J261" s="45">
        <f t="shared" si="119"/>
        <v>0</v>
      </c>
      <c r="K261" s="45">
        <f t="shared" si="119"/>
        <v>0</v>
      </c>
      <c r="L261" s="45">
        <f t="shared" si="119"/>
        <v>0</v>
      </c>
      <c r="M261" s="11">
        <f t="shared" si="119"/>
        <v>0</v>
      </c>
      <c r="N261" s="11">
        <f t="shared" si="119"/>
        <v>0</v>
      </c>
      <c r="O261" s="11">
        <f t="shared" si="119"/>
        <v>0</v>
      </c>
      <c r="P261" s="11">
        <f t="shared" si="119"/>
        <v>0</v>
      </c>
      <c r="Q261" s="11">
        <f t="shared" si="119"/>
        <v>0</v>
      </c>
      <c r="R261" s="11">
        <f t="shared" si="119"/>
        <v>0</v>
      </c>
      <c r="S261" s="11">
        <f t="shared" si="119"/>
        <v>0</v>
      </c>
      <c r="T261" s="11">
        <f t="shared" si="119"/>
        <v>0</v>
      </c>
      <c r="U261" s="11">
        <f t="shared" si="119"/>
        <v>0</v>
      </c>
      <c r="V261" s="11">
        <f t="shared" si="119"/>
        <v>0</v>
      </c>
      <c r="W261" s="11">
        <f t="shared" si="119"/>
        <v>0</v>
      </c>
      <c r="X261" s="11">
        <f t="shared" si="120"/>
        <v>0</v>
      </c>
    </row>
    <row r="262" spans="1:32" x14ac:dyDescent="0.2">
      <c r="A262" s="463"/>
      <c r="B262" s="3">
        <v>3</v>
      </c>
      <c r="C262" s="11">
        <f t="shared" si="118"/>
        <v>0</v>
      </c>
      <c r="D262" s="45">
        <f t="shared" si="119"/>
        <v>0</v>
      </c>
      <c r="E262" s="45">
        <f t="shared" si="119"/>
        <v>0</v>
      </c>
      <c r="F262" s="45">
        <f t="shared" si="119"/>
        <v>0</v>
      </c>
      <c r="G262" s="45">
        <f t="shared" si="119"/>
        <v>0</v>
      </c>
      <c r="H262" s="45">
        <f t="shared" si="119"/>
        <v>0</v>
      </c>
      <c r="I262" s="45">
        <f t="shared" si="119"/>
        <v>0</v>
      </c>
      <c r="J262" s="45">
        <f t="shared" si="119"/>
        <v>0</v>
      </c>
      <c r="K262" s="45">
        <f t="shared" si="119"/>
        <v>0</v>
      </c>
      <c r="L262" s="45">
        <f t="shared" si="119"/>
        <v>0</v>
      </c>
      <c r="M262" s="11">
        <f t="shared" si="119"/>
        <v>0</v>
      </c>
      <c r="N262" s="11">
        <f t="shared" si="119"/>
        <v>0</v>
      </c>
      <c r="O262" s="11">
        <f t="shared" si="119"/>
        <v>0</v>
      </c>
      <c r="P262" s="11">
        <f t="shared" si="119"/>
        <v>0</v>
      </c>
      <c r="Q262" s="11">
        <f t="shared" si="119"/>
        <v>0</v>
      </c>
      <c r="R262" s="11">
        <f t="shared" si="119"/>
        <v>0</v>
      </c>
      <c r="S262" s="11">
        <f t="shared" si="119"/>
        <v>0</v>
      </c>
      <c r="T262" s="11">
        <f t="shared" si="119"/>
        <v>0</v>
      </c>
      <c r="U262" s="11">
        <f t="shared" si="119"/>
        <v>0</v>
      </c>
      <c r="V262" s="11">
        <f t="shared" si="119"/>
        <v>0</v>
      </c>
      <c r="W262" s="11">
        <f t="shared" si="119"/>
        <v>0</v>
      </c>
      <c r="X262" s="11">
        <f t="shared" si="120"/>
        <v>0</v>
      </c>
    </row>
    <row r="263" spans="1:32" x14ac:dyDescent="0.2">
      <c r="A263" s="463"/>
      <c r="B263" s="3">
        <v>4</v>
      </c>
      <c r="C263" s="11">
        <f t="shared" si="118"/>
        <v>0</v>
      </c>
      <c r="D263" s="45">
        <f t="shared" si="119"/>
        <v>0</v>
      </c>
      <c r="E263" s="45">
        <f t="shared" si="119"/>
        <v>0</v>
      </c>
      <c r="F263" s="45">
        <f t="shared" si="119"/>
        <v>0</v>
      </c>
      <c r="G263" s="45">
        <f t="shared" si="119"/>
        <v>0</v>
      </c>
      <c r="H263" s="45">
        <f t="shared" si="119"/>
        <v>0</v>
      </c>
      <c r="I263" s="45">
        <f t="shared" si="119"/>
        <v>0</v>
      </c>
      <c r="J263" s="45">
        <f t="shared" si="119"/>
        <v>0</v>
      </c>
      <c r="K263" s="45">
        <f t="shared" si="119"/>
        <v>0</v>
      </c>
      <c r="L263" s="45">
        <f t="shared" si="119"/>
        <v>0</v>
      </c>
      <c r="M263" s="11">
        <f t="shared" si="119"/>
        <v>0</v>
      </c>
      <c r="N263" s="11">
        <f t="shared" si="119"/>
        <v>0</v>
      </c>
      <c r="O263" s="11">
        <f t="shared" si="119"/>
        <v>0</v>
      </c>
      <c r="P263" s="11">
        <f t="shared" si="119"/>
        <v>0</v>
      </c>
      <c r="Q263" s="11">
        <f t="shared" si="119"/>
        <v>0</v>
      </c>
      <c r="R263" s="11">
        <f t="shared" si="119"/>
        <v>0</v>
      </c>
      <c r="S263" s="11">
        <f t="shared" si="119"/>
        <v>0</v>
      </c>
      <c r="T263" s="11">
        <f t="shared" si="119"/>
        <v>0</v>
      </c>
      <c r="U263" s="11">
        <f t="shared" si="119"/>
        <v>0</v>
      </c>
      <c r="V263" s="11">
        <f t="shared" si="119"/>
        <v>0</v>
      </c>
      <c r="W263" s="11">
        <f t="shared" si="119"/>
        <v>0</v>
      </c>
      <c r="X263" s="11">
        <f t="shared" si="120"/>
        <v>0</v>
      </c>
    </row>
    <row r="264" spans="1:32" x14ac:dyDescent="0.2">
      <c r="A264" s="463"/>
      <c r="B264" s="3">
        <v>5</v>
      </c>
      <c r="C264" s="11">
        <f t="shared" si="118"/>
        <v>0</v>
      </c>
      <c r="D264" s="45">
        <f t="shared" si="119"/>
        <v>0</v>
      </c>
      <c r="E264" s="45">
        <f t="shared" si="119"/>
        <v>0</v>
      </c>
      <c r="F264" s="45">
        <f t="shared" si="119"/>
        <v>0</v>
      </c>
      <c r="G264" s="45">
        <f t="shared" si="119"/>
        <v>0</v>
      </c>
      <c r="H264" s="45">
        <f t="shared" si="119"/>
        <v>0</v>
      </c>
      <c r="I264" s="45">
        <f t="shared" si="119"/>
        <v>0</v>
      </c>
      <c r="J264" s="45">
        <f t="shared" si="119"/>
        <v>0</v>
      </c>
      <c r="K264" s="45">
        <f t="shared" si="119"/>
        <v>0</v>
      </c>
      <c r="L264" s="45">
        <f t="shared" si="119"/>
        <v>0</v>
      </c>
      <c r="M264" s="11">
        <f t="shared" si="119"/>
        <v>0</v>
      </c>
      <c r="N264" s="11">
        <f t="shared" si="119"/>
        <v>0</v>
      </c>
      <c r="O264" s="11">
        <f t="shared" si="119"/>
        <v>0</v>
      </c>
      <c r="P264" s="11">
        <f t="shared" si="119"/>
        <v>0</v>
      </c>
      <c r="Q264" s="11">
        <f t="shared" si="119"/>
        <v>0</v>
      </c>
      <c r="R264" s="11">
        <f t="shared" si="119"/>
        <v>0</v>
      </c>
      <c r="S264" s="11">
        <f t="shared" si="119"/>
        <v>0</v>
      </c>
      <c r="T264" s="11">
        <f t="shared" si="119"/>
        <v>0</v>
      </c>
      <c r="U264" s="11">
        <f t="shared" si="119"/>
        <v>0</v>
      </c>
      <c r="V264" s="11">
        <f t="shared" si="119"/>
        <v>0</v>
      </c>
      <c r="W264" s="11">
        <f t="shared" si="119"/>
        <v>0</v>
      </c>
      <c r="X264" s="11">
        <f t="shared" si="120"/>
        <v>0</v>
      </c>
    </row>
    <row r="265" spans="1:32" x14ac:dyDescent="0.2">
      <c r="A265" s="463"/>
      <c r="B265" s="3">
        <v>6</v>
      </c>
      <c r="C265" s="11">
        <f t="shared" si="118"/>
        <v>0</v>
      </c>
      <c r="D265" s="45">
        <f t="shared" si="119"/>
        <v>0</v>
      </c>
      <c r="E265" s="45">
        <f t="shared" si="119"/>
        <v>0</v>
      </c>
      <c r="F265" s="45">
        <f t="shared" si="119"/>
        <v>0</v>
      </c>
      <c r="G265" s="45">
        <f t="shared" si="119"/>
        <v>0</v>
      </c>
      <c r="H265" s="45">
        <f t="shared" si="119"/>
        <v>0</v>
      </c>
      <c r="I265" s="45">
        <f t="shared" si="119"/>
        <v>0</v>
      </c>
      <c r="J265" s="45">
        <f t="shared" si="119"/>
        <v>0</v>
      </c>
      <c r="K265" s="45">
        <f t="shared" si="119"/>
        <v>0</v>
      </c>
      <c r="L265" s="45">
        <f t="shared" si="119"/>
        <v>0</v>
      </c>
      <c r="M265" s="11">
        <f t="shared" si="119"/>
        <v>0</v>
      </c>
      <c r="N265" s="11">
        <f t="shared" si="119"/>
        <v>0</v>
      </c>
      <c r="O265" s="11">
        <f t="shared" si="119"/>
        <v>0</v>
      </c>
      <c r="P265" s="11">
        <f t="shared" si="119"/>
        <v>0</v>
      </c>
      <c r="Q265" s="11">
        <f t="shared" si="119"/>
        <v>0</v>
      </c>
      <c r="R265" s="11">
        <f t="shared" si="119"/>
        <v>0</v>
      </c>
      <c r="S265" s="11">
        <f t="shared" si="119"/>
        <v>0</v>
      </c>
      <c r="T265" s="11">
        <f t="shared" si="119"/>
        <v>0</v>
      </c>
      <c r="U265" s="11">
        <f t="shared" si="119"/>
        <v>0</v>
      </c>
      <c r="V265" s="11">
        <f t="shared" si="119"/>
        <v>0</v>
      </c>
      <c r="W265" s="11">
        <f t="shared" si="119"/>
        <v>0</v>
      </c>
      <c r="X265" s="11">
        <f t="shared" si="120"/>
        <v>0</v>
      </c>
    </row>
    <row r="266" spans="1:32" x14ac:dyDescent="0.2">
      <c r="A266" s="463"/>
      <c r="B266" s="3">
        <v>7</v>
      </c>
      <c r="C266" s="11">
        <f t="shared" si="118"/>
        <v>0</v>
      </c>
      <c r="D266" s="45">
        <f t="shared" si="119"/>
        <v>0</v>
      </c>
      <c r="E266" s="45">
        <f t="shared" si="119"/>
        <v>0</v>
      </c>
      <c r="F266" s="45">
        <f t="shared" si="119"/>
        <v>0</v>
      </c>
      <c r="G266" s="45">
        <f t="shared" si="119"/>
        <v>0</v>
      </c>
      <c r="H266" s="45">
        <f t="shared" si="119"/>
        <v>0</v>
      </c>
      <c r="I266" s="45">
        <f t="shared" si="119"/>
        <v>0</v>
      </c>
      <c r="J266" s="45">
        <f t="shared" si="119"/>
        <v>0</v>
      </c>
      <c r="K266" s="45">
        <f t="shared" si="119"/>
        <v>0</v>
      </c>
      <c r="L266" s="45">
        <f t="shared" si="119"/>
        <v>0</v>
      </c>
      <c r="M266" s="11">
        <f t="shared" si="119"/>
        <v>0</v>
      </c>
      <c r="N266" s="11">
        <f t="shared" si="119"/>
        <v>0</v>
      </c>
      <c r="O266" s="11">
        <f t="shared" si="119"/>
        <v>0</v>
      </c>
      <c r="P266" s="11">
        <f t="shared" si="119"/>
        <v>0</v>
      </c>
      <c r="Q266" s="11">
        <f t="shared" si="119"/>
        <v>0</v>
      </c>
      <c r="R266" s="11">
        <f t="shared" si="119"/>
        <v>0</v>
      </c>
      <c r="S266" s="11">
        <f t="shared" si="119"/>
        <v>0</v>
      </c>
      <c r="T266" s="11">
        <f t="shared" si="119"/>
        <v>0</v>
      </c>
      <c r="U266" s="11">
        <f t="shared" si="119"/>
        <v>0</v>
      </c>
      <c r="V266" s="11">
        <f t="shared" si="119"/>
        <v>0</v>
      </c>
      <c r="W266" s="11">
        <f t="shared" si="119"/>
        <v>0</v>
      </c>
      <c r="X266" s="11">
        <f t="shared" si="120"/>
        <v>0</v>
      </c>
    </row>
    <row r="267" spans="1:32" x14ac:dyDescent="0.2">
      <c r="A267" s="463"/>
      <c r="B267" s="3">
        <v>8</v>
      </c>
      <c r="C267" s="11">
        <f t="shared" si="118"/>
        <v>0</v>
      </c>
      <c r="D267" s="45">
        <f t="shared" si="119"/>
        <v>0</v>
      </c>
      <c r="E267" s="45">
        <f t="shared" si="119"/>
        <v>0</v>
      </c>
      <c r="F267" s="45">
        <f t="shared" si="119"/>
        <v>0</v>
      </c>
      <c r="G267" s="45">
        <f t="shared" si="119"/>
        <v>0</v>
      </c>
      <c r="H267" s="45">
        <f t="shared" si="119"/>
        <v>0</v>
      </c>
      <c r="I267" s="45">
        <f t="shared" si="119"/>
        <v>0</v>
      </c>
      <c r="J267" s="45">
        <f t="shared" si="119"/>
        <v>0</v>
      </c>
      <c r="K267" s="45">
        <f t="shared" si="119"/>
        <v>0</v>
      </c>
      <c r="L267" s="45">
        <f t="shared" si="119"/>
        <v>0</v>
      </c>
      <c r="M267" s="11">
        <f t="shared" si="119"/>
        <v>0</v>
      </c>
      <c r="N267" s="11">
        <f t="shared" si="119"/>
        <v>0</v>
      </c>
      <c r="O267" s="11">
        <f t="shared" si="119"/>
        <v>0</v>
      </c>
      <c r="P267" s="11">
        <f t="shared" si="119"/>
        <v>0</v>
      </c>
      <c r="Q267" s="11">
        <f t="shared" si="119"/>
        <v>0</v>
      </c>
      <c r="R267" s="11">
        <f t="shared" si="119"/>
        <v>0</v>
      </c>
      <c r="S267" s="11">
        <f t="shared" si="119"/>
        <v>0</v>
      </c>
      <c r="T267" s="11">
        <f t="shared" si="119"/>
        <v>0</v>
      </c>
      <c r="U267" s="11">
        <f t="shared" si="119"/>
        <v>0</v>
      </c>
      <c r="V267" s="11">
        <f t="shared" si="119"/>
        <v>0</v>
      </c>
      <c r="W267" s="11">
        <f t="shared" si="119"/>
        <v>0</v>
      </c>
      <c r="X267" s="11">
        <f t="shared" si="120"/>
        <v>0</v>
      </c>
    </row>
    <row r="268" spans="1:32" x14ac:dyDescent="0.2">
      <c r="A268" s="463"/>
      <c r="B268" s="3">
        <v>9</v>
      </c>
      <c r="C268" s="11">
        <f t="shared" si="118"/>
        <v>0</v>
      </c>
      <c r="D268" s="45">
        <f t="shared" si="119"/>
        <v>0</v>
      </c>
      <c r="E268" s="45">
        <f t="shared" si="119"/>
        <v>0</v>
      </c>
      <c r="F268" s="45">
        <f t="shared" si="119"/>
        <v>0</v>
      </c>
      <c r="G268" s="45">
        <f t="shared" si="119"/>
        <v>0</v>
      </c>
      <c r="H268" s="45">
        <f t="shared" si="119"/>
        <v>0</v>
      </c>
      <c r="I268" s="45">
        <f t="shared" si="119"/>
        <v>0</v>
      </c>
      <c r="J268" s="45">
        <f t="shared" si="119"/>
        <v>0</v>
      </c>
      <c r="K268" s="45">
        <f t="shared" si="119"/>
        <v>0</v>
      </c>
      <c r="L268" s="45">
        <f t="shared" si="119"/>
        <v>0</v>
      </c>
      <c r="M268" s="11">
        <f t="shared" si="119"/>
        <v>0</v>
      </c>
      <c r="N268" s="11">
        <f t="shared" si="119"/>
        <v>0</v>
      </c>
      <c r="O268" s="11">
        <f t="shared" si="119"/>
        <v>0</v>
      </c>
      <c r="P268" s="11">
        <f t="shared" si="119"/>
        <v>0</v>
      </c>
      <c r="Q268" s="11">
        <f t="shared" si="119"/>
        <v>0</v>
      </c>
      <c r="R268" s="11">
        <f t="shared" si="119"/>
        <v>0</v>
      </c>
      <c r="S268" s="11">
        <f t="shared" si="119"/>
        <v>0</v>
      </c>
      <c r="T268" s="11">
        <f t="shared" si="119"/>
        <v>0</v>
      </c>
      <c r="U268" s="11">
        <f t="shared" si="119"/>
        <v>0</v>
      </c>
      <c r="V268" s="11">
        <f t="shared" si="119"/>
        <v>0</v>
      </c>
      <c r="W268" s="11">
        <f t="shared" si="119"/>
        <v>0</v>
      </c>
      <c r="X268" s="11">
        <f t="shared" si="120"/>
        <v>0</v>
      </c>
    </row>
    <row r="269" spans="1:32" x14ac:dyDescent="0.2">
      <c r="A269" s="463"/>
      <c r="B269" s="3">
        <v>10</v>
      </c>
      <c r="C269" s="11">
        <f t="shared" si="118"/>
        <v>0</v>
      </c>
      <c r="D269" s="45">
        <f t="shared" si="119"/>
        <v>0</v>
      </c>
      <c r="E269" s="45">
        <f t="shared" si="119"/>
        <v>0</v>
      </c>
      <c r="F269" s="45">
        <f t="shared" si="119"/>
        <v>0</v>
      </c>
      <c r="G269" s="45">
        <f t="shared" si="119"/>
        <v>0</v>
      </c>
      <c r="H269" s="45">
        <f t="shared" si="119"/>
        <v>0</v>
      </c>
      <c r="I269" s="45">
        <f t="shared" si="119"/>
        <v>0</v>
      </c>
      <c r="J269" s="45">
        <f t="shared" si="119"/>
        <v>0</v>
      </c>
      <c r="K269" s="45">
        <f t="shared" si="119"/>
        <v>0</v>
      </c>
      <c r="L269" s="45">
        <f t="shared" si="119"/>
        <v>0</v>
      </c>
      <c r="M269" s="11">
        <f t="shared" si="119"/>
        <v>0</v>
      </c>
      <c r="N269" s="11">
        <f t="shared" si="119"/>
        <v>0</v>
      </c>
      <c r="O269" s="11">
        <f t="shared" si="119"/>
        <v>0</v>
      </c>
      <c r="P269" s="11">
        <f t="shared" si="119"/>
        <v>0</v>
      </c>
      <c r="Q269" s="11">
        <f t="shared" si="119"/>
        <v>0</v>
      </c>
      <c r="R269" s="11">
        <f t="shared" si="119"/>
        <v>0</v>
      </c>
      <c r="S269" s="11">
        <f t="shared" si="119"/>
        <v>0</v>
      </c>
      <c r="T269" s="11">
        <f t="shared" si="119"/>
        <v>0</v>
      </c>
      <c r="U269" s="11">
        <f t="shared" si="119"/>
        <v>0</v>
      </c>
      <c r="V269" s="11">
        <f t="shared" si="119"/>
        <v>0</v>
      </c>
      <c r="W269" s="11">
        <f t="shared" si="119"/>
        <v>0</v>
      </c>
      <c r="X269" s="11">
        <f t="shared" si="120"/>
        <v>0</v>
      </c>
    </row>
    <row r="270" spans="1:32" x14ac:dyDescent="0.2">
      <c r="A270" s="463"/>
      <c r="B270" s="3">
        <v>11</v>
      </c>
      <c r="C270" s="11">
        <f t="shared" si="118"/>
        <v>0</v>
      </c>
      <c r="D270" s="45">
        <f t="shared" si="119"/>
        <v>0</v>
      </c>
      <c r="E270" s="45">
        <f t="shared" si="119"/>
        <v>0</v>
      </c>
      <c r="F270" s="45">
        <f t="shared" si="119"/>
        <v>0</v>
      </c>
      <c r="G270" s="45">
        <f t="shared" si="119"/>
        <v>0</v>
      </c>
      <c r="H270" s="45">
        <f t="shared" si="119"/>
        <v>0</v>
      </c>
      <c r="I270" s="45">
        <f t="shared" si="119"/>
        <v>0</v>
      </c>
      <c r="J270" s="45">
        <f t="shared" si="119"/>
        <v>0</v>
      </c>
      <c r="K270" s="45">
        <f t="shared" si="119"/>
        <v>0</v>
      </c>
      <c r="L270" s="45">
        <f t="shared" si="119"/>
        <v>0</v>
      </c>
      <c r="M270" s="11">
        <f t="shared" si="119"/>
        <v>0</v>
      </c>
      <c r="N270" s="11">
        <f t="shared" si="119"/>
        <v>0</v>
      </c>
      <c r="O270" s="11">
        <f t="shared" si="119"/>
        <v>0</v>
      </c>
      <c r="P270" s="11">
        <f t="shared" si="119"/>
        <v>0</v>
      </c>
      <c r="Q270" s="11">
        <f t="shared" si="119"/>
        <v>0</v>
      </c>
      <c r="R270" s="11">
        <f t="shared" si="119"/>
        <v>0</v>
      </c>
      <c r="S270" s="11">
        <f t="shared" si="119"/>
        <v>0</v>
      </c>
      <c r="T270" s="11">
        <f t="shared" si="119"/>
        <v>0</v>
      </c>
      <c r="U270" s="11">
        <f t="shared" si="119"/>
        <v>0</v>
      </c>
      <c r="V270" s="11">
        <f t="shared" si="119"/>
        <v>0</v>
      </c>
      <c r="W270" s="11">
        <f t="shared" si="119"/>
        <v>0</v>
      </c>
      <c r="X270" s="11">
        <f t="shared" si="120"/>
        <v>0</v>
      </c>
    </row>
    <row r="271" spans="1:32" x14ac:dyDescent="0.2">
      <c r="A271" s="463"/>
      <c r="B271" s="3">
        <v>12</v>
      </c>
      <c r="C271" s="11">
        <f t="shared" si="118"/>
        <v>0</v>
      </c>
      <c r="D271" s="45">
        <f t="shared" si="119"/>
        <v>0</v>
      </c>
      <c r="E271" s="45">
        <f t="shared" si="119"/>
        <v>0</v>
      </c>
      <c r="F271" s="45">
        <f t="shared" si="119"/>
        <v>0</v>
      </c>
      <c r="G271" s="45">
        <f t="shared" si="119"/>
        <v>0</v>
      </c>
      <c r="H271" s="45">
        <f t="shared" si="119"/>
        <v>0</v>
      </c>
      <c r="I271" s="45">
        <f t="shared" si="119"/>
        <v>0</v>
      </c>
      <c r="J271" s="45">
        <f t="shared" si="119"/>
        <v>0</v>
      </c>
      <c r="K271" s="45">
        <f t="shared" si="119"/>
        <v>0</v>
      </c>
      <c r="L271" s="45">
        <f t="shared" si="119"/>
        <v>0</v>
      </c>
      <c r="M271" s="11">
        <f t="shared" si="119"/>
        <v>0</v>
      </c>
      <c r="N271" s="11">
        <f t="shared" si="119"/>
        <v>0</v>
      </c>
      <c r="O271" s="11">
        <f t="shared" si="119"/>
        <v>0</v>
      </c>
      <c r="P271" s="11">
        <f t="shared" si="119"/>
        <v>0</v>
      </c>
      <c r="Q271" s="11">
        <f t="shared" si="119"/>
        <v>0</v>
      </c>
      <c r="R271" s="11">
        <f t="shared" si="119"/>
        <v>0</v>
      </c>
      <c r="S271" s="11">
        <f t="shared" si="119"/>
        <v>0</v>
      </c>
      <c r="T271" s="11">
        <f t="shared" si="119"/>
        <v>0</v>
      </c>
      <c r="U271" s="11">
        <f t="shared" si="119"/>
        <v>0</v>
      </c>
      <c r="V271" s="11">
        <f t="shared" si="119"/>
        <v>0</v>
      </c>
      <c r="W271" s="11">
        <f t="shared" si="119"/>
        <v>0</v>
      </c>
      <c r="X271" s="11">
        <f t="shared" si="120"/>
        <v>0</v>
      </c>
    </row>
    <row r="272" spans="1:32" x14ac:dyDescent="0.2">
      <c r="A272" s="463"/>
      <c r="B272" s="3">
        <v>13</v>
      </c>
      <c r="C272" s="11">
        <f t="shared" si="118"/>
        <v>0</v>
      </c>
      <c r="D272" s="45">
        <f t="shared" si="119"/>
        <v>0</v>
      </c>
      <c r="E272" s="45">
        <f t="shared" si="119"/>
        <v>0</v>
      </c>
      <c r="F272" s="45">
        <f t="shared" si="119"/>
        <v>0</v>
      </c>
      <c r="G272" s="45">
        <f t="shared" si="119"/>
        <v>0</v>
      </c>
      <c r="H272" s="45">
        <f t="shared" si="119"/>
        <v>0</v>
      </c>
      <c r="I272" s="45">
        <f t="shared" si="119"/>
        <v>0</v>
      </c>
      <c r="J272" s="45">
        <f t="shared" si="119"/>
        <v>0</v>
      </c>
      <c r="K272" s="45">
        <f t="shared" si="119"/>
        <v>0</v>
      </c>
      <c r="L272" s="45">
        <f t="shared" si="119"/>
        <v>0</v>
      </c>
      <c r="M272" s="11">
        <f t="shared" si="119"/>
        <v>0</v>
      </c>
      <c r="N272" s="11">
        <f t="shared" si="119"/>
        <v>0</v>
      </c>
      <c r="O272" s="11">
        <f t="shared" si="119"/>
        <v>0</v>
      </c>
      <c r="P272" s="11">
        <f t="shared" si="119"/>
        <v>0</v>
      </c>
      <c r="Q272" s="11">
        <f t="shared" si="119"/>
        <v>0</v>
      </c>
      <c r="R272" s="11">
        <f t="shared" si="119"/>
        <v>0</v>
      </c>
      <c r="S272" s="11">
        <f t="shared" ref="S272:W279" si="121">IF($B272&gt;=R$256,IF($B272=R$256,R$257,R$257*((20+R$256)-$B272)/20),0)*IF((20+R$256)-$B272&lt;0,0,1)</f>
        <v>0</v>
      </c>
      <c r="T272" s="11">
        <f t="shared" si="121"/>
        <v>0</v>
      </c>
      <c r="U272" s="11">
        <f t="shared" si="121"/>
        <v>0</v>
      </c>
      <c r="V272" s="11">
        <f t="shared" si="121"/>
        <v>0</v>
      </c>
      <c r="W272" s="11">
        <f t="shared" si="121"/>
        <v>0</v>
      </c>
      <c r="X272" s="11">
        <f t="shared" si="120"/>
        <v>0</v>
      </c>
    </row>
    <row r="273" spans="1:24" x14ac:dyDescent="0.2">
      <c r="A273" s="463"/>
      <c r="B273" s="3">
        <v>14</v>
      </c>
      <c r="C273" s="11">
        <f t="shared" si="118"/>
        <v>0</v>
      </c>
      <c r="D273" s="45">
        <f t="shared" ref="D273:R279" si="122">IF($B273&gt;=C$256,IF($B273=C$256,C$257,C$257*((20+C$256)-$B273)/20),0)*IF((20+C$256)-$B273&lt;0,0,1)</f>
        <v>0</v>
      </c>
      <c r="E273" s="45">
        <f t="shared" si="122"/>
        <v>0</v>
      </c>
      <c r="F273" s="45">
        <f t="shared" si="122"/>
        <v>0</v>
      </c>
      <c r="G273" s="45">
        <f t="shared" si="122"/>
        <v>0</v>
      </c>
      <c r="H273" s="45">
        <f t="shared" si="122"/>
        <v>0</v>
      </c>
      <c r="I273" s="45">
        <f t="shared" si="122"/>
        <v>0</v>
      </c>
      <c r="J273" s="45">
        <f t="shared" si="122"/>
        <v>0</v>
      </c>
      <c r="K273" s="45">
        <f t="shared" si="122"/>
        <v>0</v>
      </c>
      <c r="L273" s="45">
        <f t="shared" si="122"/>
        <v>0</v>
      </c>
      <c r="M273" s="11">
        <f t="shared" si="122"/>
        <v>0</v>
      </c>
      <c r="N273" s="11">
        <f t="shared" si="122"/>
        <v>0</v>
      </c>
      <c r="O273" s="11">
        <f t="shared" si="122"/>
        <v>0</v>
      </c>
      <c r="P273" s="11">
        <f t="shared" si="122"/>
        <v>0</v>
      </c>
      <c r="Q273" s="11">
        <f t="shared" si="122"/>
        <v>0</v>
      </c>
      <c r="R273" s="11">
        <f t="shared" si="122"/>
        <v>0</v>
      </c>
      <c r="S273" s="11">
        <f t="shared" si="121"/>
        <v>0</v>
      </c>
      <c r="T273" s="11">
        <f t="shared" si="121"/>
        <v>0</v>
      </c>
      <c r="U273" s="11">
        <f t="shared" si="121"/>
        <v>0</v>
      </c>
      <c r="V273" s="11">
        <f t="shared" si="121"/>
        <v>0</v>
      </c>
      <c r="W273" s="11">
        <f t="shared" si="121"/>
        <v>0</v>
      </c>
      <c r="X273" s="11">
        <f t="shared" si="120"/>
        <v>0</v>
      </c>
    </row>
    <row r="274" spans="1:24" x14ac:dyDescent="0.2">
      <c r="A274" s="463"/>
      <c r="B274" s="3">
        <v>15</v>
      </c>
      <c r="C274" s="11">
        <f t="shared" si="118"/>
        <v>0</v>
      </c>
      <c r="D274" s="45">
        <f t="shared" si="122"/>
        <v>0</v>
      </c>
      <c r="E274" s="45">
        <f t="shared" si="122"/>
        <v>0</v>
      </c>
      <c r="F274" s="45">
        <f t="shared" si="122"/>
        <v>0</v>
      </c>
      <c r="G274" s="45">
        <f t="shared" si="122"/>
        <v>0</v>
      </c>
      <c r="H274" s="45">
        <f t="shared" si="122"/>
        <v>0</v>
      </c>
      <c r="I274" s="45">
        <f t="shared" si="122"/>
        <v>0</v>
      </c>
      <c r="J274" s="45">
        <f t="shared" si="122"/>
        <v>0</v>
      </c>
      <c r="K274" s="45">
        <f t="shared" si="122"/>
        <v>0</v>
      </c>
      <c r="L274" s="45">
        <f t="shared" si="122"/>
        <v>0</v>
      </c>
      <c r="M274" s="11">
        <f t="shared" si="122"/>
        <v>0</v>
      </c>
      <c r="N274" s="11">
        <f t="shared" si="122"/>
        <v>0</v>
      </c>
      <c r="O274" s="11">
        <f t="shared" si="122"/>
        <v>0</v>
      </c>
      <c r="P274" s="11">
        <f t="shared" si="122"/>
        <v>0</v>
      </c>
      <c r="Q274" s="11">
        <f t="shared" si="122"/>
        <v>0</v>
      </c>
      <c r="R274" s="11">
        <f t="shared" si="122"/>
        <v>0</v>
      </c>
      <c r="S274" s="11">
        <f t="shared" si="121"/>
        <v>0</v>
      </c>
      <c r="T274" s="11">
        <f t="shared" si="121"/>
        <v>0</v>
      </c>
      <c r="U274" s="11">
        <f t="shared" si="121"/>
        <v>0</v>
      </c>
      <c r="V274" s="11">
        <f t="shared" si="121"/>
        <v>0</v>
      </c>
      <c r="W274" s="11">
        <f t="shared" si="121"/>
        <v>0</v>
      </c>
      <c r="X274" s="11">
        <f t="shared" si="120"/>
        <v>0</v>
      </c>
    </row>
    <row r="275" spans="1:24" x14ac:dyDescent="0.2">
      <c r="A275" s="463"/>
      <c r="B275" s="3">
        <v>16</v>
      </c>
      <c r="C275" s="11">
        <f t="shared" si="118"/>
        <v>0</v>
      </c>
      <c r="D275" s="45">
        <f t="shared" si="122"/>
        <v>0</v>
      </c>
      <c r="E275" s="45">
        <f t="shared" si="122"/>
        <v>0</v>
      </c>
      <c r="F275" s="45">
        <f t="shared" si="122"/>
        <v>0</v>
      </c>
      <c r="G275" s="45">
        <f t="shared" si="122"/>
        <v>0</v>
      </c>
      <c r="H275" s="45">
        <f t="shared" si="122"/>
        <v>0</v>
      </c>
      <c r="I275" s="45">
        <f t="shared" si="122"/>
        <v>0</v>
      </c>
      <c r="J275" s="45">
        <f t="shared" si="122"/>
        <v>0</v>
      </c>
      <c r="K275" s="45">
        <f t="shared" si="122"/>
        <v>0</v>
      </c>
      <c r="L275" s="45">
        <f t="shared" si="122"/>
        <v>0</v>
      </c>
      <c r="M275" s="11">
        <f t="shared" si="122"/>
        <v>0</v>
      </c>
      <c r="N275" s="11">
        <f t="shared" si="122"/>
        <v>0</v>
      </c>
      <c r="O275" s="11">
        <f t="shared" si="122"/>
        <v>0</v>
      </c>
      <c r="P275" s="11">
        <f t="shared" si="122"/>
        <v>0</v>
      </c>
      <c r="Q275" s="11">
        <f t="shared" si="122"/>
        <v>0</v>
      </c>
      <c r="R275" s="11">
        <f t="shared" si="122"/>
        <v>0</v>
      </c>
      <c r="S275" s="11">
        <f t="shared" si="121"/>
        <v>0</v>
      </c>
      <c r="T275" s="11">
        <f t="shared" si="121"/>
        <v>0</v>
      </c>
      <c r="U275" s="11">
        <f t="shared" si="121"/>
        <v>0</v>
      </c>
      <c r="V275" s="11">
        <f t="shared" si="121"/>
        <v>0</v>
      </c>
      <c r="W275" s="11">
        <f t="shared" si="121"/>
        <v>0</v>
      </c>
      <c r="X275" s="11">
        <f t="shared" si="120"/>
        <v>0</v>
      </c>
    </row>
    <row r="276" spans="1:24" x14ac:dyDescent="0.2">
      <c r="A276" s="463"/>
      <c r="B276" s="3">
        <v>17</v>
      </c>
      <c r="C276" s="11">
        <f t="shared" si="118"/>
        <v>0</v>
      </c>
      <c r="D276" s="45">
        <f t="shared" si="122"/>
        <v>0</v>
      </c>
      <c r="E276" s="45">
        <f t="shared" si="122"/>
        <v>0</v>
      </c>
      <c r="F276" s="45">
        <f t="shared" si="122"/>
        <v>0</v>
      </c>
      <c r="G276" s="45">
        <f t="shared" si="122"/>
        <v>0</v>
      </c>
      <c r="H276" s="45">
        <f t="shared" si="122"/>
        <v>0</v>
      </c>
      <c r="I276" s="45">
        <f t="shared" si="122"/>
        <v>0</v>
      </c>
      <c r="J276" s="45">
        <f t="shared" si="122"/>
        <v>0</v>
      </c>
      <c r="K276" s="45">
        <f t="shared" si="122"/>
        <v>0</v>
      </c>
      <c r="L276" s="45">
        <f t="shared" si="122"/>
        <v>0</v>
      </c>
      <c r="M276" s="11">
        <f t="shared" si="122"/>
        <v>0</v>
      </c>
      <c r="N276" s="11">
        <f t="shared" si="122"/>
        <v>0</v>
      </c>
      <c r="O276" s="11">
        <f t="shared" si="122"/>
        <v>0</v>
      </c>
      <c r="P276" s="11">
        <f t="shared" si="122"/>
        <v>0</v>
      </c>
      <c r="Q276" s="11">
        <f t="shared" si="122"/>
        <v>0</v>
      </c>
      <c r="R276" s="11">
        <f t="shared" si="122"/>
        <v>0</v>
      </c>
      <c r="S276" s="11">
        <f t="shared" si="121"/>
        <v>0</v>
      </c>
      <c r="T276" s="11">
        <f t="shared" si="121"/>
        <v>0</v>
      </c>
      <c r="U276" s="11">
        <f t="shared" si="121"/>
        <v>0</v>
      </c>
      <c r="V276" s="11">
        <f t="shared" si="121"/>
        <v>0</v>
      </c>
      <c r="W276" s="11">
        <f t="shared" si="121"/>
        <v>0</v>
      </c>
      <c r="X276" s="11">
        <f t="shared" si="120"/>
        <v>0</v>
      </c>
    </row>
    <row r="277" spans="1:24" x14ac:dyDescent="0.2">
      <c r="A277" s="463"/>
      <c r="B277" s="3">
        <v>18</v>
      </c>
      <c r="C277" s="11">
        <f t="shared" si="118"/>
        <v>0</v>
      </c>
      <c r="D277" s="45">
        <f t="shared" si="122"/>
        <v>0</v>
      </c>
      <c r="E277" s="45">
        <f t="shared" si="122"/>
        <v>0</v>
      </c>
      <c r="F277" s="45">
        <f t="shared" si="122"/>
        <v>0</v>
      </c>
      <c r="G277" s="45">
        <f t="shared" si="122"/>
        <v>0</v>
      </c>
      <c r="H277" s="45">
        <f t="shared" si="122"/>
        <v>0</v>
      </c>
      <c r="I277" s="45">
        <f t="shared" si="122"/>
        <v>0</v>
      </c>
      <c r="J277" s="45">
        <f t="shared" si="122"/>
        <v>0</v>
      </c>
      <c r="K277" s="45">
        <f t="shared" si="122"/>
        <v>0</v>
      </c>
      <c r="L277" s="45">
        <f t="shared" si="122"/>
        <v>0</v>
      </c>
      <c r="M277" s="11">
        <f t="shared" si="122"/>
        <v>0</v>
      </c>
      <c r="N277" s="11">
        <f t="shared" si="122"/>
        <v>0</v>
      </c>
      <c r="O277" s="11">
        <f t="shared" si="122"/>
        <v>0</v>
      </c>
      <c r="P277" s="11">
        <f t="shared" si="122"/>
        <v>0</v>
      </c>
      <c r="Q277" s="11">
        <f t="shared" si="122"/>
        <v>0</v>
      </c>
      <c r="R277" s="11">
        <f t="shared" si="122"/>
        <v>0</v>
      </c>
      <c r="S277" s="11">
        <f t="shared" si="121"/>
        <v>0</v>
      </c>
      <c r="T277" s="11">
        <f t="shared" si="121"/>
        <v>0</v>
      </c>
      <c r="U277" s="11">
        <f t="shared" si="121"/>
        <v>0</v>
      </c>
      <c r="V277" s="11">
        <f t="shared" si="121"/>
        <v>0</v>
      </c>
      <c r="W277" s="11">
        <f t="shared" si="121"/>
        <v>0</v>
      </c>
      <c r="X277" s="11">
        <f t="shared" si="120"/>
        <v>0</v>
      </c>
    </row>
    <row r="278" spans="1:24" x14ac:dyDescent="0.2">
      <c r="A278" s="463"/>
      <c r="B278" s="3">
        <v>19</v>
      </c>
      <c r="C278" s="11">
        <f t="shared" si="118"/>
        <v>0</v>
      </c>
      <c r="D278" s="45">
        <f t="shared" si="122"/>
        <v>0</v>
      </c>
      <c r="E278" s="45">
        <f t="shared" si="122"/>
        <v>0</v>
      </c>
      <c r="F278" s="45">
        <f t="shared" si="122"/>
        <v>0</v>
      </c>
      <c r="G278" s="45">
        <f t="shared" si="122"/>
        <v>0</v>
      </c>
      <c r="H278" s="45">
        <f t="shared" si="122"/>
        <v>0</v>
      </c>
      <c r="I278" s="45">
        <f t="shared" si="122"/>
        <v>0</v>
      </c>
      <c r="J278" s="45">
        <f t="shared" si="122"/>
        <v>0</v>
      </c>
      <c r="K278" s="45">
        <f t="shared" si="122"/>
        <v>0</v>
      </c>
      <c r="L278" s="45">
        <f t="shared" si="122"/>
        <v>0</v>
      </c>
      <c r="M278" s="11">
        <f t="shared" si="122"/>
        <v>0</v>
      </c>
      <c r="N278" s="11">
        <f t="shared" si="122"/>
        <v>0</v>
      </c>
      <c r="O278" s="11">
        <f t="shared" si="122"/>
        <v>0</v>
      </c>
      <c r="P278" s="11">
        <f t="shared" si="122"/>
        <v>0</v>
      </c>
      <c r="Q278" s="11">
        <f t="shared" si="122"/>
        <v>0</v>
      </c>
      <c r="R278" s="11">
        <f t="shared" si="122"/>
        <v>0</v>
      </c>
      <c r="S278" s="11">
        <f t="shared" si="121"/>
        <v>0</v>
      </c>
      <c r="T278" s="11">
        <f t="shared" si="121"/>
        <v>0</v>
      </c>
      <c r="U278" s="11">
        <f t="shared" si="121"/>
        <v>0</v>
      </c>
      <c r="V278" s="11">
        <f t="shared" si="121"/>
        <v>0</v>
      </c>
      <c r="W278" s="11">
        <f t="shared" si="121"/>
        <v>0</v>
      </c>
      <c r="X278" s="11">
        <f t="shared" si="120"/>
        <v>0</v>
      </c>
    </row>
    <row r="279" spans="1:24" x14ac:dyDescent="0.2">
      <c r="A279" s="463"/>
      <c r="B279" s="3">
        <v>20</v>
      </c>
      <c r="C279" s="11">
        <f t="shared" si="118"/>
        <v>0</v>
      </c>
      <c r="D279" s="45">
        <f t="shared" si="122"/>
        <v>0</v>
      </c>
      <c r="E279" s="45">
        <f t="shared" si="122"/>
        <v>0</v>
      </c>
      <c r="F279" s="45">
        <f t="shared" si="122"/>
        <v>0</v>
      </c>
      <c r="G279" s="45">
        <f t="shared" si="122"/>
        <v>0</v>
      </c>
      <c r="H279" s="45">
        <f t="shared" si="122"/>
        <v>0</v>
      </c>
      <c r="I279" s="45">
        <f t="shared" si="122"/>
        <v>0</v>
      </c>
      <c r="J279" s="45">
        <f t="shared" si="122"/>
        <v>0</v>
      </c>
      <c r="K279" s="45">
        <f t="shared" si="122"/>
        <v>0</v>
      </c>
      <c r="L279" s="45">
        <f t="shared" si="122"/>
        <v>0</v>
      </c>
      <c r="M279" s="11">
        <f t="shared" si="122"/>
        <v>0</v>
      </c>
      <c r="N279" s="11">
        <f t="shared" si="122"/>
        <v>0</v>
      </c>
      <c r="O279" s="11">
        <f t="shared" si="122"/>
        <v>0</v>
      </c>
      <c r="P279" s="11">
        <f t="shared" si="122"/>
        <v>0</v>
      </c>
      <c r="Q279" s="11">
        <f t="shared" si="122"/>
        <v>0</v>
      </c>
      <c r="R279" s="11">
        <f t="shared" si="122"/>
        <v>0</v>
      </c>
      <c r="S279" s="11">
        <f t="shared" si="121"/>
        <v>0</v>
      </c>
      <c r="T279" s="11">
        <f t="shared" si="121"/>
        <v>0</v>
      </c>
      <c r="U279" s="11">
        <f t="shared" si="121"/>
        <v>0</v>
      </c>
      <c r="V279" s="11">
        <f t="shared" si="121"/>
        <v>0</v>
      </c>
      <c r="W279" s="11">
        <f t="shared" si="121"/>
        <v>0</v>
      </c>
      <c r="X279" s="11">
        <f t="shared" si="120"/>
        <v>0</v>
      </c>
    </row>
    <row r="281" spans="1:24" x14ac:dyDescent="0.2">
      <c r="A281" s="464" t="s">
        <v>51</v>
      </c>
      <c r="B281" s="464"/>
      <c r="C281" s="51"/>
      <c r="D281" s="51"/>
      <c r="E281" s="51"/>
      <c r="F281" s="51"/>
      <c r="G281" s="51"/>
      <c r="H281" s="51"/>
      <c r="I281" s="51"/>
      <c r="J281" s="51"/>
      <c r="K281" s="51"/>
      <c r="L281" s="51"/>
      <c r="M281" s="51"/>
      <c r="N281" s="51"/>
      <c r="O281" s="51"/>
      <c r="P281" s="51"/>
      <c r="Q281" s="51"/>
    </row>
    <row r="282" spans="1:24" x14ac:dyDescent="0.2">
      <c r="A282" s="464"/>
      <c r="B282" s="464"/>
      <c r="C282" s="51"/>
      <c r="D282" s="51"/>
      <c r="E282" s="51"/>
      <c r="F282" s="51"/>
      <c r="G282" s="51"/>
      <c r="H282" s="51"/>
      <c r="I282" s="51"/>
      <c r="J282" s="51"/>
      <c r="K282" s="51"/>
      <c r="L282" s="51"/>
      <c r="M282" s="51"/>
      <c r="N282" s="51"/>
      <c r="O282" s="51"/>
      <c r="P282" s="51"/>
      <c r="Q282" s="51"/>
    </row>
    <row r="284" spans="1:24" ht="16" customHeight="1" x14ac:dyDescent="0.2">
      <c r="A284" s="460" t="s">
        <v>635</v>
      </c>
      <c r="B284" s="3" t="s">
        <v>15</v>
      </c>
      <c r="C284" s="3" t="s">
        <v>55</v>
      </c>
      <c r="D284" s="3" t="s">
        <v>154</v>
      </c>
      <c r="E284" s="3" t="s">
        <v>54</v>
      </c>
      <c r="F284" s="3" t="s">
        <v>53</v>
      </c>
      <c r="G284" s="3" t="s">
        <v>155</v>
      </c>
      <c r="H284" s="3" t="s">
        <v>52</v>
      </c>
      <c r="I284" s="3" t="s">
        <v>57</v>
      </c>
      <c r="K284" s="460" t="s">
        <v>636</v>
      </c>
      <c r="L284" s="3" t="s">
        <v>15</v>
      </c>
      <c r="M284" s="3" t="s">
        <v>90</v>
      </c>
      <c r="N284" s="3" t="s">
        <v>89</v>
      </c>
      <c r="O284" s="3" t="s">
        <v>156</v>
      </c>
    </row>
    <row r="285" spans="1:24" x14ac:dyDescent="0.2">
      <c r="A285" s="460"/>
      <c r="B285" s="3">
        <v>1</v>
      </c>
      <c r="C285" s="45">
        <f>SUM(H61,Q61,Z61,AI61)</f>
        <v>0</v>
      </c>
      <c r="D285" s="45">
        <f t="shared" ref="D285:D304" si="123">Y92</f>
        <v>0</v>
      </c>
      <c r="E285" s="11">
        <f t="shared" ref="E285:E304" si="124">X145</f>
        <v>0</v>
      </c>
      <c r="F285" s="11">
        <f t="shared" ref="F285:F304" si="125">SUM(H177,Q177,Z177,AI177)</f>
        <v>0</v>
      </c>
      <c r="G285" s="11">
        <f t="shared" ref="G285:G304" si="126">Y208</f>
        <v>0</v>
      </c>
      <c r="H285" s="11">
        <f t="shared" ref="H285:H304" si="127">X260</f>
        <v>0</v>
      </c>
      <c r="I285" s="11">
        <f t="shared" ref="I285:I304" si="128">F285-C285+G285-D285+H285-E285</f>
        <v>0</v>
      </c>
      <c r="J285" s="11"/>
      <c r="K285" s="460"/>
      <c r="L285" s="3">
        <v>1</v>
      </c>
      <c r="M285" s="11">
        <f>F285-C285</f>
        <v>0</v>
      </c>
      <c r="N285" s="11">
        <f t="shared" ref="N285:N304" si="129">H285-E285</f>
        <v>0</v>
      </c>
      <c r="O285" s="11">
        <f t="shared" ref="O285:O304" si="130">G285-D285</f>
        <v>0</v>
      </c>
      <c r="W285" s="11"/>
      <c r="X285" s="11"/>
    </row>
    <row r="286" spans="1:24" x14ac:dyDescent="0.2">
      <c r="A286" s="460"/>
      <c r="B286" s="3">
        <v>2</v>
      </c>
      <c r="C286" s="45">
        <f t="shared" ref="C286:C304" si="131">SUM(H62,Q62,Z62,AI62)</f>
        <v>0</v>
      </c>
      <c r="D286" s="45">
        <f t="shared" si="123"/>
        <v>0</v>
      </c>
      <c r="E286" s="11">
        <f t="shared" si="124"/>
        <v>0</v>
      </c>
      <c r="F286" s="11">
        <f t="shared" si="125"/>
        <v>0</v>
      </c>
      <c r="G286" s="11">
        <f t="shared" si="126"/>
        <v>0</v>
      </c>
      <c r="H286" s="11">
        <f t="shared" si="127"/>
        <v>0</v>
      </c>
      <c r="I286" s="11">
        <f t="shared" si="128"/>
        <v>0</v>
      </c>
      <c r="J286" s="11"/>
      <c r="K286" s="460"/>
      <c r="L286" s="3">
        <v>2</v>
      </c>
      <c r="M286" s="11">
        <f t="shared" ref="M286:M304" si="132">F286-C286</f>
        <v>0</v>
      </c>
      <c r="N286" s="11">
        <f t="shared" si="129"/>
        <v>0</v>
      </c>
      <c r="O286" s="11">
        <f t="shared" si="130"/>
        <v>0</v>
      </c>
      <c r="W286" s="11"/>
      <c r="X286" s="11"/>
    </row>
    <row r="287" spans="1:24" x14ac:dyDescent="0.2">
      <c r="A287" s="460"/>
      <c r="B287" s="3">
        <v>3</v>
      </c>
      <c r="C287" s="11">
        <f t="shared" si="131"/>
        <v>0</v>
      </c>
      <c r="D287" s="11">
        <f t="shared" si="123"/>
        <v>0</v>
      </c>
      <c r="E287" s="11">
        <f t="shared" si="124"/>
        <v>0</v>
      </c>
      <c r="F287" s="11">
        <f t="shared" si="125"/>
        <v>0</v>
      </c>
      <c r="G287" s="11">
        <f t="shared" si="126"/>
        <v>0</v>
      </c>
      <c r="H287" s="11">
        <f t="shared" si="127"/>
        <v>0</v>
      </c>
      <c r="I287" s="11">
        <f t="shared" si="128"/>
        <v>0</v>
      </c>
      <c r="J287" s="11"/>
      <c r="K287" s="460"/>
      <c r="L287" s="3">
        <v>3</v>
      </c>
      <c r="M287" s="11">
        <f t="shared" si="132"/>
        <v>0</v>
      </c>
      <c r="N287" s="11">
        <f t="shared" si="129"/>
        <v>0</v>
      </c>
      <c r="O287" s="11">
        <f t="shared" si="130"/>
        <v>0</v>
      </c>
      <c r="W287" s="11"/>
      <c r="X287" s="11"/>
    </row>
    <row r="288" spans="1:24" x14ac:dyDescent="0.2">
      <c r="A288" s="460"/>
      <c r="B288" s="3">
        <v>4</v>
      </c>
      <c r="C288" s="11">
        <f t="shared" si="131"/>
        <v>0</v>
      </c>
      <c r="D288" s="11">
        <f t="shared" si="123"/>
        <v>0</v>
      </c>
      <c r="E288" s="11">
        <f t="shared" si="124"/>
        <v>0</v>
      </c>
      <c r="F288" s="11">
        <f t="shared" si="125"/>
        <v>0</v>
      </c>
      <c r="G288" s="11">
        <f t="shared" si="126"/>
        <v>0</v>
      </c>
      <c r="H288" s="11">
        <f t="shared" si="127"/>
        <v>0</v>
      </c>
      <c r="I288" s="11">
        <f t="shared" si="128"/>
        <v>0</v>
      </c>
      <c r="J288" s="11"/>
      <c r="K288" s="460"/>
      <c r="L288" s="3">
        <v>4</v>
      </c>
      <c r="M288" s="11">
        <f t="shared" si="132"/>
        <v>0</v>
      </c>
      <c r="N288" s="11">
        <f t="shared" si="129"/>
        <v>0</v>
      </c>
      <c r="O288" s="11">
        <f t="shared" si="130"/>
        <v>0</v>
      </c>
      <c r="W288" s="11"/>
      <c r="X288" s="11"/>
    </row>
    <row r="289" spans="1:24" x14ac:dyDescent="0.2">
      <c r="A289" s="460"/>
      <c r="B289" s="3">
        <v>5</v>
      </c>
      <c r="C289" s="11">
        <f t="shared" si="131"/>
        <v>0</v>
      </c>
      <c r="D289" s="11">
        <f t="shared" si="123"/>
        <v>0</v>
      </c>
      <c r="E289" s="11">
        <f t="shared" si="124"/>
        <v>0</v>
      </c>
      <c r="F289" s="11">
        <f t="shared" si="125"/>
        <v>0</v>
      </c>
      <c r="G289" s="11">
        <f t="shared" si="126"/>
        <v>0</v>
      </c>
      <c r="H289" s="11">
        <f t="shared" si="127"/>
        <v>0</v>
      </c>
      <c r="I289" s="11">
        <f t="shared" si="128"/>
        <v>0</v>
      </c>
      <c r="J289" s="11"/>
      <c r="K289" s="460"/>
      <c r="L289" s="3">
        <v>5</v>
      </c>
      <c r="M289" s="11">
        <f t="shared" si="132"/>
        <v>0</v>
      </c>
      <c r="N289" s="11">
        <f t="shared" si="129"/>
        <v>0</v>
      </c>
      <c r="O289" s="11">
        <f t="shared" si="130"/>
        <v>0</v>
      </c>
      <c r="W289" s="11"/>
      <c r="X289" s="11"/>
    </row>
    <row r="290" spans="1:24" x14ac:dyDescent="0.2">
      <c r="A290" s="460"/>
      <c r="B290" s="3">
        <v>6</v>
      </c>
      <c r="C290" s="11">
        <f t="shared" si="131"/>
        <v>0</v>
      </c>
      <c r="D290" s="11">
        <f t="shared" si="123"/>
        <v>0</v>
      </c>
      <c r="E290" s="11">
        <f t="shared" si="124"/>
        <v>0</v>
      </c>
      <c r="F290" s="11">
        <f t="shared" si="125"/>
        <v>0</v>
      </c>
      <c r="G290" s="11">
        <f t="shared" si="126"/>
        <v>0</v>
      </c>
      <c r="H290" s="11">
        <f t="shared" si="127"/>
        <v>0</v>
      </c>
      <c r="I290" s="11">
        <f t="shared" si="128"/>
        <v>0</v>
      </c>
      <c r="J290" s="11"/>
      <c r="K290" s="460"/>
      <c r="L290" s="3">
        <v>6</v>
      </c>
      <c r="M290" s="11">
        <f t="shared" si="132"/>
        <v>0</v>
      </c>
      <c r="N290" s="11">
        <f t="shared" si="129"/>
        <v>0</v>
      </c>
      <c r="O290" s="11">
        <f t="shared" si="130"/>
        <v>0</v>
      </c>
      <c r="W290" s="11"/>
      <c r="X290" s="11"/>
    </row>
    <row r="291" spans="1:24" x14ac:dyDescent="0.2">
      <c r="A291" s="460"/>
      <c r="B291" s="3">
        <v>7</v>
      </c>
      <c r="C291" s="11">
        <f t="shared" si="131"/>
        <v>0</v>
      </c>
      <c r="D291" s="11">
        <f t="shared" si="123"/>
        <v>0</v>
      </c>
      <c r="E291" s="11">
        <f t="shared" si="124"/>
        <v>0</v>
      </c>
      <c r="F291" s="11">
        <f t="shared" si="125"/>
        <v>0</v>
      </c>
      <c r="G291" s="11">
        <f t="shared" si="126"/>
        <v>0</v>
      </c>
      <c r="H291" s="11">
        <f t="shared" si="127"/>
        <v>0</v>
      </c>
      <c r="I291" s="11">
        <f t="shared" si="128"/>
        <v>0</v>
      </c>
      <c r="J291" s="11"/>
      <c r="K291" s="460"/>
      <c r="L291" s="3">
        <v>7</v>
      </c>
      <c r="M291" s="11">
        <f t="shared" si="132"/>
        <v>0</v>
      </c>
      <c r="N291" s="11">
        <f t="shared" si="129"/>
        <v>0</v>
      </c>
      <c r="O291" s="11">
        <f t="shared" si="130"/>
        <v>0</v>
      </c>
      <c r="W291" s="11"/>
      <c r="X291" s="11"/>
    </row>
    <row r="292" spans="1:24" x14ac:dyDescent="0.2">
      <c r="A292" s="460"/>
      <c r="B292" s="3">
        <v>8</v>
      </c>
      <c r="C292" s="11">
        <f t="shared" si="131"/>
        <v>0</v>
      </c>
      <c r="D292" s="11">
        <f t="shared" si="123"/>
        <v>0</v>
      </c>
      <c r="E292" s="11">
        <f t="shared" si="124"/>
        <v>0</v>
      </c>
      <c r="F292" s="11">
        <f t="shared" si="125"/>
        <v>0</v>
      </c>
      <c r="G292" s="11">
        <f t="shared" si="126"/>
        <v>0</v>
      </c>
      <c r="H292" s="11">
        <f t="shared" si="127"/>
        <v>0</v>
      </c>
      <c r="I292" s="11">
        <f t="shared" si="128"/>
        <v>0</v>
      </c>
      <c r="J292" s="11"/>
      <c r="K292" s="460"/>
      <c r="L292" s="3">
        <v>8</v>
      </c>
      <c r="M292" s="11">
        <f t="shared" si="132"/>
        <v>0</v>
      </c>
      <c r="N292" s="11">
        <f t="shared" si="129"/>
        <v>0</v>
      </c>
      <c r="O292" s="11">
        <f t="shared" si="130"/>
        <v>0</v>
      </c>
      <c r="W292" s="11"/>
      <c r="X292" s="11"/>
    </row>
    <row r="293" spans="1:24" x14ac:dyDescent="0.2">
      <c r="A293" s="460"/>
      <c r="B293" s="3">
        <v>9</v>
      </c>
      <c r="C293" s="11">
        <f t="shared" si="131"/>
        <v>0</v>
      </c>
      <c r="D293" s="11">
        <f t="shared" si="123"/>
        <v>0</v>
      </c>
      <c r="E293" s="11">
        <f t="shared" si="124"/>
        <v>0</v>
      </c>
      <c r="F293" s="11">
        <f t="shared" si="125"/>
        <v>0</v>
      </c>
      <c r="G293" s="11">
        <f t="shared" si="126"/>
        <v>0</v>
      </c>
      <c r="H293" s="11">
        <f t="shared" si="127"/>
        <v>0</v>
      </c>
      <c r="I293" s="11">
        <f t="shared" si="128"/>
        <v>0</v>
      </c>
      <c r="J293" s="11"/>
      <c r="K293" s="460"/>
      <c r="L293" s="3">
        <v>9</v>
      </c>
      <c r="M293" s="11">
        <f t="shared" si="132"/>
        <v>0</v>
      </c>
      <c r="N293" s="11">
        <f t="shared" si="129"/>
        <v>0</v>
      </c>
      <c r="O293" s="11">
        <f t="shared" si="130"/>
        <v>0</v>
      </c>
      <c r="W293" s="11"/>
      <c r="X293" s="11"/>
    </row>
    <row r="294" spans="1:24" x14ac:dyDescent="0.2">
      <c r="A294" s="460"/>
      <c r="B294" s="3">
        <v>10</v>
      </c>
      <c r="C294" s="11">
        <f t="shared" si="131"/>
        <v>0</v>
      </c>
      <c r="D294" s="11">
        <f t="shared" si="123"/>
        <v>0</v>
      </c>
      <c r="E294" s="11">
        <f t="shared" si="124"/>
        <v>0</v>
      </c>
      <c r="F294" s="11">
        <f t="shared" si="125"/>
        <v>0</v>
      </c>
      <c r="G294" s="11">
        <f t="shared" si="126"/>
        <v>0</v>
      </c>
      <c r="H294" s="11">
        <f t="shared" si="127"/>
        <v>0</v>
      </c>
      <c r="I294" s="11">
        <f t="shared" si="128"/>
        <v>0</v>
      </c>
      <c r="J294" s="11"/>
      <c r="K294" s="460"/>
      <c r="L294" s="3">
        <v>10</v>
      </c>
      <c r="M294" s="11">
        <f t="shared" si="132"/>
        <v>0</v>
      </c>
      <c r="N294" s="11">
        <f t="shared" si="129"/>
        <v>0</v>
      </c>
      <c r="O294" s="11">
        <f t="shared" si="130"/>
        <v>0</v>
      </c>
      <c r="W294" s="11"/>
      <c r="X294" s="11"/>
    </row>
    <row r="295" spans="1:24" x14ac:dyDescent="0.2">
      <c r="A295" s="460"/>
      <c r="B295" s="3">
        <v>11</v>
      </c>
      <c r="C295" s="11">
        <f t="shared" si="131"/>
        <v>0</v>
      </c>
      <c r="D295" s="11">
        <f t="shared" si="123"/>
        <v>0</v>
      </c>
      <c r="E295" s="11">
        <f t="shared" si="124"/>
        <v>0</v>
      </c>
      <c r="F295" s="11">
        <f t="shared" si="125"/>
        <v>0</v>
      </c>
      <c r="G295" s="11">
        <f t="shared" si="126"/>
        <v>0</v>
      </c>
      <c r="H295" s="11">
        <f t="shared" si="127"/>
        <v>0</v>
      </c>
      <c r="I295" s="11">
        <f t="shared" si="128"/>
        <v>0</v>
      </c>
      <c r="J295" s="11"/>
      <c r="K295" s="460"/>
      <c r="L295" s="3">
        <v>11</v>
      </c>
      <c r="M295" s="11">
        <f t="shared" si="132"/>
        <v>0</v>
      </c>
      <c r="N295" s="11">
        <f t="shared" si="129"/>
        <v>0</v>
      </c>
      <c r="O295" s="11">
        <f t="shared" si="130"/>
        <v>0</v>
      </c>
      <c r="W295" s="11"/>
      <c r="X295" s="11"/>
    </row>
    <row r="296" spans="1:24" x14ac:dyDescent="0.2">
      <c r="A296" s="460"/>
      <c r="B296" s="3">
        <v>12</v>
      </c>
      <c r="C296" s="11">
        <f t="shared" si="131"/>
        <v>0</v>
      </c>
      <c r="D296" s="11">
        <f t="shared" si="123"/>
        <v>0</v>
      </c>
      <c r="E296" s="11">
        <f t="shared" si="124"/>
        <v>0</v>
      </c>
      <c r="F296" s="11">
        <f t="shared" si="125"/>
        <v>0</v>
      </c>
      <c r="G296" s="11">
        <f t="shared" si="126"/>
        <v>0</v>
      </c>
      <c r="H296" s="11">
        <f t="shared" si="127"/>
        <v>0</v>
      </c>
      <c r="I296" s="11">
        <f t="shared" si="128"/>
        <v>0</v>
      </c>
      <c r="J296" s="11"/>
      <c r="K296" s="460"/>
      <c r="L296" s="3">
        <v>12</v>
      </c>
      <c r="M296" s="11">
        <f t="shared" si="132"/>
        <v>0</v>
      </c>
      <c r="N296" s="11">
        <f t="shared" si="129"/>
        <v>0</v>
      </c>
      <c r="O296" s="11">
        <f t="shared" si="130"/>
        <v>0</v>
      </c>
      <c r="W296" s="11"/>
      <c r="X296" s="11"/>
    </row>
    <row r="297" spans="1:24" x14ac:dyDescent="0.2">
      <c r="A297" s="460"/>
      <c r="B297" s="3">
        <v>13</v>
      </c>
      <c r="C297" s="11">
        <f t="shared" si="131"/>
        <v>0</v>
      </c>
      <c r="D297" s="11">
        <f t="shared" si="123"/>
        <v>0</v>
      </c>
      <c r="E297" s="11">
        <f t="shared" si="124"/>
        <v>0</v>
      </c>
      <c r="F297" s="11">
        <f t="shared" si="125"/>
        <v>0</v>
      </c>
      <c r="G297" s="11">
        <f t="shared" si="126"/>
        <v>0</v>
      </c>
      <c r="H297" s="11">
        <f t="shared" si="127"/>
        <v>0</v>
      </c>
      <c r="I297" s="11">
        <f t="shared" si="128"/>
        <v>0</v>
      </c>
      <c r="J297" s="11"/>
      <c r="K297" s="460"/>
      <c r="L297" s="3">
        <v>13</v>
      </c>
      <c r="M297" s="11">
        <f t="shared" si="132"/>
        <v>0</v>
      </c>
      <c r="N297" s="11">
        <f t="shared" si="129"/>
        <v>0</v>
      </c>
      <c r="O297" s="11">
        <f t="shared" si="130"/>
        <v>0</v>
      </c>
      <c r="W297" s="11"/>
      <c r="X297" s="11"/>
    </row>
    <row r="298" spans="1:24" x14ac:dyDescent="0.2">
      <c r="A298" s="460"/>
      <c r="B298" s="3">
        <v>14</v>
      </c>
      <c r="C298" s="11">
        <f t="shared" si="131"/>
        <v>0</v>
      </c>
      <c r="D298" s="11">
        <f t="shared" si="123"/>
        <v>0</v>
      </c>
      <c r="E298" s="11">
        <f t="shared" si="124"/>
        <v>0</v>
      </c>
      <c r="F298" s="11">
        <f t="shared" si="125"/>
        <v>0</v>
      </c>
      <c r="G298" s="11">
        <f t="shared" si="126"/>
        <v>0</v>
      </c>
      <c r="H298" s="11">
        <f t="shared" si="127"/>
        <v>0</v>
      </c>
      <c r="I298" s="11">
        <f t="shared" si="128"/>
        <v>0</v>
      </c>
      <c r="J298" s="11"/>
      <c r="K298" s="460"/>
      <c r="L298" s="3">
        <v>14</v>
      </c>
      <c r="M298" s="11">
        <f t="shared" si="132"/>
        <v>0</v>
      </c>
      <c r="N298" s="11">
        <f t="shared" si="129"/>
        <v>0</v>
      </c>
      <c r="O298" s="11">
        <f t="shared" si="130"/>
        <v>0</v>
      </c>
      <c r="W298" s="11"/>
      <c r="X298" s="11"/>
    </row>
    <row r="299" spans="1:24" x14ac:dyDescent="0.2">
      <c r="A299" s="460"/>
      <c r="B299" s="3">
        <v>15</v>
      </c>
      <c r="C299" s="11">
        <f t="shared" si="131"/>
        <v>0</v>
      </c>
      <c r="D299" s="11">
        <f t="shared" si="123"/>
        <v>0</v>
      </c>
      <c r="E299" s="11">
        <f t="shared" si="124"/>
        <v>0</v>
      </c>
      <c r="F299" s="11">
        <f t="shared" si="125"/>
        <v>0</v>
      </c>
      <c r="G299" s="11">
        <f t="shared" si="126"/>
        <v>0</v>
      </c>
      <c r="H299" s="11">
        <f t="shared" si="127"/>
        <v>0</v>
      </c>
      <c r="I299" s="11">
        <f t="shared" si="128"/>
        <v>0</v>
      </c>
      <c r="J299" s="11"/>
      <c r="K299" s="460"/>
      <c r="L299" s="3">
        <v>15</v>
      </c>
      <c r="M299" s="11">
        <f t="shared" si="132"/>
        <v>0</v>
      </c>
      <c r="N299" s="11">
        <f t="shared" si="129"/>
        <v>0</v>
      </c>
      <c r="O299" s="11">
        <f t="shared" si="130"/>
        <v>0</v>
      </c>
      <c r="W299" s="11"/>
      <c r="X299" s="11"/>
    </row>
    <row r="300" spans="1:24" x14ac:dyDescent="0.2">
      <c r="A300" s="460"/>
      <c r="B300" s="3">
        <v>16</v>
      </c>
      <c r="C300" s="11">
        <f t="shared" si="131"/>
        <v>0</v>
      </c>
      <c r="D300" s="11">
        <f t="shared" si="123"/>
        <v>0</v>
      </c>
      <c r="E300" s="11">
        <f t="shared" si="124"/>
        <v>0</v>
      </c>
      <c r="F300" s="11">
        <f t="shared" si="125"/>
        <v>0</v>
      </c>
      <c r="G300" s="11">
        <f t="shared" si="126"/>
        <v>0</v>
      </c>
      <c r="H300" s="11">
        <f t="shared" si="127"/>
        <v>0</v>
      </c>
      <c r="I300" s="11">
        <f t="shared" si="128"/>
        <v>0</v>
      </c>
      <c r="J300" s="11"/>
      <c r="K300" s="460"/>
      <c r="L300" s="3">
        <v>16</v>
      </c>
      <c r="M300" s="11">
        <f t="shared" si="132"/>
        <v>0</v>
      </c>
      <c r="N300" s="11">
        <f t="shared" si="129"/>
        <v>0</v>
      </c>
      <c r="O300" s="11">
        <f t="shared" si="130"/>
        <v>0</v>
      </c>
      <c r="W300" s="11"/>
      <c r="X300" s="11"/>
    </row>
    <row r="301" spans="1:24" x14ac:dyDescent="0.2">
      <c r="A301" s="460"/>
      <c r="B301" s="3">
        <v>17</v>
      </c>
      <c r="C301" s="11">
        <f t="shared" si="131"/>
        <v>0</v>
      </c>
      <c r="D301" s="11">
        <f t="shared" si="123"/>
        <v>0</v>
      </c>
      <c r="E301" s="11">
        <f t="shared" si="124"/>
        <v>0</v>
      </c>
      <c r="F301" s="11">
        <f t="shared" si="125"/>
        <v>0</v>
      </c>
      <c r="G301" s="11">
        <f t="shared" si="126"/>
        <v>0</v>
      </c>
      <c r="H301" s="11">
        <f t="shared" si="127"/>
        <v>0</v>
      </c>
      <c r="I301" s="11">
        <f t="shared" si="128"/>
        <v>0</v>
      </c>
      <c r="J301" s="11"/>
      <c r="K301" s="460"/>
      <c r="L301" s="3">
        <v>17</v>
      </c>
      <c r="M301" s="11">
        <f t="shared" si="132"/>
        <v>0</v>
      </c>
      <c r="N301" s="11">
        <f t="shared" si="129"/>
        <v>0</v>
      </c>
      <c r="O301" s="11">
        <f t="shared" si="130"/>
        <v>0</v>
      </c>
      <c r="W301" s="11"/>
      <c r="X301" s="11"/>
    </row>
    <row r="302" spans="1:24" x14ac:dyDescent="0.2">
      <c r="A302" s="460"/>
      <c r="B302" s="3">
        <v>18</v>
      </c>
      <c r="C302" s="11">
        <f t="shared" si="131"/>
        <v>0</v>
      </c>
      <c r="D302" s="11">
        <f t="shared" si="123"/>
        <v>0</v>
      </c>
      <c r="E302" s="11">
        <f t="shared" si="124"/>
        <v>0</v>
      </c>
      <c r="F302" s="11">
        <f t="shared" si="125"/>
        <v>0</v>
      </c>
      <c r="G302" s="11">
        <f t="shared" si="126"/>
        <v>0</v>
      </c>
      <c r="H302" s="11">
        <f t="shared" si="127"/>
        <v>0</v>
      </c>
      <c r="I302" s="11">
        <f t="shared" si="128"/>
        <v>0</v>
      </c>
      <c r="J302" s="11"/>
      <c r="K302" s="460"/>
      <c r="L302" s="3">
        <v>18</v>
      </c>
      <c r="M302" s="11">
        <f t="shared" si="132"/>
        <v>0</v>
      </c>
      <c r="N302" s="11">
        <f t="shared" si="129"/>
        <v>0</v>
      </c>
      <c r="O302" s="11">
        <f t="shared" si="130"/>
        <v>0</v>
      </c>
      <c r="W302" s="11"/>
      <c r="X302" s="11"/>
    </row>
    <row r="303" spans="1:24" x14ac:dyDescent="0.2">
      <c r="A303" s="460"/>
      <c r="B303" s="3">
        <v>19</v>
      </c>
      <c r="C303" s="11">
        <f t="shared" si="131"/>
        <v>0</v>
      </c>
      <c r="D303" s="11">
        <f t="shared" si="123"/>
        <v>0</v>
      </c>
      <c r="E303" s="11">
        <f t="shared" si="124"/>
        <v>0</v>
      </c>
      <c r="F303" s="11">
        <f t="shared" si="125"/>
        <v>0</v>
      </c>
      <c r="G303" s="11">
        <f t="shared" si="126"/>
        <v>0</v>
      </c>
      <c r="H303" s="11">
        <f t="shared" si="127"/>
        <v>0</v>
      </c>
      <c r="I303" s="11">
        <f t="shared" si="128"/>
        <v>0</v>
      </c>
      <c r="J303" s="11"/>
      <c r="K303" s="460"/>
      <c r="L303" s="3">
        <v>19</v>
      </c>
      <c r="M303" s="11">
        <f t="shared" si="132"/>
        <v>0</v>
      </c>
      <c r="N303" s="11">
        <f t="shared" si="129"/>
        <v>0</v>
      </c>
      <c r="O303" s="11">
        <f t="shared" si="130"/>
        <v>0</v>
      </c>
      <c r="W303" s="11"/>
      <c r="X303" s="11"/>
    </row>
    <row r="304" spans="1:24" x14ac:dyDescent="0.2">
      <c r="A304" s="460"/>
      <c r="B304" s="3">
        <v>20</v>
      </c>
      <c r="C304" s="11">
        <f t="shared" si="131"/>
        <v>0</v>
      </c>
      <c r="D304" s="11">
        <f t="shared" si="123"/>
        <v>0</v>
      </c>
      <c r="E304" s="11">
        <f t="shared" si="124"/>
        <v>0</v>
      </c>
      <c r="F304" s="11">
        <f t="shared" si="125"/>
        <v>0</v>
      </c>
      <c r="G304" s="11">
        <f t="shared" si="126"/>
        <v>0</v>
      </c>
      <c r="H304" s="11">
        <f t="shared" si="127"/>
        <v>0</v>
      </c>
      <c r="I304" s="11">
        <f t="shared" si="128"/>
        <v>0</v>
      </c>
      <c r="J304" s="11"/>
      <c r="K304" s="460"/>
      <c r="L304" s="3">
        <v>20</v>
      </c>
      <c r="M304" s="11">
        <f t="shared" si="132"/>
        <v>0</v>
      </c>
      <c r="N304" s="11">
        <f t="shared" si="129"/>
        <v>0</v>
      </c>
      <c r="O304" s="11">
        <f t="shared" si="130"/>
        <v>0</v>
      </c>
      <c r="W304" s="11"/>
      <c r="X304" s="11"/>
    </row>
    <row r="306" spans="1:11" x14ac:dyDescent="0.2">
      <c r="A306" s="467" t="s">
        <v>667</v>
      </c>
      <c r="B306" s="73" t="s">
        <v>670</v>
      </c>
      <c r="C306" s="151">
        <f>BILAN_FORET!C12</f>
        <v>0.25</v>
      </c>
      <c r="D306" s="149"/>
      <c r="E306" s="52"/>
      <c r="F306" s="150"/>
    </row>
    <row r="307" spans="1:11" x14ac:dyDescent="0.2">
      <c r="A307" s="467"/>
      <c r="B307" s="73" t="s">
        <v>669</v>
      </c>
      <c r="C307" s="151">
        <f>IF(OR($C$6=0,$C$6=""),0,VLOOKUP(C1,Tableau619[],5,FALSE))</f>
        <v>0</v>
      </c>
    </row>
    <row r="308" spans="1:11" x14ac:dyDescent="0.2">
      <c r="A308" s="467"/>
      <c r="B308" s="73" t="s">
        <v>668</v>
      </c>
      <c r="C308" s="151" t="e">
        <f>BILAN_FORET!$C$28</f>
        <v>#VALUE!</v>
      </c>
      <c r="D308" s="149"/>
      <c r="E308" s="52"/>
      <c r="F308" s="150"/>
    </row>
    <row r="310" spans="1:11" ht="15.5" customHeight="1" x14ac:dyDescent="0.2">
      <c r="A310" s="217" t="s">
        <v>187</v>
      </c>
      <c r="B310" s="3" t="s">
        <v>15</v>
      </c>
      <c r="C310" s="3" t="s">
        <v>650</v>
      </c>
      <c r="D310" s="3" t="s">
        <v>651</v>
      </c>
      <c r="E310" s="3" t="s">
        <v>652</v>
      </c>
      <c r="F310" s="3" t="s">
        <v>656</v>
      </c>
      <c r="G310" s="3" t="s">
        <v>268</v>
      </c>
      <c r="H310" s="3" t="s">
        <v>658</v>
      </c>
      <c r="I310" s="3" t="s">
        <v>657</v>
      </c>
      <c r="J310" s="3" t="s">
        <v>660</v>
      </c>
      <c r="K310" s="3" t="s">
        <v>281</v>
      </c>
    </row>
    <row r="311" spans="1:11" x14ac:dyDescent="0.2">
      <c r="A311" s="218"/>
      <c r="B311" s="3">
        <v>1</v>
      </c>
      <c r="C311" s="11">
        <f t="shared" ref="C311:C330" si="133">IF(B311=1,M285,M285-M284)</f>
        <v>0</v>
      </c>
      <c r="D311" s="11">
        <f t="shared" ref="D311:D330" si="134">IF(B311=1,O285,O285-O284)</f>
        <v>0</v>
      </c>
      <c r="E311" s="11">
        <f t="shared" ref="E311:E330" si="135">IF(B311=1,N285,N285-N284)</f>
        <v>0</v>
      </c>
      <c r="F311" s="11">
        <f t="shared" ref="F311:F330" si="136">SUM(C311:E311)</f>
        <v>0</v>
      </c>
      <c r="G311" s="52">
        <f t="shared" ref="G311:G330" si="137">F311*$C$306</f>
        <v>0</v>
      </c>
      <c r="H311" s="52">
        <f t="shared" ref="H311:H330" si="138">(F311-G311)*$C$307</f>
        <v>0</v>
      </c>
      <c r="I311" s="52" t="e">
        <f>(F311-G311-H311)*$C$308</f>
        <v>#VALUE!</v>
      </c>
      <c r="J311" s="74" t="e">
        <f t="shared" ref="J311:J330" si="139">F311-G311-H311-I311</f>
        <v>#VALUE!</v>
      </c>
      <c r="K311" s="74" t="e">
        <f t="shared" ref="K311:K330" si="140">C$336</f>
        <v>#VALUE!</v>
      </c>
    </row>
    <row r="312" spans="1:11" x14ac:dyDescent="0.2">
      <c r="A312" s="218"/>
      <c r="B312" s="3">
        <v>2</v>
      </c>
      <c r="C312" s="11">
        <f t="shared" si="133"/>
        <v>0</v>
      </c>
      <c r="D312" s="11">
        <f t="shared" si="134"/>
        <v>0</v>
      </c>
      <c r="E312" s="11">
        <f t="shared" si="135"/>
        <v>0</v>
      </c>
      <c r="F312" s="11">
        <f t="shared" si="136"/>
        <v>0</v>
      </c>
      <c r="G312" s="52">
        <f t="shared" si="137"/>
        <v>0</v>
      </c>
      <c r="H312" s="52">
        <f t="shared" si="138"/>
        <v>0</v>
      </c>
      <c r="I312" s="52" t="e">
        <f t="shared" ref="I312:I330" si="141">(F312-G312-H312)*$C$308</f>
        <v>#VALUE!</v>
      </c>
      <c r="J312" s="74" t="e">
        <f t="shared" si="139"/>
        <v>#VALUE!</v>
      </c>
      <c r="K312" s="74" t="e">
        <f t="shared" si="140"/>
        <v>#VALUE!</v>
      </c>
    </row>
    <row r="313" spans="1:11" x14ac:dyDescent="0.2">
      <c r="A313" s="218"/>
      <c r="B313" s="3">
        <v>3</v>
      </c>
      <c r="C313" s="11">
        <f t="shared" si="133"/>
        <v>0</v>
      </c>
      <c r="D313" s="11">
        <f t="shared" si="134"/>
        <v>0</v>
      </c>
      <c r="E313" s="11">
        <f t="shared" si="135"/>
        <v>0</v>
      </c>
      <c r="F313" s="11">
        <f t="shared" si="136"/>
        <v>0</v>
      </c>
      <c r="G313" s="52">
        <f t="shared" si="137"/>
        <v>0</v>
      </c>
      <c r="H313" s="52">
        <f t="shared" si="138"/>
        <v>0</v>
      </c>
      <c r="I313" s="52" t="e">
        <f t="shared" si="141"/>
        <v>#VALUE!</v>
      </c>
      <c r="J313" s="74" t="e">
        <f t="shared" si="139"/>
        <v>#VALUE!</v>
      </c>
      <c r="K313" s="74" t="e">
        <f t="shared" si="140"/>
        <v>#VALUE!</v>
      </c>
    </row>
    <row r="314" spans="1:11" x14ac:dyDescent="0.2">
      <c r="A314" s="218"/>
      <c r="B314" s="3">
        <v>4</v>
      </c>
      <c r="C314" s="11">
        <f t="shared" si="133"/>
        <v>0</v>
      </c>
      <c r="D314" s="11">
        <f t="shared" si="134"/>
        <v>0</v>
      </c>
      <c r="E314" s="11">
        <f t="shared" si="135"/>
        <v>0</v>
      </c>
      <c r="F314" s="11">
        <f t="shared" si="136"/>
        <v>0</v>
      </c>
      <c r="G314" s="52">
        <f t="shared" si="137"/>
        <v>0</v>
      </c>
      <c r="H314" s="52">
        <f t="shared" si="138"/>
        <v>0</v>
      </c>
      <c r="I314" s="52" t="e">
        <f t="shared" si="141"/>
        <v>#VALUE!</v>
      </c>
      <c r="J314" s="74" t="e">
        <f t="shared" si="139"/>
        <v>#VALUE!</v>
      </c>
      <c r="K314" s="74" t="e">
        <f t="shared" si="140"/>
        <v>#VALUE!</v>
      </c>
    </row>
    <row r="315" spans="1:11" x14ac:dyDescent="0.2">
      <c r="A315" s="218"/>
      <c r="B315" s="3">
        <v>5</v>
      </c>
      <c r="C315" s="11">
        <f t="shared" si="133"/>
        <v>0</v>
      </c>
      <c r="D315" s="11">
        <f t="shared" si="134"/>
        <v>0</v>
      </c>
      <c r="E315" s="11">
        <f t="shared" si="135"/>
        <v>0</v>
      </c>
      <c r="F315" s="11">
        <f t="shared" si="136"/>
        <v>0</v>
      </c>
      <c r="G315" s="52">
        <f t="shared" si="137"/>
        <v>0</v>
      </c>
      <c r="H315" s="52">
        <f t="shared" si="138"/>
        <v>0</v>
      </c>
      <c r="I315" s="52" t="e">
        <f t="shared" si="141"/>
        <v>#VALUE!</v>
      </c>
      <c r="J315" s="74" t="e">
        <f t="shared" si="139"/>
        <v>#VALUE!</v>
      </c>
      <c r="K315" s="74" t="e">
        <f t="shared" si="140"/>
        <v>#VALUE!</v>
      </c>
    </row>
    <row r="316" spans="1:11" x14ac:dyDescent="0.2">
      <c r="A316" s="218"/>
      <c r="B316" s="3">
        <v>6</v>
      </c>
      <c r="C316" s="11">
        <f t="shared" si="133"/>
        <v>0</v>
      </c>
      <c r="D316" s="11">
        <f t="shared" si="134"/>
        <v>0</v>
      </c>
      <c r="E316" s="11">
        <f t="shared" si="135"/>
        <v>0</v>
      </c>
      <c r="F316" s="11">
        <f t="shared" si="136"/>
        <v>0</v>
      </c>
      <c r="G316" s="52">
        <f t="shared" si="137"/>
        <v>0</v>
      </c>
      <c r="H316" s="52">
        <f t="shared" si="138"/>
        <v>0</v>
      </c>
      <c r="I316" s="52" t="e">
        <f t="shared" si="141"/>
        <v>#VALUE!</v>
      </c>
      <c r="J316" s="74" t="e">
        <f t="shared" si="139"/>
        <v>#VALUE!</v>
      </c>
      <c r="K316" s="74" t="e">
        <f t="shared" si="140"/>
        <v>#VALUE!</v>
      </c>
    </row>
    <row r="317" spans="1:11" x14ac:dyDescent="0.2">
      <c r="A317" s="218"/>
      <c r="B317" s="3">
        <v>7</v>
      </c>
      <c r="C317" s="11">
        <f t="shared" si="133"/>
        <v>0</v>
      </c>
      <c r="D317" s="11">
        <f t="shared" si="134"/>
        <v>0</v>
      </c>
      <c r="E317" s="11">
        <f t="shared" si="135"/>
        <v>0</v>
      </c>
      <c r="F317" s="11">
        <f t="shared" si="136"/>
        <v>0</v>
      </c>
      <c r="G317" s="52">
        <f t="shared" si="137"/>
        <v>0</v>
      </c>
      <c r="H317" s="52">
        <f t="shared" si="138"/>
        <v>0</v>
      </c>
      <c r="I317" s="52" t="e">
        <f t="shared" si="141"/>
        <v>#VALUE!</v>
      </c>
      <c r="J317" s="74" t="e">
        <f t="shared" si="139"/>
        <v>#VALUE!</v>
      </c>
      <c r="K317" s="74" t="e">
        <f t="shared" si="140"/>
        <v>#VALUE!</v>
      </c>
    </row>
    <row r="318" spans="1:11" x14ac:dyDescent="0.2">
      <c r="A318" s="218"/>
      <c r="B318" s="3">
        <v>8</v>
      </c>
      <c r="C318" s="11">
        <f t="shared" si="133"/>
        <v>0</v>
      </c>
      <c r="D318" s="11">
        <f t="shared" si="134"/>
        <v>0</v>
      </c>
      <c r="E318" s="11">
        <f t="shared" si="135"/>
        <v>0</v>
      </c>
      <c r="F318" s="11">
        <f t="shared" si="136"/>
        <v>0</v>
      </c>
      <c r="G318" s="52">
        <f t="shared" si="137"/>
        <v>0</v>
      </c>
      <c r="H318" s="52">
        <f t="shared" si="138"/>
        <v>0</v>
      </c>
      <c r="I318" s="52" t="e">
        <f t="shared" si="141"/>
        <v>#VALUE!</v>
      </c>
      <c r="J318" s="74" t="e">
        <f t="shared" si="139"/>
        <v>#VALUE!</v>
      </c>
      <c r="K318" s="74" t="e">
        <f t="shared" si="140"/>
        <v>#VALUE!</v>
      </c>
    </row>
    <row r="319" spans="1:11" x14ac:dyDescent="0.2">
      <c r="A319" s="218"/>
      <c r="B319" s="3">
        <v>9</v>
      </c>
      <c r="C319" s="11">
        <f t="shared" si="133"/>
        <v>0</v>
      </c>
      <c r="D319" s="11">
        <f t="shared" si="134"/>
        <v>0</v>
      </c>
      <c r="E319" s="11">
        <f t="shared" si="135"/>
        <v>0</v>
      </c>
      <c r="F319" s="11">
        <f t="shared" si="136"/>
        <v>0</v>
      </c>
      <c r="G319" s="52">
        <f t="shared" si="137"/>
        <v>0</v>
      </c>
      <c r="H319" s="52">
        <f t="shared" si="138"/>
        <v>0</v>
      </c>
      <c r="I319" s="52" t="e">
        <f t="shared" si="141"/>
        <v>#VALUE!</v>
      </c>
      <c r="J319" s="74" t="e">
        <f t="shared" si="139"/>
        <v>#VALUE!</v>
      </c>
      <c r="K319" s="74" t="e">
        <f t="shared" si="140"/>
        <v>#VALUE!</v>
      </c>
    </row>
    <row r="320" spans="1:11" x14ac:dyDescent="0.2">
      <c r="A320" s="218"/>
      <c r="B320" s="3">
        <v>10</v>
      </c>
      <c r="C320" s="11">
        <f t="shared" si="133"/>
        <v>0</v>
      </c>
      <c r="D320" s="11">
        <f t="shared" si="134"/>
        <v>0</v>
      </c>
      <c r="E320" s="11">
        <f t="shared" si="135"/>
        <v>0</v>
      </c>
      <c r="F320" s="11">
        <f t="shared" si="136"/>
        <v>0</v>
      </c>
      <c r="G320" s="52">
        <f t="shared" si="137"/>
        <v>0</v>
      </c>
      <c r="H320" s="52">
        <f t="shared" si="138"/>
        <v>0</v>
      </c>
      <c r="I320" s="52" t="e">
        <f t="shared" si="141"/>
        <v>#VALUE!</v>
      </c>
      <c r="J320" s="74" t="e">
        <f t="shared" si="139"/>
        <v>#VALUE!</v>
      </c>
      <c r="K320" s="74" t="e">
        <f t="shared" si="140"/>
        <v>#VALUE!</v>
      </c>
    </row>
    <row r="321" spans="1:11" x14ac:dyDescent="0.2">
      <c r="A321" s="218"/>
      <c r="B321" s="3">
        <v>11</v>
      </c>
      <c r="C321" s="11">
        <f t="shared" si="133"/>
        <v>0</v>
      </c>
      <c r="D321" s="11">
        <f t="shared" si="134"/>
        <v>0</v>
      </c>
      <c r="E321" s="11">
        <f t="shared" si="135"/>
        <v>0</v>
      </c>
      <c r="F321" s="11">
        <f t="shared" si="136"/>
        <v>0</v>
      </c>
      <c r="G321" s="52">
        <f t="shared" si="137"/>
        <v>0</v>
      </c>
      <c r="H321" s="52">
        <f t="shared" si="138"/>
        <v>0</v>
      </c>
      <c r="I321" s="52" t="e">
        <f t="shared" si="141"/>
        <v>#VALUE!</v>
      </c>
      <c r="J321" s="74" t="e">
        <f t="shared" si="139"/>
        <v>#VALUE!</v>
      </c>
      <c r="K321" s="74" t="e">
        <f t="shared" si="140"/>
        <v>#VALUE!</v>
      </c>
    </row>
    <row r="322" spans="1:11" x14ac:dyDescent="0.2">
      <c r="A322" s="218"/>
      <c r="B322" s="3">
        <v>12</v>
      </c>
      <c r="C322" s="11">
        <f t="shared" si="133"/>
        <v>0</v>
      </c>
      <c r="D322" s="11">
        <f t="shared" si="134"/>
        <v>0</v>
      </c>
      <c r="E322" s="11">
        <f t="shared" si="135"/>
        <v>0</v>
      </c>
      <c r="F322" s="11">
        <f t="shared" si="136"/>
        <v>0</v>
      </c>
      <c r="G322" s="52">
        <f t="shared" si="137"/>
        <v>0</v>
      </c>
      <c r="H322" s="52">
        <f t="shared" si="138"/>
        <v>0</v>
      </c>
      <c r="I322" s="52" t="e">
        <f t="shared" si="141"/>
        <v>#VALUE!</v>
      </c>
      <c r="J322" s="74" t="e">
        <f t="shared" si="139"/>
        <v>#VALUE!</v>
      </c>
      <c r="K322" s="74" t="e">
        <f t="shared" si="140"/>
        <v>#VALUE!</v>
      </c>
    </row>
    <row r="323" spans="1:11" x14ac:dyDescent="0.2">
      <c r="A323" s="218"/>
      <c r="B323" s="3">
        <v>13</v>
      </c>
      <c r="C323" s="11">
        <f t="shared" si="133"/>
        <v>0</v>
      </c>
      <c r="D323" s="11">
        <f t="shared" si="134"/>
        <v>0</v>
      </c>
      <c r="E323" s="11">
        <f t="shared" si="135"/>
        <v>0</v>
      </c>
      <c r="F323" s="11">
        <f t="shared" si="136"/>
        <v>0</v>
      </c>
      <c r="G323" s="52">
        <f t="shared" si="137"/>
        <v>0</v>
      </c>
      <c r="H323" s="52">
        <f t="shared" si="138"/>
        <v>0</v>
      </c>
      <c r="I323" s="52" t="e">
        <f t="shared" si="141"/>
        <v>#VALUE!</v>
      </c>
      <c r="J323" s="74" t="e">
        <f t="shared" si="139"/>
        <v>#VALUE!</v>
      </c>
      <c r="K323" s="74" t="e">
        <f t="shared" si="140"/>
        <v>#VALUE!</v>
      </c>
    </row>
    <row r="324" spans="1:11" x14ac:dyDescent="0.2">
      <c r="A324" s="218"/>
      <c r="B324" s="3">
        <v>14</v>
      </c>
      <c r="C324" s="11">
        <f t="shared" si="133"/>
        <v>0</v>
      </c>
      <c r="D324" s="11">
        <f t="shared" si="134"/>
        <v>0</v>
      </c>
      <c r="E324" s="11">
        <f t="shared" si="135"/>
        <v>0</v>
      </c>
      <c r="F324" s="11">
        <f t="shared" si="136"/>
        <v>0</v>
      </c>
      <c r="G324" s="52">
        <f t="shared" si="137"/>
        <v>0</v>
      </c>
      <c r="H324" s="52">
        <f t="shared" si="138"/>
        <v>0</v>
      </c>
      <c r="I324" s="52" t="e">
        <f t="shared" si="141"/>
        <v>#VALUE!</v>
      </c>
      <c r="J324" s="74" t="e">
        <f t="shared" si="139"/>
        <v>#VALUE!</v>
      </c>
      <c r="K324" s="74" t="e">
        <f t="shared" si="140"/>
        <v>#VALUE!</v>
      </c>
    </row>
    <row r="325" spans="1:11" x14ac:dyDescent="0.2">
      <c r="A325" s="218"/>
      <c r="B325" s="3">
        <v>15</v>
      </c>
      <c r="C325" s="11">
        <f t="shared" si="133"/>
        <v>0</v>
      </c>
      <c r="D325" s="11">
        <f t="shared" si="134"/>
        <v>0</v>
      </c>
      <c r="E325" s="11">
        <f t="shared" si="135"/>
        <v>0</v>
      </c>
      <c r="F325" s="11">
        <f t="shared" si="136"/>
        <v>0</v>
      </c>
      <c r="G325" s="52">
        <f t="shared" si="137"/>
        <v>0</v>
      </c>
      <c r="H325" s="52">
        <f t="shared" si="138"/>
        <v>0</v>
      </c>
      <c r="I325" s="52" t="e">
        <f t="shared" si="141"/>
        <v>#VALUE!</v>
      </c>
      <c r="J325" s="74" t="e">
        <f t="shared" si="139"/>
        <v>#VALUE!</v>
      </c>
      <c r="K325" s="74" t="e">
        <f t="shared" si="140"/>
        <v>#VALUE!</v>
      </c>
    </row>
    <row r="326" spans="1:11" x14ac:dyDescent="0.2">
      <c r="A326" s="218"/>
      <c r="B326" s="3">
        <v>16</v>
      </c>
      <c r="C326" s="11">
        <f t="shared" si="133"/>
        <v>0</v>
      </c>
      <c r="D326" s="11">
        <f t="shared" si="134"/>
        <v>0</v>
      </c>
      <c r="E326" s="11">
        <f t="shared" si="135"/>
        <v>0</v>
      </c>
      <c r="F326" s="11">
        <f t="shared" si="136"/>
        <v>0</v>
      </c>
      <c r="G326" s="52">
        <f t="shared" si="137"/>
        <v>0</v>
      </c>
      <c r="H326" s="52">
        <f t="shared" si="138"/>
        <v>0</v>
      </c>
      <c r="I326" s="52" t="e">
        <f t="shared" si="141"/>
        <v>#VALUE!</v>
      </c>
      <c r="J326" s="74" t="e">
        <f t="shared" si="139"/>
        <v>#VALUE!</v>
      </c>
      <c r="K326" s="74" t="e">
        <f t="shared" si="140"/>
        <v>#VALUE!</v>
      </c>
    </row>
    <row r="327" spans="1:11" x14ac:dyDescent="0.2">
      <c r="A327" s="218"/>
      <c r="B327" s="3">
        <v>17</v>
      </c>
      <c r="C327" s="11">
        <f t="shared" si="133"/>
        <v>0</v>
      </c>
      <c r="D327" s="11">
        <f t="shared" si="134"/>
        <v>0</v>
      </c>
      <c r="E327" s="11">
        <f t="shared" si="135"/>
        <v>0</v>
      </c>
      <c r="F327" s="11">
        <f t="shared" si="136"/>
        <v>0</v>
      </c>
      <c r="G327" s="52">
        <f t="shared" si="137"/>
        <v>0</v>
      </c>
      <c r="H327" s="52">
        <f t="shared" si="138"/>
        <v>0</v>
      </c>
      <c r="I327" s="52" t="e">
        <f t="shared" si="141"/>
        <v>#VALUE!</v>
      </c>
      <c r="J327" s="74" t="e">
        <f t="shared" si="139"/>
        <v>#VALUE!</v>
      </c>
      <c r="K327" s="74" t="e">
        <f t="shared" si="140"/>
        <v>#VALUE!</v>
      </c>
    </row>
    <row r="328" spans="1:11" x14ac:dyDescent="0.2">
      <c r="A328" s="218"/>
      <c r="B328" s="3">
        <v>18</v>
      </c>
      <c r="C328" s="11">
        <f t="shared" si="133"/>
        <v>0</v>
      </c>
      <c r="D328" s="11">
        <f t="shared" si="134"/>
        <v>0</v>
      </c>
      <c r="E328" s="11">
        <f t="shared" si="135"/>
        <v>0</v>
      </c>
      <c r="F328" s="11">
        <f t="shared" si="136"/>
        <v>0</v>
      </c>
      <c r="G328" s="52">
        <f t="shared" si="137"/>
        <v>0</v>
      </c>
      <c r="H328" s="52">
        <f t="shared" si="138"/>
        <v>0</v>
      </c>
      <c r="I328" s="52" t="e">
        <f t="shared" si="141"/>
        <v>#VALUE!</v>
      </c>
      <c r="J328" s="74" t="e">
        <f t="shared" si="139"/>
        <v>#VALUE!</v>
      </c>
      <c r="K328" s="74" t="e">
        <f t="shared" si="140"/>
        <v>#VALUE!</v>
      </c>
    </row>
    <row r="329" spans="1:11" x14ac:dyDescent="0.2">
      <c r="A329" s="218"/>
      <c r="B329" s="3">
        <v>19</v>
      </c>
      <c r="C329" s="11">
        <f t="shared" si="133"/>
        <v>0</v>
      </c>
      <c r="D329" s="11">
        <f t="shared" si="134"/>
        <v>0</v>
      </c>
      <c r="E329" s="11">
        <f t="shared" si="135"/>
        <v>0</v>
      </c>
      <c r="F329" s="11">
        <f t="shared" si="136"/>
        <v>0</v>
      </c>
      <c r="G329" s="52">
        <f t="shared" si="137"/>
        <v>0</v>
      </c>
      <c r="H329" s="52">
        <f t="shared" si="138"/>
        <v>0</v>
      </c>
      <c r="I329" s="52" t="e">
        <f t="shared" si="141"/>
        <v>#VALUE!</v>
      </c>
      <c r="J329" s="74" t="e">
        <f t="shared" si="139"/>
        <v>#VALUE!</v>
      </c>
      <c r="K329" s="74" t="e">
        <f t="shared" si="140"/>
        <v>#VALUE!</v>
      </c>
    </row>
    <row r="330" spans="1:11" x14ac:dyDescent="0.2">
      <c r="A330" s="218"/>
      <c r="B330" s="3">
        <v>20</v>
      </c>
      <c r="C330" s="11">
        <f t="shared" si="133"/>
        <v>0</v>
      </c>
      <c r="D330" s="11">
        <f t="shared" si="134"/>
        <v>0</v>
      </c>
      <c r="E330" s="11">
        <f t="shared" si="135"/>
        <v>0</v>
      </c>
      <c r="F330" s="11">
        <f t="shared" si="136"/>
        <v>0</v>
      </c>
      <c r="G330" s="52">
        <f t="shared" si="137"/>
        <v>0</v>
      </c>
      <c r="H330" s="52">
        <f t="shared" si="138"/>
        <v>0</v>
      </c>
      <c r="I330" s="52" t="e">
        <f t="shared" si="141"/>
        <v>#VALUE!</v>
      </c>
      <c r="J330" s="74" t="e">
        <f t="shared" si="139"/>
        <v>#VALUE!</v>
      </c>
      <c r="K330" s="74" t="e">
        <f t="shared" si="140"/>
        <v>#VALUE!</v>
      </c>
    </row>
    <row r="332" spans="1:11" x14ac:dyDescent="0.2">
      <c r="B332" s="94" t="s">
        <v>662</v>
      </c>
      <c r="C332" s="95">
        <f t="shared" ref="C332:K332" si="142">SUM(C311:C330)</f>
        <v>0</v>
      </c>
      <c r="D332" s="95">
        <f t="shared" si="142"/>
        <v>0</v>
      </c>
      <c r="E332" s="95">
        <f t="shared" si="142"/>
        <v>0</v>
      </c>
      <c r="F332" s="95">
        <f t="shared" si="142"/>
        <v>0</v>
      </c>
      <c r="G332" s="105">
        <f t="shared" si="142"/>
        <v>0</v>
      </c>
      <c r="H332" s="105">
        <f t="shared" si="142"/>
        <v>0</v>
      </c>
      <c r="I332" s="105" t="e">
        <f t="shared" si="142"/>
        <v>#VALUE!</v>
      </c>
      <c r="J332" s="106" t="e">
        <f t="shared" si="142"/>
        <v>#VALUE!</v>
      </c>
      <c r="K332" s="106" t="e">
        <f t="shared" si="142"/>
        <v>#VALUE!</v>
      </c>
    </row>
    <row r="333" spans="1:11" x14ac:dyDescent="0.2">
      <c r="B333" s="94" t="s">
        <v>661</v>
      </c>
      <c r="C333" s="3" t="s">
        <v>653</v>
      </c>
      <c r="D333" s="3" t="s">
        <v>654</v>
      </c>
      <c r="E333" s="3" t="s">
        <v>655</v>
      </c>
      <c r="F333" s="3" t="s">
        <v>659</v>
      </c>
      <c r="G333" s="53" t="s">
        <v>663</v>
      </c>
      <c r="H333" s="53" t="s">
        <v>664</v>
      </c>
      <c r="I333" s="53" t="s">
        <v>665</v>
      </c>
      <c r="J333" s="462" t="s">
        <v>666</v>
      </c>
      <c r="K333" s="462"/>
    </row>
    <row r="335" spans="1:11" ht="16" customHeight="1" x14ac:dyDescent="0.2">
      <c r="B335" s="465" t="s">
        <v>257</v>
      </c>
      <c r="C335" s="107" t="e">
        <f>J332</f>
        <v>#VALUE!</v>
      </c>
      <c r="D335" s="64" t="s">
        <v>91</v>
      </c>
      <c r="E335" s="74"/>
      <c r="F335" s="75"/>
    </row>
    <row r="336" spans="1:11" ht="16" customHeight="1" x14ac:dyDescent="0.2">
      <c r="B336" s="466"/>
      <c r="C336" s="415" t="e">
        <f>C335/20</f>
        <v>#VALUE!</v>
      </c>
      <c r="D336" s="65" t="s">
        <v>93</v>
      </c>
    </row>
    <row r="337" spans="1:30" ht="16" customHeight="1" x14ac:dyDescent="0.2">
      <c r="B337" s="466"/>
      <c r="C337" s="228">
        <f>IF(OR($C$6=0,$C$6=""),0,C336/C6)</f>
        <v>0</v>
      </c>
      <c r="D337" s="65" t="s">
        <v>806</v>
      </c>
    </row>
    <row r="338" spans="1:30" x14ac:dyDescent="0.2">
      <c r="B338" s="466"/>
      <c r="C338" s="228" t="e">
        <f>IF(C336=0,0,C336/IF($C$4="IRR",$C$6,SUM($I$19:$I$38)))</f>
        <v>#VALUE!</v>
      </c>
      <c r="D338" s="63" t="s">
        <v>807</v>
      </c>
    </row>
    <row r="341" spans="1:30" x14ac:dyDescent="0.2">
      <c r="A341" s="146"/>
      <c r="B341" s="146"/>
      <c r="C341" s="146"/>
      <c r="D341" s="146"/>
      <c r="E341" s="146"/>
      <c r="F341" s="146"/>
      <c r="G341" s="146"/>
      <c r="H341" s="146"/>
      <c r="I341" s="146"/>
      <c r="J341" s="146"/>
      <c r="K341" s="146"/>
      <c r="L341" s="146"/>
      <c r="M341" s="146"/>
      <c r="N341" s="146"/>
      <c r="O341" s="146"/>
      <c r="P341" s="146"/>
      <c r="Q341" s="146"/>
      <c r="R341" s="146"/>
      <c r="S341" s="146"/>
      <c r="T341" s="146"/>
      <c r="U341" s="146"/>
      <c r="V341" s="146"/>
      <c r="W341" s="146"/>
      <c r="X341" s="146"/>
      <c r="Y341" s="146"/>
      <c r="Z341" s="146"/>
      <c r="AA341" s="146"/>
      <c r="AB341" s="146"/>
      <c r="AC341" s="146"/>
      <c r="AD341" s="146"/>
    </row>
    <row r="343" spans="1:30" ht="31" customHeight="1" x14ac:dyDescent="0.2">
      <c r="A343" s="63" t="s">
        <v>649</v>
      </c>
      <c r="B343" s="148"/>
      <c r="C343" s="148"/>
      <c r="D343" s="148"/>
      <c r="E343" s="148"/>
      <c r="F343" s="148"/>
      <c r="G343" s="148"/>
      <c r="H343" s="148"/>
      <c r="I343" s="148"/>
      <c r="J343" s="148"/>
      <c r="K343" s="148"/>
    </row>
    <row r="344" spans="1:30" x14ac:dyDescent="0.2">
      <c r="A344" s="461" t="s">
        <v>775</v>
      </c>
      <c r="B344" s="461"/>
      <c r="C344" s="461"/>
      <c r="D344" s="461"/>
    </row>
    <row r="345" spans="1:30" x14ac:dyDescent="0.2">
      <c r="A345" s="3" t="s">
        <v>94</v>
      </c>
      <c r="B345" s="3" t="s">
        <v>777</v>
      </c>
      <c r="C345" s="3" t="s">
        <v>766</v>
      </c>
      <c r="D345" s="3" t="s">
        <v>767</v>
      </c>
    </row>
    <row r="346" spans="1:30" x14ac:dyDescent="0.2">
      <c r="A346" s="3">
        <v>0</v>
      </c>
      <c r="B346" s="95">
        <f t="shared" ref="B346:B366" si="143">IF(A346=0,SUM($S$4:$S$7),C284+D284+E284)</f>
        <v>0</v>
      </c>
      <c r="C346" s="95">
        <f t="shared" ref="C346:C366" si="144">IF(A346=0,SUM($S$4:$S$7),F284+G284+H284)</f>
        <v>0</v>
      </c>
      <c r="D346" s="95">
        <f>C346-B346</f>
        <v>0</v>
      </c>
    </row>
    <row r="347" spans="1:30" x14ac:dyDescent="0.2">
      <c r="A347" s="3">
        <v>1</v>
      </c>
      <c r="B347" s="95">
        <f t="shared" si="143"/>
        <v>0</v>
      </c>
      <c r="C347" s="95">
        <f t="shared" si="144"/>
        <v>0</v>
      </c>
      <c r="D347" s="95">
        <f>C347-B347</f>
        <v>0</v>
      </c>
    </row>
    <row r="348" spans="1:30" x14ac:dyDescent="0.2">
      <c r="A348" s="3">
        <v>2</v>
      </c>
      <c r="B348" s="95">
        <f t="shared" si="143"/>
        <v>0</v>
      </c>
      <c r="C348" s="95">
        <f t="shared" si="144"/>
        <v>0</v>
      </c>
      <c r="D348" s="95">
        <f t="shared" ref="D348:D366" si="145">C348-B348</f>
        <v>0</v>
      </c>
      <c r="K348" s="11"/>
      <c r="L348" s="11"/>
      <c r="M348" s="11"/>
    </row>
    <row r="349" spans="1:30" x14ac:dyDescent="0.2">
      <c r="A349" s="3">
        <v>3</v>
      </c>
      <c r="B349" s="95">
        <f t="shared" si="143"/>
        <v>0</v>
      </c>
      <c r="C349" s="95">
        <f t="shared" si="144"/>
        <v>0</v>
      </c>
      <c r="D349" s="95">
        <f t="shared" si="145"/>
        <v>0</v>
      </c>
      <c r="K349" s="11"/>
      <c r="L349" s="11"/>
      <c r="M349" s="11"/>
    </row>
    <row r="350" spans="1:30" x14ac:dyDescent="0.2">
      <c r="A350" s="3">
        <v>4</v>
      </c>
      <c r="B350" s="95">
        <f t="shared" si="143"/>
        <v>0</v>
      </c>
      <c r="C350" s="95">
        <f t="shared" si="144"/>
        <v>0</v>
      </c>
      <c r="D350" s="95">
        <f t="shared" si="145"/>
        <v>0</v>
      </c>
      <c r="K350" s="11"/>
      <c r="L350" s="11"/>
      <c r="M350" s="11"/>
    </row>
    <row r="351" spans="1:30" x14ac:dyDescent="0.2">
      <c r="A351" s="3">
        <v>5</v>
      </c>
      <c r="B351" s="95">
        <f t="shared" si="143"/>
        <v>0</v>
      </c>
      <c r="C351" s="95">
        <f t="shared" si="144"/>
        <v>0</v>
      </c>
      <c r="D351" s="95">
        <f t="shared" si="145"/>
        <v>0</v>
      </c>
      <c r="K351" s="11"/>
      <c r="L351" s="11"/>
      <c r="M351" s="11"/>
    </row>
    <row r="352" spans="1:30" x14ac:dyDescent="0.2">
      <c r="A352" s="3">
        <v>6</v>
      </c>
      <c r="B352" s="95">
        <f t="shared" si="143"/>
        <v>0</v>
      </c>
      <c r="C352" s="95">
        <f t="shared" si="144"/>
        <v>0</v>
      </c>
      <c r="D352" s="95">
        <f t="shared" si="145"/>
        <v>0</v>
      </c>
      <c r="K352" s="11"/>
      <c r="L352" s="11"/>
      <c r="M352" s="11"/>
    </row>
    <row r="353" spans="1:13" x14ac:dyDescent="0.2">
      <c r="A353" s="3">
        <v>7</v>
      </c>
      <c r="B353" s="95">
        <f t="shared" si="143"/>
        <v>0</v>
      </c>
      <c r="C353" s="95">
        <f t="shared" si="144"/>
        <v>0</v>
      </c>
      <c r="D353" s="95">
        <f t="shared" si="145"/>
        <v>0</v>
      </c>
      <c r="K353" s="11"/>
      <c r="L353" s="11"/>
      <c r="M353" s="11"/>
    </row>
    <row r="354" spans="1:13" x14ac:dyDescent="0.2">
      <c r="A354" s="3">
        <v>8</v>
      </c>
      <c r="B354" s="95">
        <f t="shared" si="143"/>
        <v>0</v>
      </c>
      <c r="C354" s="95">
        <f t="shared" si="144"/>
        <v>0</v>
      </c>
      <c r="D354" s="95">
        <f t="shared" si="145"/>
        <v>0</v>
      </c>
      <c r="K354" s="11"/>
      <c r="L354" s="11"/>
      <c r="M354" s="11"/>
    </row>
    <row r="355" spans="1:13" x14ac:dyDescent="0.2">
      <c r="A355" s="3">
        <v>9</v>
      </c>
      <c r="B355" s="95">
        <f t="shared" si="143"/>
        <v>0</v>
      </c>
      <c r="C355" s="95">
        <f t="shared" si="144"/>
        <v>0</v>
      </c>
      <c r="D355" s="95">
        <f t="shared" si="145"/>
        <v>0</v>
      </c>
      <c r="K355" s="11"/>
      <c r="L355" s="11"/>
      <c r="M355" s="11"/>
    </row>
    <row r="356" spans="1:13" x14ac:dyDescent="0.2">
      <c r="A356" s="3">
        <v>10</v>
      </c>
      <c r="B356" s="95">
        <f t="shared" si="143"/>
        <v>0</v>
      </c>
      <c r="C356" s="95">
        <f t="shared" si="144"/>
        <v>0</v>
      </c>
      <c r="D356" s="95">
        <f t="shared" si="145"/>
        <v>0</v>
      </c>
      <c r="K356" s="11"/>
      <c r="L356" s="11"/>
      <c r="M356" s="11"/>
    </row>
    <row r="357" spans="1:13" x14ac:dyDescent="0.2">
      <c r="A357" s="3">
        <v>11</v>
      </c>
      <c r="B357" s="95">
        <f t="shared" si="143"/>
        <v>0</v>
      </c>
      <c r="C357" s="95">
        <f t="shared" si="144"/>
        <v>0</v>
      </c>
      <c r="D357" s="95">
        <f t="shared" si="145"/>
        <v>0</v>
      </c>
      <c r="K357" s="11"/>
      <c r="L357" s="11"/>
      <c r="M357" s="11"/>
    </row>
    <row r="358" spans="1:13" x14ac:dyDescent="0.2">
      <c r="A358" s="3">
        <v>12</v>
      </c>
      <c r="B358" s="95">
        <f t="shared" si="143"/>
        <v>0</v>
      </c>
      <c r="C358" s="95">
        <f t="shared" si="144"/>
        <v>0</v>
      </c>
      <c r="D358" s="95">
        <f t="shared" si="145"/>
        <v>0</v>
      </c>
      <c r="K358" s="11"/>
      <c r="L358" s="11"/>
      <c r="M358" s="11"/>
    </row>
    <row r="359" spans="1:13" x14ac:dyDescent="0.2">
      <c r="A359" s="3">
        <v>13</v>
      </c>
      <c r="B359" s="95">
        <f t="shared" si="143"/>
        <v>0</v>
      </c>
      <c r="C359" s="95">
        <f t="shared" si="144"/>
        <v>0</v>
      </c>
      <c r="D359" s="95">
        <f t="shared" si="145"/>
        <v>0</v>
      </c>
      <c r="K359" s="11"/>
      <c r="L359" s="11"/>
      <c r="M359" s="11"/>
    </row>
    <row r="360" spans="1:13" x14ac:dyDescent="0.2">
      <c r="A360" s="3">
        <v>14</v>
      </c>
      <c r="B360" s="95">
        <f t="shared" si="143"/>
        <v>0</v>
      </c>
      <c r="C360" s="95">
        <f t="shared" si="144"/>
        <v>0</v>
      </c>
      <c r="D360" s="95">
        <f t="shared" si="145"/>
        <v>0</v>
      </c>
      <c r="K360" s="11"/>
      <c r="L360" s="11"/>
      <c r="M360" s="11"/>
    </row>
    <row r="361" spans="1:13" x14ac:dyDescent="0.2">
      <c r="A361" s="3">
        <v>15</v>
      </c>
      <c r="B361" s="95">
        <f t="shared" si="143"/>
        <v>0</v>
      </c>
      <c r="C361" s="95">
        <f t="shared" si="144"/>
        <v>0</v>
      </c>
      <c r="D361" s="95">
        <f t="shared" si="145"/>
        <v>0</v>
      </c>
      <c r="K361" s="11"/>
      <c r="L361" s="11"/>
      <c r="M361" s="11"/>
    </row>
    <row r="362" spans="1:13" x14ac:dyDescent="0.2">
      <c r="A362" s="3">
        <v>16</v>
      </c>
      <c r="B362" s="95">
        <f t="shared" si="143"/>
        <v>0</v>
      </c>
      <c r="C362" s="95">
        <f t="shared" si="144"/>
        <v>0</v>
      </c>
      <c r="D362" s="95">
        <f t="shared" si="145"/>
        <v>0</v>
      </c>
      <c r="K362" s="11"/>
      <c r="L362" s="11"/>
      <c r="M362" s="11"/>
    </row>
    <row r="363" spans="1:13" x14ac:dyDescent="0.2">
      <c r="A363" s="3">
        <v>17</v>
      </c>
      <c r="B363" s="95">
        <f t="shared" si="143"/>
        <v>0</v>
      </c>
      <c r="C363" s="95">
        <f t="shared" si="144"/>
        <v>0</v>
      </c>
      <c r="D363" s="95">
        <f t="shared" si="145"/>
        <v>0</v>
      </c>
      <c r="K363" s="11"/>
      <c r="L363" s="11"/>
      <c r="M363" s="11"/>
    </row>
    <row r="364" spans="1:13" x14ac:dyDescent="0.2">
      <c r="A364" s="3">
        <v>18</v>
      </c>
      <c r="B364" s="95">
        <f t="shared" si="143"/>
        <v>0</v>
      </c>
      <c r="C364" s="95">
        <f t="shared" si="144"/>
        <v>0</v>
      </c>
      <c r="D364" s="95">
        <f t="shared" si="145"/>
        <v>0</v>
      </c>
      <c r="K364" s="11"/>
      <c r="L364" s="11"/>
      <c r="M364" s="11"/>
    </row>
    <row r="365" spans="1:13" x14ac:dyDescent="0.2">
      <c r="A365" s="3">
        <v>19</v>
      </c>
      <c r="B365" s="95">
        <f t="shared" si="143"/>
        <v>0</v>
      </c>
      <c r="C365" s="95">
        <f t="shared" si="144"/>
        <v>0</v>
      </c>
      <c r="D365" s="95">
        <f t="shared" si="145"/>
        <v>0</v>
      </c>
      <c r="K365" s="11"/>
      <c r="L365" s="11"/>
      <c r="M365" s="11"/>
    </row>
    <row r="366" spans="1:13" s="94" customFormat="1" x14ac:dyDescent="0.2">
      <c r="A366" s="94">
        <v>20</v>
      </c>
      <c r="B366" s="96">
        <f t="shared" si="143"/>
        <v>0</v>
      </c>
      <c r="C366" s="96">
        <f t="shared" si="144"/>
        <v>0</v>
      </c>
      <c r="D366" s="96">
        <f t="shared" si="145"/>
        <v>0</v>
      </c>
      <c r="K366" s="221"/>
      <c r="L366" s="221"/>
      <c r="M366" s="221"/>
    </row>
    <row r="368" spans="1:13" x14ac:dyDescent="0.2">
      <c r="A368" s="461" t="s">
        <v>638</v>
      </c>
      <c r="B368" s="461"/>
      <c r="C368" s="461"/>
      <c r="D368" s="461"/>
    </row>
    <row r="369" spans="1:4" x14ac:dyDescent="0.2">
      <c r="A369" s="3" t="s">
        <v>94</v>
      </c>
      <c r="B369" s="3" t="s">
        <v>285</v>
      </c>
      <c r="C369" s="3" t="s">
        <v>286</v>
      </c>
      <c r="D369" s="3" t="s">
        <v>287</v>
      </c>
    </row>
    <row r="370" spans="1:4" x14ac:dyDescent="0.2">
      <c r="A370" s="3">
        <v>1</v>
      </c>
      <c r="B370" s="95">
        <f t="shared" ref="B370:B389" si="146">M285</f>
        <v>0</v>
      </c>
      <c r="C370" s="95">
        <f t="shared" ref="C370:C389" si="147">N285</f>
        <v>0</v>
      </c>
      <c r="D370" s="95">
        <f t="shared" ref="D370:D389" si="148">O285</f>
        <v>0</v>
      </c>
    </row>
    <row r="371" spans="1:4" x14ac:dyDescent="0.2">
      <c r="A371" s="3">
        <v>2</v>
      </c>
      <c r="B371" s="95">
        <f t="shared" si="146"/>
        <v>0</v>
      </c>
      <c r="C371" s="95">
        <f t="shared" si="147"/>
        <v>0</v>
      </c>
      <c r="D371" s="95">
        <f t="shared" si="148"/>
        <v>0</v>
      </c>
    </row>
    <row r="372" spans="1:4" x14ac:dyDescent="0.2">
      <c r="A372" s="3">
        <v>3</v>
      </c>
      <c r="B372" s="95">
        <f t="shared" si="146"/>
        <v>0</v>
      </c>
      <c r="C372" s="95">
        <f t="shared" si="147"/>
        <v>0</v>
      </c>
      <c r="D372" s="95">
        <f t="shared" si="148"/>
        <v>0</v>
      </c>
    </row>
    <row r="373" spans="1:4" x14ac:dyDescent="0.2">
      <c r="A373" s="3">
        <v>4</v>
      </c>
      <c r="B373" s="95">
        <f t="shared" si="146"/>
        <v>0</v>
      </c>
      <c r="C373" s="95">
        <f t="shared" si="147"/>
        <v>0</v>
      </c>
      <c r="D373" s="95">
        <f t="shared" si="148"/>
        <v>0</v>
      </c>
    </row>
    <row r="374" spans="1:4" x14ac:dyDescent="0.2">
      <c r="A374" s="3">
        <v>5</v>
      </c>
      <c r="B374" s="95">
        <f t="shared" si="146"/>
        <v>0</v>
      </c>
      <c r="C374" s="95">
        <f t="shared" si="147"/>
        <v>0</v>
      </c>
      <c r="D374" s="95">
        <f t="shared" si="148"/>
        <v>0</v>
      </c>
    </row>
    <row r="375" spans="1:4" x14ac:dyDescent="0.2">
      <c r="A375" s="3">
        <v>6</v>
      </c>
      <c r="B375" s="95">
        <f t="shared" si="146"/>
        <v>0</v>
      </c>
      <c r="C375" s="95">
        <f t="shared" si="147"/>
        <v>0</v>
      </c>
      <c r="D375" s="95">
        <f t="shared" si="148"/>
        <v>0</v>
      </c>
    </row>
    <row r="376" spans="1:4" x14ac:dyDescent="0.2">
      <c r="A376" s="3">
        <v>7</v>
      </c>
      <c r="B376" s="95">
        <f t="shared" si="146"/>
        <v>0</v>
      </c>
      <c r="C376" s="95">
        <f t="shared" si="147"/>
        <v>0</v>
      </c>
      <c r="D376" s="95">
        <f t="shared" si="148"/>
        <v>0</v>
      </c>
    </row>
    <row r="377" spans="1:4" x14ac:dyDescent="0.2">
      <c r="A377" s="3">
        <v>8</v>
      </c>
      <c r="B377" s="95">
        <f t="shared" si="146"/>
        <v>0</v>
      </c>
      <c r="C377" s="95">
        <f t="shared" si="147"/>
        <v>0</v>
      </c>
      <c r="D377" s="95">
        <f t="shared" si="148"/>
        <v>0</v>
      </c>
    </row>
    <row r="378" spans="1:4" x14ac:dyDescent="0.2">
      <c r="A378" s="3">
        <v>9</v>
      </c>
      <c r="B378" s="95">
        <f t="shared" si="146"/>
        <v>0</v>
      </c>
      <c r="C378" s="95">
        <f t="shared" si="147"/>
        <v>0</v>
      </c>
      <c r="D378" s="95">
        <f t="shared" si="148"/>
        <v>0</v>
      </c>
    </row>
    <row r="379" spans="1:4" x14ac:dyDescent="0.2">
      <c r="A379" s="3">
        <v>10</v>
      </c>
      <c r="B379" s="95">
        <f t="shared" si="146"/>
        <v>0</v>
      </c>
      <c r="C379" s="95">
        <f t="shared" si="147"/>
        <v>0</v>
      </c>
      <c r="D379" s="95">
        <f t="shared" si="148"/>
        <v>0</v>
      </c>
    </row>
    <row r="380" spans="1:4" x14ac:dyDescent="0.2">
      <c r="A380" s="3">
        <v>11</v>
      </c>
      <c r="B380" s="95">
        <f t="shared" si="146"/>
        <v>0</v>
      </c>
      <c r="C380" s="95">
        <f t="shared" si="147"/>
        <v>0</v>
      </c>
      <c r="D380" s="95">
        <f t="shared" si="148"/>
        <v>0</v>
      </c>
    </row>
    <row r="381" spans="1:4" x14ac:dyDescent="0.2">
      <c r="A381" s="3">
        <v>12</v>
      </c>
      <c r="B381" s="95">
        <f t="shared" si="146"/>
        <v>0</v>
      </c>
      <c r="C381" s="95">
        <f t="shared" si="147"/>
        <v>0</v>
      </c>
      <c r="D381" s="95">
        <f t="shared" si="148"/>
        <v>0</v>
      </c>
    </row>
    <row r="382" spans="1:4" x14ac:dyDescent="0.2">
      <c r="A382" s="3">
        <v>13</v>
      </c>
      <c r="B382" s="95">
        <f t="shared" si="146"/>
        <v>0</v>
      </c>
      <c r="C382" s="95">
        <f t="shared" si="147"/>
        <v>0</v>
      </c>
      <c r="D382" s="95">
        <f t="shared" si="148"/>
        <v>0</v>
      </c>
    </row>
    <row r="383" spans="1:4" x14ac:dyDescent="0.2">
      <c r="A383" s="3">
        <v>14</v>
      </c>
      <c r="B383" s="95">
        <f t="shared" si="146"/>
        <v>0</v>
      </c>
      <c r="C383" s="95">
        <f t="shared" si="147"/>
        <v>0</v>
      </c>
      <c r="D383" s="95">
        <f t="shared" si="148"/>
        <v>0</v>
      </c>
    </row>
    <row r="384" spans="1:4" x14ac:dyDescent="0.2">
      <c r="A384" s="3">
        <v>15</v>
      </c>
      <c r="B384" s="95">
        <f t="shared" si="146"/>
        <v>0</v>
      </c>
      <c r="C384" s="95">
        <f t="shared" si="147"/>
        <v>0</v>
      </c>
      <c r="D384" s="95">
        <f t="shared" si="148"/>
        <v>0</v>
      </c>
    </row>
    <row r="385" spans="1:11" x14ac:dyDescent="0.2">
      <c r="A385" s="3">
        <v>16</v>
      </c>
      <c r="B385" s="95">
        <f t="shared" si="146"/>
        <v>0</v>
      </c>
      <c r="C385" s="95">
        <f t="shared" si="147"/>
        <v>0</v>
      </c>
      <c r="D385" s="95">
        <f t="shared" si="148"/>
        <v>0</v>
      </c>
    </row>
    <row r="386" spans="1:11" x14ac:dyDescent="0.2">
      <c r="A386" s="3">
        <v>17</v>
      </c>
      <c r="B386" s="95">
        <f t="shared" si="146"/>
        <v>0</v>
      </c>
      <c r="C386" s="95">
        <f t="shared" si="147"/>
        <v>0</v>
      </c>
      <c r="D386" s="95">
        <f t="shared" si="148"/>
        <v>0</v>
      </c>
    </row>
    <row r="387" spans="1:11" x14ac:dyDescent="0.2">
      <c r="A387" s="3">
        <v>18</v>
      </c>
      <c r="B387" s="95">
        <f t="shared" si="146"/>
        <v>0</v>
      </c>
      <c r="C387" s="95">
        <f t="shared" si="147"/>
        <v>0</v>
      </c>
      <c r="D387" s="95">
        <f t="shared" si="148"/>
        <v>0</v>
      </c>
    </row>
    <row r="388" spans="1:11" x14ac:dyDescent="0.2">
      <c r="A388" s="3">
        <v>19</v>
      </c>
      <c r="B388" s="95">
        <f t="shared" si="146"/>
        <v>0</v>
      </c>
      <c r="C388" s="95">
        <f t="shared" si="147"/>
        <v>0</v>
      </c>
      <c r="D388" s="95">
        <f t="shared" si="148"/>
        <v>0</v>
      </c>
    </row>
    <row r="389" spans="1:11" x14ac:dyDescent="0.2">
      <c r="A389" s="94">
        <v>20</v>
      </c>
      <c r="B389" s="96">
        <f t="shared" si="146"/>
        <v>0</v>
      </c>
      <c r="C389" s="96">
        <f t="shared" si="147"/>
        <v>0</v>
      </c>
      <c r="D389" s="96">
        <f t="shared" si="148"/>
        <v>0</v>
      </c>
    </row>
    <row r="391" spans="1:11" ht="31" customHeight="1" x14ac:dyDescent="0.2">
      <c r="A391" s="63" t="s">
        <v>639</v>
      </c>
      <c r="B391" s="148"/>
      <c r="C391" s="148"/>
      <c r="D391" s="148"/>
      <c r="E391" s="148"/>
      <c r="F391" s="148"/>
      <c r="G391" s="148"/>
      <c r="H391" s="148"/>
      <c r="I391" s="148"/>
      <c r="J391" s="148"/>
      <c r="K391" s="148"/>
    </row>
    <row r="392" spans="1:11" x14ac:dyDescent="0.2">
      <c r="A392" s="147"/>
    </row>
    <row r="393" spans="1:11" x14ac:dyDescent="0.2">
      <c r="A393" s="81" t="s">
        <v>94</v>
      </c>
      <c r="B393" s="81" t="s">
        <v>761</v>
      </c>
      <c r="C393" s="81" t="s">
        <v>795</v>
      </c>
      <c r="D393" s="81" t="s">
        <v>792</v>
      </c>
      <c r="E393" s="81" t="s">
        <v>791</v>
      </c>
      <c r="F393" s="81" t="s">
        <v>762</v>
      </c>
      <c r="G393" s="81" t="s">
        <v>763</v>
      </c>
    </row>
    <row r="394" spans="1:11" x14ac:dyDescent="0.2">
      <c r="A394" s="3">
        <v>1</v>
      </c>
      <c r="B394" s="95">
        <f>D$15</f>
        <v>0</v>
      </c>
      <c r="C394" s="95">
        <f t="shared" ref="C394:C413" si="149">D$16+D$15</f>
        <v>0</v>
      </c>
      <c r="D394" s="95">
        <f t="shared" ref="D394:D413" si="150">AS61</f>
        <v>0</v>
      </c>
      <c r="E394" s="95">
        <f t="shared" ref="E394:E413" si="151">AS177</f>
        <v>0</v>
      </c>
      <c r="F394" s="95">
        <f t="shared" ref="F394:F413" si="152">IF($C$4="iRR",D394+B394,D394)</f>
        <v>0</v>
      </c>
      <c r="G394" s="95">
        <f t="shared" ref="G394:G413" si="153">IF($C$4="IRR",B394+E394,E394)</f>
        <v>0</v>
      </c>
    </row>
    <row r="395" spans="1:11" x14ac:dyDescent="0.2">
      <c r="A395" s="3">
        <v>2</v>
      </c>
      <c r="B395" s="95">
        <f t="shared" ref="B395:B413" si="154">D$15</f>
        <v>0</v>
      </c>
      <c r="C395" s="95">
        <f t="shared" si="149"/>
        <v>0</v>
      </c>
      <c r="D395" s="95">
        <f t="shared" si="150"/>
        <v>0</v>
      </c>
      <c r="E395" s="95">
        <f t="shared" si="151"/>
        <v>0</v>
      </c>
      <c r="F395" s="95">
        <f t="shared" si="152"/>
        <v>0</v>
      </c>
      <c r="G395" s="95">
        <f t="shared" si="153"/>
        <v>0</v>
      </c>
    </row>
    <row r="396" spans="1:11" x14ac:dyDescent="0.2">
      <c r="A396" s="3">
        <v>3</v>
      </c>
      <c r="B396" s="95">
        <f t="shared" si="154"/>
        <v>0</v>
      </c>
      <c r="C396" s="95">
        <f t="shared" si="149"/>
        <v>0</v>
      </c>
      <c r="D396" s="95">
        <f t="shared" si="150"/>
        <v>0</v>
      </c>
      <c r="E396" s="95">
        <f t="shared" si="151"/>
        <v>0</v>
      </c>
      <c r="F396" s="95">
        <f t="shared" si="152"/>
        <v>0</v>
      </c>
      <c r="G396" s="95">
        <f t="shared" si="153"/>
        <v>0</v>
      </c>
    </row>
    <row r="397" spans="1:11" x14ac:dyDescent="0.2">
      <c r="A397" s="3">
        <v>4</v>
      </c>
      <c r="B397" s="95">
        <f t="shared" si="154"/>
        <v>0</v>
      </c>
      <c r="C397" s="95">
        <f t="shared" si="149"/>
        <v>0</v>
      </c>
      <c r="D397" s="95">
        <f t="shared" si="150"/>
        <v>0</v>
      </c>
      <c r="E397" s="95">
        <f t="shared" si="151"/>
        <v>0</v>
      </c>
      <c r="F397" s="95">
        <f t="shared" si="152"/>
        <v>0</v>
      </c>
      <c r="G397" s="95">
        <f t="shared" si="153"/>
        <v>0</v>
      </c>
    </row>
    <row r="398" spans="1:11" x14ac:dyDescent="0.2">
      <c r="A398" s="3">
        <v>5</v>
      </c>
      <c r="B398" s="95">
        <f t="shared" si="154"/>
        <v>0</v>
      </c>
      <c r="C398" s="95">
        <f t="shared" si="149"/>
        <v>0</v>
      </c>
      <c r="D398" s="95">
        <f t="shared" si="150"/>
        <v>0</v>
      </c>
      <c r="E398" s="95">
        <f t="shared" si="151"/>
        <v>0</v>
      </c>
      <c r="F398" s="95">
        <f t="shared" si="152"/>
        <v>0</v>
      </c>
      <c r="G398" s="95">
        <f t="shared" si="153"/>
        <v>0</v>
      </c>
    </row>
    <row r="399" spans="1:11" x14ac:dyDescent="0.2">
      <c r="A399" s="3">
        <v>6</v>
      </c>
      <c r="B399" s="95">
        <f t="shared" si="154"/>
        <v>0</v>
      </c>
      <c r="C399" s="95">
        <f t="shared" si="149"/>
        <v>0</v>
      </c>
      <c r="D399" s="95">
        <f t="shared" si="150"/>
        <v>0</v>
      </c>
      <c r="E399" s="95">
        <f t="shared" si="151"/>
        <v>0</v>
      </c>
      <c r="F399" s="95">
        <f t="shared" si="152"/>
        <v>0</v>
      </c>
      <c r="G399" s="95">
        <f t="shared" si="153"/>
        <v>0</v>
      </c>
    </row>
    <row r="400" spans="1:11" x14ac:dyDescent="0.2">
      <c r="A400" s="3">
        <v>7</v>
      </c>
      <c r="B400" s="95">
        <f t="shared" si="154"/>
        <v>0</v>
      </c>
      <c r="C400" s="95">
        <f t="shared" si="149"/>
        <v>0</v>
      </c>
      <c r="D400" s="95">
        <f t="shared" si="150"/>
        <v>0</v>
      </c>
      <c r="E400" s="95">
        <f t="shared" si="151"/>
        <v>0</v>
      </c>
      <c r="F400" s="95">
        <f t="shared" si="152"/>
        <v>0</v>
      </c>
      <c r="G400" s="95">
        <f t="shared" si="153"/>
        <v>0</v>
      </c>
    </row>
    <row r="401" spans="1:7" x14ac:dyDescent="0.2">
      <c r="A401" s="3">
        <v>8</v>
      </c>
      <c r="B401" s="95">
        <f t="shared" si="154"/>
        <v>0</v>
      </c>
      <c r="C401" s="95">
        <f t="shared" si="149"/>
        <v>0</v>
      </c>
      <c r="D401" s="95">
        <f t="shared" si="150"/>
        <v>0</v>
      </c>
      <c r="E401" s="95">
        <f t="shared" si="151"/>
        <v>0</v>
      </c>
      <c r="F401" s="95">
        <f t="shared" si="152"/>
        <v>0</v>
      </c>
      <c r="G401" s="95">
        <f t="shared" si="153"/>
        <v>0</v>
      </c>
    </row>
    <row r="402" spans="1:7" x14ac:dyDescent="0.2">
      <c r="A402" s="3">
        <v>9</v>
      </c>
      <c r="B402" s="95">
        <f t="shared" si="154"/>
        <v>0</v>
      </c>
      <c r="C402" s="95">
        <f t="shared" si="149"/>
        <v>0</v>
      </c>
      <c r="D402" s="95">
        <f t="shared" si="150"/>
        <v>0</v>
      </c>
      <c r="E402" s="95">
        <f t="shared" si="151"/>
        <v>0</v>
      </c>
      <c r="F402" s="95">
        <f t="shared" si="152"/>
        <v>0</v>
      </c>
      <c r="G402" s="95">
        <f t="shared" si="153"/>
        <v>0</v>
      </c>
    </row>
    <row r="403" spans="1:7" x14ac:dyDescent="0.2">
      <c r="A403" s="3">
        <v>10</v>
      </c>
      <c r="B403" s="95">
        <f t="shared" si="154"/>
        <v>0</v>
      </c>
      <c r="C403" s="95">
        <f t="shared" si="149"/>
        <v>0</v>
      </c>
      <c r="D403" s="95">
        <f t="shared" si="150"/>
        <v>0</v>
      </c>
      <c r="E403" s="95">
        <f t="shared" si="151"/>
        <v>0</v>
      </c>
      <c r="F403" s="95">
        <f t="shared" si="152"/>
        <v>0</v>
      </c>
      <c r="G403" s="95">
        <f t="shared" si="153"/>
        <v>0</v>
      </c>
    </row>
    <row r="404" spans="1:7" x14ac:dyDescent="0.2">
      <c r="A404" s="3">
        <v>11</v>
      </c>
      <c r="B404" s="95">
        <f t="shared" si="154"/>
        <v>0</v>
      </c>
      <c r="C404" s="95">
        <f t="shared" si="149"/>
        <v>0</v>
      </c>
      <c r="D404" s="95">
        <f t="shared" si="150"/>
        <v>0</v>
      </c>
      <c r="E404" s="95">
        <f t="shared" si="151"/>
        <v>0</v>
      </c>
      <c r="F404" s="95">
        <f t="shared" si="152"/>
        <v>0</v>
      </c>
      <c r="G404" s="95">
        <f t="shared" si="153"/>
        <v>0</v>
      </c>
    </row>
    <row r="405" spans="1:7" x14ac:dyDescent="0.2">
      <c r="A405" s="3">
        <v>12</v>
      </c>
      <c r="B405" s="95">
        <f t="shared" si="154"/>
        <v>0</v>
      </c>
      <c r="C405" s="95">
        <f t="shared" si="149"/>
        <v>0</v>
      </c>
      <c r="D405" s="95">
        <f t="shared" si="150"/>
        <v>0</v>
      </c>
      <c r="E405" s="95">
        <f t="shared" si="151"/>
        <v>0</v>
      </c>
      <c r="F405" s="95">
        <f t="shared" si="152"/>
        <v>0</v>
      </c>
      <c r="G405" s="95">
        <f t="shared" si="153"/>
        <v>0</v>
      </c>
    </row>
    <row r="406" spans="1:7" x14ac:dyDescent="0.2">
      <c r="A406" s="3">
        <v>13</v>
      </c>
      <c r="B406" s="95">
        <f t="shared" si="154"/>
        <v>0</v>
      </c>
      <c r="C406" s="95">
        <f t="shared" si="149"/>
        <v>0</v>
      </c>
      <c r="D406" s="95">
        <f t="shared" si="150"/>
        <v>0</v>
      </c>
      <c r="E406" s="95">
        <f t="shared" si="151"/>
        <v>0</v>
      </c>
      <c r="F406" s="95">
        <f t="shared" si="152"/>
        <v>0</v>
      </c>
      <c r="G406" s="95">
        <f t="shared" si="153"/>
        <v>0</v>
      </c>
    </row>
    <row r="407" spans="1:7" x14ac:dyDescent="0.2">
      <c r="A407" s="3">
        <v>14</v>
      </c>
      <c r="B407" s="95">
        <f t="shared" si="154"/>
        <v>0</v>
      </c>
      <c r="C407" s="95">
        <f t="shared" si="149"/>
        <v>0</v>
      </c>
      <c r="D407" s="95">
        <f t="shared" si="150"/>
        <v>0</v>
      </c>
      <c r="E407" s="95">
        <f t="shared" si="151"/>
        <v>0</v>
      </c>
      <c r="F407" s="95">
        <f t="shared" si="152"/>
        <v>0</v>
      </c>
      <c r="G407" s="95">
        <f t="shared" si="153"/>
        <v>0</v>
      </c>
    </row>
    <row r="408" spans="1:7" x14ac:dyDescent="0.2">
      <c r="A408" s="3">
        <v>15</v>
      </c>
      <c r="B408" s="95">
        <f t="shared" si="154"/>
        <v>0</v>
      </c>
      <c r="C408" s="95">
        <f t="shared" si="149"/>
        <v>0</v>
      </c>
      <c r="D408" s="95">
        <f t="shared" si="150"/>
        <v>0</v>
      </c>
      <c r="E408" s="95">
        <f t="shared" si="151"/>
        <v>0</v>
      </c>
      <c r="F408" s="95">
        <f t="shared" si="152"/>
        <v>0</v>
      </c>
      <c r="G408" s="95">
        <f t="shared" si="153"/>
        <v>0</v>
      </c>
    </row>
    <row r="409" spans="1:7" x14ac:dyDescent="0.2">
      <c r="A409" s="3">
        <v>16</v>
      </c>
      <c r="B409" s="95">
        <f t="shared" si="154"/>
        <v>0</v>
      </c>
      <c r="C409" s="95">
        <f t="shared" si="149"/>
        <v>0</v>
      </c>
      <c r="D409" s="95">
        <f t="shared" si="150"/>
        <v>0</v>
      </c>
      <c r="E409" s="95">
        <f t="shared" si="151"/>
        <v>0</v>
      </c>
      <c r="F409" s="95">
        <f t="shared" si="152"/>
        <v>0</v>
      </c>
      <c r="G409" s="95">
        <f t="shared" si="153"/>
        <v>0</v>
      </c>
    </row>
    <row r="410" spans="1:7" x14ac:dyDescent="0.2">
      <c r="A410" s="3">
        <v>17</v>
      </c>
      <c r="B410" s="95">
        <f t="shared" si="154"/>
        <v>0</v>
      </c>
      <c r="C410" s="95">
        <f t="shared" si="149"/>
        <v>0</v>
      </c>
      <c r="D410" s="95">
        <f t="shared" si="150"/>
        <v>0</v>
      </c>
      <c r="E410" s="95">
        <f t="shared" si="151"/>
        <v>0</v>
      </c>
      <c r="F410" s="95">
        <f t="shared" si="152"/>
        <v>0</v>
      </c>
      <c r="G410" s="95">
        <f t="shared" si="153"/>
        <v>0</v>
      </c>
    </row>
    <row r="411" spans="1:7" x14ac:dyDescent="0.2">
      <c r="A411" s="3">
        <v>18</v>
      </c>
      <c r="B411" s="95">
        <f t="shared" si="154"/>
        <v>0</v>
      </c>
      <c r="C411" s="95">
        <f t="shared" si="149"/>
        <v>0</v>
      </c>
      <c r="D411" s="95">
        <f t="shared" si="150"/>
        <v>0</v>
      </c>
      <c r="E411" s="95">
        <f t="shared" si="151"/>
        <v>0</v>
      </c>
      <c r="F411" s="95">
        <f t="shared" si="152"/>
        <v>0</v>
      </c>
      <c r="G411" s="95">
        <f t="shared" si="153"/>
        <v>0</v>
      </c>
    </row>
    <row r="412" spans="1:7" x14ac:dyDescent="0.2">
      <c r="A412" s="3">
        <v>19</v>
      </c>
      <c r="B412" s="95">
        <f t="shared" si="154"/>
        <v>0</v>
      </c>
      <c r="C412" s="95">
        <f t="shared" si="149"/>
        <v>0</v>
      </c>
      <c r="D412" s="95">
        <f t="shared" si="150"/>
        <v>0</v>
      </c>
      <c r="E412" s="95">
        <f t="shared" si="151"/>
        <v>0</v>
      </c>
      <c r="F412" s="95">
        <f t="shared" si="152"/>
        <v>0</v>
      </c>
      <c r="G412" s="95">
        <f t="shared" si="153"/>
        <v>0</v>
      </c>
    </row>
    <row r="413" spans="1:7" x14ac:dyDescent="0.2">
      <c r="A413" s="3">
        <v>20</v>
      </c>
      <c r="B413" s="95">
        <f t="shared" si="154"/>
        <v>0</v>
      </c>
      <c r="C413" s="95">
        <f t="shared" si="149"/>
        <v>0</v>
      </c>
      <c r="D413" s="95">
        <f t="shared" si="150"/>
        <v>0</v>
      </c>
      <c r="E413" s="95">
        <f t="shared" si="151"/>
        <v>0</v>
      </c>
      <c r="F413" s="95">
        <f t="shared" si="152"/>
        <v>0</v>
      </c>
      <c r="G413" s="95">
        <f t="shared" si="153"/>
        <v>0</v>
      </c>
    </row>
    <row r="414" spans="1:7" x14ac:dyDescent="0.2">
      <c r="B414" s="95"/>
      <c r="C414" s="95"/>
      <c r="D414" s="95"/>
      <c r="E414" s="95"/>
      <c r="F414" s="95"/>
      <c r="G414" s="95"/>
    </row>
    <row r="415" spans="1:7" x14ac:dyDescent="0.2">
      <c r="A415" s="476" t="s">
        <v>800</v>
      </c>
      <c r="B415" s="476"/>
      <c r="C415" s="476"/>
      <c r="D415" s="476"/>
      <c r="E415" s="476"/>
      <c r="F415" s="476"/>
      <c r="G415" s="476"/>
    </row>
    <row r="416" spans="1:7" x14ac:dyDescent="0.2">
      <c r="A416" s="81" t="s">
        <v>94</v>
      </c>
      <c r="B416" s="81" t="s">
        <v>761</v>
      </c>
      <c r="C416" s="81" t="s">
        <v>795</v>
      </c>
      <c r="D416" s="81" t="s">
        <v>792</v>
      </c>
      <c r="E416" s="81" t="s">
        <v>791</v>
      </c>
      <c r="F416" s="81" t="s">
        <v>762</v>
      </c>
      <c r="G416" s="81" t="s">
        <v>763</v>
      </c>
    </row>
    <row r="417" spans="1:7" x14ac:dyDescent="0.2">
      <c r="A417" s="3">
        <v>1</v>
      </c>
      <c r="B417" s="95" t="e">
        <f t="shared" ref="B417:B436" si="155">D$15/$C$6</f>
        <v>#DIV/0!</v>
      </c>
      <c r="C417" s="95" t="e">
        <f t="shared" ref="C417:C436" si="156">(D$16+D$15)/$C$6</f>
        <v>#DIV/0!</v>
      </c>
      <c r="D417" s="95" t="e">
        <f t="shared" ref="D417:D436" si="157">AS61/$C$6</f>
        <v>#DIV/0!</v>
      </c>
      <c r="E417" s="95" t="e">
        <f t="shared" ref="E417:E436" si="158">AS177/$C$6</f>
        <v>#DIV/0!</v>
      </c>
      <c r="F417" s="95" t="e">
        <f t="shared" ref="F417:F436" si="159">IF($C$4="iRR",D417+B417,D417)</f>
        <v>#DIV/0!</v>
      </c>
      <c r="G417" s="95" t="e">
        <f t="shared" ref="G417:G436" si="160">IF($C$4="IRR",B417+E417,E417)</f>
        <v>#DIV/0!</v>
      </c>
    </row>
    <row r="418" spans="1:7" x14ac:dyDescent="0.2">
      <c r="A418" s="3">
        <v>2</v>
      </c>
      <c r="B418" s="95" t="e">
        <f t="shared" si="155"/>
        <v>#DIV/0!</v>
      </c>
      <c r="C418" s="95" t="e">
        <f t="shared" si="156"/>
        <v>#DIV/0!</v>
      </c>
      <c r="D418" s="95" t="e">
        <f t="shared" si="157"/>
        <v>#DIV/0!</v>
      </c>
      <c r="E418" s="95" t="e">
        <f t="shared" si="158"/>
        <v>#DIV/0!</v>
      </c>
      <c r="F418" s="95" t="e">
        <f t="shared" si="159"/>
        <v>#DIV/0!</v>
      </c>
      <c r="G418" s="95" t="e">
        <f t="shared" si="160"/>
        <v>#DIV/0!</v>
      </c>
    </row>
    <row r="419" spans="1:7" x14ac:dyDescent="0.2">
      <c r="A419" s="3">
        <v>3</v>
      </c>
      <c r="B419" s="95" t="e">
        <f t="shared" si="155"/>
        <v>#DIV/0!</v>
      </c>
      <c r="C419" s="95" t="e">
        <f t="shared" si="156"/>
        <v>#DIV/0!</v>
      </c>
      <c r="D419" s="95" t="e">
        <f t="shared" si="157"/>
        <v>#DIV/0!</v>
      </c>
      <c r="E419" s="95" t="e">
        <f t="shared" si="158"/>
        <v>#DIV/0!</v>
      </c>
      <c r="F419" s="95" t="e">
        <f t="shared" si="159"/>
        <v>#DIV/0!</v>
      </c>
      <c r="G419" s="95" t="e">
        <f t="shared" si="160"/>
        <v>#DIV/0!</v>
      </c>
    </row>
    <row r="420" spans="1:7" x14ac:dyDescent="0.2">
      <c r="A420" s="3">
        <v>4</v>
      </c>
      <c r="B420" s="95" t="e">
        <f t="shared" si="155"/>
        <v>#DIV/0!</v>
      </c>
      <c r="C420" s="95" t="e">
        <f t="shared" si="156"/>
        <v>#DIV/0!</v>
      </c>
      <c r="D420" s="95" t="e">
        <f t="shared" si="157"/>
        <v>#DIV/0!</v>
      </c>
      <c r="E420" s="95" t="e">
        <f t="shared" si="158"/>
        <v>#DIV/0!</v>
      </c>
      <c r="F420" s="95" t="e">
        <f t="shared" si="159"/>
        <v>#DIV/0!</v>
      </c>
      <c r="G420" s="95" t="e">
        <f t="shared" si="160"/>
        <v>#DIV/0!</v>
      </c>
    </row>
    <row r="421" spans="1:7" x14ac:dyDescent="0.2">
      <c r="A421" s="3">
        <v>5</v>
      </c>
      <c r="B421" s="95" t="e">
        <f t="shared" si="155"/>
        <v>#DIV/0!</v>
      </c>
      <c r="C421" s="95" t="e">
        <f t="shared" si="156"/>
        <v>#DIV/0!</v>
      </c>
      <c r="D421" s="95" t="e">
        <f t="shared" si="157"/>
        <v>#DIV/0!</v>
      </c>
      <c r="E421" s="95" t="e">
        <f t="shared" si="158"/>
        <v>#DIV/0!</v>
      </c>
      <c r="F421" s="95" t="e">
        <f t="shared" si="159"/>
        <v>#DIV/0!</v>
      </c>
      <c r="G421" s="95" t="e">
        <f t="shared" si="160"/>
        <v>#DIV/0!</v>
      </c>
    </row>
    <row r="422" spans="1:7" x14ac:dyDescent="0.2">
      <c r="A422" s="3">
        <v>6</v>
      </c>
      <c r="B422" s="95" t="e">
        <f t="shared" si="155"/>
        <v>#DIV/0!</v>
      </c>
      <c r="C422" s="95" t="e">
        <f t="shared" si="156"/>
        <v>#DIV/0!</v>
      </c>
      <c r="D422" s="95" t="e">
        <f t="shared" si="157"/>
        <v>#DIV/0!</v>
      </c>
      <c r="E422" s="95" t="e">
        <f t="shared" si="158"/>
        <v>#DIV/0!</v>
      </c>
      <c r="F422" s="95" t="e">
        <f t="shared" si="159"/>
        <v>#DIV/0!</v>
      </c>
      <c r="G422" s="95" t="e">
        <f t="shared" si="160"/>
        <v>#DIV/0!</v>
      </c>
    </row>
    <row r="423" spans="1:7" x14ac:dyDescent="0.2">
      <c r="A423" s="3">
        <v>7</v>
      </c>
      <c r="B423" s="95" t="e">
        <f t="shared" si="155"/>
        <v>#DIV/0!</v>
      </c>
      <c r="C423" s="95" t="e">
        <f t="shared" si="156"/>
        <v>#DIV/0!</v>
      </c>
      <c r="D423" s="95" t="e">
        <f t="shared" si="157"/>
        <v>#DIV/0!</v>
      </c>
      <c r="E423" s="95" t="e">
        <f t="shared" si="158"/>
        <v>#DIV/0!</v>
      </c>
      <c r="F423" s="95" t="e">
        <f t="shared" si="159"/>
        <v>#DIV/0!</v>
      </c>
      <c r="G423" s="95" t="e">
        <f t="shared" si="160"/>
        <v>#DIV/0!</v>
      </c>
    </row>
    <row r="424" spans="1:7" x14ac:dyDescent="0.2">
      <c r="A424" s="3">
        <v>8</v>
      </c>
      <c r="B424" s="95" t="e">
        <f t="shared" si="155"/>
        <v>#DIV/0!</v>
      </c>
      <c r="C424" s="95" t="e">
        <f t="shared" si="156"/>
        <v>#DIV/0!</v>
      </c>
      <c r="D424" s="95" t="e">
        <f t="shared" si="157"/>
        <v>#DIV/0!</v>
      </c>
      <c r="E424" s="95" t="e">
        <f t="shared" si="158"/>
        <v>#DIV/0!</v>
      </c>
      <c r="F424" s="95" t="e">
        <f t="shared" si="159"/>
        <v>#DIV/0!</v>
      </c>
      <c r="G424" s="95" t="e">
        <f t="shared" si="160"/>
        <v>#DIV/0!</v>
      </c>
    </row>
    <row r="425" spans="1:7" x14ac:dyDescent="0.2">
      <c r="A425" s="3">
        <v>9</v>
      </c>
      <c r="B425" s="95" t="e">
        <f t="shared" si="155"/>
        <v>#DIV/0!</v>
      </c>
      <c r="C425" s="95" t="e">
        <f t="shared" si="156"/>
        <v>#DIV/0!</v>
      </c>
      <c r="D425" s="95" t="e">
        <f t="shared" si="157"/>
        <v>#DIV/0!</v>
      </c>
      <c r="E425" s="95" t="e">
        <f t="shared" si="158"/>
        <v>#DIV/0!</v>
      </c>
      <c r="F425" s="95" t="e">
        <f t="shared" si="159"/>
        <v>#DIV/0!</v>
      </c>
      <c r="G425" s="95" t="e">
        <f t="shared" si="160"/>
        <v>#DIV/0!</v>
      </c>
    </row>
    <row r="426" spans="1:7" x14ac:dyDescent="0.2">
      <c r="A426" s="3">
        <v>10</v>
      </c>
      <c r="B426" s="95" t="e">
        <f t="shared" si="155"/>
        <v>#DIV/0!</v>
      </c>
      <c r="C426" s="95" t="e">
        <f t="shared" si="156"/>
        <v>#DIV/0!</v>
      </c>
      <c r="D426" s="95" t="e">
        <f t="shared" si="157"/>
        <v>#DIV/0!</v>
      </c>
      <c r="E426" s="95" t="e">
        <f t="shared" si="158"/>
        <v>#DIV/0!</v>
      </c>
      <c r="F426" s="95" t="e">
        <f t="shared" si="159"/>
        <v>#DIV/0!</v>
      </c>
      <c r="G426" s="95" t="e">
        <f t="shared" si="160"/>
        <v>#DIV/0!</v>
      </c>
    </row>
    <row r="427" spans="1:7" x14ac:dyDescent="0.2">
      <c r="A427" s="3">
        <v>11</v>
      </c>
      <c r="B427" s="95" t="e">
        <f t="shared" si="155"/>
        <v>#DIV/0!</v>
      </c>
      <c r="C427" s="95" t="e">
        <f t="shared" si="156"/>
        <v>#DIV/0!</v>
      </c>
      <c r="D427" s="95" t="e">
        <f t="shared" si="157"/>
        <v>#DIV/0!</v>
      </c>
      <c r="E427" s="95" t="e">
        <f t="shared" si="158"/>
        <v>#DIV/0!</v>
      </c>
      <c r="F427" s="95" t="e">
        <f t="shared" si="159"/>
        <v>#DIV/0!</v>
      </c>
      <c r="G427" s="95" t="e">
        <f t="shared" si="160"/>
        <v>#DIV/0!</v>
      </c>
    </row>
    <row r="428" spans="1:7" x14ac:dyDescent="0.2">
      <c r="A428" s="3">
        <v>12</v>
      </c>
      <c r="B428" s="95" t="e">
        <f t="shared" si="155"/>
        <v>#DIV/0!</v>
      </c>
      <c r="C428" s="95" t="e">
        <f t="shared" si="156"/>
        <v>#DIV/0!</v>
      </c>
      <c r="D428" s="95" t="e">
        <f t="shared" si="157"/>
        <v>#DIV/0!</v>
      </c>
      <c r="E428" s="95" t="e">
        <f t="shared" si="158"/>
        <v>#DIV/0!</v>
      </c>
      <c r="F428" s="95" t="e">
        <f t="shared" si="159"/>
        <v>#DIV/0!</v>
      </c>
      <c r="G428" s="95" t="e">
        <f t="shared" si="160"/>
        <v>#DIV/0!</v>
      </c>
    </row>
    <row r="429" spans="1:7" x14ac:dyDescent="0.2">
      <c r="A429" s="3">
        <v>13</v>
      </c>
      <c r="B429" s="95" t="e">
        <f t="shared" si="155"/>
        <v>#DIV/0!</v>
      </c>
      <c r="C429" s="95" t="e">
        <f t="shared" si="156"/>
        <v>#DIV/0!</v>
      </c>
      <c r="D429" s="95" t="e">
        <f t="shared" si="157"/>
        <v>#DIV/0!</v>
      </c>
      <c r="E429" s="95" t="e">
        <f t="shared" si="158"/>
        <v>#DIV/0!</v>
      </c>
      <c r="F429" s="95" t="e">
        <f t="shared" si="159"/>
        <v>#DIV/0!</v>
      </c>
      <c r="G429" s="95" t="e">
        <f t="shared" si="160"/>
        <v>#DIV/0!</v>
      </c>
    </row>
    <row r="430" spans="1:7" x14ac:dyDescent="0.2">
      <c r="A430" s="3">
        <v>14</v>
      </c>
      <c r="B430" s="95" t="e">
        <f t="shared" si="155"/>
        <v>#DIV/0!</v>
      </c>
      <c r="C430" s="95" t="e">
        <f t="shared" si="156"/>
        <v>#DIV/0!</v>
      </c>
      <c r="D430" s="95" t="e">
        <f t="shared" si="157"/>
        <v>#DIV/0!</v>
      </c>
      <c r="E430" s="95" t="e">
        <f t="shared" si="158"/>
        <v>#DIV/0!</v>
      </c>
      <c r="F430" s="95" t="e">
        <f t="shared" si="159"/>
        <v>#DIV/0!</v>
      </c>
      <c r="G430" s="95" t="e">
        <f t="shared" si="160"/>
        <v>#DIV/0!</v>
      </c>
    </row>
    <row r="431" spans="1:7" x14ac:dyDescent="0.2">
      <c r="A431" s="3">
        <v>15</v>
      </c>
      <c r="B431" s="95" t="e">
        <f t="shared" si="155"/>
        <v>#DIV/0!</v>
      </c>
      <c r="C431" s="95" t="e">
        <f t="shared" si="156"/>
        <v>#DIV/0!</v>
      </c>
      <c r="D431" s="95" t="e">
        <f t="shared" si="157"/>
        <v>#DIV/0!</v>
      </c>
      <c r="E431" s="95" t="e">
        <f t="shared" si="158"/>
        <v>#DIV/0!</v>
      </c>
      <c r="F431" s="95" t="e">
        <f t="shared" si="159"/>
        <v>#DIV/0!</v>
      </c>
      <c r="G431" s="95" t="e">
        <f t="shared" si="160"/>
        <v>#DIV/0!</v>
      </c>
    </row>
    <row r="432" spans="1:7" x14ac:dyDescent="0.2">
      <c r="A432" s="3">
        <v>16</v>
      </c>
      <c r="B432" s="95" t="e">
        <f t="shared" si="155"/>
        <v>#DIV/0!</v>
      </c>
      <c r="C432" s="95" t="e">
        <f t="shared" si="156"/>
        <v>#DIV/0!</v>
      </c>
      <c r="D432" s="95" t="e">
        <f t="shared" si="157"/>
        <v>#DIV/0!</v>
      </c>
      <c r="E432" s="95" t="e">
        <f t="shared" si="158"/>
        <v>#DIV/0!</v>
      </c>
      <c r="F432" s="95" t="e">
        <f t="shared" si="159"/>
        <v>#DIV/0!</v>
      </c>
      <c r="G432" s="95" t="e">
        <f t="shared" si="160"/>
        <v>#DIV/0!</v>
      </c>
    </row>
    <row r="433" spans="1:7" x14ac:dyDescent="0.2">
      <c r="A433" s="3">
        <v>17</v>
      </c>
      <c r="B433" s="95" t="e">
        <f t="shared" si="155"/>
        <v>#DIV/0!</v>
      </c>
      <c r="C433" s="95" t="e">
        <f t="shared" si="156"/>
        <v>#DIV/0!</v>
      </c>
      <c r="D433" s="95" t="e">
        <f t="shared" si="157"/>
        <v>#DIV/0!</v>
      </c>
      <c r="E433" s="95" t="e">
        <f t="shared" si="158"/>
        <v>#DIV/0!</v>
      </c>
      <c r="F433" s="95" t="e">
        <f t="shared" si="159"/>
        <v>#DIV/0!</v>
      </c>
      <c r="G433" s="95" t="e">
        <f t="shared" si="160"/>
        <v>#DIV/0!</v>
      </c>
    </row>
    <row r="434" spans="1:7" x14ac:dyDescent="0.2">
      <c r="A434" s="3">
        <v>18</v>
      </c>
      <c r="B434" s="95" t="e">
        <f t="shared" si="155"/>
        <v>#DIV/0!</v>
      </c>
      <c r="C434" s="95" t="e">
        <f t="shared" si="156"/>
        <v>#DIV/0!</v>
      </c>
      <c r="D434" s="95" t="e">
        <f t="shared" si="157"/>
        <v>#DIV/0!</v>
      </c>
      <c r="E434" s="95" t="e">
        <f t="shared" si="158"/>
        <v>#DIV/0!</v>
      </c>
      <c r="F434" s="95" t="e">
        <f t="shared" si="159"/>
        <v>#DIV/0!</v>
      </c>
      <c r="G434" s="95" t="e">
        <f t="shared" si="160"/>
        <v>#DIV/0!</v>
      </c>
    </row>
    <row r="435" spans="1:7" x14ac:dyDescent="0.2">
      <c r="A435" s="3">
        <v>19</v>
      </c>
      <c r="B435" s="95" t="e">
        <f t="shared" si="155"/>
        <v>#DIV/0!</v>
      </c>
      <c r="C435" s="95" t="e">
        <f t="shared" si="156"/>
        <v>#DIV/0!</v>
      </c>
      <c r="D435" s="95" t="e">
        <f t="shared" si="157"/>
        <v>#DIV/0!</v>
      </c>
      <c r="E435" s="95" t="e">
        <f t="shared" si="158"/>
        <v>#DIV/0!</v>
      </c>
      <c r="F435" s="95" t="e">
        <f t="shared" si="159"/>
        <v>#DIV/0!</v>
      </c>
      <c r="G435" s="95" t="e">
        <f t="shared" si="160"/>
        <v>#DIV/0!</v>
      </c>
    </row>
    <row r="436" spans="1:7" x14ac:dyDescent="0.2">
      <c r="A436" s="3">
        <v>20</v>
      </c>
      <c r="B436" s="95" t="e">
        <f t="shared" si="155"/>
        <v>#DIV/0!</v>
      </c>
      <c r="C436" s="95" t="e">
        <f t="shared" si="156"/>
        <v>#DIV/0!</v>
      </c>
      <c r="D436" s="95" t="e">
        <f t="shared" si="157"/>
        <v>#DIV/0!</v>
      </c>
      <c r="E436" s="95" t="e">
        <f t="shared" si="158"/>
        <v>#DIV/0!</v>
      </c>
      <c r="F436" s="95" t="e">
        <f t="shared" si="159"/>
        <v>#DIV/0!</v>
      </c>
      <c r="G436" s="95" t="e">
        <f t="shared" si="160"/>
        <v>#DIV/0!</v>
      </c>
    </row>
    <row r="438" spans="1:7" x14ac:dyDescent="0.2">
      <c r="F438" s="95" t="e">
        <f>F436-F417</f>
        <v>#DIV/0!</v>
      </c>
      <c r="G438" s="95" t="e">
        <f>G436-G417</f>
        <v>#DIV/0!</v>
      </c>
    </row>
    <row r="439" spans="1:7" x14ac:dyDescent="0.2">
      <c r="G439" s="95" t="e">
        <f>G438-F438</f>
        <v>#DIV/0!</v>
      </c>
    </row>
  </sheetData>
  <sheetProtection algorithmName="SHA-512" hashValue="ob6IaQ2dF11UG5Q2vmbLlQpPCz50KiNSnDKOFS2ztdqlDiE+gX1IMXdMxrCtpC9zjhx+1V2Uc1NfvBlj+pzVoQ==" saltValue="eY5W5xHFWcu0XrOH1jbSHA==" spinCount="100000" sheet="1" objects="1" scenarios="1"/>
  <mergeCells count="59">
    <mergeCell ref="A415:G415"/>
    <mergeCell ref="A200:A205"/>
    <mergeCell ref="A207:A227"/>
    <mergeCell ref="AB209:AE214"/>
    <mergeCell ref="A232:A252"/>
    <mergeCell ref="A344:D344"/>
    <mergeCell ref="A368:D368"/>
    <mergeCell ref="A306:A308"/>
    <mergeCell ref="J333:K333"/>
    <mergeCell ref="B335:B338"/>
    <mergeCell ref="A256:A257"/>
    <mergeCell ref="A259:A279"/>
    <mergeCell ref="A281:B282"/>
    <mergeCell ref="A284:A304"/>
    <mergeCell ref="K284:K304"/>
    <mergeCell ref="J173:J174"/>
    <mergeCell ref="S173:S174"/>
    <mergeCell ref="AB173:AB174"/>
    <mergeCell ref="A176:A196"/>
    <mergeCell ref="J176:J196"/>
    <mergeCell ref="S176:S196"/>
    <mergeCell ref="AB176:AB196"/>
    <mergeCell ref="AO117:AO137"/>
    <mergeCell ref="AK60:AK80"/>
    <mergeCell ref="K232:K252"/>
    <mergeCell ref="U232:U252"/>
    <mergeCell ref="AE232:AE252"/>
    <mergeCell ref="AK176:AK196"/>
    <mergeCell ref="AB91:AE97"/>
    <mergeCell ref="K117:K137"/>
    <mergeCell ref="U117:U137"/>
    <mergeCell ref="AE117:AE137"/>
    <mergeCell ref="AO232:AO252"/>
    <mergeCell ref="J60:J80"/>
    <mergeCell ref="S60:S80"/>
    <mergeCell ref="AB60:AB80"/>
    <mergeCell ref="S57:S58"/>
    <mergeCell ref="AQ60:AQ80"/>
    <mergeCell ref="G18:G38"/>
    <mergeCell ref="A52:A53"/>
    <mergeCell ref="A57:A58"/>
    <mergeCell ref="J57:J58"/>
    <mergeCell ref="AB57:AB58"/>
    <mergeCell ref="A18:A49"/>
    <mergeCell ref="B15:C15"/>
    <mergeCell ref="A1:A2"/>
    <mergeCell ref="E3:E7"/>
    <mergeCell ref="A10:A11"/>
    <mergeCell ref="B13:C13"/>
    <mergeCell ref="A3:A7"/>
    <mergeCell ref="A141:A142"/>
    <mergeCell ref="A144:A164"/>
    <mergeCell ref="A167:A169"/>
    <mergeCell ref="A173:A174"/>
    <mergeCell ref="B16:C16"/>
    <mergeCell ref="A117:A137"/>
    <mergeCell ref="A84:A89"/>
    <mergeCell ref="A91:A111"/>
    <mergeCell ref="A60:A80"/>
  </mergeCells>
  <pageMargins left="0.7" right="0.7" top="0.75" bottom="0.75" header="0.3" footer="0.3"/>
  <pageSetup paperSize="9" orientation="portrait" r:id="rId1"/>
  <drawing r:id="rId2"/>
  <tableParts count="38">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 r:id="rId23"/>
    <tablePart r:id="rId24"/>
    <tablePart r:id="rId25"/>
    <tablePart r:id="rId26"/>
    <tablePart r:id="rId27"/>
    <tablePart r:id="rId28"/>
    <tablePart r:id="rId29"/>
    <tablePart r:id="rId30"/>
    <tablePart r:id="rId31"/>
    <tablePart r:id="rId32"/>
    <tablePart r:id="rId33"/>
    <tablePart r:id="rId34"/>
    <tablePart r:id="rId35"/>
    <tablePart r:id="rId36"/>
    <tablePart r:id="rId37"/>
    <tablePart r:id="rId38"/>
    <tablePart r:id="rId39"/>
    <tablePart r:id="rId40"/>
  </tableParts>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Feuilles de calcul</vt:lpstr>
      </vt:variant>
      <vt:variant>
        <vt:i4>16</vt:i4>
      </vt:variant>
      <vt:variant>
        <vt:lpstr>Plages nommées</vt:lpstr>
      </vt:variant>
      <vt:variant>
        <vt:i4>22</vt:i4>
      </vt:variant>
    </vt:vector>
  </HeadingPairs>
  <TitlesOfParts>
    <vt:vector size="38" baseType="lpstr">
      <vt:lpstr>README</vt:lpstr>
      <vt:lpstr>1.GLOBAL</vt:lpstr>
      <vt:lpstr>2.VOL_INITIAL</vt:lpstr>
      <vt:lpstr>3.ESS_RÉGÉ</vt:lpstr>
      <vt:lpstr>INITIAL_FORET</vt:lpstr>
      <vt:lpstr>StrateA</vt:lpstr>
      <vt:lpstr>StrateB</vt:lpstr>
      <vt:lpstr>StrateC</vt:lpstr>
      <vt:lpstr>StrateD</vt:lpstr>
      <vt:lpstr>BILAN_STRATES</vt:lpstr>
      <vt:lpstr>BILAN_FORET</vt:lpstr>
      <vt:lpstr>VAN</vt:lpstr>
      <vt:lpstr>Tables</vt:lpstr>
      <vt:lpstr>Tables_concat</vt:lpstr>
      <vt:lpstr>Listes</vt:lpstr>
      <vt:lpstr>RiskEss</vt:lpstr>
      <vt:lpstr>CHN</vt:lpstr>
      <vt:lpstr>DOU</vt:lpstr>
      <vt:lpstr>FEU</vt:lpstr>
      <vt:lpstr>HET</vt:lpstr>
      <vt:lpstr>StrateB!k</vt:lpstr>
      <vt:lpstr>StrateC!k</vt:lpstr>
      <vt:lpstr>StrateD!k</vt:lpstr>
      <vt:lpstr>k</vt:lpstr>
      <vt:lpstr>Niv_engt</vt:lpstr>
      <vt:lpstr>Nom_forêt</vt:lpstr>
      <vt:lpstr>PIM</vt:lpstr>
      <vt:lpstr>PIS</vt:lpstr>
      <vt:lpstr>Propriete</vt:lpstr>
      <vt:lpstr>Région</vt:lpstr>
      <vt:lpstr>RES</vt:lpstr>
      <vt:lpstr>SAP</vt:lpstr>
      <vt:lpstr>Surf_boisée</vt:lpstr>
      <vt:lpstr>Surf_pté</vt:lpstr>
      <vt:lpstr>Surface_tot</vt:lpstr>
      <vt:lpstr>Traitement</vt:lpstr>
      <vt:lpstr>Type_pté</vt:lpstr>
      <vt:lpstr>WW</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Sabine BARETS</cp:lastModifiedBy>
  <dcterms:created xsi:type="dcterms:W3CDTF">2022-03-28T11:37:17Z</dcterms:created>
  <dcterms:modified xsi:type="dcterms:W3CDTF">2024-09-23T13:21:12Z</dcterms:modified>
</cp:coreProperties>
</file>