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C:\Users\manon\Google Drive\FORET\CLIENTS\PRIMPTEMPS\GUYANE\CORRECTIFS METHODE\CORRECTIFS 20-03-2024\"/>
    </mc:Choice>
  </mc:AlternateContent>
  <xr:revisionPtr revIDLastSave="0" documentId="13_ncr:1_{3A3D04EC-0890-44C4-9F98-D66FF54828EC}" xr6:coauthVersionLast="47" xr6:coauthVersionMax="47" xr10:uidLastSave="{00000000-0000-0000-0000-000000000000}"/>
  <bookViews>
    <workbookView xWindow="-120" yWindow="-120" windowWidth="51840" windowHeight="21120" tabRatio="935" activeTab="1" xr2:uid="{00000000-000D-0000-FFFF-FFFF00000000}"/>
  </bookViews>
  <sheets>
    <sheet name="PRESENTATION" sheetId="46" r:id="rId1"/>
    <sheet name="RTAD 30 ans" sheetId="42" r:id="rId2"/>
    <sheet name="SOL Inputs" sheetId="36" r:id="rId3"/>
    <sheet name="ASFA inputs" sheetId="44" r:id="rId4"/>
    <sheet name="BO Inputs" sheetId="35" r:id="rId5"/>
    <sheet name="REA Produits &amp; Substitution" sheetId="37" r:id="rId6"/>
    <sheet name="REI Engrais" sheetId="45" r:id="rId7"/>
    <sheet name="REA-REE" sheetId="38" r:id="rId8"/>
  </sheets>
  <externalReferences>
    <externalReference r:id="rId9"/>
  </externalReferences>
  <definedNames>
    <definedName name="CF" localSheetId="1">#REF!</definedName>
    <definedName name="CF">#REF!</definedName>
    <definedName name="ESS" localSheetId="1">#REF!</definedName>
    <definedName name="ESS">#REF!</definedName>
    <definedName name="Rab" localSheetId="1">#REF!</definedName>
    <definedName name="Rab">#REF!</definedName>
    <definedName name="SMLT" localSheetId="1">#REF!</definedName>
    <definedName name="SMLT">#REF!</definedName>
    <definedName name="Tc" localSheetId="1">'RTAD 30 ans'!#REF!</definedName>
    <definedName name="Tc">#REF!</definedName>
    <definedName name="TPR" localSheetId="1">#REF!</definedName>
    <definedName name="TPR">#REF!</definedName>
    <definedName name="Vbi" localSheetId="1">#REF!</definedName>
    <definedName name="Vbi">#REF!</definedName>
    <definedName name="Vbo">[1]Inputs!$G$2:$I$11</definedName>
    <definedName name="Vt" localSheetId="1">#REF!</definedName>
    <definedName name="Vt">#REF!</definedName>
    <definedName name="_xlnm.Print_Area" localSheetId="1">'RTAD 30 ans'!$B$1:$U$86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1" i="42" l="1"/>
  <c r="J10" i="36"/>
  <c r="B7" i="45"/>
  <c r="D7" i="45" s="1"/>
  <c r="E7" i="45" s="1"/>
  <c r="F7" i="45" s="1"/>
  <c r="C6" i="45"/>
  <c r="C8" i="45" s="1"/>
  <c r="B6" i="45"/>
  <c r="D6" i="45" s="1"/>
  <c r="D8" i="45" l="1"/>
  <c r="E6" i="45"/>
  <c r="B8" i="45"/>
  <c r="E8" i="45" l="1"/>
  <c r="F6" i="45"/>
  <c r="F8" i="45" s="1"/>
  <c r="D84" i="42" s="1"/>
  <c r="H22" i="42" l="1"/>
  <c r="F10" i="35"/>
  <c r="F9" i="35" l="1"/>
  <c r="F8" i="35"/>
  <c r="C6" i="36"/>
  <c r="D39" i="42" l="1"/>
  <c r="E47" i="42"/>
  <c r="C9" i="36" l="1"/>
  <c r="C8" i="36"/>
  <c r="C7" i="36"/>
  <c r="J6" i="36" l="1"/>
  <c r="D40" i="42" s="1"/>
  <c r="J7" i="42"/>
  <c r="B3" i="35" s="1"/>
  <c r="J8" i="42"/>
  <c r="J6" i="42"/>
  <c r="D47" i="42" l="1"/>
  <c r="F47" i="42" s="1"/>
  <c r="G47" i="42" s="1"/>
  <c r="J7" i="36"/>
  <c r="J8" i="36" s="1"/>
  <c r="G9" i="35"/>
  <c r="G10" i="35"/>
  <c r="G8" i="35"/>
  <c r="H21" i="42" s="1"/>
  <c r="H23" i="42" s="1"/>
  <c r="H24" i="42" s="1"/>
  <c r="D22" i="42"/>
  <c r="F9" i="44"/>
  <c r="G9" i="44" s="1"/>
  <c r="F10" i="44"/>
  <c r="G10" i="44" s="1"/>
  <c r="F11" i="44"/>
  <c r="G11" i="44" s="1"/>
  <c r="F12" i="44"/>
  <c r="G12" i="44" s="1"/>
  <c r="F13" i="44"/>
  <c r="G13" i="44"/>
  <c r="F14" i="44"/>
  <c r="G14" i="44" s="1"/>
  <c r="B16" i="44"/>
  <c r="E24" i="44"/>
  <c r="F24" i="44"/>
  <c r="G24" i="44"/>
  <c r="E25" i="44"/>
  <c r="F25" i="44" s="1"/>
  <c r="G25" i="44" s="1"/>
  <c r="D23" i="42" l="1"/>
  <c r="D28" i="42"/>
  <c r="C23" i="37"/>
  <c r="J9" i="36"/>
  <c r="D30" i="42" s="1"/>
  <c r="C29" i="37"/>
  <c r="C28" i="37"/>
  <c r="C26" i="37"/>
  <c r="C30" i="37"/>
  <c r="C24" i="37"/>
  <c r="C27" i="37"/>
  <c r="C31" i="37"/>
  <c r="C25" i="37"/>
  <c r="G26" i="44"/>
  <c r="C32" i="37" l="1"/>
  <c r="B34" i="37"/>
  <c r="B35" i="37" s="1"/>
  <c r="D48" i="42"/>
  <c r="E48" i="42" l="1"/>
  <c r="F48" i="42" l="1"/>
  <c r="G48" i="42" s="1"/>
  <c r="C62" i="42" s="1"/>
  <c r="E84" i="42" l="1"/>
  <c r="C16" i="37" l="1"/>
  <c r="B18" i="37" l="1"/>
  <c r="H16" i="37"/>
  <c r="J16" i="37"/>
  <c r="I16" i="37"/>
  <c r="D29" i="42"/>
  <c r="C61" i="42" s="1"/>
  <c r="C63" i="42" s="1"/>
  <c r="D65" i="42" s="1"/>
  <c r="D67" i="42" l="1"/>
  <c r="D81" i="42"/>
  <c r="M61" i="42"/>
  <c r="M63" i="42" s="1"/>
  <c r="D83" i="42" s="1"/>
  <c r="L16" i="37"/>
  <c r="N65" i="42" l="1"/>
  <c r="E83" i="42" s="1"/>
  <c r="E81" i="42"/>
  <c r="H61" i="42"/>
  <c r="H63" i="42" s="1"/>
  <c r="D82" i="42" l="1"/>
  <c r="D85" i="42" s="1"/>
  <c r="I65" i="42"/>
  <c r="D75" i="42" s="1"/>
  <c r="E82" i="42" l="1"/>
  <c r="E85" i="42" s="1"/>
</calcChain>
</file>

<file path=xl/sharedStrings.xml><?xml version="1.0" encoding="utf-8"?>
<sst xmlns="http://schemas.openxmlformats.org/spreadsheetml/2006/main" count="335" uniqueCount="264">
  <si>
    <t>Age</t>
  </si>
  <si>
    <t>Vt</t>
  </si>
  <si>
    <t>Stock de la biomasse aérienne ( en tMS)</t>
  </si>
  <si>
    <t>S</t>
  </si>
  <si>
    <t>Stock de la biomasse racinaire (en tMS)</t>
  </si>
  <si>
    <t>L</t>
  </si>
  <si>
    <t>M</t>
  </si>
  <si>
    <t>τc</t>
  </si>
  <si>
    <t>Stock de bois mort ( en tC)</t>
  </si>
  <si>
    <t>Stock de la litière constante (tC/ha)</t>
  </si>
  <si>
    <t>Taux de carbone dans la matière sèche (tC/tMS)</t>
  </si>
  <si>
    <t>Volume total (en m3)</t>
  </si>
  <si>
    <t>di</t>
  </si>
  <si>
    <t>ha</t>
  </si>
  <si>
    <t>Variables</t>
  </si>
  <si>
    <t>V</t>
  </si>
  <si>
    <t>Poursuite culture agricole</t>
  </si>
  <si>
    <t>tCO2</t>
  </si>
  <si>
    <t>Intégration des rabais</t>
  </si>
  <si>
    <t>Rabais pour le risque d'incendie (0, -5, -10 ou -15 %)</t>
  </si>
  <si>
    <t>Rabais sur la classe de fertilité (0 ou -10%)</t>
  </si>
  <si>
    <t>infradensité de l'essence (TMS/m3)</t>
  </si>
  <si>
    <t>S sol (TC/ha)</t>
  </si>
  <si>
    <t>Le projet de boisement se situe sur des parcelles qui, l’année précédant la présente demande de certification, étaient :</t>
  </si>
  <si>
    <t>Embrousaillement/friche</t>
  </si>
  <si>
    <t>TC/ha</t>
  </si>
  <si>
    <t xml:space="preserve">Surface projet total : </t>
  </si>
  <si>
    <t>Sref  (30)</t>
  </si>
  <si>
    <t>S projet</t>
  </si>
  <si>
    <t>REA forêt</t>
  </si>
  <si>
    <t xml:space="preserve">S ref </t>
  </si>
  <si>
    <t>Information projet</t>
  </si>
  <si>
    <t>Densité</t>
  </si>
  <si>
    <t>REA forêt générables</t>
  </si>
  <si>
    <t>tC02</t>
  </si>
  <si>
    <t>Sref accrus (30) - Croissance du peuplement existant</t>
  </si>
  <si>
    <t xml:space="preserve">     </t>
  </si>
  <si>
    <t>Il n'y a pas de produits issus d'éclaircies dans le scénario de référence</t>
  </si>
  <si>
    <t>ans</t>
  </si>
  <si>
    <t>Stock de carbone dans les sols (en tC)</t>
  </si>
  <si>
    <t>REA produit générables</t>
  </si>
  <si>
    <t>TC02</t>
  </si>
  <si>
    <t>Densité de plants</t>
  </si>
  <si>
    <t>plts/ha</t>
  </si>
  <si>
    <t>Inga edulis</t>
  </si>
  <si>
    <t>Croissance rapide</t>
  </si>
  <si>
    <t>kg/arbre/an</t>
  </si>
  <si>
    <t>Croissance lente</t>
  </si>
  <si>
    <t>Fixateurs d'azote</t>
  </si>
  <si>
    <t>Fruitiers</t>
  </si>
  <si>
    <t>Plants/ha</t>
  </si>
  <si>
    <t>Répartition</t>
  </si>
  <si>
    <r>
      <t>∆</t>
    </r>
    <r>
      <rPr>
        <b/>
        <sz val="9.9"/>
        <color theme="1"/>
        <rFont val="Cambria"/>
        <family val="1"/>
      </rPr>
      <t xml:space="preserve">S(30) </t>
    </r>
  </si>
  <si>
    <t>Stock de biomasse aerienne TMS/ha</t>
  </si>
  <si>
    <t>Stock de la biomasse racinaire TMS/ha</t>
  </si>
  <si>
    <t>ESSENCES FORESTIERES ForestreeCulture</t>
  </si>
  <si>
    <t>Bagasse</t>
  </si>
  <si>
    <t>Bagassa guianensis</t>
  </si>
  <si>
    <t>Cèdre Sam</t>
  </si>
  <si>
    <t>Corida alliodora</t>
  </si>
  <si>
    <t>Niangon</t>
  </si>
  <si>
    <t>Heritiera utilis</t>
  </si>
  <si>
    <t>FIXATEURS D'AZOTE (FA)</t>
  </si>
  <si>
    <t>BOIS D'ŒUVRE (B0)</t>
  </si>
  <si>
    <t>Bois d'Œuvre</t>
  </si>
  <si>
    <t>Ba FA</t>
  </si>
  <si>
    <t>Br FA</t>
  </si>
  <si>
    <t>Durée projet</t>
  </si>
  <si>
    <t>REA - Méthode Restauration de terres agricoles dégradées</t>
  </si>
  <si>
    <t>Ba TOTAL</t>
  </si>
  <si>
    <t>Br TOTAL</t>
  </si>
  <si>
    <t>Stock de biomasse aerienne total TMS/ha</t>
  </si>
  <si>
    <t>Stock de la biomasse racinaire total TMS/ha</t>
  </si>
  <si>
    <t xml:space="preserve">FA + BO </t>
  </si>
  <si>
    <t>Ba BO</t>
  </si>
  <si>
    <t>Br BO</t>
  </si>
  <si>
    <t>Stock biomasse accrus (T C / ha)</t>
  </si>
  <si>
    <t xml:space="preserve"> S Biomasse (TC/ha)</t>
  </si>
  <si>
    <t>S projet TC02/ha</t>
  </si>
  <si>
    <t>S projet TC02</t>
  </si>
  <si>
    <t>Références onglets FA Inputs</t>
  </si>
  <si>
    <t>Référence onglet BO Inputs</t>
  </si>
  <si>
    <t>Ba FA + Ba BO</t>
  </si>
  <si>
    <t>Br FA + Br BO</t>
  </si>
  <si>
    <t>BI</t>
  </si>
  <si>
    <t>NB : Il n'y a pas de REA produits pour le Bois Energie</t>
  </si>
  <si>
    <t>%Sciage</t>
  </si>
  <si>
    <t>%Panneaux</t>
  </si>
  <si>
    <t>%Papier</t>
  </si>
  <si>
    <t>%BE</t>
  </si>
  <si>
    <t>N° Eclaircie</t>
  </si>
  <si>
    <t>BO</t>
  </si>
  <si>
    <t>Stock sciages 
(tCO₂/ha)</t>
  </si>
  <si>
    <t>Stock panneaux 
(tCO₂/ha)</t>
  </si>
  <si>
    <t>Stocks pâte à papier 
(tCO₂/ha)</t>
  </si>
  <si>
    <t>Stock produits 
bois (tCO₂/ha)</t>
  </si>
  <si>
    <t>Stocksbois énergie
(tCO₂/ha)</t>
  </si>
  <si>
    <t>Ve BO
 (m3/ha)</t>
  </si>
  <si>
    <t>REA Substitution</t>
  </si>
  <si>
    <t>Coefficient de substitution</t>
  </si>
  <si>
    <t>BE</t>
  </si>
  <si>
    <t>hypothèse basée sur tableau 5 Méthode boisement LBC</t>
  </si>
  <si>
    <t>EclaircieTMS/ha</t>
  </si>
  <si>
    <t>TOTAL REA</t>
  </si>
  <si>
    <t xml:space="preserve">REA produits </t>
  </si>
  <si>
    <t>REA substitution</t>
  </si>
  <si>
    <t>REA produits</t>
  </si>
  <si>
    <t>REA PRODUITS &amp; SUBSTITUTION</t>
  </si>
  <si>
    <t>Hypothèses : Une seule coupe à 30 ans pour le bois d'œuvre et trois coupes tous les dix ans pour les fixateurs d'azote</t>
  </si>
  <si>
    <t>Ogligatoire/Optionnel</t>
  </si>
  <si>
    <t>GES</t>
  </si>
  <si>
    <t>Optionnel</t>
  </si>
  <si>
    <t xml:space="preserve">Sequestration de carbone dans la biomasse aérienne </t>
  </si>
  <si>
    <t>Anticipées</t>
  </si>
  <si>
    <t>Séquestration de carbone dans le biomasse racinaire</t>
  </si>
  <si>
    <t>Séquestration de carbone dans la litière</t>
  </si>
  <si>
    <t>Séquestration de carbone dans le sol</t>
  </si>
  <si>
    <t>Séquestration de carbone dans les produits bois</t>
  </si>
  <si>
    <t>Substitution à des produits ou énergies plus émétteurs que le bois</t>
  </si>
  <si>
    <t>Indirecte</t>
  </si>
  <si>
    <t>Substitution à des engrais azotés</t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</si>
  <si>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</si>
  <si>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/>
    </r>
  </si>
  <si>
    <r>
      <t>CO</t>
    </r>
    <r>
      <rPr>
        <vertAlign val="subscript"/>
        <sz val="11"/>
        <color theme="1"/>
        <rFont val="Calibri"/>
        <family val="2"/>
        <scheme val="minor"/>
      </rPr>
      <t xml:space="preserve">2 </t>
    </r>
    <r>
      <rPr>
        <sz val="11"/>
        <color theme="1"/>
        <rFont val="Calibri"/>
        <family val="2"/>
        <scheme val="minor"/>
      </rPr>
      <t>, CH</t>
    </r>
    <r>
      <rPr>
        <vertAlign val="subscript"/>
        <sz val="11"/>
        <color theme="1"/>
        <rFont val="Calibri"/>
        <family val="2"/>
        <scheme val="minor"/>
      </rPr>
      <t>4</t>
    </r>
  </si>
  <si>
    <r>
      <t>CO</t>
    </r>
    <r>
      <rPr>
        <vertAlign val="subscript"/>
        <sz val="11"/>
        <color theme="1"/>
        <rFont val="Calibri"/>
        <family val="2"/>
        <scheme val="minor"/>
      </rPr>
      <t xml:space="preserve">2 </t>
    </r>
    <r>
      <rPr>
        <sz val="11"/>
        <color theme="1"/>
        <rFont val="Calibri"/>
        <family val="2"/>
        <scheme val="minor"/>
      </rPr>
      <t>, NO</t>
    </r>
    <r>
      <rPr>
        <vertAlign val="subscript"/>
        <sz val="11"/>
        <color theme="1"/>
        <rFont val="Calibri"/>
        <family val="2"/>
        <scheme val="minor"/>
      </rPr>
      <t>2</t>
    </r>
  </si>
  <si>
    <t>Obligatoire</t>
  </si>
  <si>
    <t>Source/Puits</t>
  </si>
  <si>
    <t>Type de RE</t>
  </si>
  <si>
    <t>AGB(kg/arbre/an)</t>
  </si>
  <si>
    <t>Espèces</t>
  </si>
  <si>
    <t>AGB (kg/arbre/an)</t>
  </si>
  <si>
    <t>How much carbon is sequestered during the restoration of tropical forests? Estimates from tree species in the Brazilian Atlantic forest - 2014 - Carolina Y. Shimamoto a, Paulo C. Botosso b, Márcia C.M. Marques a,</t>
  </si>
  <si>
    <t>Moyenne</t>
  </si>
  <si>
    <t xml:space="preserve">Inga Edulis  </t>
  </si>
  <si>
    <t>Clitoria fairchildiana</t>
  </si>
  <si>
    <t>AGB kg/arbre/an</t>
  </si>
  <si>
    <t>TMS/arbre/an</t>
  </si>
  <si>
    <t>TMS/arbre</t>
  </si>
  <si>
    <t>AGB total (TMS/ha)</t>
  </si>
  <si>
    <t>Espèce</t>
  </si>
  <si>
    <t>Guyafix - Restauration de site minierpointe de Combi</t>
  </si>
  <si>
    <t>MOYENNE</t>
  </si>
  <si>
    <t>8x8</t>
  </si>
  <si>
    <t>4x8</t>
  </si>
  <si>
    <t>4x4</t>
  </si>
  <si>
    <t>2x4</t>
  </si>
  <si>
    <t>2x2</t>
  </si>
  <si>
    <t>1x2</t>
  </si>
  <si>
    <t>kg/arbre</t>
  </si>
  <si>
    <t>Biomasse aerienne totale (TMS/ha)</t>
  </si>
  <si>
    <t>Espacement (m)</t>
  </si>
  <si>
    <t>Taille (%)</t>
  </si>
  <si>
    <t>Nbr d'arbre/ha</t>
  </si>
  <si>
    <t xml:space="preserve">Age </t>
  </si>
  <si>
    <t>Inga Edulis</t>
  </si>
  <si>
    <t>THE USE AND INTEGRATION OF INGA EDULIS IN AGROFORESTRY SYSTEMS IN THE AMAZON – REVIEW ARTICLE - 2010 LOJKA B.1, DUMAS L.2, PREININGER D.1, POLESNY Z.1, BANOUT J.1</t>
  </si>
  <si>
    <t>Données de production -  Arbre de Service Fixateurs d'Azote</t>
  </si>
  <si>
    <t>AGB ASFA moyen</t>
  </si>
  <si>
    <t>Δ𝐶𝑊𝑃𝑆𝑂𝐶, t prep</t>
  </si>
  <si>
    <t>𝐶𝑊𝑃𝑆𝑂𝐶, INIT</t>
  </si>
  <si>
    <t>Stock de carbone organique du sol au debut du projet</t>
  </si>
  <si>
    <t>𝐶𝑊𝑃𝑆𝑂𝐶, LOSS</t>
  </si>
  <si>
    <t xml:space="preserve">Perte de COS causée par la perturbation du sol attribuable à la préparation du site </t>
  </si>
  <si>
    <t>COS = carbone organique du sol</t>
  </si>
  <si>
    <t>Δ𝐶𝑊𝑃𝑆𝑂𝐶, t</t>
  </si>
  <si>
    <t xml:space="preserve">𝐶𝑊𝑃𝑆𝑂𝐶, R𝐸𝐹  </t>
  </si>
  <si>
    <t>𝑓𝐿𝑈</t>
  </si>
  <si>
    <t>FMG</t>
  </si>
  <si>
    <t>FIN</t>
  </si>
  <si>
    <t>Climate region</t>
  </si>
  <si>
    <t>Tropical, wet</t>
  </si>
  <si>
    <t>Tropical, moist</t>
  </si>
  <si>
    <t>HAC soils</t>
  </si>
  <si>
    <t>LAC soils</t>
  </si>
  <si>
    <t>Sandy soils</t>
  </si>
  <si>
    <t>𝐶𝑊𝑃𝑆𝑂𝐶, R𝐸𝐹  (tC/ha)</t>
  </si>
  <si>
    <t>FLU</t>
  </si>
  <si>
    <t>Utilisation des terres</t>
  </si>
  <si>
    <t>Culture long terme</t>
  </si>
  <si>
    <t>Culture court terme &lt;20ans</t>
  </si>
  <si>
    <t>Labour faible impact</t>
  </si>
  <si>
    <t>Labour intensif</t>
  </si>
  <si>
    <t>Apport de nutriment</t>
  </si>
  <si>
    <t>Faible</t>
  </si>
  <si>
    <t>Moyen</t>
  </si>
  <si>
    <t>Elevé</t>
  </si>
  <si>
    <t>Méthode VSC « Methodologie for afforestation, reforestation et revegetation projects »</t>
  </si>
  <si>
    <t>TC/ha/an</t>
  </si>
  <si>
    <r>
      <rPr>
        <sz val="11.5"/>
        <color rgb="FF000000"/>
        <rFont val="Cambria"/>
        <family val="1"/>
      </rPr>
      <t>Variation annuelle moyenne du stock de COS dans le scénario du projet dans l'intervalle de suivi se terminant en année (tC.an</t>
    </r>
    <r>
      <rPr>
        <vertAlign val="superscript"/>
        <sz val="11.5"/>
        <color rgb="FF000000"/>
        <rFont val="Cambria"/>
        <family val="1"/>
      </rPr>
      <t>-1</t>
    </r>
    <r>
      <rPr>
        <sz val="11.5"/>
        <color rgb="FF000000"/>
        <rFont val="Cambria"/>
        <family val="1"/>
      </rPr>
      <t>)</t>
    </r>
  </si>
  <si>
    <t>Δ𝐶𝑊𝑃𝑆𝑂𝐶,t plafonnée</t>
  </si>
  <si>
    <t>1. RTAD 30 ans</t>
  </si>
  <si>
    <t>kg/m3</t>
  </si>
  <si>
    <t>Flux produits bois (m3)</t>
  </si>
  <si>
    <t>TOTAL</t>
  </si>
  <si>
    <t xml:space="preserve">REA foret </t>
  </si>
  <si>
    <t>Avant rabais</t>
  </si>
  <si>
    <t>Après rabais</t>
  </si>
  <si>
    <t>REA produits bois</t>
  </si>
  <si>
    <t>REI substitution</t>
  </si>
  <si>
    <t xml:space="preserve">TOTAL </t>
  </si>
  <si>
    <t>Estimatif de prix</t>
  </si>
  <si>
    <t>Ve BO</t>
  </si>
  <si>
    <t>€/m3</t>
  </si>
  <si>
    <t>Ba TMS</t>
  </si>
  <si>
    <t>€/TMS</t>
  </si>
  <si>
    <t>Caractéristiques à 30 ans</t>
  </si>
  <si>
    <t>Hauteur (m)</t>
  </si>
  <si>
    <t>Diamètre (cm)</t>
  </si>
  <si>
    <t>Volume unitaire (m3/arbre)</t>
  </si>
  <si>
    <t>Densité (12%)</t>
  </si>
  <si>
    <t>Nom Latin</t>
  </si>
  <si>
    <t>Nom Commun</t>
  </si>
  <si>
    <t>ASFA</t>
  </si>
  <si>
    <t>Coefficient de forme</t>
  </si>
  <si>
    <t>Densité (arbres/ha)</t>
  </si>
  <si>
    <t>Volume total m3/ha</t>
  </si>
  <si>
    <t>Simulation de croissance à 30 ans pour les bagasses de la  Montagne de fer</t>
  </si>
  <si>
    <t>Résultats à 28 ans mesurés sur la placette de Roura</t>
  </si>
  <si>
    <t>FORESTREECULTURE 2 - BAGASSE extrait</t>
  </si>
  <si>
    <t>FORESTREECULTURE 2 - Niangon extrait</t>
  </si>
  <si>
    <t>FORESTREECULTURE 2 - Cèdre de Sam extrait</t>
  </si>
  <si>
    <t>FORESTREECULTURE 2 - Densité des bois</t>
  </si>
  <si>
    <t>Résultats à 21 ans mesurés autour du bourg de Saul</t>
  </si>
  <si>
    <t>3 t C/ha/an de carbone au-dessus du sol. (Poorter et al. (2016) in Chave et al 2020).</t>
  </si>
  <si>
    <t>m3</t>
  </si>
  <si>
    <t>REA forêt + REA produits + REI substitution + REI engrais</t>
  </si>
  <si>
    <t>REI engrais</t>
  </si>
  <si>
    <t>Source LBC méthode agricole France</t>
  </si>
  <si>
    <t>nb ASFA/ha</t>
  </si>
  <si>
    <t>FE (kg eqCO2/kg élément nutritif)</t>
  </si>
  <si>
    <t>kgC02 evité/ha</t>
  </si>
  <si>
    <t>TC02 évité/ha</t>
  </si>
  <si>
    <t>TC02 évité/projet</t>
  </si>
  <si>
    <t>apport N en kg/ha</t>
  </si>
  <si>
    <t>apport P en kg/ha</t>
  </si>
  <si>
    <t>Besoins en éléments fertilisants</t>
  </si>
  <si>
    <t>pour quelques cultures</t>
  </si>
  <si>
    <t xml:space="preserve">Apports Inga edulis </t>
  </si>
  <si>
    <t xml:space="preserve">Maïs grain </t>
  </si>
  <si>
    <t>Maïs ensilage</t>
  </si>
  <si>
    <t>Soja</t>
  </si>
  <si>
    <t>Canne à sucre</t>
  </si>
  <si>
    <t xml:space="preserve">banane </t>
  </si>
  <si>
    <t>ananas</t>
  </si>
  <si>
    <t>papaye</t>
  </si>
  <si>
    <t>citron lime</t>
  </si>
  <si>
    <t>mandarine</t>
  </si>
  <si>
    <t>prune de cythère</t>
  </si>
  <si>
    <t>N (kg/ha)</t>
  </si>
  <si>
    <t>P (kg/ha)</t>
  </si>
  <si>
    <t>K (kg/ha)</t>
  </si>
  <si>
    <t>Source Solicaz</t>
  </si>
  <si>
    <t>REMPLIR SOL INPUTS</t>
  </si>
  <si>
    <t xml:space="preserve">Données à remplir en fonction du projet et de l'historique de la parcelle en s'appuyant sur les tables ci-dessous: </t>
  </si>
  <si>
    <t>Calcul des apports en fonction du nombre d'ASFA/hectare</t>
  </si>
  <si>
    <t>REI ENGRAIS</t>
  </si>
  <si>
    <t xml:space="preserve">TABLEUR METHODE "RESTAURATION DE TERRES AGRICOLES DEGRADEES" V1
</t>
  </si>
  <si>
    <t xml:space="preserve">Ce tableur permet le calcul des réductions d'émissions liées à la méthode de restauration des terres agricoles degradées
</t>
  </si>
  <si>
    <t>Version du 14/11/2022</t>
  </si>
  <si>
    <t xml:space="preserve">Tableur réalisé par Manon Lopez, ingénieur conseil forêt environnement mandaté par Guyane Forest Initiative et le Printemps des Terres
</t>
  </si>
  <si>
    <t xml:space="preserve">Seules les cellules et onglets en jaune fluo sont à modifier </t>
  </si>
  <si>
    <t>Les resultats s'affichent sur l'onglet "RTAD 30ans"</t>
  </si>
  <si>
    <t>Rabais pour les risques généraux difficilement maitrisable (-20%)</t>
  </si>
  <si>
    <t>Rabais pour absence d'analyse économique pour l'additionnalié (0 ou - 40 %)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</si>
</sst>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164" formatCode="0.000"/>
    <numFmt numFmtId="165" formatCode="0.0"/>
    <numFmt numFmtId="166" formatCode="_ * #,##0.00_)\ &quot;R$&quot;_ ;_ * \(#,##0.00\)\ &quot;R$&quot;_ ;_ * &quot;-&quot;??_)\ &quot;R$&quot;_ ;_ @_ "/>
    <numFmt numFmtId="167" formatCode="_ * #,##0.00_)_ ;_ * \(#,##0.00\)_ ;_ * &quot;-&quot;??_)_ ;_ @_ "/>
    <numFmt numFmtId="168" formatCode="0.0%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1"/>
      <color theme="9" tint="0.59999389629810485"/>
      <name val="Cambria"/>
      <family val="1"/>
    </font>
    <font>
      <b/>
      <sz val="14"/>
      <color theme="1" tint="0.499984740745262"/>
      <name val="Cambria"/>
      <family val="1"/>
    </font>
    <font>
      <b/>
      <sz val="14"/>
      <color theme="9" tint="0.59999389629810485"/>
      <name val="Cambria"/>
      <family val="1"/>
    </font>
    <font>
      <b/>
      <sz val="16"/>
      <color theme="9" tint="0.59999389629810485"/>
      <name val="Cambria"/>
      <family val="1"/>
    </font>
    <font>
      <b/>
      <sz val="16"/>
      <color theme="1"/>
      <name val="Cambria"/>
      <family val="1"/>
    </font>
    <font>
      <sz val="16"/>
      <color theme="2" tint="-0.749992370372631"/>
      <name val="Cambria"/>
      <family val="1"/>
    </font>
    <font>
      <sz val="16"/>
      <color theme="1"/>
      <name val="Cambria"/>
      <family val="1"/>
    </font>
    <font>
      <b/>
      <sz val="11"/>
      <name val="Cambria"/>
      <family val="1"/>
    </font>
    <font>
      <sz val="11"/>
      <color theme="2" tint="-0.749992370372631"/>
      <name val="Cambria"/>
      <family val="1"/>
    </font>
    <font>
      <b/>
      <sz val="11"/>
      <color theme="1"/>
      <name val="Cambria"/>
      <family val="1"/>
    </font>
    <font>
      <b/>
      <i/>
      <sz val="11"/>
      <color theme="1"/>
      <name val="Cambria"/>
      <family val="1"/>
    </font>
    <font>
      <i/>
      <sz val="11"/>
      <color theme="1"/>
      <name val="Cambria"/>
      <family val="1"/>
    </font>
    <font>
      <b/>
      <i/>
      <sz val="11"/>
      <color theme="5" tint="-0.249977111117893"/>
      <name val="Cambria"/>
      <family val="1"/>
    </font>
    <font>
      <b/>
      <sz val="9.9"/>
      <color theme="1"/>
      <name val="Cambria"/>
      <family val="1"/>
    </font>
    <font>
      <b/>
      <i/>
      <sz val="11"/>
      <name val="Cambria"/>
      <family val="1"/>
    </font>
    <font>
      <b/>
      <sz val="22"/>
      <color theme="9" tint="0.59999389629810485"/>
      <name val="Cambria"/>
      <family val="1"/>
    </font>
    <font>
      <i/>
      <sz val="11"/>
      <color theme="9" tint="-0.249977111117893"/>
      <name val="Calibri"/>
      <family val="2"/>
      <scheme val="minor"/>
    </font>
    <font>
      <b/>
      <i/>
      <sz val="11"/>
      <color theme="9" tint="-0.249977111117893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1"/>
      <color theme="9" tint="-0.499984740745262"/>
      <name val="Cambria"/>
      <family val="1"/>
    </font>
    <font>
      <sz val="11.5"/>
      <color rgb="FF000000"/>
      <name val="Cambria"/>
      <family val="1"/>
    </font>
    <font>
      <vertAlign val="superscript"/>
      <sz val="11.5"/>
      <color rgb="FF000000"/>
      <name val="Cambria"/>
      <family val="1"/>
    </font>
    <font>
      <sz val="11.5"/>
      <color rgb="FF000000"/>
      <name val="Times New Roman"/>
      <family val="1"/>
    </font>
    <font>
      <b/>
      <sz val="11.5"/>
      <color theme="5" tint="-0.249977111117893"/>
      <name val="Cambria"/>
      <family val="1"/>
    </font>
    <font>
      <b/>
      <sz val="11"/>
      <color theme="5" tint="-0.249977111117893"/>
      <name val="Cambria"/>
      <family val="1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1"/>
      <name val="Cambria"/>
      <family val="1"/>
    </font>
    <font>
      <b/>
      <sz val="11"/>
      <color theme="7" tint="-0.249977111117893"/>
      <name val="Cambria"/>
      <family val="1"/>
    </font>
    <font>
      <b/>
      <sz val="11.5"/>
      <color theme="7" tint="-0.249977111117893"/>
      <name val="Cambria"/>
      <family val="1"/>
    </font>
    <font>
      <b/>
      <sz val="11"/>
      <color theme="8" tint="-0.249977111117893"/>
      <name val="Cambria"/>
      <family val="1"/>
    </font>
    <font>
      <b/>
      <sz val="11.5"/>
      <color theme="8" tint="-0.249977111117893"/>
      <name val="Cambria"/>
      <family val="1"/>
    </font>
    <font>
      <b/>
      <sz val="11"/>
      <color theme="9" tint="-0.249977111117893"/>
      <name val="Cambria"/>
      <family val="1"/>
    </font>
    <font>
      <b/>
      <sz val="11.5"/>
      <color theme="9" tint="-0.249977111117893"/>
      <name val="Cambria"/>
      <family val="1"/>
    </font>
    <font>
      <sz val="11"/>
      <color theme="9" tint="-0.249977111117893"/>
      <name val="Cambria"/>
      <family val="1"/>
    </font>
    <font>
      <sz val="11"/>
      <color theme="8" tint="-0.249977111117893"/>
      <name val="Cambria"/>
      <family val="1"/>
    </font>
    <font>
      <sz val="11"/>
      <color theme="7" tint="-0.249977111117893"/>
      <name val="Cambria"/>
      <family val="1"/>
    </font>
    <font>
      <sz val="11"/>
      <color theme="5" tint="-0.249977111117893"/>
      <name val="Cambria"/>
      <family val="1"/>
    </font>
    <font>
      <sz val="11"/>
      <color rgb="FF000000"/>
      <name val="Cambria"/>
      <family val="1"/>
    </font>
    <font>
      <sz val="11"/>
      <color theme="0"/>
      <name val="Cambria"/>
      <family val="1"/>
    </font>
    <font>
      <sz val="11"/>
      <color theme="9" tint="0.59999389629810485"/>
      <name val="Cambria"/>
      <family val="1"/>
    </font>
    <font>
      <sz val="12"/>
      <color theme="9" tint="0.59999389629810485"/>
      <name val="Cambria"/>
      <family val="1"/>
    </font>
    <font>
      <sz val="11"/>
      <color rgb="FFFF0000"/>
      <name val="Cambria"/>
      <family val="1"/>
    </font>
  </fonts>
  <fills count="11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theme="9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indexed="64"/>
      </patternFill>
    </fill>
  </fills>
  <borders count="18">
    <border>
      <left/>
      <right/>
      <top/>
      <bottom/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9"/>
      </left>
      <right/>
      <top style="thin">
        <color theme="9"/>
      </top>
      <bottom style="thin">
        <color theme="9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 style="thin">
        <color theme="9"/>
      </right>
      <top style="thin">
        <color theme="9"/>
      </top>
      <bottom style="thin">
        <color theme="9"/>
      </bottom>
      <diagonal/>
    </border>
    <border>
      <left style="medium">
        <color indexed="64"/>
      </left>
      <right style="thin">
        <color theme="9"/>
      </right>
      <top style="medium">
        <color indexed="64"/>
      </top>
      <bottom style="thin">
        <color theme="9"/>
      </bottom>
      <diagonal/>
    </border>
    <border>
      <left style="thin">
        <color theme="9"/>
      </left>
      <right style="thin">
        <color theme="9"/>
      </right>
      <top style="medium">
        <color indexed="64"/>
      </top>
      <bottom style="thin">
        <color theme="9"/>
      </bottom>
      <diagonal/>
    </border>
    <border>
      <left style="thin">
        <color theme="9"/>
      </left>
      <right style="medium">
        <color indexed="64"/>
      </right>
      <top style="medium">
        <color indexed="64"/>
      </top>
      <bottom style="thin">
        <color theme="9"/>
      </bottom>
      <diagonal/>
    </border>
    <border>
      <left style="medium">
        <color indexed="64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theme="9"/>
      </left>
      <right style="medium">
        <color indexed="64"/>
      </right>
      <top style="thin">
        <color theme="9"/>
      </top>
      <bottom style="thin">
        <color theme="9"/>
      </bottom>
      <diagonal/>
    </border>
    <border>
      <left style="medium">
        <color indexed="64"/>
      </left>
      <right style="thin">
        <color theme="9"/>
      </right>
      <top style="thin">
        <color theme="9"/>
      </top>
      <bottom style="medium">
        <color indexed="64"/>
      </bottom>
      <diagonal/>
    </border>
    <border>
      <left style="thin">
        <color theme="9"/>
      </left>
      <right style="thin">
        <color theme="9"/>
      </right>
      <top style="thin">
        <color theme="9"/>
      </top>
      <bottom style="medium">
        <color indexed="64"/>
      </bottom>
      <diagonal/>
    </border>
    <border>
      <left style="thin">
        <color theme="9"/>
      </left>
      <right style="medium">
        <color indexed="64"/>
      </right>
      <top style="thin">
        <color theme="9"/>
      </top>
      <bottom style="medium">
        <color indexed="64"/>
      </bottom>
      <diagonal/>
    </border>
    <border>
      <left style="medium">
        <color rgb="FFBFBFBF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9" fillId="0" borderId="0"/>
    <xf numFmtId="167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30" fillId="0" borderId="0"/>
  </cellStyleXfs>
  <cellXfs count="153">
    <xf numFmtId="0" fontId="0" fillId="0" borderId="0" xfId="0"/>
    <xf numFmtId="1" fontId="0" fillId="0" borderId="0" xfId="0" applyNumberFormat="1"/>
    <xf numFmtId="0" fontId="0" fillId="0" borderId="2" xfId="0" applyBorder="1"/>
    <xf numFmtId="1" fontId="0" fillId="0" borderId="2" xfId="0" applyNumberFormat="1" applyBorder="1"/>
    <xf numFmtId="9" fontId="0" fillId="0" borderId="2" xfId="1" applyFont="1" applyBorder="1"/>
    <xf numFmtId="0" fontId="3" fillId="0" borderId="0" xfId="0" applyFont="1"/>
    <xf numFmtId="0" fontId="0" fillId="0" borderId="2" xfId="0" applyBorder="1" applyAlignment="1">
      <alignment horizontal="center" vertical="center"/>
    </xf>
    <xf numFmtId="0" fontId="4" fillId="3" borderId="0" xfId="0" applyFont="1" applyFill="1"/>
    <xf numFmtId="0" fontId="3" fillId="3" borderId="0" xfId="0" applyFont="1" applyFill="1"/>
    <xf numFmtId="0" fontId="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7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11" fillId="0" borderId="0" xfId="0" applyFont="1" applyAlignment="1">
      <alignment horizontal="left"/>
    </xf>
    <xf numFmtId="0" fontId="12" fillId="0" borderId="0" xfId="0" applyFont="1"/>
    <xf numFmtId="0" fontId="13" fillId="2" borderId="2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left"/>
    </xf>
    <xf numFmtId="0" fontId="4" fillId="0" borderId="0" xfId="0" applyFont="1"/>
    <xf numFmtId="0" fontId="4" fillId="3" borderId="0" xfId="0" applyFont="1" applyFill="1" applyAlignment="1">
      <alignment horizontal="left"/>
    </xf>
    <xf numFmtId="0" fontId="14" fillId="0" borderId="0" xfId="0" applyFont="1"/>
    <xf numFmtId="1" fontId="3" fillId="0" borderId="0" xfId="0" applyNumberFormat="1" applyFont="1"/>
    <xf numFmtId="0" fontId="3" fillId="4" borderId="1" xfId="0" applyFont="1" applyFill="1" applyBorder="1"/>
    <xf numFmtId="164" fontId="3" fillId="0" borderId="0" xfId="0" applyNumberFormat="1" applyFont="1"/>
    <xf numFmtId="0" fontId="3" fillId="0" borderId="1" xfId="0" applyFont="1" applyBorder="1"/>
    <xf numFmtId="2" fontId="3" fillId="0" borderId="0" xfId="0" applyNumberFormat="1" applyFont="1"/>
    <xf numFmtId="0" fontId="15" fillId="0" borderId="0" xfId="0" applyFont="1"/>
    <xf numFmtId="1" fontId="3" fillId="0" borderId="0" xfId="0" applyNumberFormat="1" applyFont="1" applyAlignment="1">
      <alignment horizontal="center" vertical="center"/>
    </xf>
    <xf numFmtId="1" fontId="14" fillId="0" borderId="0" xfId="0" applyNumberFormat="1" applyFont="1" applyAlignment="1">
      <alignment horizontal="center"/>
    </xf>
    <xf numFmtId="0" fontId="13" fillId="0" borderId="0" xfId="0" applyFont="1"/>
    <xf numFmtId="0" fontId="13" fillId="2" borderId="0" xfId="0" applyFont="1" applyFill="1" applyAlignment="1">
      <alignment horizontal="left"/>
    </xf>
    <xf numFmtId="0" fontId="13" fillId="0" borderId="0" xfId="0" applyFont="1" applyAlignment="1">
      <alignment horizontal="left"/>
    </xf>
    <xf numFmtId="0" fontId="14" fillId="0" borderId="0" xfId="0" applyFont="1" applyAlignment="1">
      <alignment horizontal="center"/>
    </xf>
    <xf numFmtId="44" fontId="16" fillId="0" borderId="0" xfId="2" applyFont="1" applyFill="1"/>
    <xf numFmtId="1" fontId="3" fillId="4" borderId="1" xfId="0" applyNumberFormat="1" applyFont="1" applyFill="1" applyBorder="1"/>
    <xf numFmtId="1" fontId="3" fillId="0" borderId="1" xfId="0" applyNumberFormat="1" applyFont="1" applyBorder="1"/>
    <xf numFmtId="0" fontId="3" fillId="4" borderId="6" xfId="0" applyFont="1" applyFill="1" applyBorder="1"/>
    <xf numFmtId="1" fontId="3" fillId="4" borderId="7" xfId="0" applyNumberFormat="1" applyFont="1" applyFill="1" applyBorder="1"/>
    <xf numFmtId="1" fontId="3" fillId="4" borderId="8" xfId="0" applyNumberFormat="1" applyFont="1" applyFill="1" applyBorder="1"/>
    <xf numFmtId="0" fontId="3" fillId="0" borderId="9" xfId="0" applyFont="1" applyBorder="1"/>
    <xf numFmtId="1" fontId="3" fillId="0" borderId="10" xfId="0" applyNumberFormat="1" applyFont="1" applyBorder="1"/>
    <xf numFmtId="0" fontId="13" fillId="4" borderId="11" xfId="0" applyFont="1" applyFill="1" applyBorder="1"/>
    <xf numFmtId="1" fontId="13" fillId="4" borderId="12" xfId="0" applyNumberFormat="1" applyFont="1" applyFill="1" applyBorder="1"/>
    <xf numFmtId="1" fontId="13" fillId="4" borderId="13" xfId="0" applyNumberFormat="1" applyFont="1" applyFill="1" applyBorder="1"/>
    <xf numFmtId="0" fontId="13" fillId="4" borderId="1" xfId="0" applyFont="1" applyFill="1" applyBorder="1"/>
    <xf numFmtId="1" fontId="13" fillId="4" borderId="1" xfId="0" applyNumberFormat="1" applyFont="1" applyFill="1" applyBorder="1"/>
    <xf numFmtId="0" fontId="14" fillId="5" borderId="0" xfId="0" applyFont="1" applyFill="1"/>
    <xf numFmtId="2" fontId="18" fillId="5" borderId="0" xfId="0" applyNumberFormat="1" applyFont="1" applyFill="1"/>
    <xf numFmtId="1" fontId="13" fillId="4" borderId="2" xfId="0" applyNumberFormat="1" applyFont="1" applyFill="1" applyBorder="1"/>
    <xf numFmtId="0" fontId="16" fillId="0" borderId="0" xfId="0" applyFont="1"/>
    <xf numFmtId="0" fontId="8" fillId="0" borderId="0" xfId="0" applyFont="1"/>
    <xf numFmtId="0" fontId="3" fillId="4" borderId="1" xfId="0" applyFont="1" applyFill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0" fillId="0" borderId="2" xfId="0" applyBorder="1" applyAlignment="1">
      <alignment horizontal="center" vertical="center" wrapText="1"/>
    </xf>
    <xf numFmtId="0" fontId="20" fillId="0" borderId="0" xfId="0" applyFont="1"/>
    <xf numFmtId="0" fontId="14" fillId="7" borderId="0" xfId="0" applyFont="1" applyFill="1"/>
    <xf numFmtId="1" fontId="13" fillId="8" borderId="2" xfId="0" applyNumberFormat="1" applyFont="1" applyFill="1" applyBorder="1"/>
    <xf numFmtId="1" fontId="13" fillId="4" borderId="2" xfId="0" applyNumberFormat="1" applyFont="1" applyFill="1" applyBorder="1" applyAlignment="1">
      <alignment wrapText="1"/>
    </xf>
    <xf numFmtId="0" fontId="21" fillId="0" borderId="0" xfId="0" applyFont="1"/>
    <xf numFmtId="0" fontId="23" fillId="0" borderId="0" xfId="0" applyFont="1"/>
    <xf numFmtId="0" fontId="3" fillId="0" borderId="2" xfId="0" applyFont="1" applyBorder="1"/>
    <xf numFmtId="1" fontId="3" fillId="0" borderId="0" xfId="0" applyNumberFormat="1" applyFont="1" applyAlignment="1">
      <alignment horizontal="right"/>
    </xf>
    <xf numFmtId="0" fontId="3" fillId="0" borderId="0" xfId="0" applyFont="1" applyAlignment="1">
      <alignment horizontal="center"/>
    </xf>
    <xf numFmtId="1" fontId="3" fillId="0" borderId="2" xfId="0" applyNumberFormat="1" applyFont="1" applyBorder="1"/>
    <xf numFmtId="164" fontId="3" fillId="0" borderId="2" xfId="0" applyNumberFormat="1" applyFont="1" applyBorder="1"/>
    <xf numFmtId="165" fontId="3" fillId="0" borderId="2" xfId="0" applyNumberFormat="1" applyFont="1" applyBorder="1"/>
    <xf numFmtId="0" fontId="3" fillId="0" borderId="0" xfId="0" applyFont="1" applyAlignment="1">
      <alignment horizontal="left" vertical="center" indent="5"/>
    </xf>
    <xf numFmtId="0" fontId="3" fillId="0" borderId="0" xfId="0" applyFont="1" applyAlignment="1">
      <alignment horizontal="left" wrapText="1"/>
    </xf>
    <xf numFmtId="0" fontId="3" fillId="0" borderId="2" xfId="0" applyFont="1" applyBorder="1" applyAlignment="1">
      <alignment horizontal="left" vertical="center" indent="5"/>
    </xf>
    <xf numFmtId="0" fontId="24" fillId="0" borderId="0" xfId="0" applyFont="1"/>
    <xf numFmtId="0" fontId="3" fillId="6" borderId="2" xfId="0" applyFont="1" applyFill="1" applyBorder="1"/>
    <xf numFmtId="0" fontId="26" fillId="0" borderId="0" xfId="0" applyFont="1" applyAlignment="1">
      <alignment vertical="center"/>
    </xf>
    <xf numFmtId="0" fontId="27" fillId="0" borderId="2" xfId="0" applyFont="1" applyBorder="1"/>
    <xf numFmtId="0" fontId="28" fillId="0" borderId="2" xfId="0" applyFont="1" applyBorder="1"/>
    <xf numFmtId="0" fontId="28" fillId="0" borderId="0" xfId="0" applyFont="1"/>
    <xf numFmtId="0" fontId="2" fillId="0" borderId="2" xfId="0" applyFont="1" applyBorder="1"/>
    <xf numFmtId="9" fontId="11" fillId="0" borderId="1" xfId="1" applyFont="1" applyFill="1" applyBorder="1"/>
    <xf numFmtId="165" fontId="16" fillId="0" borderId="0" xfId="0" applyNumberFormat="1" applyFont="1"/>
    <xf numFmtId="1" fontId="16" fillId="0" borderId="0" xfId="0" applyNumberFormat="1" applyFont="1"/>
    <xf numFmtId="165" fontId="13" fillId="4" borderId="1" xfId="0" applyNumberFormat="1" applyFont="1" applyFill="1" applyBorder="1"/>
    <xf numFmtId="165" fontId="13" fillId="4" borderId="2" xfId="0" applyNumberFormat="1" applyFont="1" applyFill="1" applyBorder="1"/>
    <xf numFmtId="2" fontId="3" fillId="0" borderId="2" xfId="0" applyNumberFormat="1" applyFont="1" applyBorder="1"/>
    <xf numFmtId="0" fontId="3" fillId="0" borderId="0" xfId="0" applyFont="1" applyAlignment="1">
      <alignment horizontal="center" vertical="center"/>
    </xf>
    <xf numFmtId="0" fontId="0" fillId="0" borderId="15" xfId="0" applyBorder="1"/>
    <xf numFmtId="0" fontId="0" fillId="0" borderId="2" xfId="0" applyBorder="1" applyAlignment="1">
      <alignment horizontal="center"/>
    </xf>
    <xf numFmtId="1" fontId="10" fillId="0" borderId="2" xfId="0" applyNumberFormat="1" applyFont="1" applyBorder="1" applyAlignment="1">
      <alignment horizontal="center"/>
    </xf>
    <xf numFmtId="9" fontId="10" fillId="0" borderId="2" xfId="1" applyFont="1" applyBorder="1" applyAlignment="1">
      <alignment horizontal="center"/>
    </xf>
    <xf numFmtId="168" fontId="10" fillId="0" borderId="2" xfId="1" applyNumberFormat="1" applyFont="1" applyBorder="1" applyAlignment="1">
      <alignment horizontal="center"/>
    </xf>
    <xf numFmtId="0" fontId="2" fillId="0" borderId="0" xfId="0" applyFont="1"/>
    <xf numFmtId="165" fontId="0" fillId="0" borderId="2" xfId="0" applyNumberFormat="1" applyBorder="1"/>
    <xf numFmtId="0" fontId="3" fillId="6" borderId="0" xfId="0" applyFont="1" applyFill="1"/>
    <xf numFmtId="0" fontId="15" fillId="6" borderId="0" xfId="0" applyFont="1" applyFill="1"/>
    <xf numFmtId="0" fontId="27" fillId="0" borderId="0" xfId="0" applyFont="1"/>
    <xf numFmtId="0" fontId="19" fillId="3" borderId="0" xfId="0" applyFont="1" applyFill="1"/>
    <xf numFmtId="0" fontId="27" fillId="9" borderId="2" xfId="0" applyFont="1" applyFill="1" applyBorder="1"/>
    <xf numFmtId="0" fontId="32" fillId="0" borderId="0" xfId="0" applyFont="1"/>
    <xf numFmtId="0" fontId="33" fillId="9" borderId="2" xfId="0" applyFont="1" applyFill="1" applyBorder="1"/>
    <xf numFmtId="0" fontId="34" fillId="0" borderId="0" xfId="0" applyFont="1"/>
    <xf numFmtId="0" fontId="35" fillId="9" borderId="2" xfId="0" applyFont="1" applyFill="1" applyBorder="1"/>
    <xf numFmtId="0" fontId="36" fillId="0" borderId="0" xfId="0" applyFont="1"/>
    <xf numFmtId="0" fontId="37" fillId="9" borderId="2" xfId="0" applyFont="1" applyFill="1" applyBorder="1"/>
    <xf numFmtId="0" fontId="37" fillId="0" borderId="0" xfId="0" applyFont="1"/>
    <xf numFmtId="0" fontId="38" fillId="0" borderId="2" xfId="0" applyFont="1" applyBorder="1"/>
    <xf numFmtId="0" fontId="39" fillId="0" borderId="0" xfId="0" applyFont="1"/>
    <xf numFmtId="0" fontId="39" fillId="0" borderId="2" xfId="0" applyFont="1" applyBorder="1"/>
    <xf numFmtId="0" fontId="40" fillId="0" borderId="0" xfId="0" applyFont="1"/>
    <xf numFmtId="0" fontId="40" fillId="0" borderId="2" xfId="0" applyFont="1" applyBorder="1"/>
    <xf numFmtId="0" fontId="41" fillId="0" borderId="0" xfId="0" applyFont="1"/>
    <xf numFmtId="0" fontId="41" fillId="0" borderId="2" xfId="0" applyFont="1" applyBorder="1"/>
    <xf numFmtId="0" fontId="13" fillId="0" borderId="2" xfId="0" applyFont="1" applyBorder="1" applyAlignment="1">
      <alignment vertical="center" wrapText="1"/>
    </xf>
    <xf numFmtId="0" fontId="31" fillId="0" borderId="2" xfId="0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 readingOrder="1"/>
    </xf>
    <xf numFmtId="0" fontId="3" fillId="10" borderId="0" xfId="0" applyFont="1" applyFill="1"/>
    <xf numFmtId="0" fontId="43" fillId="10" borderId="0" xfId="0" applyFont="1" applyFill="1"/>
    <xf numFmtId="0" fontId="3" fillId="1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45" fillId="10" borderId="0" xfId="0" applyFont="1" applyFill="1" applyAlignment="1">
      <alignment horizontal="center"/>
    </xf>
    <xf numFmtId="0" fontId="44" fillId="10" borderId="0" xfId="0" applyFont="1" applyFill="1" applyAlignment="1">
      <alignment horizontal="center" vertical="center" wrapText="1"/>
    </xf>
    <xf numFmtId="0" fontId="44" fillId="10" borderId="0" xfId="0" applyFont="1" applyFill="1" applyAlignment="1">
      <alignment horizontal="center" vertical="center"/>
    </xf>
    <xf numFmtId="0" fontId="7" fillId="10" borderId="0" xfId="0" applyFont="1" applyFill="1" applyAlignment="1">
      <alignment horizontal="center" wrapText="1"/>
    </xf>
    <xf numFmtId="0" fontId="7" fillId="10" borderId="0" xfId="0" applyFont="1" applyFill="1" applyAlignment="1">
      <alignment horizontal="center"/>
    </xf>
    <xf numFmtId="0" fontId="43" fillId="10" borderId="0" xfId="0" applyFont="1" applyFill="1" applyAlignment="1">
      <alignment horizontal="center" wrapText="1"/>
    </xf>
    <xf numFmtId="0" fontId="43" fillId="10" borderId="0" xfId="0" applyFont="1" applyFill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19" fillId="3" borderId="0" xfId="0" applyFont="1" applyFill="1" applyAlignment="1">
      <alignment horizontal="left"/>
    </xf>
    <xf numFmtId="0" fontId="10" fillId="0" borderId="2" xfId="0" applyFont="1" applyBorder="1" applyAlignment="1">
      <alignment horizontal="center"/>
    </xf>
    <xf numFmtId="0" fontId="10" fillId="6" borderId="2" xfId="0" applyFont="1" applyFill="1" applyBorder="1" applyAlignment="1">
      <alignment horizontal="center"/>
    </xf>
    <xf numFmtId="0" fontId="35" fillId="0" borderId="14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16" fillId="0" borderId="0" xfId="0" applyFont="1" applyAlignment="1">
      <alignment horizontal="left" wrapText="1"/>
    </xf>
    <xf numFmtId="0" fontId="16" fillId="0" borderId="0" xfId="0" applyFont="1" applyAlignment="1">
      <alignment horizontal="left"/>
    </xf>
    <xf numFmtId="0" fontId="3" fillId="0" borderId="2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6" xfId="0" applyBorder="1" applyAlignment="1">
      <alignment horizontal="center"/>
    </xf>
    <xf numFmtId="0" fontId="19" fillId="3" borderId="0" xfId="0" applyFont="1" applyFill="1" applyAlignment="1">
      <alignment horizontal="center"/>
    </xf>
    <xf numFmtId="0" fontId="42" fillId="0" borderId="2" xfId="0" applyFont="1" applyBorder="1" applyAlignment="1">
      <alignment horizontal="right" vertical="center" wrapText="1" readingOrder="1"/>
    </xf>
    <xf numFmtId="0" fontId="42" fillId="0" borderId="2" xfId="0" applyFont="1" applyBorder="1" applyAlignment="1">
      <alignment horizontal="center" vertical="center" wrapText="1" readingOrder="1"/>
    </xf>
    <xf numFmtId="0" fontId="3" fillId="0" borderId="0" xfId="0" applyFont="1" applyFill="1" applyBorder="1"/>
    <xf numFmtId="0" fontId="4" fillId="0" borderId="0" xfId="0" applyFont="1" applyFill="1" applyBorder="1" applyAlignment="1">
      <alignment horizontal="left"/>
    </xf>
    <xf numFmtId="0" fontId="13" fillId="0" borderId="0" xfId="0" applyFont="1" applyFill="1" applyBorder="1"/>
    <xf numFmtId="2" fontId="13" fillId="0" borderId="0" xfId="0" applyNumberFormat="1" applyFont="1" applyFill="1" applyBorder="1"/>
    <xf numFmtId="1" fontId="13" fillId="0" borderId="0" xfId="0" applyNumberFormat="1" applyFont="1" applyFill="1" applyBorder="1"/>
    <xf numFmtId="0" fontId="14" fillId="0" borderId="0" xfId="0" applyFont="1" applyFill="1" applyBorder="1"/>
    <xf numFmtId="0" fontId="46" fillId="0" borderId="0" xfId="0" applyFont="1" applyFill="1" applyBorder="1"/>
    <xf numFmtId="1" fontId="46" fillId="0" borderId="0" xfId="0" applyNumberFormat="1" applyFont="1" applyFill="1" applyBorder="1"/>
  </cellXfs>
  <cellStyles count="7">
    <cellStyle name="Milliers 2" xfId="4" xr:uid="{00000000-0005-0000-0000-000000000000}"/>
    <cellStyle name="Monétaire" xfId="2" builtinId="4"/>
    <cellStyle name="Monétaire 2" xfId="5" xr:uid="{00000000-0005-0000-0000-000002000000}"/>
    <cellStyle name="Normal" xfId="0" builtinId="0"/>
    <cellStyle name="Normal 2" xfId="6" xr:uid="{00000000-0005-0000-0000-000004000000}"/>
    <cellStyle name="Normal 3" xfId="3" xr:uid="{00000000-0005-0000-0000-000005000000}"/>
    <cellStyle name="Pourcentage" xfId="1" builtinId="5"/>
  </cellStyles>
  <dxfs count="10">
    <dxf>
      <font>
        <strike val="0"/>
        <outline val="0"/>
        <shadow val="0"/>
        <u val="none"/>
        <vertAlign val="baseline"/>
        <name val="Cambria"/>
        <scheme val="none"/>
      </font>
      <numFmt numFmtId="1" formatCode="0"/>
    </dxf>
    <dxf>
      <font>
        <strike val="0"/>
        <outline val="0"/>
        <shadow val="0"/>
        <u val="none"/>
        <vertAlign val="baseline"/>
        <name val="Cambria"/>
        <scheme val="none"/>
      </font>
    </dxf>
    <dxf>
      <font>
        <strike val="0"/>
        <outline val="0"/>
        <shadow val="0"/>
        <u val="none"/>
        <vertAlign val="baseline"/>
        <name val="Cambria"/>
        <scheme val="none"/>
      </font>
    </dxf>
    <dxf>
      <font>
        <strike val="0"/>
        <outline val="0"/>
        <shadow val="0"/>
        <u val="none"/>
        <vertAlign val="baseline"/>
        <name val="Cambria"/>
        <scheme val="none"/>
      </font>
    </dxf>
    <dxf>
      <font>
        <strike val="0"/>
        <outline val="0"/>
        <shadow val="0"/>
        <u val="none"/>
        <vertAlign val="baseline"/>
        <name val="Cambria"/>
        <scheme val="none"/>
      </font>
    </dxf>
    <dxf>
      <font>
        <strike val="0"/>
        <outline val="0"/>
        <shadow val="0"/>
        <u val="none"/>
        <vertAlign val="baseline"/>
        <name val="Cambria"/>
        <scheme val="none"/>
      </font>
      <numFmt numFmtId="1" formatCode="0"/>
    </dxf>
    <dxf>
      <font>
        <strike val="0"/>
        <outline val="0"/>
        <shadow val="0"/>
        <u val="none"/>
        <vertAlign val="baseline"/>
        <name val="Cambria"/>
        <scheme val="none"/>
      </font>
    </dxf>
    <dxf>
      <font>
        <strike val="0"/>
        <outline val="0"/>
        <shadow val="0"/>
        <u val="none"/>
        <vertAlign val="baseline"/>
        <name val="Cambria"/>
        <scheme val="none"/>
      </font>
    </dxf>
    <dxf>
      <font>
        <strike val="0"/>
        <outline val="0"/>
        <shadow val="0"/>
        <u val="none"/>
        <vertAlign val="baseline"/>
        <name val="Cambria"/>
        <scheme val="none"/>
      </font>
    </dxf>
    <dxf>
      <font>
        <strike val="0"/>
        <outline val="0"/>
        <shadow val="0"/>
        <u val="none"/>
        <vertAlign val="baseline"/>
        <name val="Cambria"/>
        <scheme val="none"/>
      </font>
    </dxf>
  </dxfs>
  <tableStyles count="0" defaultTableStyle="TableStyleMedium2" defaultPivotStyle="PivotStyleLight16"/>
  <colors>
    <mruColors>
      <color rgb="FF7CF7F4"/>
      <color rgb="FF05AB15"/>
      <color rgb="FFD2E37D"/>
      <color rgb="FFCCCC00"/>
      <color rgb="FF5F9830"/>
      <color rgb="FFBAE18B"/>
      <color rgb="FFDDEFA5"/>
      <color rgb="FFFFCA33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trlProps/ctrlProp1.xml><?xml version="1.0" encoding="utf-8"?>
<formControlPr xmlns="http://schemas.microsoft.com/office/spreadsheetml/2009/9/main" objectType="CheckBox" checked="Checked" fmlaLink="$B$47" lockText="1" noThreeD="1"/>
</file>

<file path=xl/ctrlProps/ctrlProp2.xml><?xml version="1.0" encoding="utf-8"?>
<formControlPr xmlns="http://schemas.microsoft.com/office/spreadsheetml/2009/9/main" objectType="CheckBox" fmlaLink="$B$48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41</xdr:row>
      <xdr:rowOff>57150</xdr:rowOff>
    </xdr:from>
    <xdr:to>
      <xdr:col>3</xdr:col>
      <xdr:colOff>148590</xdr:colOff>
      <xdr:row>49</xdr:row>
      <xdr:rowOff>69215</xdr:rowOff>
    </xdr:to>
    <xdr:pic>
      <xdr:nvPicPr>
        <xdr:cNvPr id="2" name="image16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52400" y="7496175"/>
          <a:ext cx="2425065" cy="1459865"/>
        </a:xfrm>
        <a:prstGeom prst="rect">
          <a:avLst/>
        </a:prstGeom>
        <a:ln/>
      </xdr:spPr>
    </xdr:pic>
    <xdr:clientData/>
  </xdr:twoCellAnchor>
  <xdr:twoCellAnchor editAs="oneCell">
    <xdr:from>
      <xdr:col>3</xdr:col>
      <xdr:colOff>438150</xdr:colOff>
      <xdr:row>41</xdr:row>
      <xdr:rowOff>38100</xdr:rowOff>
    </xdr:from>
    <xdr:to>
      <xdr:col>6</xdr:col>
      <xdr:colOff>594360</xdr:colOff>
      <xdr:row>49</xdr:row>
      <xdr:rowOff>60960</xdr:rowOff>
    </xdr:to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867025" y="7477125"/>
          <a:ext cx="2585085" cy="1470660"/>
        </a:xfrm>
        <a:prstGeom prst="rect">
          <a:avLst/>
        </a:prstGeom>
        <a:ln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4</xdr:row>
          <xdr:rowOff>9525</xdr:rowOff>
        </xdr:from>
        <xdr:to>
          <xdr:col>1</xdr:col>
          <xdr:colOff>971550</xdr:colOff>
          <xdr:row>4</xdr:row>
          <xdr:rowOff>228600</xdr:rowOff>
        </xdr:to>
        <xdr:sp macro="" textlink="">
          <xdr:nvSpPr>
            <xdr:cNvPr id="37889" name="Check Box 1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01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00" mc:Ignorable="a14" a14:legacySpreadsheetColorIndex="13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5</xdr:row>
          <xdr:rowOff>9525</xdr:rowOff>
        </xdr:from>
        <xdr:to>
          <xdr:col>1</xdr:col>
          <xdr:colOff>952500</xdr:colOff>
          <xdr:row>5</xdr:row>
          <xdr:rowOff>200025</xdr:rowOff>
        </xdr:to>
        <xdr:sp macro="" textlink="">
          <xdr:nvSpPr>
            <xdr:cNvPr id="37891" name="Check Box 3" hidden="1">
              <a:extLst>
                <a:ext uri="{63B3BB69-23CF-44E3-9099-C40C66FF867C}">
                  <a14:compatExt spid="_x0000_s37891"/>
                </a:ext>
                <a:ext uri="{FF2B5EF4-FFF2-40B4-BE49-F238E27FC236}">
                  <a16:creationId xmlns:a16="http://schemas.microsoft.com/office/drawing/2014/main" id="{00000000-0008-0000-0100-000003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00" mc:Ignorable="a14" a14:legacySpreadsheetColorIndex="13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32</xdr:row>
      <xdr:rowOff>57150</xdr:rowOff>
    </xdr:from>
    <xdr:to>
      <xdr:col>7</xdr:col>
      <xdr:colOff>151512</xdr:colOff>
      <xdr:row>58</xdr:row>
      <xdr:rowOff>75609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7105650"/>
          <a:ext cx="7104762" cy="4723809"/>
        </a:xfrm>
        <a:prstGeom prst="rect">
          <a:avLst/>
        </a:prstGeom>
      </xdr:spPr>
    </xdr:pic>
    <xdr:clientData/>
  </xdr:twoCellAnchor>
  <xdr:twoCellAnchor editAs="oneCell">
    <xdr:from>
      <xdr:col>7</xdr:col>
      <xdr:colOff>295275</xdr:colOff>
      <xdr:row>32</xdr:row>
      <xdr:rowOff>152400</xdr:rowOff>
    </xdr:from>
    <xdr:to>
      <xdr:col>12</xdr:col>
      <xdr:colOff>723900</xdr:colOff>
      <xdr:row>61</xdr:row>
      <xdr:rowOff>133350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24750" y="6115050"/>
          <a:ext cx="6981825" cy="5229225"/>
        </a:xfrm>
        <a:prstGeom prst="rect">
          <a:avLst/>
        </a:prstGeom>
      </xdr:spPr>
    </xdr:pic>
    <xdr:clientData/>
  </xdr:twoCellAnchor>
  <xdr:twoCellAnchor editAs="oneCell">
    <xdr:from>
      <xdr:col>12</xdr:col>
      <xdr:colOff>876300</xdr:colOff>
      <xdr:row>32</xdr:row>
      <xdr:rowOff>95250</xdr:rowOff>
    </xdr:from>
    <xdr:to>
      <xdr:col>22</xdr:col>
      <xdr:colOff>228600</xdr:colOff>
      <xdr:row>64</xdr:row>
      <xdr:rowOff>152400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58975" y="6057900"/>
          <a:ext cx="7924800" cy="5848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563206</xdr:colOff>
      <xdr:row>6</xdr:row>
      <xdr:rowOff>0</xdr:rowOff>
    </xdr:from>
    <xdr:ext cx="5855045" cy="1924050"/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2356" y="1085850"/>
          <a:ext cx="5855045" cy="1924050"/>
        </a:xfrm>
        <a:prstGeom prst="rect">
          <a:avLst/>
        </a:prstGeom>
      </xdr:spPr>
    </xdr:pic>
    <xdr:clientData/>
  </xdr:oneCellAnchor>
  <xdr:oneCellAnchor>
    <xdr:from>
      <xdr:col>5</xdr:col>
      <xdr:colOff>228600</xdr:colOff>
      <xdr:row>28</xdr:row>
      <xdr:rowOff>114300</xdr:rowOff>
    </xdr:from>
    <xdr:ext cx="7265670" cy="3769995"/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0" y="5067300"/>
          <a:ext cx="7265670" cy="3769995"/>
        </a:xfrm>
        <a:prstGeom prst="rect">
          <a:avLst/>
        </a:prstGeom>
      </xdr:spPr>
    </xdr:pic>
    <xdr:clientData/>
  </xdr:oneCellAnchor>
  <xdr:oneCellAnchor>
    <xdr:from>
      <xdr:col>5</xdr:col>
      <xdr:colOff>323850</xdr:colOff>
      <xdr:row>50</xdr:row>
      <xdr:rowOff>174856</xdr:rowOff>
    </xdr:from>
    <xdr:ext cx="10942307" cy="2282194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33850" y="9318856"/>
          <a:ext cx="10942307" cy="2282194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14</xdr:row>
      <xdr:rowOff>133350</xdr:rowOff>
    </xdr:from>
    <xdr:to>
      <xdr:col>4</xdr:col>
      <xdr:colOff>708580</xdr:colOff>
      <xdr:row>30</xdr:row>
      <xdr:rowOff>143682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2800350"/>
          <a:ext cx="6937930" cy="3058332"/>
        </a:xfrm>
        <a:prstGeom prst="rect">
          <a:avLst/>
        </a:prstGeom>
      </xdr:spPr>
    </xdr:pic>
    <xdr:clientData/>
  </xdr:twoCellAnchor>
  <xdr:twoCellAnchor editAs="oneCell">
    <xdr:from>
      <xdr:col>4</xdr:col>
      <xdr:colOff>1009650</xdr:colOff>
      <xdr:row>16</xdr:row>
      <xdr:rowOff>116500</xdr:rowOff>
    </xdr:from>
    <xdr:to>
      <xdr:col>6</xdr:col>
      <xdr:colOff>733425</xdr:colOff>
      <xdr:row>29</xdr:row>
      <xdr:rowOff>105531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58075" y="3164500"/>
          <a:ext cx="3171825" cy="2465531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83</xdr:row>
      <xdr:rowOff>66675</xdr:rowOff>
    </xdr:from>
    <xdr:to>
      <xdr:col>4</xdr:col>
      <xdr:colOff>515221</xdr:colOff>
      <xdr:row>115</xdr:row>
      <xdr:rowOff>124684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3900" y="15878175"/>
          <a:ext cx="6239746" cy="615400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34</xdr:row>
      <xdr:rowOff>70849</xdr:rowOff>
    </xdr:from>
    <xdr:to>
      <xdr:col>6</xdr:col>
      <xdr:colOff>942976</xdr:colOff>
      <xdr:row>50</xdr:row>
      <xdr:rowOff>181528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351" y="6547849"/>
          <a:ext cx="10706100" cy="3158679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409576</xdr:colOff>
      <xdr:row>53</xdr:row>
      <xdr:rowOff>137109</xdr:rowOff>
    </xdr:from>
    <xdr:to>
      <xdr:col>5</xdr:col>
      <xdr:colOff>676275</xdr:colOff>
      <xdr:row>80</xdr:row>
      <xdr:rowOff>58284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9576" y="10233609"/>
          <a:ext cx="8439149" cy="5064675"/>
        </a:xfrm>
        <a:prstGeom prst="rect">
          <a:avLst/>
        </a:prstGeom>
      </xdr:spPr>
    </xdr:pic>
    <xdr:clientData/>
  </xdr:twoCellAnchor>
  <xdr:twoCellAnchor>
    <xdr:from>
      <xdr:col>0</xdr:col>
      <xdr:colOff>1781175</xdr:colOff>
      <xdr:row>40</xdr:row>
      <xdr:rowOff>114300</xdr:rowOff>
    </xdr:from>
    <xdr:to>
      <xdr:col>6</xdr:col>
      <xdr:colOff>457200</xdr:colOff>
      <xdr:row>42</xdr:row>
      <xdr:rowOff>19050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1781175" y="7734300"/>
          <a:ext cx="8572500" cy="28575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non/Desktop/Google%20Drive/CABINET%20LORNE/2_LABEL%20CARBONE/EcoTree%20-%20Quantification%20Carbone%20-%20Pont%20de%20bu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Stockage"/>
      <sheetName val="1-REA"/>
      <sheetName val="2-REA "/>
      <sheetName val="3-REA"/>
      <sheetName val="Inputs"/>
      <sheetName val="VERRA"/>
      <sheetName val="TP- IRREG RESINEUX"/>
      <sheetName val="TP-IRREG FEUILLUS"/>
      <sheetName val="TP-REG"/>
      <sheetName val="EcoTree &amp; le Carbone"/>
      <sheetName val="Lexique"/>
      <sheetName val="1-BOISEMENT"/>
      <sheetName val="1-VAN"/>
      <sheetName val="2-RECONSTITUTION"/>
      <sheetName val="2-VAN "/>
      <sheetName val="3-BALIVAGE"/>
      <sheetName val="Méthode VERRA"/>
    </sheetNames>
    <sheetDataSet>
      <sheetData sheetId="0"/>
      <sheetData sheetId="1">
        <row r="29">
          <cell r="C29">
            <v>0.47499999999999998</v>
          </cell>
        </row>
      </sheetData>
      <sheetData sheetId="2"/>
      <sheetData sheetId="3"/>
      <sheetData sheetId="4">
        <row r="1">
          <cell r="B1">
            <v>1</v>
          </cell>
        </row>
        <row r="2">
          <cell r="G2">
            <v>391.28949999999998</v>
          </cell>
          <cell r="H2">
            <v>391.28949999999998</v>
          </cell>
          <cell r="I2">
            <v>391.28949999999998</v>
          </cell>
        </row>
        <row r="3">
          <cell r="G3">
            <v>742.33273240000005</v>
          </cell>
          <cell r="H3">
            <v>682.54474585937498</v>
          </cell>
          <cell r="I3">
            <v>555.44568880208328</v>
          </cell>
        </row>
        <row r="4">
          <cell r="G4">
            <v>546.14500384683754</v>
          </cell>
          <cell r="H4">
            <v>472.83085194843756</v>
          </cell>
          <cell r="I4">
            <v>391.24777343749997</v>
          </cell>
        </row>
        <row r="5">
          <cell r="G5">
            <v>650.94158395777208</v>
          </cell>
          <cell r="H5">
            <v>531.93470844199214</v>
          </cell>
          <cell r="I5">
            <v>440.1537451171875</v>
          </cell>
        </row>
        <row r="6">
          <cell r="G6">
            <v>436.38071565075188</v>
          </cell>
          <cell r="H6">
            <v>349.67774740516802</v>
          </cell>
          <cell r="I6">
            <v>280.02174200000002</v>
          </cell>
        </row>
        <row r="7">
          <cell r="G7">
            <v>315.35328177808009</v>
          </cell>
          <cell r="H7">
            <v>249.58950125200005</v>
          </cell>
          <cell r="I7">
            <v>178.90903333333333</v>
          </cell>
        </row>
        <row r="8">
          <cell r="G8">
            <v>248.29130858642577</v>
          </cell>
          <cell r="H8">
            <v>0</v>
          </cell>
          <cell r="I8">
            <v>0</v>
          </cell>
        </row>
        <row r="9">
          <cell r="G9">
            <v>169.926946875</v>
          </cell>
          <cell r="H9">
            <v>124.04778749999998</v>
          </cell>
          <cell r="I9">
            <v>88.971749999999986</v>
          </cell>
        </row>
        <row r="10">
          <cell r="G10">
            <v>439.44330408034881</v>
          </cell>
          <cell r="H10">
            <v>376.16978150626881</v>
          </cell>
          <cell r="I10">
            <v>300.7936052854688</v>
          </cell>
        </row>
        <row r="11">
          <cell r="G11">
            <v>372.93458252510476</v>
          </cell>
          <cell r="H11">
            <v>372.93458252510476</v>
          </cell>
          <cell r="I11">
            <v>272.48397277237507</v>
          </cell>
        </row>
      </sheetData>
      <sheetData sheetId="5">
        <row r="11">
          <cell r="Y11" t="str">
            <v>CF. 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92" displayName="Tableau92" ref="B21:D23" totalsRowShown="0" headerRowDxfId="9" dataDxfId="8">
  <autoFilter ref="B21:D23" xr:uid="{00000000-0009-0000-0100-000001000000}"/>
  <tableColumns count="3">
    <tableColumn id="1" xr3:uid="{00000000-0010-0000-0000-000001000000}" name="V" dataDxfId="7"/>
    <tableColumn id="2" xr3:uid="{00000000-0010-0000-0000-000002000000}" name="Variables" dataDxfId="6"/>
    <tableColumn id="3" xr3:uid="{00000000-0010-0000-0000-000003000000}" name="ha" dataDxfId="5"/>
  </tableColumns>
  <tableStyleInfo name="TableStyleLight2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au9173" displayName="Tableau9173" ref="F20:H24" totalsRowShown="0" headerRowDxfId="4" dataDxfId="3">
  <autoFilter ref="F20:H24" xr:uid="{00000000-0009-0000-0100-000002000000}"/>
  <tableColumns count="3">
    <tableColumn id="1" xr3:uid="{00000000-0010-0000-0100-000001000000}" name="V" dataDxfId="2"/>
    <tableColumn id="2" xr3:uid="{00000000-0010-0000-0100-000002000000}" name="Variables" dataDxfId="1"/>
    <tableColumn id="3" xr3:uid="{00000000-0010-0000-0100-000003000000}" name="ha" dataDxfId="0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53"/>
  <sheetViews>
    <sheetView showGridLines="0" view="pageLayout" zoomScaleNormal="100" workbookViewId="0">
      <selection activeCell="I13" sqref="I13"/>
    </sheetView>
  </sheetViews>
  <sheetFormatPr baseColWidth="10" defaultRowHeight="14.25" x14ac:dyDescent="0.2"/>
  <cols>
    <col min="1" max="16384" width="11.42578125" style="5"/>
  </cols>
  <sheetData>
    <row r="1" spans="1:15" ht="14.25" customHeight="1" x14ac:dyDescent="0.2">
      <c r="A1" s="121" t="s">
        <v>256</v>
      </c>
      <c r="B1" s="122"/>
      <c r="C1" s="122"/>
      <c r="D1" s="122"/>
      <c r="E1" s="122"/>
      <c r="F1" s="122"/>
      <c r="G1" s="122"/>
      <c r="H1" s="20"/>
      <c r="I1" s="20"/>
      <c r="J1" s="20"/>
      <c r="K1" s="20"/>
      <c r="L1" s="20"/>
      <c r="M1" s="20"/>
      <c r="N1" s="20"/>
      <c r="O1" s="20"/>
    </row>
    <row r="2" spans="1:15" ht="14.25" customHeight="1" x14ac:dyDescent="0.2">
      <c r="A2" s="122"/>
      <c r="B2" s="122"/>
      <c r="C2" s="122"/>
      <c r="D2" s="122"/>
      <c r="E2" s="122"/>
      <c r="F2" s="122"/>
      <c r="G2" s="122"/>
    </row>
    <row r="3" spans="1:15" ht="14.25" customHeight="1" x14ac:dyDescent="0.2">
      <c r="A3" s="122"/>
      <c r="B3" s="122"/>
      <c r="C3" s="122"/>
      <c r="D3" s="122"/>
      <c r="E3" s="122"/>
      <c r="F3" s="122"/>
      <c r="G3" s="122"/>
    </row>
    <row r="4" spans="1:15" x14ac:dyDescent="0.2">
      <c r="A4" s="122"/>
      <c r="B4" s="122"/>
      <c r="C4" s="122"/>
      <c r="D4" s="122"/>
      <c r="E4" s="122"/>
      <c r="F4" s="122"/>
      <c r="G4" s="122"/>
    </row>
    <row r="5" spans="1:15" x14ac:dyDescent="0.2">
      <c r="A5" s="122"/>
      <c r="B5" s="122"/>
      <c r="C5" s="122"/>
      <c r="D5" s="122"/>
      <c r="E5" s="122"/>
      <c r="F5" s="122"/>
      <c r="G5" s="122"/>
    </row>
    <row r="6" spans="1:15" x14ac:dyDescent="0.2">
      <c r="A6" s="122"/>
      <c r="B6" s="122"/>
      <c r="C6" s="122"/>
      <c r="D6" s="122"/>
      <c r="E6" s="122"/>
      <c r="F6" s="122"/>
      <c r="G6" s="122"/>
    </row>
    <row r="7" spans="1:15" x14ac:dyDescent="0.2">
      <c r="A7" s="122"/>
      <c r="B7" s="122"/>
      <c r="C7" s="122"/>
      <c r="D7" s="122"/>
      <c r="E7" s="122"/>
      <c r="F7" s="122"/>
      <c r="G7" s="122"/>
    </row>
    <row r="8" spans="1:15" x14ac:dyDescent="0.2">
      <c r="A8" s="114"/>
      <c r="B8" s="114"/>
      <c r="C8" s="114"/>
      <c r="D8" s="114"/>
      <c r="E8" s="114"/>
      <c r="F8" s="114"/>
      <c r="G8" s="114"/>
    </row>
    <row r="9" spans="1:15" ht="15.75" x14ac:dyDescent="0.25">
      <c r="A9" s="118" t="s">
        <v>258</v>
      </c>
      <c r="B9" s="118"/>
      <c r="C9" s="118"/>
      <c r="D9" s="118"/>
      <c r="E9" s="118"/>
      <c r="F9" s="118"/>
      <c r="G9" s="118"/>
    </row>
    <row r="10" spans="1:15" x14ac:dyDescent="0.2">
      <c r="A10" s="114"/>
      <c r="B10" s="114"/>
      <c r="C10" s="114"/>
      <c r="D10" s="114"/>
      <c r="E10" s="114"/>
      <c r="F10" s="114"/>
      <c r="G10" s="114"/>
    </row>
    <row r="11" spans="1:15" x14ac:dyDescent="0.2">
      <c r="A11" s="114"/>
      <c r="B11" s="114"/>
      <c r="C11" s="114"/>
      <c r="D11" s="114"/>
      <c r="E11" s="114"/>
      <c r="F11" s="114"/>
      <c r="G11" s="114"/>
    </row>
    <row r="12" spans="1:15" x14ac:dyDescent="0.2">
      <c r="A12" s="123" t="s">
        <v>257</v>
      </c>
      <c r="B12" s="124"/>
      <c r="C12" s="124"/>
      <c r="D12" s="124"/>
      <c r="E12" s="124"/>
      <c r="F12" s="124"/>
      <c r="G12" s="124"/>
    </row>
    <row r="13" spans="1:15" x14ac:dyDescent="0.2">
      <c r="A13" s="124"/>
      <c r="B13" s="124"/>
      <c r="C13" s="124"/>
      <c r="D13" s="124"/>
      <c r="E13" s="124"/>
      <c r="F13" s="124"/>
      <c r="G13" s="124"/>
    </row>
    <row r="14" spans="1:15" x14ac:dyDescent="0.2">
      <c r="A14" s="124"/>
      <c r="B14" s="124"/>
      <c r="C14" s="124"/>
      <c r="D14" s="124"/>
      <c r="E14" s="124"/>
      <c r="F14" s="124"/>
      <c r="G14" s="124"/>
    </row>
    <row r="15" spans="1:15" x14ac:dyDescent="0.2">
      <c r="A15" s="124"/>
      <c r="B15" s="124"/>
      <c r="C15" s="124"/>
      <c r="D15" s="124"/>
      <c r="E15" s="124"/>
      <c r="F15" s="124"/>
      <c r="G15" s="124"/>
    </row>
    <row r="16" spans="1:15" x14ac:dyDescent="0.2">
      <c r="A16" s="124"/>
      <c r="B16" s="124"/>
      <c r="C16" s="124"/>
      <c r="D16" s="124"/>
      <c r="E16" s="124"/>
      <c r="F16" s="124"/>
      <c r="G16" s="124"/>
    </row>
    <row r="17" spans="1:7" x14ac:dyDescent="0.2">
      <c r="A17" s="114"/>
      <c r="B17" s="114"/>
      <c r="C17" s="114"/>
      <c r="D17" s="114"/>
      <c r="E17" s="114"/>
      <c r="F17" s="114"/>
      <c r="G17" s="114"/>
    </row>
    <row r="18" spans="1:7" x14ac:dyDescent="0.2">
      <c r="A18" s="114"/>
      <c r="B18" s="114"/>
      <c r="C18" s="114"/>
      <c r="D18" s="114"/>
      <c r="E18" s="114"/>
      <c r="F18" s="114"/>
      <c r="G18" s="114"/>
    </row>
    <row r="19" spans="1:7" x14ac:dyDescent="0.2">
      <c r="A19" s="114"/>
      <c r="B19" s="114"/>
      <c r="C19" s="114"/>
      <c r="D19" s="114"/>
      <c r="E19" s="114"/>
      <c r="F19" s="114"/>
      <c r="G19" s="114"/>
    </row>
    <row r="20" spans="1:7" x14ac:dyDescent="0.2">
      <c r="A20" s="115" t="s">
        <v>260</v>
      </c>
      <c r="B20" s="114"/>
      <c r="C20" s="114"/>
      <c r="D20" s="114"/>
      <c r="E20" s="114"/>
      <c r="F20" s="92"/>
      <c r="G20" s="114"/>
    </row>
    <row r="21" spans="1:7" x14ac:dyDescent="0.2">
      <c r="A21" s="114"/>
      <c r="B21" s="114"/>
      <c r="C21" s="114"/>
      <c r="D21" s="114"/>
      <c r="E21" s="114"/>
      <c r="F21" s="114"/>
      <c r="G21" s="114"/>
    </row>
    <row r="22" spans="1:7" x14ac:dyDescent="0.2">
      <c r="A22" s="115" t="s">
        <v>261</v>
      </c>
      <c r="B22" s="114"/>
      <c r="C22" s="114"/>
      <c r="D22" s="114"/>
      <c r="E22" s="114"/>
      <c r="F22" s="114"/>
      <c r="G22" s="114"/>
    </row>
    <row r="23" spans="1:7" x14ac:dyDescent="0.2">
      <c r="A23" s="114"/>
      <c r="B23" s="114"/>
      <c r="C23" s="114"/>
      <c r="D23" s="114"/>
      <c r="E23" s="114"/>
      <c r="F23" s="114"/>
      <c r="G23" s="114"/>
    </row>
    <row r="24" spans="1:7" x14ac:dyDescent="0.2">
      <c r="A24" s="114"/>
      <c r="B24" s="114"/>
      <c r="C24" s="114"/>
      <c r="D24" s="114"/>
      <c r="E24" s="114"/>
      <c r="F24" s="114"/>
      <c r="G24" s="114"/>
    </row>
    <row r="25" spans="1:7" x14ac:dyDescent="0.2">
      <c r="A25" s="114"/>
      <c r="B25" s="114"/>
      <c r="C25" s="114"/>
      <c r="D25" s="114"/>
      <c r="E25" s="114"/>
      <c r="F25" s="114"/>
      <c r="G25" s="114"/>
    </row>
    <row r="26" spans="1:7" x14ac:dyDescent="0.2">
      <c r="A26" s="114"/>
      <c r="B26" s="114"/>
      <c r="C26" s="114"/>
      <c r="D26" s="114"/>
      <c r="E26" s="114"/>
      <c r="F26" s="114"/>
      <c r="G26" s="114"/>
    </row>
    <row r="27" spans="1:7" x14ac:dyDescent="0.2">
      <c r="A27" s="114"/>
      <c r="B27" s="114"/>
      <c r="C27" s="114"/>
      <c r="D27" s="114"/>
      <c r="E27" s="114"/>
      <c r="F27" s="114"/>
      <c r="G27" s="114"/>
    </row>
    <row r="28" spans="1:7" x14ac:dyDescent="0.2">
      <c r="A28" s="114"/>
      <c r="B28" s="114"/>
      <c r="C28" s="114"/>
      <c r="D28" s="114"/>
      <c r="E28" s="114"/>
      <c r="F28" s="114"/>
      <c r="G28" s="114"/>
    </row>
    <row r="29" spans="1:7" x14ac:dyDescent="0.2">
      <c r="A29" s="114"/>
      <c r="B29" s="114"/>
      <c r="C29" s="114"/>
      <c r="D29" s="114"/>
      <c r="E29" s="114"/>
      <c r="F29" s="114"/>
      <c r="G29" s="114"/>
    </row>
    <row r="30" spans="1:7" x14ac:dyDescent="0.2">
      <c r="A30" s="114"/>
      <c r="B30" s="114"/>
      <c r="C30" s="114"/>
      <c r="D30" s="114"/>
      <c r="E30" s="114"/>
      <c r="F30" s="114"/>
      <c r="G30" s="114"/>
    </row>
    <row r="31" spans="1:7" x14ac:dyDescent="0.2">
      <c r="A31" s="114"/>
      <c r="B31" s="114"/>
      <c r="C31" s="114"/>
      <c r="D31" s="114"/>
      <c r="E31" s="114"/>
      <c r="F31" s="114"/>
      <c r="G31" s="114"/>
    </row>
    <row r="32" spans="1:7" x14ac:dyDescent="0.2">
      <c r="A32" s="114"/>
      <c r="B32" s="114"/>
      <c r="C32" s="114"/>
      <c r="D32" s="114"/>
      <c r="E32" s="114"/>
      <c r="F32" s="114"/>
      <c r="G32" s="114"/>
    </row>
    <row r="33" spans="1:7" x14ac:dyDescent="0.2">
      <c r="A33" s="114"/>
      <c r="B33" s="114"/>
      <c r="C33" s="114"/>
      <c r="D33" s="114"/>
      <c r="E33" s="114"/>
      <c r="F33" s="114"/>
      <c r="G33" s="114"/>
    </row>
    <row r="34" spans="1:7" x14ac:dyDescent="0.2">
      <c r="A34" s="114"/>
      <c r="B34" s="114"/>
      <c r="C34" s="114"/>
      <c r="D34" s="114"/>
      <c r="E34" s="114"/>
      <c r="F34" s="114"/>
      <c r="G34" s="114"/>
    </row>
    <row r="35" spans="1:7" x14ac:dyDescent="0.2">
      <c r="A35" s="119" t="s">
        <v>259</v>
      </c>
      <c r="B35" s="120"/>
      <c r="C35" s="120"/>
      <c r="D35" s="120"/>
      <c r="E35" s="120"/>
      <c r="F35" s="120"/>
      <c r="G35" s="120"/>
    </row>
    <row r="36" spans="1:7" x14ac:dyDescent="0.2">
      <c r="A36" s="120"/>
      <c r="B36" s="120"/>
      <c r="C36" s="120"/>
      <c r="D36" s="120"/>
      <c r="E36" s="120"/>
      <c r="F36" s="120"/>
      <c r="G36" s="120"/>
    </row>
    <row r="37" spans="1:7" x14ac:dyDescent="0.2">
      <c r="A37" s="120"/>
      <c r="B37" s="120"/>
      <c r="C37" s="120"/>
      <c r="D37" s="120"/>
      <c r="E37" s="120"/>
      <c r="F37" s="120"/>
      <c r="G37" s="120"/>
    </row>
    <row r="38" spans="1:7" x14ac:dyDescent="0.2">
      <c r="A38" s="120"/>
      <c r="B38" s="120"/>
      <c r="C38" s="120"/>
      <c r="D38" s="120"/>
      <c r="E38" s="120"/>
      <c r="F38" s="120"/>
      <c r="G38" s="120"/>
    </row>
    <row r="39" spans="1:7" x14ac:dyDescent="0.2">
      <c r="A39" s="116"/>
      <c r="B39" s="116"/>
      <c r="C39" s="116"/>
      <c r="D39" s="116"/>
      <c r="E39" s="116"/>
      <c r="F39" s="116"/>
      <c r="G39" s="116"/>
    </row>
    <row r="40" spans="1:7" x14ac:dyDescent="0.2">
      <c r="A40" s="117"/>
      <c r="B40" s="117"/>
      <c r="C40" s="117"/>
      <c r="D40" s="117"/>
      <c r="E40" s="117"/>
      <c r="F40" s="117"/>
      <c r="G40" s="117"/>
    </row>
    <row r="41" spans="1:7" x14ac:dyDescent="0.2">
      <c r="A41" s="117"/>
      <c r="B41" s="117"/>
      <c r="C41" s="117"/>
      <c r="D41" s="117"/>
      <c r="E41" s="117"/>
      <c r="F41" s="117"/>
      <c r="G41" s="117"/>
    </row>
    <row r="42" spans="1:7" x14ac:dyDescent="0.2">
      <c r="A42" s="117"/>
      <c r="B42" s="117"/>
      <c r="C42" s="117"/>
      <c r="D42" s="117"/>
      <c r="E42" s="117"/>
      <c r="F42" s="117"/>
      <c r="G42" s="117"/>
    </row>
    <row r="43" spans="1:7" x14ac:dyDescent="0.2">
      <c r="A43" s="117"/>
      <c r="B43" s="117"/>
      <c r="C43" s="117"/>
      <c r="D43" s="117"/>
      <c r="E43" s="117"/>
      <c r="F43" s="117"/>
      <c r="G43" s="117"/>
    </row>
    <row r="44" spans="1:7" x14ac:dyDescent="0.2">
      <c r="A44" s="117"/>
      <c r="B44" s="117"/>
      <c r="C44" s="117"/>
      <c r="D44" s="117"/>
      <c r="E44" s="117"/>
      <c r="F44" s="117"/>
      <c r="G44" s="117"/>
    </row>
    <row r="45" spans="1:7" x14ac:dyDescent="0.2">
      <c r="A45" s="117"/>
      <c r="B45" s="117"/>
      <c r="C45" s="117"/>
      <c r="D45" s="117"/>
      <c r="E45" s="117"/>
      <c r="F45" s="117"/>
      <c r="G45" s="117"/>
    </row>
    <row r="46" spans="1:7" x14ac:dyDescent="0.2">
      <c r="A46" s="117"/>
      <c r="B46" s="117"/>
      <c r="C46" s="117"/>
      <c r="D46" s="117"/>
      <c r="E46" s="117"/>
      <c r="F46" s="117"/>
      <c r="G46" s="117"/>
    </row>
    <row r="47" spans="1:7" x14ac:dyDescent="0.2">
      <c r="A47" s="117"/>
      <c r="B47" s="117"/>
      <c r="C47" s="117"/>
      <c r="D47" s="117"/>
      <c r="E47" s="117"/>
      <c r="F47" s="117"/>
      <c r="G47" s="117"/>
    </row>
    <row r="48" spans="1:7" x14ac:dyDescent="0.2">
      <c r="A48" s="117"/>
      <c r="B48" s="117"/>
      <c r="C48" s="117"/>
      <c r="D48" s="117"/>
      <c r="E48" s="117"/>
      <c r="F48" s="117"/>
      <c r="G48" s="117"/>
    </row>
    <row r="49" spans="1:7" x14ac:dyDescent="0.2">
      <c r="A49" s="117"/>
      <c r="B49" s="117"/>
      <c r="C49" s="117"/>
      <c r="D49" s="117"/>
      <c r="E49" s="117"/>
      <c r="F49" s="117"/>
      <c r="G49" s="117"/>
    </row>
    <row r="50" spans="1:7" x14ac:dyDescent="0.2">
      <c r="A50" s="117"/>
      <c r="B50" s="117"/>
      <c r="C50" s="117"/>
      <c r="D50" s="117"/>
      <c r="E50" s="117"/>
      <c r="F50" s="117"/>
      <c r="G50" s="117"/>
    </row>
    <row r="51" spans="1:7" x14ac:dyDescent="0.2">
      <c r="A51" s="117"/>
      <c r="B51" s="117"/>
      <c r="C51" s="117"/>
      <c r="D51" s="117"/>
      <c r="E51" s="117"/>
      <c r="F51" s="117"/>
      <c r="G51" s="117"/>
    </row>
    <row r="52" spans="1:7" x14ac:dyDescent="0.2">
      <c r="A52" s="117"/>
      <c r="B52" s="117"/>
      <c r="C52" s="117"/>
      <c r="D52" s="117"/>
      <c r="E52" s="117"/>
      <c r="F52" s="117"/>
      <c r="G52" s="117"/>
    </row>
    <row r="53" spans="1:7" x14ac:dyDescent="0.2">
      <c r="A53" s="117"/>
      <c r="B53" s="117"/>
      <c r="C53" s="117"/>
      <c r="D53" s="117"/>
      <c r="E53" s="117"/>
      <c r="F53" s="117"/>
      <c r="G53" s="117"/>
    </row>
  </sheetData>
  <mergeCells count="4">
    <mergeCell ref="A9:G9"/>
    <mergeCell ref="A35:G38"/>
    <mergeCell ref="A1:G7"/>
    <mergeCell ref="A12:G1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T99"/>
  <sheetViews>
    <sheetView showGridLines="0" tabSelected="1" zoomScale="80" zoomScaleNormal="80" zoomScaleSheetLayoutView="80" zoomScalePageLayoutView="60" workbookViewId="0">
      <selection activeCell="G84" sqref="G84"/>
    </sheetView>
  </sheetViews>
  <sheetFormatPr baseColWidth="10" defaultRowHeight="14.25" x14ac:dyDescent="0.2"/>
  <cols>
    <col min="1" max="1" width="11.42578125" style="5"/>
    <col min="2" max="2" width="14.7109375" style="5" bestFit="1" customWidth="1"/>
    <col min="3" max="3" width="43.85546875" style="5" bestFit="1" customWidth="1"/>
    <col min="4" max="4" width="18.85546875" style="5" customWidth="1"/>
    <col min="5" max="5" width="22.140625" style="5" customWidth="1"/>
    <col min="6" max="6" width="21" style="5" bestFit="1" customWidth="1"/>
    <col min="7" max="7" width="38.85546875" style="5" bestFit="1" customWidth="1"/>
    <col min="8" max="8" width="25.140625" style="5" bestFit="1" customWidth="1"/>
    <col min="9" max="9" width="19.7109375" style="5" bestFit="1" customWidth="1"/>
    <col min="10" max="10" width="28" style="5" customWidth="1"/>
    <col min="11" max="11" width="18.85546875" style="5" bestFit="1" customWidth="1"/>
    <col min="12" max="12" width="20.5703125" style="5" customWidth="1"/>
    <col min="13" max="13" width="43.85546875" style="5" bestFit="1" customWidth="1"/>
    <col min="14" max="14" width="9.42578125" style="5" bestFit="1" customWidth="1"/>
    <col min="15" max="16" width="11.42578125" style="5"/>
    <col min="17" max="17" width="15.5703125" style="5" customWidth="1"/>
    <col min="18" max="18" width="43.85546875" style="5" bestFit="1" customWidth="1"/>
    <col min="19" max="16384" width="11.42578125" style="5"/>
  </cols>
  <sheetData>
    <row r="1" spans="2:20" s="8" customFormat="1" ht="27" x14ac:dyDescent="0.35">
      <c r="B1" s="131" t="s">
        <v>31</v>
      </c>
      <c r="C1" s="131"/>
      <c r="D1" s="131"/>
      <c r="E1" s="131"/>
      <c r="F1" s="7"/>
      <c r="G1" s="7"/>
      <c r="H1" s="7"/>
      <c r="I1" s="7"/>
      <c r="J1" s="7"/>
      <c r="K1" s="7"/>
    </row>
    <row r="2" spans="2:20" x14ac:dyDescent="0.2">
      <c r="E2" s="9"/>
      <c r="G2" s="10"/>
    </row>
    <row r="3" spans="2:20" ht="18" x14ac:dyDescent="0.25">
      <c r="B3" s="11" t="s">
        <v>23</v>
      </c>
      <c r="C3" s="12"/>
    </row>
    <row r="4" spans="2:20" ht="18" x14ac:dyDescent="0.25">
      <c r="B4" s="12"/>
    </row>
    <row r="5" spans="2:20" ht="20.25" x14ac:dyDescent="0.3">
      <c r="B5" s="12"/>
      <c r="C5" s="11" t="s">
        <v>16</v>
      </c>
      <c r="H5" s="13"/>
      <c r="I5" s="14" t="s">
        <v>51</v>
      </c>
      <c r="J5" s="14" t="s">
        <v>50</v>
      </c>
    </row>
    <row r="6" spans="2:20" ht="20.25" x14ac:dyDescent="0.3">
      <c r="B6" s="12"/>
      <c r="C6" s="11" t="s">
        <v>24</v>
      </c>
      <c r="H6" s="15" t="s">
        <v>48</v>
      </c>
      <c r="I6" s="88">
        <v>0.75</v>
      </c>
      <c r="J6" s="87">
        <f>I6*$D$11</f>
        <v>825</v>
      </c>
    </row>
    <row r="7" spans="2:20" ht="20.25" x14ac:dyDescent="0.3">
      <c r="B7" s="12"/>
      <c r="H7" s="15" t="s">
        <v>64</v>
      </c>
      <c r="I7" s="89">
        <v>0.125</v>
      </c>
      <c r="J7" s="87">
        <f>I7*$D$11</f>
        <v>137.5</v>
      </c>
    </row>
    <row r="8" spans="2:20" ht="20.25" x14ac:dyDescent="0.3">
      <c r="C8" s="16"/>
      <c r="D8" s="9"/>
      <c r="E8" s="9"/>
      <c r="H8" s="15" t="s">
        <v>49</v>
      </c>
      <c r="I8" s="89">
        <v>0.125</v>
      </c>
      <c r="J8" s="87">
        <f>I8*$D$11</f>
        <v>137.5</v>
      </c>
    </row>
    <row r="9" spans="2:20" x14ac:dyDescent="0.2">
      <c r="C9" s="18" t="s">
        <v>67</v>
      </c>
      <c r="D9" s="19">
        <v>30</v>
      </c>
      <c r="E9" s="19" t="s">
        <v>38</v>
      </c>
      <c r="H9" s="17"/>
      <c r="I9" s="17"/>
    </row>
    <row r="10" spans="2:20" x14ac:dyDescent="0.2">
      <c r="C10" s="18" t="s">
        <v>26</v>
      </c>
      <c r="D10" s="19">
        <v>1</v>
      </c>
      <c r="E10" s="19" t="s">
        <v>13</v>
      </c>
      <c r="H10" s="17"/>
      <c r="I10" s="17"/>
    </row>
    <row r="11" spans="2:20" x14ac:dyDescent="0.2">
      <c r="C11" s="18" t="s">
        <v>42</v>
      </c>
      <c r="D11" s="19">
        <v>1100</v>
      </c>
      <c r="E11" s="19" t="s">
        <v>43</v>
      </c>
      <c r="H11" s="17"/>
      <c r="I11" s="17"/>
    </row>
    <row r="12" spans="2:20" x14ac:dyDescent="0.2">
      <c r="C12" s="16"/>
      <c r="D12" s="9"/>
      <c r="E12" s="9"/>
      <c r="G12" s="10"/>
      <c r="I12" s="20"/>
      <c r="J12" s="20"/>
      <c r="K12" s="20"/>
    </row>
    <row r="13" spans="2:20" s="8" customFormat="1" ht="27" x14ac:dyDescent="0.35">
      <c r="B13" s="131" t="s">
        <v>68</v>
      </c>
      <c r="C13" s="131"/>
      <c r="D13" s="131"/>
      <c r="E13" s="131"/>
      <c r="F13" s="131"/>
      <c r="G13" s="131"/>
      <c r="H13" s="7"/>
      <c r="I13" s="7"/>
      <c r="J13" s="7"/>
      <c r="K13" s="7"/>
    </row>
    <row r="14" spans="2:20" x14ac:dyDescent="0.2">
      <c r="C14" s="16"/>
      <c r="D14" s="9"/>
      <c r="E14" s="9"/>
      <c r="G14" s="10"/>
      <c r="I14" s="20"/>
      <c r="J14" s="20"/>
      <c r="K14" s="20"/>
    </row>
    <row r="15" spans="2:20" ht="20.25" x14ac:dyDescent="0.3">
      <c r="B15" s="52" t="s">
        <v>62</v>
      </c>
      <c r="D15" s="22"/>
      <c r="F15" s="52" t="s">
        <v>63</v>
      </c>
      <c r="I15" s="22"/>
      <c r="N15" s="22"/>
      <c r="S15" s="22"/>
      <c r="T15" s="22"/>
    </row>
    <row r="16" spans="2:20" x14ac:dyDescent="0.2">
      <c r="D16" s="22"/>
      <c r="I16" s="22"/>
      <c r="N16" s="22"/>
      <c r="S16" s="22"/>
      <c r="T16" s="22"/>
    </row>
    <row r="17" spans="2:20" ht="20.25" x14ac:dyDescent="0.3">
      <c r="B17" s="132" t="s">
        <v>212</v>
      </c>
      <c r="C17" s="132"/>
      <c r="F17" s="133" t="s">
        <v>56</v>
      </c>
      <c r="G17" s="133"/>
      <c r="L17" s="22"/>
      <c r="M17" s="22"/>
      <c r="Q17" s="22"/>
      <c r="R17" s="22"/>
    </row>
    <row r="18" spans="2:20" x14ac:dyDescent="0.2">
      <c r="B18" s="5" t="s">
        <v>80</v>
      </c>
      <c r="F18" s="5" t="s">
        <v>81</v>
      </c>
      <c r="G18" s="22"/>
      <c r="L18" s="22"/>
      <c r="M18" s="22"/>
      <c r="Q18" s="22"/>
      <c r="R18" s="22"/>
    </row>
    <row r="20" spans="2:20" x14ac:dyDescent="0.2">
      <c r="F20" s="5" t="s">
        <v>15</v>
      </c>
      <c r="G20" s="5" t="s">
        <v>14</v>
      </c>
      <c r="H20" s="5" t="s">
        <v>13</v>
      </c>
    </row>
    <row r="21" spans="2:20" x14ac:dyDescent="0.2">
      <c r="B21" s="5" t="s">
        <v>15</v>
      </c>
      <c r="C21" s="5" t="s">
        <v>14</v>
      </c>
      <c r="D21" s="5" t="s">
        <v>13</v>
      </c>
      <c r="F21" s="5" t="s">
        <v>1</v>
      </c>
      <c r="G21" s="5" t="s">
        <v>11</v>
      </c>
      <c r="H21" s="23">
        <f>+VLOOKUP(F17,'BO Inputs'!A8:G10,7,FALSE)</f>
        <v>148.22499999999997</v>
      </c>
    </row>
    <row r="22" spans="2:20" x14ac:dyDescent="0.2">
      <c r="B22" s="5" t="s">
        <v>65</v>
      </c>
      <c r="C22" s="5" t="s">
        <v>53</v>
      </c>
      <c r="D22" s="23">
        <f>'ASFA inputs'!C3*'RTAD 30 ans'!D9*'RTAD 30 ans'!J6/1000</f>
        <v>371.25</v>
      </c>
      <c r="F22" s="26" t="s">
        <v>12</v>
      </c>
      <c r="G22" s="26" t="s">
        <v>21</v>
      </c>
      <c r="H22" s="27">
        <f>+VLOOKUP(F17,'BO Inputs'!A8:G10,3,FALSE)</f>
        <v>0.8</v>
      </c>
      <c r="M22" s="23"/>
      <c r="R22" s="23"/>
      <c r="S22" s="23"/>
    </row>
    <row r="23" spans="2:20" ht="15" x14ac:dyDescent="0.25">
      <c r="B23" s="5" t="s">
        <v>66</v>
      </c>
      <c r="C23" s="5" t="s">
        <v>54</v>
      </c>
      <c r="D23" s="1">
        <f>EXP(-1.0587+0.8836*LN(D22)+0.284)</f>
        <v>85.92298396979298</v>
      </c>
      <c r="F23" s="5" t="s">
        <v>74</v>
      </c>
      <c r="G23" s="5" t="s">
        <v>2</v>
      </c>
      <c r="H23" s="23">
        <f>H21*H22*1.56</f>
        <v>184.98479999999998</v>
      </c>
      <c r="M23" s="23"/>
      <c r="R23" s="23"/>
      <c r="S23" s="23"/>
    </row>
    <row r="24" spans="2:20" x14ac:dyDescent="0.2">
      <c r="D24" s="27"/>
      <c r="F24" s="5" t="s">
        <v>75</v>
      </c>
      <c r="G24" s="5" t="s">
        <v>4</v>
      </c>
      <c r="H24" s="23">
        <f>EXP(-1.0587+(0.8836*LN(H23))+0.284)</f>
        <v>46.4294430076244</v>
      </c>
      <c r="M24" s="23"/>
      <c r="R24" s="23"/>
      <c r="S24" s="23"/>
    </row>
    <row r="25" spans="2:20" x14ac:dyDescent="0.2">
      <c r="D25" s="27"/>
      <c r="H25" s="23"/>
      <c r="M25" s="23"/>
      <c r="R25" s="23"/>
      <c r="S25" s="23"/>
    </row>
    <row r="26" spans="2:20" ht="20.25" x14ac:dyDescent="0.3">
      <c r="B26" s="52" t="s">
        <v>73</v>
      </c>
      <c r="C26" s="28"/>
      <c r="D26" s="29"/>
      <c r="M26" s="23"/>
      <c r="R26" s="23"/>
      <c r="S26" s="23"/>
    </row>
    <row r="27" spans="2:20" x14ac:dyDescent="0.2">
      <c r="C27" s="28"/>
      <c r="D27" s="29"/>
      <c r="M27" s="23"/>
      <c r="R27" s="23"/>
      <c r="S27" s="23"/>
    </row>
    <row r="28" spans="2:20" x14ac:dyDescent="0.2">
      <c r="B28" s="24" t="s">
        <v>69</v>
      </c>
      <c r="C28" s="24" t="s">
        <v>71</v>
      </c>
      <c r="D28" s="36">
        <f>D22+H23</f>
        <v>556.23479999999995</v>
      </c>
      <c r="E28" s="5" t="s">
        <v>82</v>
      </c>
      <c r="M28" s="23"/>
      <c r="R28" s="23"/>
      <c r="S28" s="23"/>
    </row>
    <row r="29" spans="2:20" x14ac:dyDescent="0.2">
      <c r="B29" s="26" t="s">
        <v>70</v>
      </c>
      <c r="C29" s="26" t="s">
        <v>72</v>
      </c>
      <c r="D29" s="37">
        <f>D23+H24</f>
        <v>132.35242697741739</v>
      </c>
      <c r="E29" s="5" t="s">
        <v>83</v>
      </c>
      <c r="I29" s="27"/>
      <c r="M29" s="23"/>
      <c r="N29" s="23"/>
      <c r="R29" s="23"/>
      <c r="S29" s="23"/>
      <c r="T29" s="23"/>
    </row>
    <row r="30" spans="2:20" x14ac:dyDescent="0.2">
      <c r="B30" s="24" t="s">
        <v>3</v>
      </c>
      <c r="C30" s="24" t="s">
        <v>39</v>
      </c>
      <c r="D30" s="26">
        <f>'SOL Inputs'!J6+(MIN('SOL Inputs'!J9,'SOL Inputs'!J10)*20)</f>
        <v>38.56</v>
      </c>
      <c r="E30" s="93" t="s">
        <v>252</v>
      </c>
      <c r="M30" s="23"/>
      <c r="R30" s="23"/>
      <c r="S30" s="23"/>
    </row>
    <row r="31" spans="2:20" x14ac:dyDescent="0.2">
      <c r="B31" s="26" t="s">
        <v>5</v>
      </c>
      <c r="C31" s="26" t="s">
        <v>9</v>
      </c>
      <c r="D31" s="26">
        <v>4.5999999999999996</v>
      </c>
      <c r="I31" s="27"/>
      <c r="M31" s="25"/>
      <c r="R31" s="25"/>
      <c r="S31" s="25"/>
    </row>
    <row r="32" spans="2:20" x14ac:dyDescent="0.2">
      <c r="B32" s="24" t="s">
        <v>6</v>
      </c>
      <c r="C32" s="24" t="s">
        <v>8</v>
      </c>
      <c r="D32" s="24">
        <v>0</v>
      </c>
      <c r="H32" s="28"/>
      <c r="I32" s="29"/>
      <c r="M32" s="27"/>
      <c r="R32" s="27"/>
      <c r="S32" s="27"/>
    </row>
    <row r="33" spans="2:20" x14ac:dyDescent="0.2">
      <c r="B33" s="26" t="s">
        <v>7</v>
      </c>
      <c r="C33" s="26" t="s">
        <v>10</v>
      </c>
      <c r="D33" s="26">
        <v>0.47499999999999998</v>
      </c>
      <c r="I33" s="29"/>
      <c r="N33" s="27"/>
      <c r="S33" s="27"/>
      <c r="T33" s="27"/>
    </row>
    <row r="34" spans="2:20" x14ac:dyDescent="0.2">
      <c r="D34" s="25"/>
      <c r="I34" s="29"/>
      <c r="N34" s="27"/>
      <c r="S34" s="27"/>
      <c r="T34" s="27"/>
    </row>
    <row r="35" spans="2:20" x14ac:dyDescent="0.2">
      <c r="C35" s="22"/>
      <c r="D35" s="30"/>
      <c r="I35" s="29"/>
      <c r="N35" s="27"/>
      <c r="S35" s="27"/>
      <c r="T35" s="27"/>
    </row>
    <row r="36" spans="2:20" x14ac:dyDescent="0.2">
      <c r="B36" s="32" t="s">
        <v>35</v>
      </c>
      <c r="C36" s="32"/>
      <c r="D36" s="32"/>
      <c r="H36" s="22"/>
      <c r="I36" s="30"/>
      <c r="M36" s="28"/>
      <c r="N36" s="29"/>
      <c r="R36" s="28"/>
      <c r="S36" s="29"/>
    </row>
    <row r="37" spans="2:20" x14ac:dyDescent="0.2">
      <c r="E37" s="30"/>
      <c r="G37" s="31"/>
      <c r="H37" s="22"/>
      <c r="I37" s="30"/>
      <c r="N37" s="29"/>
      <c r="S37" s="29"/>
    </row>
    <row r="38" spans="2:20" x14ac:dyDescent="0.2">
      <c r="F38" s="34"/>
    </row>
    <row r="39" spans="2:20" x14ac:dyDescent="0.2">
      <c r="C39" s="26" t="s">
        <v>76</v>
      </c>
      <c r="D39" s="54">
        <f>3*30</f>
        <v>90</v>
      </c>
      <c r="E39" s="5" t="s">
        <v>223</v>
      </c>
    </row>
    <row r="40" spans="2:20" x14ac:dyDescent="0.2">
      <c r="C40" s="24" t="s">
        <v>39</v>
      </c>
      <c r="D40" s="53">
        <f>'SOL Inputs'!J6</f>
        <v>22.56</v>
      </c>
    </row>
    <row r="41" spans="2:20" x14ac:dyDescent="0.2">
      <c r="C41" s="26" t="s">
        <v>9</v>
      </c>
      <c r="D41" s="54">
        <f>4.6</f>
        <v>4.5999999999999996</v>
      </c>
    </row>
    <row r="42" spans="2:20" x14ac:dyDescent="0.2">
      <c r="C42" s="24" t="s">
        <v>8</v>
      </c>
      <c r="D42" s="53">
        <v>0</v>
      </c>
    </row>
    <row r="44" spans="2:20" x14ac:dyDescent="0.2">
      <c r="B44" s="32" t="s">
        <v>27</v>
      </c>
      <c r="C44" s="32"/>
      <c r="D44" s="32"/>
      <c r="E44" s="32"/>
      <c r="H44" s="23"/>
    </row>
    <row r="45" spans="2:20" x14ac:dyDescent="0.2">
      <c r="B45" s="33"/>
      <c r="C45" s="33"/>
      <c r="D45" s="33"/>
      <c r="H45" s="23"/>
    </row>
    <row r="46" spans="2:20" x14ac:dyDescent="0.2">
      <c r="D46" s="22" t="s">
        <v>22</v>
      </c>
      <c r="E46" s="22" t="s">
        <v>77</v>
      </c>
      <c r="F46" s="22" t="s">
        <v>78</v>
      </c>
      <c r="G46" s="22" t="s">
        <v>79</v>
      </c>
      <c r="H46" s="35"/>
    </row>
    <row r="47" spans="2:20" x14ac:dyDescent="0.2">
      <c r="B47" s="24" t="b">
        <v>1</v>
      </c>
      <c r="C47" s="24" t="s">
        <v>16</v>
      </c>
      <c r="D47" s="36">
        <f>'SOL Inputs'!$J$6</f>
        <v>22.56</v>
      </c>
      <c r="E47" s="36">
        <f>5</f>
        <v>5</v>
      </c>
      <c r="F47" s="36">
        <f>(E47+D47)*44/12</f>
        <v>101.05333333333333</v>
      </c>
      <c r="G47" s="36">
        <f>F47*$D$10</f>
        <v>101.05333333333333</v>
      </c>
    </row>
    <row r="48" spans="2:20" x14ac:dyDescent="0.2">
      <c r="B48" s="26" t="b">
        <v>0</v>
      </c>
      <c r="C48" s="26" t="s">
        <v>24</v>
      </c>
      <c r="D48" s="37">
        <f>'SOL Inputs'!$J$6</f>
        <v>22.56</v>
      </c>
      <c r="E48" s="37">
        <f>D39</f>
        <v>90</v>
      </c>
      <c r="F48" s="37">
        <f>(E48+D48+D31)*44/12</f>
        <v>429.58666666666664</v>
      </c>
      <c r="G48" s="37">
        <f>F48*$D$10</f>
        <v>429.58666666666664</v>
      </c>
    </row>
    <row r="50" spans="2:20" x14ac:dyDescent="0.2">
      <c r="B50" s="32" t="s">
        <v>18</v>
      </c>
      <c r="C50" s="32"/>
      <c r="D50" s="32"/>
      <c r="E50" s="32"/>
    </row>
    <row r="51" spans="2:20" x14ac:dyDescent="0.2">
      <c r="H51" s="22"/>
    </row>
    <row r="52" spans="2:20" x14ac:dyDescent="0.2">
      <c r="B52" s="125" t="s">
        <v>263</v>
      </c>
      <c r="C52" s="126"/>
      <c r="D52" s="127"/>
      <c r="E52" s="78">
        <v>0</v>
      </c>
      <c r="H52" s="23"/>
    </row>
    <row r="53" spans="2:20" x14ac:dyDescent="0.2">
      <c r="B53" s="128" t="s">
        <v>262</v>
      </c>
      <c r="C53" s="129"/>
      <c r="D53" s="130"/>
      <c r="E53" s="78">
        <v>0.2</v>
      </c>
      <c r="H53" s="23"/>
    </row>
    <row r="54" spans="2:20" x14ac:dyDescent="0.2">
      <c r="B54" s="125" t="s">
        <v>19</v>
      </c>
      <c r="C54" s="126"/>
      <c r="D54" s="127"/>
      <c r="E54" s="78">
        <v>0.1</v>
      </c>
      <c r="H54" s="23"/>
    </row>
    <row r="55" spans="2:20" x14ac:dyDescent="0.2">
      <c r="B55" s="128" t="s">
        <v>20</v>
      </c>
      <c r="C55" s="129"/>
      <c r="D55" s="130"/>
      <c r="E55" s="78">
        <v>0</v>
      </c>
      <c r="H55" s="23"/>
    </row>
    <row r="58" spans="2:20" x14ac:dyDescent="0.2">
      <c r="G58" s="28" t="s">
        <v>37</v>
      </c>
      <c r="L58" s="28" t="s">
        <v>37</v>
      </c>
      <c r="Q58" s="145"/>
      <c r="R58" s="145"/>
      <c r="S58" s="145"/>
      <c r="T58" s="145"/>
    </row>
    <row r="59" spans="2:20" x14ac:dyDescent="0.2">
      <c r="B59" s="21" t="s">
        <v>29</v>
      </c>
      <c r="C59" s="21"/>
      <c r="D59" s="21"/>
      <c r="E59" s="21"/>
      <c r="G59" s="21" t="s">
        <v>104</v>
      </c>
      <c r="H59" s="21"/>
      <c r="I59" s="21"/>
      <c r="J59" s="21"/>
      <c r="L59" s="21" t="s">
        <v>198</v>
      </c>
      <c r="M59" s="21"/>
      <c r="N59" s="21"/>
      <c r="O59" s="21"/>
      <c r="Q59" s="146"/>
      <c r="R59" s="146"/>
      <c r="S59" s="146"/>
      <c r="T59" s="146"/>
    </row>
    <row r="60" spans="2:20" ht="15" thickBot="1" x14ac:dyDescent="0.25">
      <c r="Q60" s="145"/>
      <c r="R60" s="145"/>
      <c r="S60" s="145"/>
      <c r="T60" s="145"/>
    </row>
    <row r="61" spans="2:20" x14ac:dyDescent="0.2">
      <c r="B61" s="38" t="s">
        <v>28</v>
      </c>
      <c r="C61" s="39">
        <f>((D28+D29)*D33+D30+D31+D32)*44/12</f>
        <v>1357.5427536523353</v>
      </c>
      <c r="D61" s="40" t="s">
        <v>17</v>
      </c>
      <c r="G61" s="24" t="s">
        <v>28</v>
      </c>
      <c r="H61" s="36">
        <f>'REA Produits &amp; Substitution'!L16+'REA Produits &amp; Substitution'!L24+'REA Produits &amp; Substitution'!L25+'REA Produits &amp; Substitution'!L27</f>
        <v>69.528373801701122</v>
      </c>
      <c r="I61" s="36" t="s">
        <v>17</v>
      </c>
      <c r="L61" s="24" t="s">
        <v>28</v>
      </c>
      <c r="M61" s="36">
        <f>'REA Produits &amp; Substitution'!B18+'REA Produits &amp; Substitution'!B35</f>
        <v>557.20297651162787</v>
      </c>
      <c r="N61" s="36" t="s">
        <v>17</v>
      </c>
      <c r="Q61" s="147"/>
      <c r="R61" s="148"/>
      <c r="S61" s="149"/>
      <c r="T61" s="145"/>
    </row>
    <row r="62" spans="2:20" x14ac:dyDescent="0.2">
      <c r="B62" s="41" t="s">
        <v>30</v>
      </c>
      <c r="C62" s="37">
        <f>VLOOKUP(TRUE,B47:G48,6,FALSE)</f>
        <v>101.05333333333333</v>
      </c>
      <c r="D62" s="42" t="s">
        <v>17</v>
      </c>
      <c r="G62" s="26" t="s">
        <v>30</v>
      </c>
      <c r="H62" s="37">
        <v>0</v>
      </c>
      <c r="I62" s="37" t="s">
        <v>17</v>
      </c>
      <c r="L62" s="26" t="s">
        <v>30</v>
      </c>
      <c r="M62" s="37">
        <v>0</v>
      </c>
      <c r="N62" s="37" t="s">
        <v>17</v>
      </c>
      <c r="Q62" s="145"/>
      <c r="R62" s="145"/>
      <c r="S62" s="145"/>
      <c r="T62" s="145"/>
    </row>
    <row r="63" spans="2:20" ht="15" thickBot="1" x14ac:dyDescent="0.25">
      <c r="B63" s="43" t="s">
        <v>52</v>
      </c>
      <c r="C63" s="44">
        <f>C61-C62</f>
        <v>1256.489420319002</v>
      </c>
      <c r="D63" s="45" t="s">
        <v>17</v>
      </c>
      <c r="G63" s="46" t="s">
        <v>106</v>
      </c>
      <c r="H63" s="81">
        <f>(H61-H62)</f>
        <v>69.528373801701122</v>
      </c>
      <c r="I63" s="47" t="s">
        <v>17</v>
      </c>
      <c r="L63" s="46" t="s">
        <v>105</v>
      </c>
      <c r="M63" s="47">
        <f>(M61-M62)</f>
        <v>557.20297651162787</v>
      </c>
      <c r="N63" s="47" t="s">
        <v>17</v>
      </c>
      <c r="Q63" s="145"/>
      <c r="R63" s="145"/>
      <c r="S63" s="145"/>
      <c r="T63" s="145"/>
    </row>
    <row r="64" spans="2:20" x14ac:dyDescent="0.2">
      <c r="Q64" s="145"/>
      <c r="R64" s="150"/>
      <c r="S64" s="148"/>
      <c r="T64" s="150"/>
    </row>
    <row r="65" spans="3:19" x14ac:dyDescent="0.2">
      <c r="C65" s="48" t="s">
        <v>29</v>
      </c>
      <c r="D65" s="50">
        <f>C63</f>
        <v>1256.489420319002</v>
      </c>
      <c r="E65" s="22" t="s">
        <v>34</v>
      </c>
      <c r="H65" s="48" t="s">
        <v>40</v>
      </c>
      <c r="I65" s="82">
        <f>H63*(1-E52)*(1-E53)*(1-E54)*(1-E55)</f>
        <v>50.060429137224816</v>
      </c>
      <c r="J65" s="22" t="s">
        <v>34</v>
      </c>
      <c r="M65" s="48" t="s">
        <v>40</v>
      </c>
      <c r="N65" s="50">
        <f>M63*(1-E52)*(1-E53)*(1-E54)*(1-E55)</f>
        <v>401.18614308837209</v>
      </c>
      <c r="O65" s="22" t="s">
        <v>34</v>
      </c>
    </row>
    <row r="66" spans="3:19" x14ac:dyDescent="0.2">
      <c r="K66" s="9"/>
      <c r="R66" s="51"/>
      <c r="S66" s="51"/>
    </row>
    <row r="67" spans="3:19" x14ac:dyDescent="0.2">
      <c r="C67" s="48" t="s">
        <v>33</v>
      </c>
      <c r="D67" s="49">
        <f>D65*(1-E52)*(1-E53)*(1-E54)*(1-E55)</f>
        <v>904.67238262968147</v>
      </c>
      <c r="E67" s="22" t="s">
        <v>34</v>
      </c>
      <c r="H67" s="51"/>
      <c r="I67" s="51"/>
      <c r="M67" s="51"/>
      <c r="N67" s="51"/>
    </row>
    <row r="69" spans="3:19" x14ac:dyDescent="0.2">
      <c r="C69" s="51"/>
      <c r="D69" s="80"/>
    </row>
    <row r="73" spans="3:19" x14ac:dyDescent="0.2">
      <c r="E73" s="33"/>
    </row>
    <row r="74" spans="3:19" x14ac:dyDescent="0.2">
      <c r="C74" s="5" t="s">
        <v>225</v>
      </c>
    </row>
    <row r="75" spans="3:19" x14ac:dyDescent="0.2">
      <c r="C75" s="57" t="s">
        <v>103</v>
      </c>
      <c r="D75" s="58">
        <f>D67+I65+N65+S64</f>
        <v>1355.9189548552783</v>
      </c>
      <c r="E75" s="5" t="s">
        <v>34</v>
      </c>
    </row>
    <row r="77" spans="3:19" x14ac:dyDescent="0.2">
      <c r="C77" s="51"/>
      <c r="D77" s="79"/>
    </row>
    <row r="80" spans="3:19" x14ac:dyDescent="0.2">
      <c r="D80" s="84" t="s">
        <v>195</v>
      </c>
      <c r="E80" s="84" t="s">
        <v>196</v>
      </c>
      <c r="F80" s="84"/>
    </row>
    <row r="81" spans="1:5" x14ac:dyDescent="0.2">
      <c r="C81" s="62" t="s">
        <v>194</v>
      </c>
      <c r="D81" s="65">
        <f>D65</f>
        <v>1256.489420319002</v>
      </c>
      <c r="E81" s="83">
        <f>D67</f>
        <v>904.67238262968147</v>
      </c>
    </row>
    <row r="82" spans="1:5" x14ac:dyDescent="0.2">
      <c r="C82" s="62" t="s">
        <v>197</v>
      </c>
      <c r="D82" s="67">
        <f>H63</f>
        <v>69.528373801701122</v>
      </c>
      <c r="E82" s="67">
        <f>I65</f>
        <v>50.060429137224816</v>
      </c>
    </row>
    <row r="83" spans="1:5" x14ac:dyDescent="0.2">
      <c r="C83" s="62" t="s">
        <v>198</v>
      </c>
      <c r="D83" s="65">
        <f>M63</f>
        <v>557.20297651162787</v>
      </c>
      <c r="E83" s="65">
        <f>N65</f>
        <v>401.18614308837209</v>
      </c>
    </row>
    <row r="84" spans="1:5" x14ac:dyDescent="0.2">
      <c r="C84" s="62" t="s">
        <v>226</v>
      </c>
      <c r="D84" s="83">
        <f>R61</f>
        <v>0</v>
      </c>
      <c r="E84" s="83">
        <f>S64</f>
        <v>0</v>
      </c>
    </row>
    <row r="85" spans="1:5" x14ac:dyDescent="0.2">
      <c r="C85" s="62" t="s">
        <v>193</v>
      </c>
      <c r="D85" s="65">
        <f>SUM(D81:D84)</f>
        <v>1883.2207706323309</v>
      </c>
      <c r="E85" s="65">
        <f>SUM(E81:E84)</f>
        <v>1355.9189548552783</v>
      </c>
    </row>
    <row r="88" spans="1:5" x14ac:dyDescent="0.2">
      <c r="A88" s="151"/>
      <c r="B88" s="151"/>
      <c r="C88" s="151"/>
      <c r="D88" s="151"/>
      <c r="E88" s="151"/>
    </row>
    <row r="89" spans="1:5" x14ac:dyDescent="0.2">
      <c r="A89" s="151"/>
      <c r="B89" s="151"/>
      <c r="C89" s="152"/>
      <c r="D89" s="152"/>
      <c r="E89" s="151"/>
    </row>
    <row r="90" spans="1:5" x14ac:dyDescent="0.2">
      <c r="A90" s="151"/>
      <c r="B90" s="151"/>
      <c r="C90" s="152"/>
      <c r="D90" s="152"/>
      <c r="E90" s="151"/>
    </row>
    <row r="91" spans="1:5" x14ac:dyDescent="0.2">
      <c r="A91" s="151"/>
      <c r="B91" s="151"/>
      <c r="C91" s="151"/>
      <c r="D91" s="151"/>
      <c r="E91" s="151"/>
    </row>
    <row r="92" spans="1:5" x14ac:dyDescent="0.2">
      <c r="A92" s="151"/>
      <c r="B92" s="151"/>
      <c r="C92" s="151"/>
      <c r="D92" s="151"/>
      <c r="E92" s="151"/>
    </row>
    <row r="93" spans="1:5" x14ac:dyDescent="0.2">
      <c r="A93" s="151"/>
      <c r="B93" s="151"/>
      <c r="C93" s="152"/>
      <c r="D93" s="151"/>
      <c r="E93" s="151"/>
    </row>
    <row r="94" spans="1:5" x14ac:dyDescent="0.2">
      <c r="A94" s="145"/>
      <c r="B94" s="145"/>
      <c r="C94" s="145"/>
      <c r="D94" s="145"/>
      <c r="E94" s="145"/>
    </row>
    <row r="99" spans="4:4" x14ac:dyDescent="0.2">
      <c r="D99" s="5" t="s">
        <v>36</v>
      </c>
    </row>
  </sheetData>
  <mergeCells count="8">
    <mergeCell ref="B54:D54"/>
    <mergeCell ref="B55:D55"/>
    <mergeCell ref="B1:E1"/>
    <mergeCell ref="B13:G13"/>
    <mergeCell ref="B17:C17"/>
    <mergeCell ref="F17:G17"/>
    <mergeCell ref="B52:D52"/>
    <mergeCell ref="B53:D53"/>
  </mergeCells>
  <dataValidations count="4">
    <dataValidation type="list" allowBlank="1" showInputMessage="1" showErrorMessage="1" sqref="D17" xr:uid="{00000000-0002-0000-0100-000000000000}">
      <formula1>#REF!</formula1>
    </dataValidation>
    <dataValidation type="list" allowBlank="1" showInputMessage="1" showErrorMessage="1" sqref="I17 N17 S17" xr:uid="{00000000-0002-0000-0100-000001000000}">
      <formula1>$B$65:$B$70</formula1>
    </dataValidation>
    <dataValidation type="list" allowBlank="1" showInputMessage="1" showErrorMessage="1" sqref="E52 E55" xr:uid="{00000000-0002-0000-0100-000002000000}">
      <formula1>Rab</formula1>
    </dataValidation>
    <dataValidation type="list" allowBlank="1" showInputMessage="1" showErrorMessage="1" sqref="R17 M17" xr:uid="{00000000-0002-0000-0100-000003000000}">
      <formula1>ESS</formula1>
    </dataValidation>
  </dataValidations>
  <pageMargins left="0.7" right="0.7" top="0.75" bottom="0.75" header="0.3" footer="0.3"/>
  <pageSetup paperSize="9" scale="21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89" r:id="rId4" name="Check Box 1">
              <controlPr defaultSize="0" autoFill="0" autoLine="0" autoPict="0">
                <anchor moveWithCells="1">
                  <from>
                    <xdr:col>1</xdr:col>
                    <xdr:colOff>685800</xdr:colOff>
                    <xdr:row>4</xdr:row>
                    <xdr:rowOff>9525</xdr:rowOff>
                  </from>
                  <to>
                    <xdr:col>1</xdr:col>
                    <xdr:colOff>971550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1" r:id="rId5" name="Check Box 3">
              <controlPr defaultSize="0" autoFill="0" autoLine="0" autoPict="0">
                <anchor moveWithCells="1">
                  <from>
                    <xdr:col>1</xdr:col>
                    <xdr:colOff>685800</xdr:colOff>
                    <xdr:row>5</xdr:row>
                    <xdr:rowOff>9525</xdr:rowOff>
                  </from>
                  <to>
                    <xdr:col>1</xdr:col>
                    <xdr:colOff>952500</xdr:colOff>
                    <xdr:row>5</xdr:row>
                    <xdr:rowOff>200025</xdr:rowOff>
                  </to>
                </anchor>
              </controlPr>
            </control>
          </mc:Choice>
        </mc:AlternateContent>
      </controls>
    </mc:Choice>
  </mc:AlternateContent>
  <tableParts count="2">
    <tablePart r:id="rId6"/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4000000}">
          <x14:formula1>
            <xm:f>'BO Inputs'!$A$8:$A$10</xm:f>
          </x14:formula1>
          <xm:sqref>F17:G17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W31"/>
  <sheetViews>
    <sheetView workbookViewId="0">
      <selection activeCell="B1" sqref="B1"/>
    </sheetView>
  </sheetViews>
  <sheetFormatPr baseColWidth="10" defaultRowHeight="14.25" x14ac:dyDescent="0.2"/>
  <cols>
    <col min="1" max="1" width="11.42578125" style="5"/>
    <col min="2" max="2" width="33.85546875" style="5" customWidth="1"/>
    <col min="3" max="3" width="9.28515625" style="5" bestFit="1" customWidth="1"/>
    <col min="4" max="6" width="11.42578125" style="5"/>
    <col min="7" max="7" width="19.5703125" style="5" bestFit="1" customWidth="1"/>
    <col min="8" max="8" width="17.7109375" style="5" bestFit="1" customWidth="1"/>
    <col min="9" max="9" width="25.7109375" style="5" bestFit="1" customWidth="1"/>
    <col min="10" max="10" width="11.42578125" style="5"/>
    <col min="11" max="11" width="25.7109375" style="5" bestFit="1" customWidth="1"/>
    <col min="12" max="12" width="17.7109375" style="5" bestFit="1" customWidth="1"/>
    <col min="13" max="13" width="25.7109375" style="5" bestFit="1" customWidth="1"/>
    <col min="14" max="16384" width="11.42578125" style="5"/>
  </cols>
  <sheetData>
    <row r="1" spans="1:23" ht="27" x14ac:dyDescent="0.35">
      <c r="A1" s="95" t="s">
        <v>186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131"/>
      <c r="T1" s="131"/>
      <c r="U1" s="131"/>
      <c r="V1" s="131"/>
      <c r="W1" s="131"/>
    </row>
    <row r="3" spans="1:23" x14ac:dyDescent="0.2">
      <c r="B3" s="28"/>
    </row>
    <row r="4" spans="1:23" x14ac:dyDescent="0.2">
      <c r="A4" s="92" t="s">
        <v>253</v>
      </c>
      <c r="B4" s="92"/>
      <c r="C4" s="92"/>
      <c r="D4" s="92"/>
      <c r="E4" s="92"/>
      <c r="F4" s="92"/>
      <c r="G4" s="92"/>
      <c r="L4" s="28" t="s">
        <v>163</v>
      </c>
    </row>
    <row r="6" spans="1:23" x14ac:dyDescent="0.2">
      <c r="A6" s="101">
        <v>1</v>
      </c>
      <c r="B6" s="102" t="s">
        <v>165</v>
      </c>
      <c r="C6" s="72">
        <f>D14</f>
        <v>47</v>
      </c>
      <c r="D6" s="5" t="s">
        <v>25</v>
      </c>
      <c r="I6" s="62" t="s">
        <v>159</v>
      </c>
      <c r="J6" s="62">
        <f>C6*C7*C8*C9</f>
        <v>22.56</v>
      </c>
      <c r="K6" s="5" t="s">
        <v>25</v>
      </c>
      <c r="L6" s="5" t="s">
        <v>160</v>
      </c>
    </row>
    <row r="7" spans="1:23" ht="15" x14ac:dyDescent="0.2">
      <c r="A7" s="99">
        <v>2</v>
      </c>
      <c r="B7" s="100" t="s">
        <v>166</v>
      </c>
      <c r="C7" s="72">
        <f>C19</f>
        <v>0.48</v>
      </c>
      <c r="I7" s="62" t="s">
        <v>161</v>
      </c>
      <c r="J7" s="62">
        <f>J6*0.1</f>
        <v>2.2559999999999998</v>
      </c>
      <c r="K7" s="5" t="s">
        <v>25</v>
      </c>
      <c r="L7" s="71" t="s">
        <v>162</v>
      </c>
      <c r="M7" s="73"/>
      <c r="N7" s="73"/>
      <c r="O7" s="73"/>
    </row>
    <row r="8" spans="1:23" x14ac:dyDescent="0.2">
      <c r="A8" s="97">
        <v>3</v>
      </c>
      <c r="B8" s="98" t="s">
        <v>167</v>
      </c>
      <c r="C8" s="72">
        <f>C23</f>
        <v>1</v>
      </c>
      <c r="I8" s="62" t="s">
        <v>158</v>
      </c>
      <c r="J8" s="62">
        <f>J7</f>
        <v>2.2559999999999998</v>
      </c>
      <c r="K8" s="5" t="s">
        <v>25</v>
      </c>
      <c r="L8" s="136" t="s">
        <v>188</v>
      </c>
      <c r="M8" s="136"/>
      <c r="N8" s="136"/>
      <c r="O8" s="136"/>
      <c r="P8" s="136"/>
      <c r="Q8" s="136"/>
      <c r="R8" s="136"/>
    </row>
    <row r="9" spans="1:23" x14ac:dyDescent="0.2">
      <c r="A9" s="76">
        <v>4</v>
      </c>
      <c r="B9" s="96" t="s">
        <v>168</v>
      </c>
      <c r="C9" s="72">
        <f>C29</f>
        <v>1</v>
      </c>
      <c r="I9" s="62" t="s">
        <v>164</v>
      </c>
      <c r="J9" s="62">
        <f>(C6-(J6-J7))/20</f>
        <v>1.3348</v>
      </c>
      <c r="K9" s="5" t="s">
        <v>187</v>
      </c>
      <c r="L9" s="136"/>
      <c r="M9" s="136"/>
      <c r="N9" s="136"/>
      <c r="O9" s="136"/>
      <c r="P9" s="136"/>
      <c r="Q9" s="136"/>
      <c r="R9" s="136"/>
    </row>
    <row r="10" spans="1:23" x14ac:dyDescent="0.2">
      <c r="B10" s="71"/>
      <c r="I10" s="74" t="s">
        <v>189</v>
      </c>
      <c r="J10" s="75">
        <f>0.8</f>
        <v>0.8</v>
      </c>
      <c r="K10" s="76" t="s">
        <v>187</v>
      </c>
    </row>
    <row r="12" spans="1:23" x14ac:dyDescent="0.2">
      <c r="A12" s="101">
        <v>1</v>
      </c>
      <c r="B12" s="103" t="s">
        <v>175</v>
      </c>
    </row>
    <row r="13" spans="1:23" x14ac:dyDescent="0.2">
      <c r="B13" s="104" t="s">
        <v>169</v>
      </c>
      <c r="C13" s="104" t="s">
        <v>172</v>
      </c>
      <c r="D13" s="104" t="s">
        <v>173</v>
      </c>
      <c r="E13" s="104" t="s">
        <v>174</v>
      </c>
    </row>
    <row r="14" spans="1:23" x14ac:dyDescent="0.2">
      <c r="B14" s="104" t="s">
        <v>171</v>
      </c>
      <c r="C14" s="104">
        <v>65</v>
      </c>
      <c r="D14" s="104">
        <v>47</v>
      </c>
      <c r="E14" s="104">
        <v>39</v>
      </c>
    </row>
    <row r="15" spans="1:23" x14ac:dyDescent="0.2">
      <c r="B15" s="104" t="s">
        <v>170</v>
      </c>
      <c r="C15" s="104">
        <v>44</v>
      </c>
      <c r="D15" s="104">
        <v>60</v>
      </c>
      <c r="E15" s="104">
        <v>66</v>
      </c>
    </row>
    <row r="17" spans="1:7" x14ac:dyDescent="0.2">
      <c r="A17" s="99">
        <v>2</v>
      </c>
      <c r="B17" s="99" t="s">
        <v>176</v>
      </c>
      <c r="C17" s="134"/>
      <c r="D17" s="135"/>
    </row>
    <row r="18" spans="1:7" x14ac:dyDescent="0.2">
      <c r="A18" s="105"/>
      <c r="B18" s="106" t="s">
        <v>177</v>
      </c>
      <c r="C18" s="106"/>
      <c r="D18" s="99"/>
    </row>
    <row r="19" spans="1:7" x14ac:dyDescent="0.2">
      <c r="A19" s="105"/>
      <c r="B19" s="106" t="s">
        <v>178</v>
      </c>
      <c r="C19" s="106">
        <v>0.48</v>
      </c>
      <c r="D19" s="99"/>
    </row>
    <row r="20" spans="1:7" x14ac:dyDescent="0.2">
      <c r="A20" s="105"/>
      <c r="B20" s="106" t="s">
        <v>179</v>
      </c>
      <c r="C20" s="106">
        <v>0.82</v>
      </c>
      <c r="D20" s="99"/>
    </row>
    <row r="21" spans="1:7" x14ac:dyDescent="0.2">
      <c r="D21" s="31"/>
    </row>
    <row r="22" spans="1:7" x14ac:dyDescent="0.2">
      <c r="A22" s="97">
        <v>3</v>
      </c>
      <c r="B22" s="97" t="s">
        <v>167</v>
      </c>
      <c r="C22" s="107"/>
    </row>
    <row r="23" spans="1:7" x14ac:dyDescent="0.2">
      <c r="A23" s="107"/>
      <c r="B23" s="108" t="s">
        <v>181</v>
      </c>
      <c r="C23" s="108">
        <v>1</v>
      </c>
    </row>
    <row r="24" spans="1:7" x14ac:dyDescent="0.2">
      <c r="A24" s="107"/>
      <c r="B24" s="108" t="s">
        <v>180</v>
      </c>
      <c r="C24" s="108">
        <v>1.1499999999999999</v>
      </c>
    </row>
    <row r="26" spans="1:7" x14ac:dyDescent="0.2">
      <c r="A26" s="76">
        <v>4</v>
      </c>
      <c r="B26" s="76" t="s">
        <v>168</v>
      </c>
      <c r="C26" s="109"/>
      <c r="D26" s="109"/>
    </row>
    <row r="27" spans="1:7" x14ac:dyDescent="0.2">
      <c r="A27" s="109"/>
      <c r="B27" s="110" t="s">
        <v>182</v>
      </c>
      <c r="C27" s="110"/>
      <c r="D27" s="109"/>
    </row>
    <row r="28" spans="1:7" x14ac:dyDescent="0.2">
      <c r="A28" s="109"/>
      <c r="B28" s="110" t="s">
        <v>183</v>
      </c>
      <c r="C28" s="110">
        <v>0.92</v>
      </c>
      <c r="D28" s="109"/>
    </row>
    <row r="29" spans="1:7" x14ac:dyDescent="0.2">
      <c r="A29" s="109"/>
      <c r="B29" s="110" t="s">
        <v>184</v>
      </c>
      <c r="C29" s="110">
        <v>1</v>
      </c>
      <c r="D29" s="109"/>
    </row>
    <row r="30" spans="1:7" x14ac:dyDescent="0.2">
      <c r="A30" s="109"/>
      <c r="B30" s="110" t="s">
        <v>185</v>
      </c>
      <c r="C30" s="110">
        <v>1.1100000000000001</v>
      </c>
      <c r="D30" s="109"/>
    </row>
    <row r="31" spans="1:7" x14ac:dyDescent="0.2">
      <c r="E31" s="94"/>
      <c r="F31" s="76"/>
      <c r="G31" s="76"/>
    </row>
  </sheetData>
  <mergeCells count="3">
    <mergeCell ref="S1:W1"/>
    <mergeCell ref="C17:D17"/>
    <mergeCell ref="L8:R9"/>
  </mergeCells>
  <dataValidations count="3">
    <dataValidation type="list" allowBlank="1" showInputMessage="1" showErrorMessage="1" sqref="C8" xr:uid="{00000000-0002-0000-0200-000000000000}">
      <formula1>$C$23:$C$24</formula1>
    </dataValidation>
    <dataValidation type="list" allowBlank="1" showInputMessage="1" showErrorMessage="1" sqref="C9" xr:uid="{00000000-0002-0000-0200-000001000000}">
      <formula1>$C$28:$C$30</formula1>
    </dataValidation>
    <dataValidation type="list" allowBlank="1" showInputMessage="1" showErrorMessage="1" sqref="C7" xr:uid="{00000000-0002-0000-0200-000002000000}">
      <formula1>$C$19:$C$20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38"/>
  <sheetViews>
    <sheetView workbookViewId="0">
      <selection sqref="A1:G1"/>
    </sheetView>
  </sheetViews>
  <sheetFormatPr baseColWidth="10" defaultRowHeight="14.25" x14ac:dyDescent="0.2"/>
  <cols>
    <col min="1" max="1" width="19" style="5" bestFit="1" customWidth="1"/>
    <col min="2" max="2" width="18.28515625" style="5" bestFit="1" customWidth="1"/>
    <col min="3" max="3" width="11.42578125" style="5"/>
    <col min="4" max="4" width="15.28515625" style="5" bestFit="1" customWidth="1"/>
    <col min="5" max="5" width="32.7109375" style="5" bestFit="1" customWidth="1"/>
    <col min="6" max="6" width="13.28515625" style="5" bestFit="1" customWidth="1"/>
    <col min="7" max="7" width="16.5703125" style="5" bestFit="1" customWidth="1"/>
    <col min="8" max="16384" width="11.42578125" style="5"/>
  </cols>
  <sheetData>
    <row r="1" spans="1:17" ht="27" x14ac:dyDescent="0.35">
      <c r="A1" s="95" t="s">
        <v>156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7" x14ac:dyDescent="0.2">
      <c r="C2" s="68"/>
    </row>
    <row r="3" spans="1:17" x14ac:dyDescent="0.2">
      <c r="A3" s="139" t="s">
        <v>157</v>
      </c>
      <c r="B3" s="139"/>
      <c r="C3" s="70">
        <v>15</v>
      </c>
      <c r="D3" s="62" t="s">
        <v>46</v>
      </c>
    </row>
    <row r="4" spans="1:17" x14ac:dyDescent="0.2">
      <c r="C4" s="68"/>
    </row>
    <row r="5" spans="1:17" s="51" customFormat="1" x14ac:dyDescent="0.2">
      <c r="A5" s="137" t="s">
        <v>155</v>
      </c>
      <c r="B5" s="138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</row>
    <row r="6" spans="1:17" x14ac:dyDescent="0.2">
      <c r="A6" s="69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x14ac:dyDescent="0.2">
      <c r="A7" s="5" t="s">
        <v>154</v>
      </c>
      <c r="C7" s="68"/>
    </row>
    <row r="8" spans="1:17" x14ac:dyDescent="0.2">
      <c r="A8" s="62" t="s">
        <v>153</v>
      </c>
      <c r="B8" s="62" t="s">
        <v>152</v>
      </c>
      <c r="C8" s="62" t="s">
        <v>151</v>
      </c>
      <c r="D8" s="62" t="s">
        <v>150</v>
      </c>
      <c r="E8" s="62" t="s">
        <v>149</v>
      </c>
      <c r="F8" s="62" t="s">
        <v>148</v>
      </c>
      <c r="G8" s="62" t="s">
        <v>135</v>
      </c>
    </row>
    <row r="9" spans="1:17" x14ac:dyDescent="0.2">
      <c r="A9" s="62">
        <v>1</v>
      </c>
      <c r="B9" s="62">
        <v>5000</v>
      </c>
      <c r="C9" s="62">
        <v>0</v>
      </c>
      <c r="D9" s="62" t="s">
        <v>147</v>
      </c>
      <c r="E9" s="62">
        <v>3.75</v>
      </c>
      <c r="F9" s="67">
        <f t="shared" ref="F9:F14" si="0">(E9/B9)*1000</f>
        <v>0.75</v>
      </c>
      <c r="G9" s="67">
        <f t="shared" ref="G9:G14" si="1">F9/A9</f>
        <v>0.75</v>
      </c>
    </row>
    <row r="10" spans="1:17" x14ac:dyDescent="0.2">
      <c r="A10" s="62">
        <v>2</v>
      </c>
      <c r="B10" s="62">
        <v>2500</v>
      </c>
      <c r="C10" s="62">
        <v>50</v>
      </c>
      <c r="D10" s="62" t="s">
        <v>146</v>
      </c>
      <c r="E10" s="62">
        <v>8.8800000000000008</v>
      </c>
      <c r="F10" s="67">
        <f t="shared" si="0"/>
        <v>3.5520000000000005</v>
      </c>
      <c r="G10" s="67">
        <f t="shared" si="1"/>
        <v>1.7760000000000002</v>
      </c>
    </row>
    <row r="11" spans="1:17" x14ac:dyDescent="0.2">
      <c r="A11" s="62">
        <v>3</v>
      </c>
      <c r="B11" s="62">
        <v>1250</v>
      </c>
      <c r="C11" s="62">
        <v>75</v>
      </c>
      <c r="D11" s="62" t="s">
        <v>145</v>
      </c>
      <c r="E11" s="62">
        <v>25.89</v>
      </c>
      <c r="F11" s="67">
        <f t="shared" si="0"/>
        <v>20.712</v>
      </c>
      <c r="G11" s="67">
        <f t="shared" si="1"/>
        <v>6.9039999999999999</v>
      </c>
    </row>
    <row r="12" spans="1:17" x14ac:dyDescent="0.2">
      <c r="A12" s="62">
        <v>4</v>
      </c>
      <c r="B12" s="62">
        <v>625</v>
      </c>
      <c r="C12" s="62">
        <v>88</v>
      </c>
      <c r="D12" s="62" t="s">
        <v>144</v>
      </c>
      <c r="E12" s="62">
        <v>25.12</v>
      </c>
      <c r="F12" s="67">
        <f t="shared" si="0"/>
        <v>40.192</v>
      </c>
      <c r="G12" s="67">
        <f t="shared" si="1"/>
        <v>10.048</v>
      </c>
    </row>
    <row r="13" spans="1:17" x14ac:dyDescent="0.2">
      <c r="A13" s="62">
        <v>5</v>
      </c>
      <c r="B13" s="62">
        <v>313</v>
      </c>
      <c r="C13" s="62">
        <v>94</v>
      </c>
      <c r="D13" s="62" t="s">
        <v>143</v>
      </c>
      <c r="E13" s="62">
        <v>22.29</v>
      </c>
      <c r="F13" s="67">
        <f t="shared" si="0"/>
        <v>71.214057507987221</v>
      </c>
      <c r="G13" s="67">
        <f t="shared" si="1"/>
        <v>14.242811501597444</v>
      </c>
    </row>
    <row r="14" spans="1:17" x14ac:dyDescent="0.2">
      <c r="A14" s="62">
        <v>6</v>
      </c>
      <c r="B14" s="62">
        <v>156</v>
      </c>
      <c r="C14" s="62">
        <v>97</v>
      </c>
      <c r="D14" s="62" t="s">
        <v>142</v>
      </c>
      <c r="E14" s="62">
        <v>12.34</v>
      </c>
      <c r="F14" s="67">
        <f t="shared" si="0"/>
        <v>79.102564102564102</v>
      </c>
      <c r="G14" s="67">
        <f t="shared" si="1"/>
        <v>13.183760683760683</v>
      </c>
    </row>
    <row r="16" spans="1:17" x14ac:dyDescent="0.2">
      <c r="A16" s="5" t="s">
        <v>141</v>
      </c>
      <c r="B16" s="5">
        <f>AVERAGE(B9:B14)</f>
        <v>1640.6666666666667</v>
      </c>
      <c r="E16" s="23"/>
    </row>
    <row r="20" spans="1:17" s="51" customFormat="1" ht="14.25" customHeight="1" x14ac:dyDescent="0.2">
      <c r="A20" s="137" t="s">
        <v>140</v>
      </c>
      <c r="B20" s="138"/>
      <c r="C20" s="138"/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</row>
    <row r="23" spans="1:17" x14ac:dyDescent="0.2">
      <c r="A23" s="62" t="s">
        <v>139</v>
      </c>
      <c r="B23" s="62" t="s">
        <v>32</v>
      </c>
      <c r="C23" s="62" t="s">
        <v>0</v>
      </c>
      <c r="D23" s="62" t="s">
        <v>138</v>
      </c>
      <c r="E23" s="62" t="s">
        <v>137</v>
      </c>
      <c r="F23" s="62" t="s">
        <v>136</v>
      </c>
      <c r="G23" s="62" t="s">
        <v>135</v>
      </c>
    </row>
    <row r="24" spans="1:17" x14ac:dyDescent="0.2">
      <c r="A24" s="62" t="s">
        <v>134</v>
      </c>
      <c r="B24" s="62">
        <v>1200</v>
      </c>
      <c r="C24" s="62">
        <v>3</v>
      </c>
      <c r="D24" s="62">
        <v>60</v>
      </c>
      <c r="E24" s="62">
        <f>D24/B24</f>
        <v>0.05</v>
      </c>
      <c r="F24" s="66">
        <f>E24/C24</f>
        <v>1.6666666666666666E-2</v>
      </c>
      <c r="G24" s="65">
        <f>F24*1000</f>
        <v>16.666666666666668</v>
      </c>
    </row>
    <row r="25" spans="1:17" x14ac:dyDescent="0.2">
      <c r="A25" s="62" t="s">
        <v>133</v>
      </c>
      <c r="B25" s="62">
        <v>1200</v>
      </c>
      <c r="C25" s="62">
        <v>3</v>
      </c>
      <c r="D25" s="62">
        <v>45</v>
      </c>
      <c r="E25" s="62">
        <f>D25/B25</f>
        <v>3.7499999999999999E-2</v>
      </c>
      <c r="F25" s="66">
        <f>E25/C25</f>
        <v>1.2499999999999999E-2</v>
      </c>
      <c r="G25" s="65">
        <f>F25*1000</f>
        <v>12.499999999999998</v>
      </c>
    </row>
    <row r="26" spans="1:17" x14ac:dyDescent="0.2">
      <c r="F26" s="64" t="s">
        <v>132</v>
      </c>
      <c r="G26" s="63">
        <f>AVERAGE(G24:G25)</f>
        <v>14.583333333333332</v>
      </c>
      <c r="H26" s="5" t="s">
        <v>46</v>
      </c>
    </row>
    <row r="28" spans="1:17" x14ac:dyDescent="0.2">
      <c r="A28" s="137" t="s">
        <v>131</v>
      </c>
      <c r="B28" s="138"/>
      <c r="C28" s="138"/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/>
    </row>
    <row r="30" spans="1:17" x14ac:dyDescent="0.2">
      <c r="A30" s="62" t="s">
        <v>129</v>
      </c>
      <c r="B30" s="62" t="s">
        <v>130</v>
      </c>
    </row>
    <row r="31" spans="1:17" x14ac:dyDescent="0.2">
      <c r="A31" s="62" t="s">
        <v>44</v>
      </c>
      <c r="B31" s="62">
        <v>22.6</v>
      </c>
    </row>
    <row r="33" spans="1:3" x14ac:dyDescent="0.2">
      <c r="A33" s="62" t="s">
        <v>129</v>
      </c>
      <c r="B33" s="62" t="s">
        <v>128</v>
      </c>
    </row>
    <row r="34" spans="1:3" x14ac:dyDescent="0.2">
      <c r="A34" s="62" t="s">
        <v>45</v>
      </c>
      <c r="B34" s="62">
        <v>9.59</v>
      </c>
    </row>
    <row r="35" spans="1:3" x14ac:dyDescent="0.2">
      <c r="A35" s="62" t="s">
        <v>47</v>
      </c>
      <c r="B35" s="62">
        <v>8.33</v>
      </c>
    </row>
    <row r="38" spans="1:3" x14ac:dyDescent="0.2">
      <c r="A38" s="62" t="s">
        <v>32</v>
      </c>
      <c r="B38" s="62">
        <v>0.43</v>
      </c>
      <c r="C38" s="62" t="s">
        <v>191</v>
      </c>
    </row>
  </sheetData>
  <mergeCells count="4">
    <mergeCell ref="A5:Q5"/>
    <mergeCell ref="A20:Q20"/>
    <mergeCell ref="A28:Q28"/>
    <mergeCell ref="A3:B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83"/>
  <sheetViews>
    <sheetView workbookViewId="0">
      <selection activeCell="H24" sqref="H24"/>
    </sheetView>
  </sheetViews>
  <sheetFormatPr baseColWidth="10" defaultRowHeight="15" x14ac:dyDescent="0.25"/>
  <cols>
    <col min="1" max="1" width="37.5703125" bestFit="1" customWidth="1"/>
    <col min="2" max="2" width="19.5703125" bestFit="1" customWidth="1"/>
    <col min="3" max="3" width="15.5703125" bestFit="1" customWidth="1"/>
    <col min="4" max="4" width="24" bestFit="1" customWidth="1"/>
    <col min="5" max="6" width="25.85546875" bestFit="1" customWidth="1"/>
    <col min="7" max="7" width="21" customWidth="1"/>
  </cols>
  <sheetData>
    <row r="1" spans="1:17" ht="27" x14ac:dyDescent="0.35">
      <c r="A1" s="95" t="s">
        <v>55</v>
      </c>
      <c r="B1" s="95"/>
      <c r="C1" s="95"/>
      <c r="D1" s="95"/>
      <c r="E1" s="95"/>
      <c r="F1" s="95"/>
      <c r="G1" s="95"/>
      <c r="H1" s="95"/>
      <c r="I1" s="95"/>
      <c r="J1" s="95"/>
    </row>
    <row r="3" spans="1:17" x14ac:dyDescent="0.25">
      <c r="A3" s="2" t="s">
        <v>214</v>
      </c>
      <c r="B3" s="3">
        <f>'RTAD 30 ans'!J7</f>
        <v>137.5</v>
      </c>
      <c r="F3" s="1"/>
    </row>
    <row r="4" spans="1:17" x14ac:dyDescent="0.25">
      <c r="A4" s="2" t="s">
        <v>213</v>
      </c>
      <c r="B4" s="2">
        <v>0.4</v>
      </c>
    </row>
    <row r="6" spans="1:17" x14ac:dyDescent="0.25">
      <c r="D6" s="140" t="s">
        <v>205</v>
      </c>
      <c r="E6" s="141"/>
      <c r="F6" s="141"/>
      <c r="G6" s="141"/>
    </row>
    <row r="7" spans="1:17" x14ac:dyDescent="0.25">
      <c r="A7" s="2" t="s">
        <v>211</v>
      </c>
      <c r="B7" s="2" t="s">
        <v>210</v>
      </c>
      <c r="C7" s="2" t="s">
        <v>209</v>
      </c>
      <c r="D7" s="2" t="s">
        <v>206</v>
      </c>
      <c r="E7" s="2" t="s">
        <v>207</v>
      </c>
      <c r="F7" s="2" t="s">
        <v>208</v>
      </c>
      <c r="G7" s="2" t="s">
        <v>215</v>
      </c>
    </row>
    <row r="8" spans="1:17" x14ac:dyDescent="0.25">
      <c r="A8" s="2" t="s">
        <v>56</v>
      </c>
      <c r="B8" s="77" t="s">
        <v>57</v>
      </c>
      <c r="C8" s="2">
        <v>0.8</v>
      </c>
      <c r="D8" s="2">
        <v>22</v>
      </c>
      <c r="E8" s="2">
        <v>35</v>
      </c>
      <c r="F8" s="91">
        <f>B4*D8*(E8/100)^2</f>
        <v>1.0779999999999998</v>
      </c>
      <c r="G8" s="3">
        <f>F8*$B$3</f>
        <v>148.22499999999997</v>
      </c>
      <c r="H8" s="90" t="s">
        <v>216</v>
      </c>
    </row>
    <row r="9" spans="1:17" x14ac:dyDescent="0.25">
      <c r="A9" s="2" t="s">
        <v>60</v>
      </c>
      <c r="B9" s="77" t="s">
        <v>61</v>
      </c>
      <c r="C9" s="2">
        <v>0.65</v>
      </c>
      <c r="D9" s="2">
        <v>23</v>
      </c>
      <c r="E9" s="2">
        <v>34</v>
      </c>
      <c r="F9" s="91">
        <f>B4*D9*(E9/100)^2</f>
        <v>1.0635200000000002</v>
      </c>
      <c r="G9" s="3">
        <f>F9*$B$3</f>
        <v>146.23400000000004</v>
      </c>
      <c r="H9" s="90" t="s">
        <v>217</v>
      </c>
    </row>
    <row r="10" spans="1:17" x14ac:dyDescent="0.25">
      <c r="A10" s="2" t="s">
        <v>58</v>
      </c>
      <c r="B10" s="77" t="s">
        <v>59</v>
      </c>
      <c r="C10" s="2">
        <v>0.55000000000000004</v>
      </c>
      <c r="D10" s="2">
        <v>28</v>
      </c>
      <c r="E10" s="2">
        <v>22</v>
      </c>
      <c r="F10" s="91">
        <f>B4*D10*(E10/100)^2</f>
        <v>0.54208000000000001</v>
      </c>
      <c r="G10" s="3">
        <f>F10*$B$3</f>
        <v>74.536000000000001</v>
      </c>
      <c r="H10" s="90" t="s">
        <v>222</v>
      </c>
    </row>
    <row r="13" spans="1:17" x14ac:dyDescent="0.25">
      <c r="A13" s="137" t="s">
        <v>218</v>
      </c>
      <c r="B13" s="138"/>
      <c r="C13" s="138"/>
      <c r="D13" s="138"/>
      <c r="E13" s="138"/>
      <c r="F13" s="138"/>
      <c r="G13" s="138"/>
      <c r="H13" s="138"/>
      <c r="I13" s="138"/>
      <c r="J13" s="138"/>
      <c r="K13" s="138"/>
      <c r="L13" s="138"/>
      <c r="M13" s="138"/>
      <c r="N13" s="138"/>
      <c r="O13" s="138"/>
      <c r="P13" s="138"/>
      <c r="Q13" s="138"/>
    </row>
    <row r="33" spans="1:17" x14ac:dyDescent="0.25">
      <c r="A33" s="137" t="s">
        <v>219</v>
      </c>
      <c r="B33" s="138"/>
      <c r="C33" s="138"/>
      <c r="D33" s="138"/>
      <c r="E33" s="138"/>
      <c r="F33" s="138"/>
      <c r="G33" s="138"/>
      <c r="H33" s="138"/>
      <c r="I33" s="138"/>
      <c r="J33" s="138"/>
      <c r="K33" s="138"/>
      <c r="L33" s="138"/>
      <c r="M33" s="138"/>
      <c r="N33" s="138"/>
      <c r="O33" s="138"/>
      <c r="P33" s="138"/>
      <c r="Q33" s="138"/>
    </row>
    <row r="53" spans="1:17" x14ac:dyDescent="0.25">
      <c r="A53" s="137" t="s">
        <v>220</v>
      </c>
      <c r="B53" s="138"/>
      <c r="C53" s="138"/>
      <c r="D53" s="138"/>
      <c r="E53" s="138"/>
      <c r="F53" s="138"/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38"/>
    </row>
    <row r="83" spans="1:17" x14ac:dyDescent="0.25">
      <c r="A83" s="137" t="s">
        <v>221</v>
      </c>
      <c r="B83" s="138"/>
      <c r="C83" s="138"/>
      <c r="D83" s="138"/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</row>
  </sheetData>
  <mergeCells count="5">
    <mergeCell ref="A33:Q33"/>
    <mergeCell ref="A53:Q53"/>
    <mergeCell ref="A83:Q83"/>
    <mergeCell ref="D6:G6"/>
    <mergeCell ref="A13:Q1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35"/>
  <sheetViews>
    <sheetView workbookViewId="0">
      <selection sqref="A1:L1"/>
    </sheetView>
  </sheetViews>
  <sheetFormatPr baseColWidth="10" defaultRowHeight="15" x14ac:dyDescent="0.25"/>
  <cols>
    <col min="1" max="1" width="23.28515625" customWidth="1"/>
    <col min="2" max="2" width="12" bestFit="1" customWidth="1"/>
    <col min="3" max="3" width="11.85546875" customWidth="1"/>
    <col min="5" max="5" width="11.28515625" bestFit="1" customWidth="1"/>
    <col min="6" max="6" width="8.28515625" bestFit="1" customWidth="1"/>
    <col min="7" max="7" width="10.5703125" customWidth="1"/>
    <col min="8" max="8" width="12.42578125" bestFit="1" customWidth="1"/>
    <col min="9" max="9" width="14.85546875" bestFit="1" customWidth="1"/>
    <col min="10" max="10" width="14.42578125" customWidth="1"/>
    <col min="11" max="11" width="10.28515625" bestFit="1" customWidth="1"/>
    <col min="12" max="12" width="16.7109375" customWidth="1"/>
  </cols>
  <sheetData>
    <row r="1" spans="1:12" ht="27" x14ac:dyDescent="0.35">
      <c r="A1" s="142" t="s">
        <v>107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</row>
    <row r="3" spans="1:12" x14ac:dyDescent="0.25">
      <c r="A3" t="s">
        <v>108</v>
      </c>
    </row>
    <row r="4" spans="1:12" x14ac:dyDescent="0.25">
      <c r="A4" s="60" t="s">
        <v>85</v>
      </c>
      <c r="J4" t="s">
        <v>200</v>
      </c>
    </row>
    <row r="5" spans="1:12" x14ac:dyDescent="0.25">
      <c r="J5" t="s">
        <v>201</v>
      </c>
      <c r="K5">
        <v>100</v>
      </c>
      <c r="L5" t="s">
        <v>202</v>
      </c>
    </row>
    <row r="6" spans="1:12" x14ac:dyDescent="0.25">
      <c r="A6" s="2" t="s">
        <v>99</v>
      </c>
      <c r="B6" s="2"/>
      <c r="D6" s="56" t="s">
        <v>101</v>
      </c>
      <c r="J6" t="s">
        <v>203</v>
      </c>
      <c r="K6">
        <v>3</v>
      </c>
      <c r="L6" t="s">
        <v>204</v>
      </c>
    </row>
    <row r="7" spans="1:12" x14ac:dyDescent="0.25">
      <c r="A7" s="2" t="s">
        <v>91</v>
      </c>
      <c r="B7" s="2">
        <v>1.52</v>
      </c>
    </row>
    <row r="8" spans="1:12" x14ac:dyDescent="0.25">
      <c r="A8" s="2" t="s">
        <v>84</v>
      </c>
      <c r="B8" s="2">
        <v>0.77</v>
      </c>
    </row>
    <row r="9" spans="1:12" x14ac:dyDescent="0.25">
      <c r="A9" s="2" t="s">
        <v>100</v>
      </c>
      <c r="B9" s="2">
        <v>0.5</v>
      </c>
    </row>
    <row r="11" spans="1:12" ht="20.25" x14ac:dyDescent="0.3">
      <c r="A11" s="52" t="s">
        <v>190</v>
      </c>
    </row>
    <row r="12" spans="1:12" ht="20.25" x14ac:dyDescent="0.3">
      <c r="A12" s="52"/>
    </row>
    <row r="13" spans="1:12" x14ac:dyDescent="0.25">
      <c r="A13" s="61" t="s">
        <v>63</v>
      </c>
    </row>
    <row r="15" spans="1:12" ht="45" x14ac:dyDescent="0.25">
      <c r="A15" s="6" t="s">
        <v>0</v>
      </c>
      <c r="B15" s="6" t="s">
        <v>90</v>
      </c>
      <c r="C15" s="55" t="s">
        <v>97</v>
      </c>
      <c r="D15" s="6" t="s">
        <v>86</v>
      </c>
      <c r="E15" s="6" t="s">
        <v>87</v>
      </c>
      <c r="F15" s="6" t="s">
        <v>88</v>
      </c>
      <c r="G15" s="6" t="s">
        <v>89</v>
      </c>
      <c r="H15" s="55" t="s">
        <v>92</v>
      </c>
      <c r="I15" s="55" t="s">
        <v>93</v>
      </c>
      <c r="J15" s="55" t="s">
        <v>94</v>
      </c>
      <c r="K15" s="55" t="s">
        <v>96</v>
      </c>
      <c r="L15" s="59" t="s">
        <v>95</v>
      </c>
    </row>
    <row r="16" spans="1:12" x14ac:dyDescent="0.25">
      <c r="A16" s="2">
        <v>30</v>
      </c>
      <c r="B16" s="2">
        <v>1</v>
      </c>
      <c r="C16" s="3">
        <f>'RTAD 30 ans'!H21</f>
        <v>148.22499999999997</v>
      </c>
      <c r="D16" s="4">
        <v>0.34</v>
      </c>
      <c r="E16" s="4">
        <v>0</v>
      </c>
      <c r="F16" s="4">
        <v>0</v>
      </c>
      <c r="G16" s="4">
        <v>0.66</v>
      </c>
      <c r="H16" s="3">
        <f>(1-EXP(-LN(2)/35))/(LN(2)/35)*$C$16*D16*'RTAD 30 ans'!H22*0.475*44/12</f>
        <v>69.528373801701122</v>
      </c>
      <c r="I16" s="2">
        <f>(1-EXP(-LN(2)/25))/(LN(2)/25)*$C$16*E16*'RTAD 30 ans'!H22*0.475*44/12</f>
        <v>0</v>
      </c>
      <c r="J16" s="2">
        <f>(1-EXP(-LN(2)/2))/(LN(2)/2)*$C$16*F16*'RTAD 30 ans'!H22*0.475*44/12</f>
        <v>0</v>
      </c>
      <c r="K16" s="2">
        <v>0</v>
      </c>
      <c r="L16" s="50">
        <f>SUM(H16:K16)</f>
        <v>69.528373801701122</v>
      </c>
    </row>
    <row r="18" spans="1:12" x14ac:dyDescent="0.25">
      <c r="A18" s="50" t="s">
        <v>98</v>
      </c>
      <c r="B18" s="50">
        <f>C16*D16*B7+C16*G16*B9</f>
        <v>125.51692999999997</v>
      </c>
      <c r="C18" s="50" t="s">
        <v>41</v>
      </c>
    </row>
    <row r="20" spans="1:12" x14ac:dyDescent="0.25">
      <c r="A20" s="61" t="s">
        <v>62</v>
      </c>
    </row>
    <row r="22" spans="1:12" ht="45" x14ac:dyDescent="0.25">
      <c r="A22" s="6" t="s">
        <v>0</v>
      </c>
      <c r="B22" s="6" t="s">
        <v>90</v>
      </c>
      <c r="C22" s="55" t="s">
        <v>102</v>
      </c>
      <c r="D22" s="6" t="s">
        <v>86</v>
      </c>
      <c r="E22" s="6" t="s">
        <v>87</v>
      </c>
      <c r="F22" s="6" t="s">
        <v>88</v>
      </c>
      <c r="G22" s="6" t="s">
        <v>89</v>
      </c>
      <c r="H22" s="55" t="s">
        <v>92</v>
      </c>
      <c r="I22" s="55" t="s">
        <v>93</v>
      </c>
      <c r="J22" s="55" t="s">
        <v>94</v>
      </c>
      <c r="K22" s="55" t="s">
        <v>96</v>
      </c>
      <c r="L22" s="59" t="s">
        <v>95</v>
      </c>
    </row>
    <row r="23" spans="1:12" x14ac:dyDescent="0.25">
      <c r="A23" s="6">
        <v>6</v>
      </c>
      <c r="B23" s="6">
        <v>1</v>
      </c>
      <c r="C23" s="2">
        <f>'RTAD 30 ans'!$D$22/9</f>
        <v>41.25</v>
      </c>
      <c r="D23" s="2">
        <v>0</v>
      </c>
      <c r="E23" s="2">
        <v>0</v>
      </c>
      <c r="F23" s="2">
        <v>0</v>
      </c>
      <c r="G23" s="2">
        <v>100</v>
      </c>
      <c r="H23" s="2">
        <v>0</v>
      </c>
      <c r="I23" s="2">
        <v>0</v>
      </c>
      <c r="J23" s="2">
        <v>0</v>
      </c>
      <c r="K23" s="2">
        <v>0</v>
      </c>
      <c r="L23" s="50">
        <v>0</v>
      </c>
    </row>
    <row r="24" spans="1:12" x14ac:dyDescent="0.25">
      <c r="A24" s="86">
        <v>9</v>
      </c>
      <c r="B24" s="86">
        <v>2</v>
      </c>
      <c r="C24" s="2">
        <f>'RTAD 30 ans'!$D$22/9</f>
        <v>41.25</v>
      </c>
      <c r="D24" s="2">
        <v>0</v>
      </c>
      <c r="E24" s="2">
        <v>0</v>
      </c>
      <c r="F24" s="2">
        <v>0</v>
      </c>
      <c r="G24" s="2">
        <v>100</v>
      </c>
      <c r="H24" s="2">
        <v>0</v>
      </c>
      <c r="I24" s="2">
        <v>0</v>
      </c>
      <c r="J24" s="2">
        <v>0</v>
      </c>
      <c r="K24" s="2">
        <v>0</v>
      </c>
      <c r="L24" s="50">
        <v>0</v>
      </c>
    </row>
    <row r="25" spans="1:12" x14ac:dyDescent="0.25">
      <c r="A25" s="86">
        <v>12</v>
      </c>
      <c r="B25" s="6">
        <v>3</v>
      </c>
      <c r="C25" s="2">
        <f>'RTAD 30 ans'!$D$22/9</f>
        <v>41.25</v>
      </c>
      <c r="D25" s="2">
        <v>0</v>
      </c>
      <c r="E25" s="2">
        <v>0</v>
      </c>
      <c r="F25" s="2">
        <v>0</v>
      </c>
      <c r="G25" s="2">
        <v>100</v>
      </c>
      <c r="H25" s="2">
        <v>0</v>
      </c>
      <c r="I25" s="2">
        <v>0</v>
      </c>
      <c r="J25" s="2">
        <v>0</v>
      </c>
      <c r="K25" s="2">
        <v>0</v>
      </c>
      <c r="L25" s="50">
        <v>0</v>
      </c>
    </row>
    <row r="26" spans="1:12" x14ac:dyDescent="0.25">
      <c r="A26" s="86">
        <v>15</v>
      </c>
      <c r="B26" s="86">
        <v>4</v>
      </c>
      <c r="C26" s="2">
        <f>'RTAD 30 ans'!$D$22/9</f>
        <v>41.25</v>
      </c>
      <c r="D26" s="2">
        <v>0</v>
      </c>
      <c r="E26" s="2">
        <v>0</v>
      </c>
      <c r="F26" s="2">
        <v>0</v>
      </c>
      <c r="G26" s="2">
        <v>100</v>
      </c>
      <c r="H26" s="2">
        <v>0</v>
      </c>
      <c r="I26" s="2">
        <v>0</v>
      </c>
      <c r="J26" s="2">
        <v>0</v>
      </c>
      <c r="K26" s="2">
        <v>0</v>
      </c>
      <c r="L26" s="50">
        <v>0</v>
      </c>
    </row>
    <row r="27" spans="1:12" x14ac:dyDescent="0.25">
      <c r="A27" s="86">
        <v>18</v>
      </c>
      <c r="B27" s="6">
        <v>5</v>
      </c>
      <c r="C27" s="2">
        <f>'RTAD 30 ans'!$D$22/9</f>
        <v>41.25</v>
      </c>
      <c r="D27" s="2">
        <v>0</v>
      </c>
      <c r="E27" s="2">
        <v>0</v>
      </c>
      <c r="F27" s="2">
        <v>0</v>
      </c>
      <c r="G27" s="2">
        <v>100</v>
      </c>
      <c r="H27" s="2">
        <v>0</v>
      </c>
      <c r="I27" s="2">
        <v>0</v>
      </c>
      <c r="J27" s="2">
        <v>0</v>
      </c>
      <c r="K27" s="2">
        <v>0</v>
      </c>
      <c r="L27" s="50">
        <v>0</v>
      </c>
    </row>
    <row r="28" spans="1:12" x14ac:dyDescent="0.25">
      <c r="A28" s="86">
        <v>21</v>
      </c>
      <c r="B28" s="86">
        <v>6</v>
      </c>
      <c r="C28" s="2">
        <f>'RTAD 30 ans'!$D$22/9</f>
        <v>41.25</v>
      </c>
      <c r="D28" s="2">
        <v>0</v>
      </c>
      <c r="E28" s="2">
        <v>0</v>
      </c>
      <c r="F28" s="2">
        <v>0</v>
      </c>
      <c r="G28" s="2">
        <v>100</v>
      </c>
      <c r="H28" s="2">
        <v>0</v>
      </c>
      <c r="I28" s="2">
        <v>0</v>
      </c>
      <c r="J28" s="2">
        <v>0</v>
      </c>
      <c r="K28" s="2">
        <v>0</v>
      </c>
      <c r="L28" s="50">
        <v>0</v>
      </c>
    </row>
    <row r="29" spans="1:12" x14ac:dyDescent="0.25">
      <c r="A29" s="86">
        <v>24</v>
      </c>
      <c r="B29" s="6">
        <v>7</v>
      </c>
      <c r="C29" s="2">
        <f>'RTAD 30 ans'!$D$22/9</f>
        <v>41.25</v>
      </c>
      <c r="D29" s="2">
        <v>0</v>
      </c>
      <c r="E29" s="2">
        <v>0</v>
      </c>
      <c r="F29" s="2">
        <v>0</v>
      </c>
      <c r="G29" s="2">
        <v>100</v>
      </c>
      <c r="H29" s="2">
        <v>0</v>
      </c>
      <c r="I29" s="2">
        <v>0</v>
      </c>
      <c r="J29" s="2">
        <v>0</v>
      </c>
      <c r="K29" s="2">
        <v>0</v>
      </c>
      <c r="L29" s="50">
        <v>0</v>
      </c>
    </row>
    <row r="30" spans="1:12" x14ac:dyDescent="0.25">
      <c r="A30" s="86">
        <v>27</v>
      </c>
      <c r="B30" s="86">
        <v>8</v>
      </c>
      <c r="C30" s="2">
        <f>'RTAD 30 ans'!$D$22/9</f>
        <v>41.25</v>
      </c>
      <c r="D30" s="2">
        <v>0</v>
      </c>
      <c r="E30" s="2">
        <v>0</v>
      </c>
      <c r="F30" s="2">
        <v>0</v>
      </c>
      <c r="G30" s="2">
        <v>100</v>
      </c>
      <c r="H30" s="2">
        <v>0</v>
      </c>
      <c r="I30" s="2">
        <v>0</v>
      </c>
      <c r="J30" s="2">
        <v>0</v>
      </c>
      <c r="K30" s="2">
        <v>0</v>
      </c>
      <c r="L30" s="50">
        <v>0</v>
      </c>
    </row>
    <row r="31" spans="1:12" x14ac:dyDescent="0.25">
      <c r="A31" s="86">
        <v>30</v>
      </c>
      <c r="B31" s="6">
        <v>9</v>
      </c>
      <c r="C31" s="2">
        <f>'RTAD 30 ans'!$D$22/9</f>
        <v>41.25</v>
      </c>
      <c r="D31" s="2">
        <v>0</v>
      </c>
      <c r="E31" s="2">
        <v>0</v>
      </c>
      <c r="F31" s="2">
        <v>0</v>
      </c>
      <c r="G31" s="2">
        <v>100</v>
      </c>
      <c r="H31" s="2">
        <v>0</v>
      </c>
      <c r="I31" s="2">
        <v>0</v>
      </c>
      <c r="J31" s="2">
        <v>0</v>
      </c>
      <c r="K31" s="2">
        <v>0</v>
      </c>
      <c r="L31" s="50">
        <v>0</v>
      </c>
    </row>
    <row r="32" spans="1:12" x14ac:dyDescent="0.25">
      <c r="A32" s="86" t="s">
        <v>199</v>
      </c>
      <c r="B32" s="6"/>
      <c r="C32" s="2">
        <f>SUM(C23:C31)</f>
        <v>371.25</v>
      </c>
    </row>
    <row r="33" spans="1:3" x14ac:dyDescent="0.25">
      <c r="A33" s="85"/>
    </row>
    <row r="34" spans="1:3" x14ac:dyDescent="0.25">
      <c r="A34" s="2" t="s">
        <v>192</v>
      </c>
      <c r="B34" s="3">
        <f>SUM(C23:C31)/'ASFA inputs'!B38</f>
        <v>863.37209302325584</v>
      </c>
      <c r="C34" s="2" t="s">
        <v>224</v>
      </c>
    </row>
    <row r="35" spans="1:3" x14ac:dyDescent="0.25">
      <c r="A35" s="50" t="s">
        <v>98</v>
      </c>
      <c r="B35" s="50">
        <f>B34*B9</f>
        <v>431.68604651162792</v>
      </c>
      <c r="C35" s="50" t="s">
        <v>41</v>
      </c>
    </row>
  </sheetData>
  <mergeCells count="1">
    <mergeCell ref="A1:L1"/>
  </mergeCells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16"/>
  <sheetViews>
    <sheetView workbookViewId="0">
      <selection activeCell="E22" sqref="E22"/>
    </sheetView>
  </sheetViews>
  <sheetFormatPr baseColWidth="10" defaultRowHeight="14.25" x14ac:dyDescent="0.2"/>
  <cols>
    <col min="1" max="1" width="17" style="5" bestFit="1" customWidth="1"/>
    <col min="2" max="3" width="11.42578125" style="5"/>
    <col min="4" max="4" width="14.140625" style="5" bestFit="1" customWidth="1"/>
    <col min="5" max="5" width="13.140625" style="5" bestFit="1" customWidth="1"/>
    <col min="6" max="6" width="16.5703125" style="5" bestFit="1" customWidth="1"/>
    <col min="7" max="16384" width="11.42578125" style="5"/>
  </cols>
  <sheetData>
    <row r="1" spans="1:12" ht="27" x14ac:dyDescent="0.35">
      <c r="A1" s="142" t="s">
        <v>255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</row>
    <row r="3" spans="1:12" x14ac:dyDescent="0.2">
      <c r="A3" s="31" t="s">
        <v>254</v>
      </c>
    </row>
    <row r="4" spans="1:12" x14ac:dyDescent="0.2">
      <c r="A4" s="31"/>
      <c r="C4" s="5" t="s">
        <v>227</v>
      </c>
    </row>
    <row r="5" spans="1:12" ht="57" x14ac:dyDescent="0.2">
      <c r="A5" s="62" t="s">
        <v>228</v>
      </c>
      <c r="B5" s="62">
        <v>825</v>
      </c>
      <c r="C5" s="111" t="s">
        <v>229</v>
      </c>
      <c r="D5" s="62" t="s">
        <v>230</v>
      </c>
      <c r="E5" s="62" t="s">
        <v>231</v>
      </c>
      <c r="F5" s="62" t="s">
        <v>232</v>
      </c>
    </row>
    <row r="6" spans="1:12" x14ac:dyDescent="0.2">
      <c r="A6" s="62" t="s">
        <v>233</v>
      </c>
      <c r="B6" s="65">
        <f>B5*B13/B11</f>
        <v>350.625</v>
      </c>
      <c r="C6" s="62">
        <f>4.51</f>
        <v>4.51</v>
      </c>
      <c r="D6" s="65">
        <f>B6*C6</f>
        <v>1581.3187499999999</v>
      </c>
      <c r="E6" s="65">
        <f>D6/1000</f>
        <v>1.5813187499999999</v>
      </c>
      <c r="F6" s="65">
        <f>E6*30</f>
        <v>47.439562499999994</v>
      </c>
    </row>
    <row r="7" spans="1:12" x14ac:dyDescent="0.2">
      <c r="A7" s="62" t="s">
        <v>234</v>
      </c>
      <c r="B7" s="65">
        <f>B5*B14/B11</f>
        <v>70.125</v>
      </c>
      <c r="C7" s="62">
        <v>1.45</v>
      </c>
      <c r="D7" s="65">
        <f>B7*C7</f>
        <v>101.68124999999999</v>
      </c>
      <c r="E7" s="65">
        <f>D7/1000</f>
        <v>0.10168124999999999</v>
      </c>
      <c r="F7" s="65">
        <f>E7*30</f>
        <v>3.0504374999999997</v>
      </c>
    </row>
    <row r="8" spans="1:12" x14ac:dyDescent="0.2">
      <c r="A8" s="62" t="s">
        <v>193</v>
      </c>
      <c r="B8" s="65">
        <f>B6+B7</f>
        <v>420.75</v>
      </c>
      <c r="C8" s="62">
        <f>C6+C7</f>
        <v>5.96</v>
      </c>
      <c r="D8" s="65">
        <f>D6+D7</f>
        <v>1683</v>
      </c>
      <c r="E8" s="65">
        <f>E6+E7</f>
        <v>1.6829999999999998</v>
      </c>
      <c r="F8" s="65">
        <f>F6+F7</f>
        <v>50.489999999999995</v>
      </c>
    </row>
    <row r="11" spans="1:12" x14ac:dyDescent="0.2">
      <c r="A11" s="112" t="s">
        <v>228</v>
      </c>
      <c r="B11" s="112">
        <v>200</v>
      </c>
      <c r="C11" s="143" t="s">
        <v>235</v>
      </c>
      <c r="D11" s="143"/>
      <c r="E11" s="143"/>
      <c r="F11" s="143"/>
      <c r="G11" s="144" t="s">
        <v>236</v>
      </c>
      <c r="H11" s="144"/>
      <c r="I11" s="144"/>
      <c r="J11" s="144"/>
      <c r="K11" s="144"/>
      <c r="L11" s="144"/>
    </row>
    <row r="12" spans="1:12" ht="28.5" x14ac:dyDescent="0.2">
      <c r="A12" s="113"/>
      <c r="B12" s="113" t="s">
        <v>237</v>
      </c>
      <c r="C12" s="113" t="s">
        <v>238</v>
      </c>
      <c r="D12" s="113" t="s">
        <v>239</v>
      </c>
      <c r="E12" s="113" t="s">
        <v>240</v>
      </c>
      <c r="F12" s="113" t="s">
        <v>241</v>
      </c>
      <c r="G12" s="113" t="s">
        <v>242</v>
      </c>
      <c r="H12" s="113" t="s">
        <v>243</v>
      </c>
      <c r="I12" s="113" t="s">
        <v>244</v>
      </c>
      <c r="J12" s="113" t="s">
        <v>245</v>
      </c>
      <c r="K12" s="113" t="s">
        <v>246</v>
      </c>
      <c r="L12" s="113" t="s">
        <v>247</v>
      </c>
    </row>
    <row r="13" spans="1:12" x14ac:dyDescent="0.2">
      <c r="A13" s="113" t="s">
        <v>248</v>
      </c>
      <c r="B13" s="113">
        <v>85</v>
      </c>
      <c r="C13" s="113">
        <v>160</v>
      </c>
      <c r="D13" s="113">
        <v>160</v>
      </c>
      <c r="E13" s="113">
        <v>10</v>
      </c>
      <c r="F13" s="113">
        <v>100</v>
      </c>
      <c r="G13" s="113">
        <v>56</v>
      </c>
      <c r="H13" s="113">
        <v>330</v>
      </c>
      <c r="I13" s="113">
        <v>125</v>
      </c>
      <c r="J13" s="113">
        <v>13</v>
      </c>
      <c r="K13" s="113">
        <v>13</v>
      </c>
      <c r="L13" s="113">
        <v>135</v>
      </c>
    </row>
    <row r="14" spans="1:12" x14ac:dyDescent="0.2">
      <c r="A14" s="113" t="s">
        <v>249</v>
      </c>
      <c r="B14" s="113">
        <v>17</v>
      </c>
      <c r="C14" s="113">
        <v>100</v>
      </c>
      <c r="D14" s="113">
        <v>100</v>
      </c>
      <c r="E14" s="113">
        <v>80</v>
      </c>
      <c r="F14" s="113">
        <v>60</v>
      </c>
      <c r="G14" s="113">
        <v>18</v>
      </c>
      <c r="H14" s="113">
        <v>330</v>
      </c>
      <c r="I14" s="113">
        <v>42</v>
      </c>
      <c r="J14" s="113">
        <v>4</v>
      </c>
      <c r="K14" s="113">
        <v>4</v>
      </c>
      <c r="L14" s="113">
        <v>68</v>
      </c>
    </row>
    <row r="15" spans="1:12" x14ac:dyDescent="0.2">
      <c r="A15" s="113" t="s">
        <v>250</v>
      </c>
      <c r="B15" s="113">
        <v>0</v>
      </c>
      <c r="C15" s="113">
        <v>100</v>
      </c>
      <c r="D15" s="113">
        <v>140</v>
      </c>
      <c r="E15" s="113">
        <v>80</v>
      </c>
      <c r="F15" s="113">
        <v>150</v>
      </c>
      <c r="G15" s="113">
        <v>150</v>
      </c>
      <c r="H15" s="113">
        <v>660</v>
      </c>
      <c r="I15" s="113">
        <v>260</v>
      </c>
      <c r="J15" s="113">
        <v>20</v>
      </c>
      <c r="K15" s="113">
        <v>20</v>
      </c>
      <c r="L15" s="113">
        <v>165</v>
      </c>
    </row>
    <row r="16" spans="1:12" x14ac:dyDescent="0.2">
      <c r="A16" s="28" t="s">
        <v>251</v>
      </c>
    </row>
  </sheetData>
  <mergeCells count="3">
    <mergeCell ref="C11:F11"/>
    <mergeCell ref="G11:L11"/>
    <mergeCell ref="A1:L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D9"/>
  <sheetViews>
    <sheetView workbookViewId="0">
      <selection activeCell="B22" sqref="B22"/>
    </sheetView>
  </sheetViews>
  <sheetFormatPr baseColWidth="10" defaultRowHeight="15" x14ac:dyDescent="0.25"/>
  <cols>
    <col min="1" max="1" width="49" bestFit="1" customWidth="1"/>
    <col min="2" max="2" width="18.140625" customWidth="1"/>
    <col min="4" max="4" width="20.85546875" bestFit="1" customWidth="1"/>
  </cols>
  <sheetData>
    <row r="2" spans="1:4" x14ac:dyDescent="0.25">
      <c r="A2" s="2" t="s">
        <v>126</v>
      </c>
      <c r="B2" s="2" t="s">
        <v>127</v>
      </c>
      <c r="C2" s="2" t="s">
        <v>110</v>
      </c>
      <c r="D2" s="2" t="s">
        <v>109</v>
      </c>
    </row>
    <row r="3" spans="1:4" ht="18" x14ac:dyDescent="0.35">
      <c r="A3" s="2" t="s">
        <v>112</v>
      </c>
      <c r="B3" s="2" t="s">
        <v>113</v>
      </c>
      <c r="C3" s="2" t="s">
        <v>121</v>
      </c>
      <c r="D3" s="2" t="s">
        <v>125</v>
      </c>
    </row>
    <row r="4" spans="1:4" ht="18" x14ac:dyDescent="0.35">
      <c r="A4" s="2" t="s">
        <v>114</v>
      </c>
      <c r="B4" s="2" t="s">
        <v>113</v>
      </c>
      <c r="C4" s="2" t="s">
        <v>121</v>
      </c>
      <c r="D4" s="2" t="s">
        <v>125</v>
      </c>
    </row>
    <row r="5" spans="1:4" ht="18" x14ac:dyDescent="0.35">
      <c r="A5" s="2" t="s">
        <v>115</v>
      </c>
      <c r="B5" s="2" t="s">
        <v>113</v>
      </c>
      <c r="C5" s="2" t="s">
        <v>122</v>
      </c>
      <c r="D5" s="2" t="s">
        <v>125</v>
      </c>
    </row>
    <row r="6" spans="1:4" ht="18" x14ac:dyDescent="0.35">
      <c r="A6" s="2" t="s">
        <v>116</v>
      </c>
      <c r="B6" s="2" t="s">
        <v>113</v>
      </c>
      <c r="C6" s="2" t="s">
        <v>122</v>
      </c>
      <c r="D6" s="2" t="s">
        <v>125</v>
      </c>
    </row>
    <row r="7" spans="1:4" ht="18" x14ac:dyDescent="0.35">
      <c r="A7" s="2" t="s">
        <v>117</v>
      </c>
      <c r="B7" s="2" t="s">
        <v>113</v>
      </c>
      <c r="C7" s="2" t="s">
        <v>122</v>
      </c>
      <c r="D7" s="2" t="s">
        <v>111</v>
      </c>
    </row>
    <row r="8" spans="1:4" ht="18" x14ac:dyDescent="0.35">
      <c r="A8" s="2" t="s">
        <v>118</v>
      </c>
      <c r="B8" s="2" t="s">
        <v>119</v>
      </c>
      <c r="C8" s="2" t="s">
        <v>123</v>
      </c>
      <c r="D8" s="2" t="s">
        <v>111</v>
      </c>
    </row>
    <row r="9" spans="1:4" ht="18" x14ac:dyDescent="0.35">
      <c r="A9" s="2" t="s">
        <v>120</v>
      </c>
      <c r="B9" s="2" t="s">
        <v>119</v>
      </c>
      <c r="C9" s="2" t="s">
        <v>124</v>
      </c>
      <c r="D9" s="2" t="s">
        <v>111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</vt:i4>
      </vt:variant>
    </vt:vector>
  </HeadingPairs>
  <TitlesOfParts>
    <vt:vector size="9" baseType="lpstr">
      <vt:lpstr>PRESENTATION</vt:lpstr>
      <vt:lpstr>RTAD 30 ans</vt:lpstr>
      <vt:lpstr>SOL Inputs</vt:lpstr>
      <vt:lpstr>ASFA inputs</vt:lpstr>
      <vt:lpstr>BO Inputs</vt:lpstr>
      <vt:lpstr>REA Produits &amp; Substitution</vt:lpstr>
      <vt:lpstr>REI Engrais</vt:lpstr>
      <vt:lpstr>REA-REE</vt:lpstr>
      <vt:lpstr>'RTAD 30 ans'!Zone_d_impression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manon Lopez</dc:creator>
  <cp:lastModifiedBy>MANON LOPEZ</cp:lastModifiedBy>
  <cp:lastPrinted>2022-03-24T13:25:29Z</cp:lastPrinted>
  <dcterms:created xsi:type="dcterms:W3CDTF">2019-10-04T15:03:08Z</dcterms:created>
  <dcterms:modified xsi:type="dcterms:W3CDTF">2024-03-20T07:26:47Z</dcterms:modified>
</cp:coreProperties>
</file>